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80" windowHeight="1170"/>
  </bookViews>
  <sheets>
    <sheet name="Смета СН-2012 по гл. 1-5" sheetId="5" r:id="rId1"/>
    <sheet name="Ведомость объемов работ" sheetId="6" r:id="rId2"/>
    <sheet name="RV_DATA" sheetId="8" state="hidden" r:id="rId3"/>
    <sheet name="Расчет стоимости ресурсов" sheetId="7" state="hidden" r:id="rId4"/>
    <sheet name="Source" sheetId="1" state="hidden" r:id="rId5"/>
    <sheet name="SourceObSm" sheetId="2" state="hidden" r:id="rId6"/>
    <sheet name="SmtRes" sheetId="3" state="hidden" r:id="rId7"/>
    <sheet name="EtalonRes" sheetId="4" state="hidden" r:id="rId8"/>
  </sheets>
  <definedNames>
    <definedName name="_xlnm.Print_Titles" localSheetId="1">'Ведомость объемов работ'!$13:$13</definedName>
    <definedName name="_xlnm.Print_Titles" localSheetId="3">'Расчет стоимости ресурсов'!$4:$7</definedName>
    <definedName name="_xlnm.Print_Titles" localSheetId="0">'Смета СН-2012 по гл. 1-5'!$30:$30</definedName>
    <definedName name="_xlnm.Print_Area" localSheetId="1">'Ведомость объемов работ'!$A$1:$E$144</definedName>
    <definedName name="_xlnm.Print_Area" localSheetId="3">'Расчет стоимости ресурсов'!$A$1:$F$238</definedName>
    <definedName name="_xlnm.Print_Area" localSheetId="0">'Смета СН-2012 по гл. 1-5'!$A$1:$K$708</definedName>
  </definedNames>
  <calcPr calcId="145621"/>
</workbook>
</file>

<file path=xl/calcChain.xml><?xml version="1.0" encoding="utf-8"?>
<calcChain xmlns="http://schemas.openxmlformats.org/spreadsheetml/2006/main">
  <c r="A693" i="5" l="1"/>
  <c r="U211" i="8" l="1"/>
  <c r="S211" i="8"/>
  <c r="P211" i="8"/>
  <c r="N211" i="8"/>
  <c r="K211" i="8"/>
  <c r="E216" i="7" s="1"/>
  <c r="J211" i="8"/>
  <c r="H211" i="8"/>
  <c r="G211" i="8"/>
  <c r="F211" i="8"/>
  <c r="E211" i="8"/>
  <c r="U210" i="8"/>
  <c r="S210" i="8"/>
  <c r="P210" i="8"/>
  <c r="N210" i="8"/>
  <c r="K210" i="8"/>
  <c r="E225" i="7" s="1"/>
  <c r="J210" i="8"/>
  <c r="H210" i="8"/>
  <c r="G210" i="8"/>
  <c r="F210" i="8"/>
  <c r="E210" i="8"/>
  <c r="U209" i="8"/>
  <c r="S209" i="8"/>
  <c r="P209" i="8"/>
  <c r="N209" i="8"/>
  <c r="K209" i="8"/>
  <c r="E227" i="7" s="1"/>
  <c r="J209" i="8"/>
  <c r="H209" i="8"/>
  <c r="G209" i="8"/>
  <c r="F209" i="8"/>
  <c r="E209" i="8"/>
  <c r="U208" i="8"/>
  <c r="S208" i="8"/>
  <c r="P208" i="8"/>
  <c r="N208" i="8"/>
  <c r="K208" i="8"/>
  <c r="E228" i="7" s="1"/>
  <c r="J208" i="8"/>
  <c r="H208" i="8"/>
  <c r="G208" i="8"/>
  <c r="F208" i="8"/>
  <c r="E208" i="8"/>
  <c r="U207" i="8"/>
  <c r="S207" i="8"/>
  <c r="P207" i="8"/>
  <c r="N207" i="8"/>
  <c r="K207" i="8"/>
  <c r="E217" i="7" s="1"/>
  <c r="J207" i="8"/>
  <c r="H207" i="8"/>
  <c r="G207" i="8"/>
  <c r="F207" i="8"/>
  <c r="E207" i="8"/>
  <c r="U206" i="8"/>
  <c r="S206" i="8"/>
  <c r="P206" i="8"/>
  <c r="N206" i="8"/>
  <c r="K206" i="8"/>
  <c r="J206" i="8"/>
  <c r="H206" i="8"/>
  <c r="G206" i="8"/>
  <c r="F206" i="8"/>
  <c r="E206" i="8"/>
  <c r="U205" i="8"/>
  <c r="S205" i="8"/>
  <c r="P205" i="8"/>
  <c r="N205" i="8"/>
  <c r="K205" i="8"/>
  <c r="E222" i="7" s="1"/>
  <c r="J205" i="8"/>
  <c r="H205" i="8"/>
  <c r="G205" i="8"/>
  <c r="F205" i="8"/>
  <c r="E205" i="8"/>
  <c r="U204" i="8"/>
  <c r="S204" i="8"/>
  <c r="P204" i="8"/>
  <c r="N204" i="8"/>
  <c r="K204" i="8"/>
  <c r="J204" i="8"/>
  <c r="H204" i="8"/>
  <c r="G204" i="8"/>
  <c r="F204" i="8"/>
  <c r="E204" i="8"/>
  <c r="U203" i="8"/>
  <c r="S203" i="8"/>
  <c r="P203" i="8"/>
  <c r="N203" i="8"/>
  <c r="K203" i="8"/>
  <c r="E230" i="7" s="1"/>
  <c r="J203" i="8"/>
  <c r="H203" i="8"/>
  <c r="G203" i="8"/>
  <c r="F203" i="8"/>
  <c r="E203" i="8"/>
  <c r="U202" i="8"/>
  <c r="S202" i="8"/>
  <c r="P202" i="8"/>
  <c r="N202" i="8"/>
  <c r="K202" i="8"/>
  <c r="E231" i="7" s="1"/>
  <c r="J202" i="8"/>
  <c r="H202" i="8"/>
  <c r="G202" i="8"/>
  <c r="F202" i="8"/>
  <c r="E202" i="8"/>
  <c r="U201" i="8"/>
  <c r="S201" i="8"/>
  <c r="P201" i="8"/>
  <c r="N201" i="8"/>
  <c r="K201" i="8"/>
  <c r="E232" i="7" s="1"/>
  <c r="J201" i="8"/>
  <c r="H201" i="8"/>
  <c r="G201" i="8"/>
  <c r="F201" i="8"/>
  <c r="E201" i="8"/>
  <c r="U200" i="8"/>
  <c r="I200" i="8"/>
  <c r="D236" i="7" s="1"/>
  <c r="H200" i="8"/>
  <c r="G200" i="8"/>
  <c r="F200" i="8"/>
  <c r="E200" i="8"/>
  <c r="D200" i="8"/>
  <c r="A200" i="8"/>
  <c r="U199" i="8"/>
  <c r="S199" i="8"/>
  <c r="P199" i="8"/>
  <c r="N199" i="8"/>
  <c r="K199" i="8"/>
  <c r="E224" i="7" s="1"/>
  <c r="J199" i="8"/>
  <c r="H199" i="8"/>
  <c r="G199" i="8"/>
  <c r="F199" i="8"/>
  <c r="E199" i="8"/>
  <c r="U198" i="8"/>
  <c r="S198" i="8"/>
  <c r="P198" i="8"/>
  <c r="N198" i="8"/>
  <c r="K198" i="8"/>
  <c r="E233" i="7" s="1"/>
  <c r="J198" i="8"/>
  <c r="H198" i="8"/>
  <c r="G198" i="8"/>
  <c r="F198" i="8"/>
  <c r="E198" i="8"/>
  <c r="U197" i="8"/>
  <c r="I197" i="8"/>
  <c r="D235" i="7" s="1"/>
  <c r="H197" i="8"/>
  <c r="G197" i="8"/>
  <c r="F197" i="8"/>
  <c r="E197" i="8"/>
  <c r="D197" i="8"/>
  <c r="A197" i="8"/>
  <c r="U196" i="8"/>
  <c r="I196" i="8"/>
  <c r="D234" i="7" s="1"/>
  <c r="H196" i="8"/>
  <c r="G196" i="8"/>
  <c r="F196" i="8"/>
  <c r="E196" i="8"/>
  <c r="D196" i="8"/>
  <c r="A196" i="8"/>
  <c r="U195" i="8"/>
  <c r="S195" i="8"/>
  <c r="P195" i="8"/>
  <c r="N195" i="8"/>
  <c r="K195" i="8"/>
  <c r="E218" i="7" s="1"/>
  <c r="J195" i="8"/>
  <c r="I195" i="8"/>
  <c r="D218" i="7" s="1"/>
  <c r="H195" i="8"/>
  <c r="G195" i="8"/>
  <c r="F195" i="8"/>
  <c r="E195" i="8"/>
  <c r="U194" i="8"/>
  <c r="S194" i="8"/>
  <c r="P194" i="8"/>
  <c r="N194" i="8"/>
  <c r="K194" i="8"/>
  <c r="E223" i="7" s="1"/>
  <c r="J194" i="8"/>
  <c r="I194" i="8"/>
  <c r="D223" i="7" s="1"/>
  <c r="H194" i="8"/>
  <c r="G194" i="8"/>
  <c r="F194" i="8"/>
  <c r="E194" i="8"/>
  <c r="U193" i="8"/>
  <c r="S193" i="8"/>
  <c r="P193" i="8"/>
  <c r="N193" i="8"/>
  <c r="K193" i="8"/>
  <c r="E226" i="7" s="1"/>
  <c r="J193" i="8"/>
  <c r="I193" i="8"/>
  <c r="D226" i="7" s="1"/>
  <c r="H193" i="8"/>
  <c r="G193" i="8"/>
  <c r="F193" i="8"/>
  <c r="E193" i="8"/>
  <c r="U192" i="8"/>
  <c r="S192" i="8"/>
  <c r="P192" i="8"/>
  <c r="N192" i="8"/>
  <c r="K192" i="8"/>
  <c r="E229" i="7" s="1"/>
  <c r="J192" i="8"/>
  <c r="I192" i="8"/>
  <c r="D229" i="7" s="1"/>
  <c r="H192" i="8"/>
  <c r="G192" i="8"/>
  <c r="F192" i="8"/>
  <c r="E192" i="8"/>
  <c r="U191" i="8"/>
  <c r="S191" i="8"/>
  <c r="P191" i="8"/>
  <c r="N191" i="8"/>
  <c r="K191" i="8"/>
  <c r="E219" i="7" s="1"/>
  <c r="J191" i="8"/>
  <c r="H191" i="8"/>
  <c r="G191" i="8"/>
  <c r="F191" i="8"/>
  <c r="E191" i="8"/>
  <c r="G190" i="8"/>
  <c r="A190" i="8"/>
  <c r="U189" i="8"/>
  <c r="H189" i="8"/>
  <c r="G189" i="8"/>
  <c r="F189" i="8"/>
  <c r="E189" i="8"/>
  <c r="D189" i="8"/>
  <c r="A189" i="8"/>
  <c r="U188" i="8"/>
  <c r="S188" i="8"/>
  <c r="P188" i="8"/>
  <c r="N188" i="8"/>
  <c r="K188" i="8"/>
  <c r="J188" i="8"/>
  <c r="H188" i="8"/>
  <c r="G188" i="8"/>
  <c r="F188" i="8"/>
  <c r="E188" i="8"/>
  <c r="U187" i="8"/>
  <c r="S187" i="8"/>
  <c r="P187" i="8"/>
  <c r="N187" i="8"/>
  <c r="K187" i="8"/>
  <c r="J187" i="8"/>
  <c r="H187" i="8"/>
  <c r="G187" i="8"/>
  <c r="F187" i="8"/>
  <c r="E187" i="8"/>
  <c r="U186" i="8"/>
  <c r="S186" i="8"/>
  <c r="P186" i="8"/>
  <c r="N186" i="8"/>
  <c r="K186" i="8"/>
  <c r="J186" i="8"/>
  <c r="H186" i="8"/>
  <c r="G186" i="8"/>
  <c r="F186" i="8"/>
  <c r="E186" i="8"/>
  <c r="U185" i="8"/>
  <c r="S185" i="8"/>
  <c r="P185" i="8"/>
  <c r="N185" i="8"/>
  <c r="K185" i="8"/>
  <c r="J185" i="8"/>
  <c r="H185" i="8"/>
  <c r="G185" i="8"/>
  <c r="F185" i="8"/>
  <c r="E185" i="8"/>
  <c r="U184" i="8"/>
  <c r="S184" i="8"/>
  <c r="P184" i="8"/>
  <c r="N184" i="8"/>
  <c r="K184" i="8"/>
  <c r="E207" i="7" s="1"/>
  <c r="J184" i="8"/>
  <c r="H184" i="8"/>
  <c r="G184" i="8"/>
  <c r="F184" i="8"/>
  <c r="E184" i="8"/>
  <c r="U183" i="8"/>
  <c r="S183" i="8"/>
  <c r="P183" i="8"/>
  <c r="N183" i="8"/>
  <c r="K183" i="8"/>
  <c r="E208" i="7" s="1"/>
  <c r="J183" i="8"/>
  <c r="H183" i="8"/>
  <c r="G183" i="8"/>
  <c r="F183" i="8"/>
  <c r="E183" i="8"/>
  <c r="U182" i="8"/>
  <c r="S182" i="8"/>
  <c r="P182" i="8"/>
  <c r="N182" i="8"/>
  <c r="K182" i="8"/>
  <c r="E206" i="7" s="1"/>
  <c r="J182" i="8"/>
  <c r="H182" i="8"/>
  <c r="G182" i="8"/>
  <c r="F182" i="8"/>
  <c r="E182" i="8"/>
  <c r="U181" i="8"/>
  <c r="S181" i="8"/>
  <c r="P181" i="8"/>
  <c r="N181" i="8"/>
  <c r="K181" i="8"/>
  <c r="E209" i="7" s="1"/>
  <c r="J181" i="8"/>
  <c r="H181" i="8"/>
  <c r="G181" i="8"/>
  <c r="F181" i="8"/>
  <c r="E181" i="8"/>
  <c r="G180" i="8"/>
  <c r="A180" i="8"/>
  <c r="G179" i="8"/>
  <c r="A179" i="8"/>
  <c r="G178" i="8"/>
  <c r="A178" i="8"/>
  <c r="U177" i="8"/>
  <c r="S177" i="8"/>
  <c r="P177" i="8"/>
  <c r="N177" i="8"/>
  <c r="K177" i="8"/>
  <c r="E191" i="7" s="1"/>
  <c r="J177" i="8"/>
  <c r="H177" i="8"/>
  <c r="G177" i="8"/>
  <c r="F177" i="8"/>
  <c r="E177" i="8"/>
  <c r="U176" i="8"/>
  <c r="S176" i="8"/>
  <c r="P176" i="8"/>
  <c r="N176" i="8"/>
  <c r="K176" i="8"/>
  <c r="E192" i="7" s="1"/>
  <c r="J176" i="8"/>
  <c r="H176" i="8"/>
  <c r="G176" i="8"/>
  <c r="F176" i="8"/>
  <c r="E176" i="8"/>
  <c r="U175" i="8"/>
  <c r="S175" i="8"/>
  <c r="P175" i="8"/>
  <c r="N175" i="8"/>
  <c r="K175" i="8"/>
  <c r="E193" i="7" s="1"/>
  <c r="J175" i="8"/>
  <c r="H175" i="8"/>
  <c r="G175" i="8"/>
  <c r="F175" i="8"/>
  <c r="E175" i="8"/>
  <c r="U174" i="8"/>
  <c r="S174" i="8"/>
  <c r="P174" i="8"/>
  <c r="N174" i="8"/>
  <c r="K174" i="8"/>
  <c r="E194" i="7" s="1"/>
  <c r="J174" i="8"/>
  <c r="H174" i="8"/>
  <c r="G174" i="8"/>
  <c r="F174" i="8"/>
  <c r="E174" i="8"/>
  <c r="U173" i="8"/>
  <c r="S173" i="8"/>
  <c r="P173" i="8"/>
  <c r="N173" i="8"/>
  <c r="K173" i="8"/>
  <c r="E195" i="7" s="1"/>
  <c r="J173" i="8"/>
  <c r="H173" i="8"/>
  <c r="G173" i="8"/>
  <c r="F173" i="8"/>
  <c r="E173" i="8"/>
  <c r="U172" i="8"/>
  <c r="S172" i="8"/>
  <c r="P172" i="8"/>
  <c r="N172" i="8"/>
  <c r="K172" i="8"/>
  <c r="E198" i="7" s="1"/>
  <c r="J172" i="8"/>
  <c r="H172" i="8"/>
  <c r="G172" i="8"/>
  <c r="F172" i="8"/>
  <c r="E172" i="8"/>
  <c r="U171" i="8"/>
  <c r="S171" i="8"/>
  <c r="P171" i="8"/>
  <c r="N171" i="8"/>
  <c r="K171" i="8"/>
  <c r="E199" i="7" s="1"/>
  <c r="J171" i="8"/>
  <c r="H171" i="8"/>
  <c r="G171" i="8"/>
  <c r="F171" i="8"/>
  <c r="E171" i="8"/>
  <c r="U170" i="8"/>
  <c r="H170" i="8"/>
  <c r="G170" i="8"/>
  <c r="F170" i="8"/>
  <c r="E170" i="8"/>
  <c r="D170" i="8"/>
  <c r="A170" i="8"/>
  <c r="U169" i="8"/>
  <c r="S169" i="8"/>
  <c r="P169" i="8"/>
  <c r="N169" i="8"/>
  <c r="K169" i="8"/>
  <c r="J169" i="8"/>
  <c r="H169" i="8"/>
  <c r="G169" i="8"/>
  <c r="F169" i="8"/>
  <c r="E169" i="8"/>
  <c r="U168" i="8"/>
  <c r="S168" i="8"/>
  <c r="P168" i="8"/>
  <c r="N168" i="8"/>
  <c r="K168" i="8"/>
  <c r="J168" i="8"/>
  <c r="H168" i="8"/>
  <c r="G168" i="8"/>
  <c r="F168" i="8"/>
  <c r="E168" i="8"/>
  <c r="U167" i="8"/>
  <c r="S167" i="8"/>
  <c r="P167" i="8"/>
  <c r="N167" i="8"/>
  <c r="K167" i="8"/>
  <c r="J167" i="8"/>
  <c r="H167" i="8"/>
  <c r="G167" i="8"/>
  <c r="F167" i="8"/>
  <c r="E167" i="8"/>
  <c r="U166" i="8"/>
  <c r="S166" i="8"/>
  <c r="P166" i="8"/>
  <c r="N166" i="8"/>
  <c r="K166" i="8"/>
  <c r="J166" i="8"/>
  <c r="H166" i="8"/>
  <c r="G166" i="8"/>
  <c r="F166" i="8"/>
  <c r="E166" i="8"/>
  <c r="U165" i="8"/>
  <c r="S165" i="8"/>
  <c r="P165" i="8"/>
  <c r="N165" i="8"/>
  <c r="K165" i="8"/>
  <c r="E189" i="7" s="1"/>
  <c r="J165" i="8"/>
  <c r="H165" i="8"/>
  <c r="G165" i="8"/>
  <c r="F165" i="8"/>
  <c r="E165" i="8"/>
  <c r="U164" i="8"/>
  <c r="S164" i="8"/>
  <c r="P164" i="8"/>
  <c r="N164" i="8"/>
  <c r="K164" i="8"/>
  <c r="E190" i="7" s="1"/>
  <c r="J164" i="8"/>
  <c r="H164" i="8"/>
  <c r="G164" i="8"/>
  <c r="F164" i="8"/>
  <c r="E164" i="8"/>
  <c r="U163" i="8"/>
  <c r="S163" i="8"/>
  <c r="P163" i="8"/>
  <c r="N163" i="8"/>
  <c r="K163" i="8"/>
  <c r="E188" i="7" s="1"/>
  <c r="J163" i="8"/>
  <c r="H163" i="8"/>
  <c r="G163" i="8"/>
  <c r="F163" i="8"/>
  <c r="E163" i="8"/>
  <c r="U162" i="8"/>
  <c r="S162" i="8"/>
  <c r="P162" i="8"/>
  <c r="N162" i="8"/>
  <c r="K162" i="8"/>
  <c r="E186" i="7" s="1"/>
  <c r="J162" i="8"/>
  <c r="H162" i="8"/>
  <c r="G162" i="8"/>
  <c r="F162" i="8"/>
  <c r="E162" i="8"/>
  <c r="U161" i="8"/>
  <c r="S161" i="8"/>
  <c r="P161" i="8"/>
  <c r="N161" i="8"/>
  <c r="K161" i="8"/>
  <c r="E187" i="7" s="1"/>
  <c r="J161" i="8"/>
  <c r="H161" i="8"/>
  <c r="G161" i="8"/>
  <c r="F161" i="8"/>
  <c r="E161" i="8"/>
  <c r="G160" i="8"/>
  <c r="A160" i="8"/>
  <c r="G159" i="8"/>
  <c r="A159" i="8"/>
  <c r="G158" i="8"/>
  <c r="A158" i="8"/>
  <c r="G157" i="8"/>
  <c r="A157" i="8"/>
  <c r="G156" i="8"/>
  <c r="A156" i="8"/>
  <c r="U155" i="8"/>
  <c r="S155" i="8"/>
  <c r="P155" i="8"/>
  <c r="N155" i="8"/>
  <c r="K155" i="8"/>
  <c r="E169" i="7" s="1"/>
  <c r="J155" i="8"/>
  <c r="H155" i="8"/>
  <c r="G155" i="8"/>
  <c r="F155" i="8"/>
  <c r="E155" i="8"/>
  <c r="U154" i="8"/>
  <c r="S154" i="8"/>
  <c r="P154" i="8"/>
  <c r="N154" i="8"/>
  <c r="K154" i="8"/>
  <c r="E170" i="7" s="1"/>
  <c r="J154" i="8"/>
  <c r="H154" i="8"/>
  <c r="G154" i="8"/>
  <c r="F154" i="8"/>
  <c r="E154" i="8"/>
  <c r="U153" i="8"/>
  <c r="S153" i="8"/>
  <c r="P153" i="8"/>
  <c r="N153" i="8"/>
  <c r="K153" i="8"/>
  <c r="E171" i="7" s="1"/>
  <c r="J153" i="8"/>
  <c r="H153" i="8"/>
  <c r="G153" i="8"/>
  <c r="F153" i="8"/>
  <c r="E153" i="8"/>
  <c r="U152" i="8"/>
  <c r="S152" i="8"/>
  <c r="P152" i="8"/>
  <c r="N152" i="8"/>
  <c r="K152" i="8"/>
  <c r="E172" i="7" s="1"/>
  <c r="J152" i="8"/>
  <c r="H152" i="8"/>
  <c r="G152" i="8"/>
  <c r="F152" i="8"/>
  <c r="E152" i="8"/>
  <c r="U151" i="8"/>
  <c r="S151" i="8"/>
  <c r="P151" i="8"/>
  <c r="N151" i="8"/>
  <c r="K151" i="8"/>
  <c r="E173" i="7" s="1"/>
  <c r="J151" i="8"/>
  <c r="H151" i="8"/>
  <c r="G151" i="8"/>
  <c r="F151" i="8"/>
  <c r="E151" i="8"/>
  <c r="U150" i="8"/>
  <c r="S150" i="8"/>
  <c r="P150" i="8"/>
  <c r="N150" i="8"/>
  <c r="K150" i="8"/>
  <c r="E176" i="7" s="1"/>
  <c r="J150" i="8"/>
  <c r="H150" i="8"/>
  <c r="G150" i="8"/>
  <c r="F150" i="8"/>
  <c r="E150" i="8"/>
  <c r="U149" i="8"/>
  <c r="S149" i="8"/>
  <c r="P149" i="8"/>
  <c r="N149" i="8"/>
  <c r="K149" i="8"/>
  <c r="E177" i="7" s="1"/>
  <c r="J149" i="8"/>
  <c r="H149" i="8"/>
  <c r="G149" i="8"/>
  <c r="F149" i="8"/>
  <c r="E149" i="8"/>
  <c r="U148" i="8"/>
  <c r="H148" i="8"/>
  <c r="G148" i="8"/>
  <c r="F148" i="8"/>
  <c r="E148" i="8"/>
  <c r="D148" i="8"/>
  <c r="A148" i="8"/>
  <c r="U147" i="8"/>
  <c r="S147" i="8"/>
  <c r="P147" i="8"/>
  <c r="N147" i="8"/>
  <c r="K147" i="8"/>
  <c r="J147" i="8"/>
  <c r="H147" i="8"/>
  <c r="G147" i="8"/>
  <c r="F147" i="8"/>
  <c r="E147" i="8"/>
  <c r="U146" i="8"/>
  <c r="S146" i="8"/>
  <c r="P146" i="8"/>
  <c r="N146" i="8"/>
  <c r="K146" i="8"/>
  <c r="J146" i="8"/>
  <c r="H146" i="8"/>
  <c r="G146" i="8"/>
  <c r="F146" i="8"/>
  <c r="E146" i="8"/>
  <c r="U145" i="8"/>
  <c r="S145" i="8"/>
  <c r="P145" i="8"/>
  <c r="N145" i="8"/>
  <c r="K145" i="8"/>
  <c r="J145" i="8"/>
  <c r="H145" i="8"/>
  <c r="G145" i="8"/>
  <c r="F145" i="8"/>
  <c r="E145" i="8"/>
  <c r="U144" i="8"/>
  <c r="S144" i="8"/>
  <c r="P144" i="8"/>
  <c r="N144" i="8"/>
  <c r="K144" i="8"/>
  <c r="J144" i="8"/>
  <c r="H144" i="8"/>
  <c r="G144" i="8"/>
  <c r="F144" i="8"/>
  <c r="E144" i="8"/>
  <c r="U143" i="8"/>
  <c r="S143" i="8"/>
  <c r="P143" i="8"/>
  <c r="N143" i="8"/>
  <c r="K143" i="8"/>
  <c r="E167" i="7" s="1"/>
  <c r="J143" i="8"/>
  <c r="H143" i="8"/>
  <c r="G143" i="8"/>
  <c r="F143" i="8"/>
  <c r="E143" i="8"/>
  <c r="U142" i="8"/>
  <c r="S142" i="8"/>
  <c r="P142" i="8"/>
  <c r="N142" i="8"/>
  <c r="K142" i="8"/>
  <c r="E168" i="7" s="1"/>
  <c r="J142" i="8"/>
  <c r="H142" i="8"/>
  <c r="G142" i="8"/>
  <c r="F142" i="8"/>
  <c r="E142" i="8"/>
  <c r="U141" i="8"/>
  <c r="S141" i="8"/>
  <c r="P141" i="8"/>
  <c r="N141" i="8"/>
  <c r="K141" i="8"/>
  <c r="E166" i="7" s="1"/>
  <c r="J141" i="8"/>
  <c r="H141" i="8"/>
  <c r="G141" i="8"/>
  <c r="F141" i="8"/>
  <c r="E141" i="8"/>
  <c r="U140" i="8"/>
  <c r="S140" i="8"/>
  <c r="P140" i="8"/>
  <c r="N140" i="8"/>
  <c r="K140" i="8"/>
  <c r="E164" i="7" s="1"/>
  <c r="J140" i="8"/>
  <c r="H140" i="8"/>
  <c r="G140" i="8"/>
  <c r="F140" i="8"/>
  <c r="E140" i="8"/>
  <c r="U139" i="8"/>
  <c r="S139" i="8"/>
  <c r="P139" i="8"/>
  <c r="N139" i="8"/>
  <c r="K139" i="8"/>
  <c r="E165" i="7" s="1"/>
  <c r="J139" i="8"/>
  <c r="H139" i="8"/>
  <c r="G139" i="8"/>
  <c r="F139" i="8"/>
  <c r="E139" i="8"/>
  <c r="G138" i="8"/>
  <c r="A138" i="8"/>
  <c r="U137" i="8"/>
  <c r="I137" i="8"/>
  <c r="D157" i="7" s="1"/>
  <c r="H137" i="8"/>
  <c r="G137" i="8"/>
  <c r="F137" i="8"/>
  <c r="E137" i="8"/>
  <c r="D137" i="8"/>
  <c r="A137" i="8"/>
  <c r="U136" i="8"/>
  <c r="S136" i="8"/>
  <c r="P136" i="8"/>
  <c r="N136" i="8"/>
  <c r="K136" i="8"/>
  <c r="E146" i="7" s="1"/>
  <c r="J136" i="8"/>
  <c r="I136" i="8"/>
  <c r="D146" i="7" s="1"/>
  <c r="H136" i="8"/>
  <c r="G136" i="8"/>
  <c r="F136" i="8"/>
  <c r="E136" i="8"/>
  <c r="U135" i="8"/>
  <c r="S135" i="8"/>
  <c r="P135" i="8"/>
  <c r="N135" i="8"/>
  <c r="K135" i="8"/>
  <c r="E148" i="7" s="1"/>
  <c r="J135" i="8"/>
  <c r="I135" i="8"/>
  <c r="D148" i="7" s="1"/>
  <c r="H135" i="8"/>
  <c r="G135" i="8"/>
  <c r="F135" i="8"/>
  <c r="E135" i="8"/>
  <c r="U134" i="8"/>
  <c r="S134" i="8"/>
  <c r="P134" i="8"/>
  <c r="N134" i="8"/>
  <c r="K134" i="8"/>
  <c r="J134" i="8"/>
  <c r="I134" i="8"/>
  <c r="H134" i="8"/>
  <c r="G134" i="8"/>
  <c r="F134" i="8"/>
  <c r="E134" i="8"/>
  <c r="U133" i="8"/>
  <c r="S133" i="8"/>
  <c r="P133" i="8"/>
  <c r="N133" i="8"/>
  <c r="K133" i="8"/>
  <c r="J133" i="8"/>
  <c r="I133" i="8"/>
  <c r="H133" i="8"/>
  <c r="G133" i="8"/>
  <c r="F133" i="8"/>
  <c r="E133" i="8"/>
  <c r="U132" i="8"/>
  <c r="S132" i="8"/>
  <c r="P132" i="8"/>
  <c r="N132" i="8"/>
  <c r="K132" i="8"/>
  <c r="E160" i="7" s="1"/>
  <c r="J132" i="8"/>
  <c r="I132" i="8"/>
  <c r="D160" i="7" s="1"/>
  <c r="H132" i="8"/>
  <c r="G132" i="8"/>
  <c r="F132" i="8"/>
  <c r="E132" i="8"/>
  <c r="U131" i="8"/>
  <c r="S131" i="8"/>
  <c r="P131" i="8"/>
  <c r="N131" i="8"/>
  <c r="K131" i="8"/>
  <c r="E147" i="7" s="1"/>
  <c r="J131" i="8"/>
  <c r="H131" i="8"/>
  <c r="G131" i="8"/>
  <c r="F131" i="8"/>
  <c r="E131" i="8"/>
  <c r="U130" i="8"/>
  <c r="S130" i="8"/>
  <c r="P130" i="8"/>
  <c r="N130" i="8"/>
  <c r="K130" i="8"/>
  <c r="E149" i="7" s="1"/>
  <c r="J130" i="8"/>
  <c r="H130" i="8"/>
  <c r="G130" i="8"/>
  <c r="F130" i="8"/>
  <c r="E130" i="8"/>
  <c r="U129" i="8"/>
  <c r="S129" i="8"/>
  <c r="P129" i="8"/>
  <c r="N129" i="8"/>
  <c r="K129" i="8"/>
  <c r="E150" i="7" s="1"/>
  <c r="J129" i="8"/>
  <c r="H129" i="8"/>
  <c r="G129" i="8"/>
  <c r="F129" i="8"/>
  <c r="E129" i="8"/>
  <c r="U128" i="8"/>
  <c r="S128" i="8"/>
  <c r="P128" i="8"/>
  <c r="N128" i="8"/>
  <c r="K128" i="8"/>
  <c r="E151" i="7" s="1"/>
  <c r="J128" i="8"/>
  <c r="H128" i="8"/>
  <c r="G128" i="8"/>
  <c r="F128" i="8"/>
  <c r="E128" i="8"/>
  <c r="U127" i="8"/>
  <c r="S127" i="8"/>
  <c r="P127" i="8"/>
  <c r="N127" i="8"/>
  <c r="K127" i="8"/>
  <c r="E154" i="7" s="1"/>
  <c r="J127" i="8"/>
  <c r="H127" i="8"/>
  <c r="G127" i="8"/>
  <c r="F127" i="8"/>
  <c r="E127" i="8"/>
  <c r="U126" i="8"/>
  <c r="S126" i="8"/>
  <c r="P126" i="8"/>
  <c r="N126" i="8"/>
  <c r="K126" i="8"/>
  <c r="E155" i="7" s="1"/>
  <c r="J126" i="8"/>
  <c r="H126" i="8"/>
  <c r="G126" i="8"/>
  <c r="F126" i="8"/>
  <c r="E126" i="8"/>
  <c r="U125" i="8"/>
  <c r="S125" i="8"/>
  <c r="P125" i="8"/>
  <c r="N125" i="8"/>
  <c r="K125" i="8"/>
  <c r="E156" i="7" s="1"/>
  <c r="J125" i="8"/>
  <c r="H125" i="8"/>
  <c r="G125" i="8"/>
  <c r="F125" i="8"/>
  <c r="E125" i="8"/>
  <c r="U124" i="8"/>
  <c r="S124" i="8"/>
  <c r="P124" i="8"/>
  <c r="N124" i="8"/>
  <c r="K124" i="8"/>
  <c r="E158" i="7" s="1"/>
  <c r="J124" i="8"/>
  <c r="H124" i="8"/>
  <c r="G124" i="8"/>
  <c r="F124" i="8"/>
  <c r="E124" i="8"/>
  <c r="U123" i="8"/>
  <c r="S123" i="8"/>
  <c r="P123" i="8"/>
  <c r="N123" i="8"/>
  <c r="K123" i="8"/>
  <c r="E159" i="7" s="1"/>
  <c r="J123" i="8"/>
  <c r="H123" i="8"/>
  <c r="G123" i="8"/>
  <c r="F123" i="8"/>
  <c r="E123" i="8"/>
  <c r="G122" i="8"/>
  <c r="A122" i="8"/>
  <c r="U121" i="8"/>
  <c r="I121" i="8"/>
  <c r="D142" i="7" s="1"/>
  <c r="H121" i="8"/>
  <c r="G121" i="8"/>
  <c r="F121" i="8"/>
  <c r="E121" i="8"/>
  <c r="D121" i="8"/>
  <c r="A121" i="8"/>
  <c r="U120" i="8"/>
  <c r="I120" i="8"/>
  <c r="D141" i="7" s="1"/>
  <c r="H120" i="8"/>
  <c r="G120" i="8"/>
  <c r="F120" i="8"/>
  <c r="E120" i="8"/>
  <c r="D120" i="8"/>
  <c r="A120" i="8"/>
  <c r="U119" i="8"/>
  <c r="I119" i="8"/>
  <c r="D140" i="7" s="1"/>
  <c r="H119" i="8"/>
  <c r="G119" i="8"/>
  <c r="F119" i="8"/>
  <c r="E119" i="8"/>
  <c r="D119" i="8"/>
  <c r="A119" i="8"/>
  <c r="U118" i="8"/>
  <c r="I118" i="8"/>
  <c r="D139" i="7" s="1"/>
  <c r="H118" i="8"/>
  <c r="G118" i="8"/>
  <c r="F118" i="8"/>
  <c r="E118" i="8"/>
  <c r="D118" i="8"/>
  <c r="A118" i="8"/>
  <c r="U117" i="8"/>
  <c r="I117" i="8"/>
  <c r="D138" i="7" s="1"/>
  <c r="H117" i="8"/>
  <c r="G117" i="8"/>
  <c r="F117" i="8"/>
  <c r="E117" i="8"/>
  <c r="D117" i="8"/>
  <c r="A117" i="8"/>
  <c r="U116" i="8"/>
  <c r="I116" i="8"/>
  <c r="D137" i="7" s="1"/>
  <c r="H116" i="8"/>
  <c r="G116" i="8"/>
  <c r="F116" i="8"/>
  <c r="E116" i="8"/>
  <c r="D116" i="8"/>
  <c r="A116" i="8"/>
  <c r="G115" i="8"/>
  <c r="A115" i="8"/>
  <c r="U114" i="8"/>
  <c r="I114" i="8"/>
  <c r="D133" i="7" s="1"/>
  <c r="H114" i="8"/>
  <c r="G114" i="8"/>
  <c r="F114" i="8"/>
  <c r="E114" i="8"/>
  <c r="D114" i="8"/>
  <c r="A114" i="8"/>
  <c r="U113" i="8"/>
  <c r="S113" i="8"/>
  <c r="P113" i="8"/>
  <c r="N113" i="8"/>
  <c r="K113" i="8"/>
  <c r="J113" i="8"/>
  <c r="H113" i="8"/>
  <c r="G113" i="8"/>
  <c r="F113" i="8"/>
  <c r="E113" i="8"/>
  <c r="U112" i="8"/>
  <c r="S112" i="8"/>
  <c r="P112" i="8"/>
  <c r="N112" i="8"/>
  <c r="K112" i="8"/>
  <c r="J112" i="8"/>
  <c r="H112" i="8"/>
  <c r="G112" i="8"/>
  <c r="F112" i="8"/>
  <c r="E112" i="8"/>
  <c r="U111" i="8"/>
  <c r="S111" i="8"/>
  <c r="P111" i="8"/>
  <c r="N111" i="8"/>
  <c r="K111" i="8"/>
  <c r="E128" i="7" s="1"/>
  <c r="J111" i="8"/>
  <c r="H111" i="8"/>
  <c r="G111" i="8"/>
  <c r="F111" i="8"/>
  <c r="E111" i="8"/>
  <c r="U110" i="8"/>
  <c r="S110" i="8"/>
  <c r="P110" i="8"/>
  <c r="N110" i="8"/>
  <c r="K110" i="8"/>
  <c r="E129" i="7" s="1"/>
  <c r="J110" i="8"/>
  <c r="H110" i="8"/>
  <c r="G110" i="8"/>
  <c r="F110" i="8"/>
  <c r="E110" i="8"/>
  <c r="U109" i="8"/>
  <c r="S109" i="8"/>
  <c r="P109" i="8"/>
  <c r="N109" i="8"/>
  <c r="K109" i="8"/>
  <c r="E130" i="7" s="1"/>
  <c r="J109" i="8"/>
  <c r="H109" i="8"/>
  <c r="G109" i="8"/>
  <c r="F109" i="8"/>
  <c r="E109" i="8"/>
  <c r="G108" i="8"/>
  <c r="A108" i="8"/>
  <c r="G107" i="8"/>
  <c r="A107" i="8"/>
  <c r="U106" i="8"/>
  <c r="S106" i="8"/>
  <c r="P106" i="8"/>
  <c r="N106" i="8"/>
  <c r="K106" i="8"/>
  <c r="E114" i="7" s="1"/>
  <c r="J106" i="8"/>
  <c r="H106" i="8"/>
  <c r="G106" i="8"/>
  <c r="F106" i="8"/>
  <c r="E106" i="8"/>
  <c r="U105" i="8"/>
  <c r="S105" i="8"/>
  <c r="P105" i="8"/>
  <c r="N105" i="8"/>
  <c r="K105" i="8"/>
  <c r="E115" i="7" s="1"/>
  <c r="J105" i="8"/>
  <c r="H105" i="8"/>
  <c r="G105" i="8"/>
  <c r="F105" i="8"/>
  <c r="E105" i="8"/>
  <c r="U104" i="8"/>
  <c r="S104" i="8"/>
  <c r="P104" i="8"/>
  <c r="N104" i="8"/>
  <c r="K104" i="8"/>
  <c r="E116" i="7" s="1"/>
  <c r="J104" i="8"/>
  <c r="H104" i="8"/>
  <c r="G104" i="8"/>
  <c r="F104" i="8"/>
  <c r="E104" i="8"/>
  <c r="U103" i="8"/>
  <c r="S103" i="8"/>
  <c r="P103" i="8"/>
  <c r="N103" i="8"/>
  <c r="K103" i="8"/>
  <c r="E117" i="7" s="1"/>
  <c r="J103" i="8"/>
  <c r="H103" i="8"/>
  <c r="G103" i="8"/>
  <c r="F103" i="8"/>
  <c r="E103" i="8"/>
  <c r="U102" i="8"/>
  <c r="S102" i="8"/>
  <c r="P102" i="8"/>
  <c r="N102" i="8"/>
  <c r="K102" i="8"/>
  <c r="E118" i="7" s="1"/>
  <c r="J102" i="8"/>
  <c r="H102" i="8"/>
  <c r="G102" i="8"/>
  <c r="F102" i="8"/>
  <c r="E102" i="8"/>
  <c r="U101" i="8"/>
  <c r="S101" i="8"/>
  <c r="P101" i="8"/>
  <c r="N101" i="8"/>
  <c r="K101" i="8"/>
  <c r="E121" i="7" s="1"/>
  <c r="J101" i="8"/>
  <c r="H101" i="8"/>
  <c r="G101" i="8"/>
  <c r="F101" i="8"/>
  <c r="E101" i="8"/>
  <c r="U100" i="8"/>
  <c r="S100" i="8"/>
  <c r="P100" i="8"/>
  <c r="N100" i="8"/>
  <c r="K100" i="8"/>
  <c r="E122" i="7" s="1"/>
  <c r="J100" i="8"/>
  <c r="H100" i="8"/>
  <c r="G100" i="8"/>
  <c r="F100" i="8"/>
  <c r="E100" i="8"/>
  <c r="U99" i="8"/>
  <c r="H99" i="8"/>
  <c r="G99" i="8"/>
  <c r="F99" i="8"/>
  <c r="E99" i="8"/>
  <c r="D99" i="8"/>
  <c r="A99" i="8"/>
  <c r="U98" i="8"/>
  <c r="S98" i="8"/>
  <c r="P98" i="8"/>
  <c r="N98" i="8"/>
  <c r="K98" i="8"/>
  <c r="J98" i="8"/>
  <c r="H98" i="8"/>
  <c r="G98" i="8"/>
  <c r="F98" i="8"/>
  <c r="E98" i="8"/>
  <c r="U97" i="8"/>
  <c r="S97" i="8"/>
  <c r="P97" i="8"/>
  <c r="N97" i="8"/>
  <c r="K97" i="8"/>
  <c r="J97" i="8"/>
  <c r="H97" i="8"/>
  <c r="G97" i="8"/>
  <c r="F97" i="8"/>
  <c r="E97" i="8"/>
  <c r="U96" i="8"/>
  <c r="S96" i="8"/>
  <c r="P96" i="8"/>
  <c r="N96" i="8"/>
  <c r="K96" i="8"/>
  <c r="J96" i="8"/>
  <c r="H96" i="8"/>
  <c r="G96" i="8"/>
  <c r="F96" i="8"/>
  <c r="E96" i="8"/>
  <c r="U95" i="8"/>
  <c r="S95" i="8"/>
  <c r="P95" i="8"/>
  <c r="N95" i="8"/>
  <c r="K95" i="8"/>
  <c r="J95" i="8"/>
  <c r="H95" i="8"/>
  <c r="G95" i="8"/>
  <c r="F95" i="8"/>
  <c r="E95" i="8"/>
  <c r="U94" i="8"/>
  <c r="S94" i="8"/>
  <c r="P94" i="8"/>
  <c r="N94" i="8"/>
  <c r="K94" i="8"/>
  <c r="E112" i="7" s="1"/>
  <c r="J94" i="8"/>
  <c r="H94" i="8"/>
  <c r="G94" i="8"/>
  <c r="F94" i="8"/>
  <c r="E94" i="8"/>
  <c r="U93" i="8"/>
  <c r="S93" i="8"/>
  <c r="P93" i="8"/>
  <c r="N93" i="8"/>
  <c r="K93" i="8"/>
  <c r="E113" i="7" s="1"/>
  <c r="J93" i="8"/>
  <c r="H93" i="8"/>
  <c r="G93" i="8"/>
  <c r="F93" i="8"/>
  <c r="E93" i="8"/>
  <c r="U92" i="8"/>
  <c r="S92" i="8"/>
  <c r="P92" i="8"/>
  <c r="N92" i="8"/>
  <c r="K92" i="8"/>
  <c r="E111" i="7" s="1"/>
  <c r="J92" i="8"/>
  <c r="H92" i="8"/>
  <c r="G92" i="8"/>
  <c r="F92" i="8"/>
  <c r="E92" i="8"/>
  <c r="U91" i="8"/>
  <c r="S91" i="8"/>
  <c r="P91" i="8"/>
  <c r="N91" i="8"/>
  <c r="K91" i="8"/>
  <c r="E109" i="7" s="1"/>
  <c r="J91" i="8"/>
  <c r="H91" i="8"/>
  <c r="G91" i="8"/>
  <c r="F91" i="8"/>
  <c r="E91" i="8"/>
  <c r="U90" i="8"/>
  <c r="S90" i="8"/>
  <c r="P90" i="8"/>
  <c r="N90" i="8"/>
  <c r="K90" i="8"/>
  <c r="E110" i="7" s="1"/>
  <c r="J90" i="8"/>
  <c r="H90" i="8"/>
  <c r="G90" i="8"/>
  <c r="F90" i="8"/>
  <c r="E90" i="8"/>
  <c r="G89" i="8"/>
  <c r="A89" i="8"/>
  <c r="U88" i="8"/>
  <c r="I88" i="8"/>
  <c r="D102" i="7" s="1"/>
  <c r="H88" i="8"/>
  <c r="G88" i="8"/>
  <c r="F88" i="8"/>
  <c r="E88" i="8"/>
  <c r="D88" i="8"/>
  <c r="A88" i="8"/>
  <c r="U87" i="8"/>
  <c r="S87" i="8"/>
  <c r="P87" i="8"/>
  <c r="N87" i="8"/>
  <c r="K87" i="8"/>
  <c r="E91" i="7" s="1"/>
  <c r="J87" i="8"/>
  <c r="I87" i="8"/>
  <c r="D91" i="7" s="1"/>
  <c r="H87" i="8"/>
  <c r="G87" i="8"/>
  <c r="F87" i="8"/>
  <c r="E87" i="8"/>
  <c r="U86" i="8"/>
  <c r="S86" i="8"/>
  <c r="P86" i="8"/>
  <c r="N86" i="8"/>
  <c r="K86" i="8"/>
  <c r="E93" i="7" s="1"/>
  <c r="J86" i="8"/>
  <c r="I86" i="8"/>
  <c r="D93" i="7" s="1"/>
  <c r="H86" i="8"/>
  <c r="G86" i="8"/>
  <c r="F86" i="8"/>
  <c r="E86" i="8"/>
  <c r="U85" i="8"/>
  <c r="S85" i="8"/>
  <c r="P85" i="8"/>
  <c r="N85" i="8"/>
  <c r="K85" i="8"/>
  <c r="J85" i="8"/>
  <c r="I85" i="8"/>
  <c r="H85" i="8"/>
  <c r="G85" i="8"/>
  <c r="F85" i="8"/>
  <c r="E85" i="8"/>
  <c r="U84" i="8"/>
  <c r="S84" i="8"/>
  <c r="P84" i="8"/>
  <c r="N84" i="8"/>
  <c r="K84" i="8"/>
  <c r="J84" i="8"/>
  <c r="I84" i="8"/>
  <c r="H84" i="8"/>
  <c r="G84" i="8"/>
  <c r="F84" i="8"/>
  <c r="E84" i="8"/>
  <c r="U83" i="8"/>
  <c r="S83" i="8"/>
  <c r="P83" i="8"/>
  <c r="N83" i="8"/>
  <c r="K83" i="8"/>
  <c r="E105" i="7" s="1"/>
  <c r="J83" i="8"/>
  <c r="I83" i="8"/>
  <c r="D105" i="7" s="1"/>
  <c r="H83" i="8"/>
  <c r="G83" i="8"/>
  <c r="F83" i="8"/>
  <c r="E83" i="8"/>
  <c r="U82" i="8"/>
  <c r="S82" i="8"/>
  <c r="P82" i="8"/>
  <c r="N82" i="8"/>
  <c r="K82" i="8"/>
  <c r="E92" i="7" s="1"/>
  <c r="J82" i="8"/>
  <c r="H82" i="8"/>
  <c r="G82" i="8"/>
  <c r="F82" i="8"/>
  <c r="E82" i="8"/>
  <c r="U81" i="8"/>
  <c r="S81" i="8"/>
  <c r="P81" i="8"/>
  <c r="N81" i="8"/>
  <c r="K81" i="8"/>
  <c r="E94" i="7" s="1"/>
  <c r="J81" i="8"/>
  <c r="H81" i="8"/>
  <c r="G81" i="8"/>
  <c r="F81" i="8"/>
  <c r="E81" i="8"/>
  <c r="U80" i="8"/>
  <c r="S80" i="8"/>
  <c r="P80" i="8"/>
  <c r="N80" i="8"/>
  <c r="K80" i="8"/>
  <c r="E95" i="7" s="1"/>
  <c r="J80" i="8"/>
  <c r="H80" i="8"/>
  <c r="G80" i="8"/>
  <c r="F80" i="8"/>
  <c r="E80" i="8"/>
  <c r="U79" i="8"/>
  <c r="S79" i="8"/>
  <c r="P79" i="8"/>
  <c r="N79" i="8"/>
  <c r="K79" i="8"/>
  <c r="E96" i="7" s="1"/>
  <c r="J79" i="8"/>
  <c r="H79" i="8"/>
  <c r="G79" i="8"/>
  <c r="F79" i="8"/>
  <c r="E79" i="8"/>
  <c r="U78" i="8"/>
  <c r="S78" i="8"/>
  <c r="P78" i="8"/>
  <c r="N78" i="8"/>
  <c r="K78" i="8"/>
  <c r="E99" i="7" s="1"/>
  <c r="J78" i="8"/>
  <c r="H78" i="8"/>
  <c r="G78" i="8"/>
  <c r="F78" i="8"/>
  <c r="E78" i="8"/>
  <c r="U77" i="8"/>
  <c r="S77" i="8"/>
  <c r="P77" i="8"/>
  <c r="N77" i="8"/>
  <c r="K77" i="8"/>
  <c r="E100" i="7" s="1"/>
  <c r="J77" i="8"/>
  <c r="H77" i="8"/>
  <c r="G77" i="8"/>
  <c r="F77" i="8"/>
  <c r="E77" i="8"/>
  <c r="U76" i="8"/>
  <c r="S76" i="8"/>
  <c r="P76" i="8"/>
  <c r="N76" i="8"/>
  <c r="K76" i="8"/>
  <c r="E101" i="7" s="1"/>
  <c r="J76" i="8"/>
  <c r="H76" i="8"/>
  <c r="G76" i="8"/>
  <c r="F76" i="8"/>
  <c r="E76" i="8"/>
  <c r="U75" i="8"/>
  <c r="S75" i="8"/>
  <c r="P75" i="8"/>
  <c r="N75" i="8"/>
  <c r="K75" i="8"/>
  <c r="E103" i="7" s="1"/>
  <c r="J75" i="8"/>
  <c r="H75" i="8"/>
  <c r="G75" i="8"/>
  <c r="F75" i="8"/>
  <c r="E75" i="8"/>
  <c r="U74" i="8"/>
  <c r="S74" i="8"/>
  <c r="P74" i="8"/>
  <c r="N74" i="8"/>
  <c r="K74" i="8"/>
  <c r="E104" i="7" s="1"/>
  <c r="J74" i="8"/>
  <c r="H74" i="8"/>
  <c r="G74" i="8"/>
  <c r="F74" i="8"/>
  <c r="E74" i="8"/>
  <c r="G73" i="8"/>
  <c r="A73" i="8"/>
  <c r="U72" i="8"/>
  <c r="I72" i="8"/>
  <c r="D87" i="7" s="1"/>
  <c r="H72" i="8"/>
  <c r="G72" i="8"/>
  <c r="F72" i="8"/>
  <c r="E72" i="8"/>
  <c r="D72" i="8"/>
  <c r="A72" i="8"/>
  <c r="U71" i="8"/>
  <c r="I71" i="8"/>
  <c r="D86" i="7" s="1"/>
  <c r="H71" i="8"/>
  <c r="G71" i="8"/>
  <c r="F71" i="8"/>
  <c r="E71" i="8"/>
  <c r="D71" i="8"/>
  <c r="A71" i="8"/>
  <c r="U70" i="8"/>
  <c r="I70" i="8"/>
  <c r="D85" i="7" s="1"/>
  <c r="H70" i="8"/>
  <c r="G70" i="8"/>
  <c r="F70" i="8"/>
  <c r="E70" i="8"/>
  <c r="D70" i="8"/>
  <c r="A70" i="8"/>
  <c r="U69" i="8"/>
  <c r="I69" i="8"/>
  <c r="D84" i="7" s="1"/>
  <c r="H69" i="8"/>
  <c r="G69" i="8"/>
  <c r="F69" i="8"/>
  <c r="E69" i="8"/>
  <c r="D69" i="8"/>
  <c r="A69" i="8"/>
  <c r="U68" i="8"/>
  <c r="I68" i="8"/>
  <c r="D83" i="7" s="1"/>
  <c r="H68" i="8"/>
  <c r="G68" i="8"/>
  <c r="F68" i="8"/>
  <c r="E68" i="8"/>
  <c r="D68" i="8"/>
  <c r="A68" i="8"/>
  <c r="U67" i="8"/>
  <c r="I67" i="8"/>
  <c r="D82" i="7" s="1"/>
  <c r="H67" i="8"/>
  <c r="G67" i="8"/>
  <c r="F67" i="8"/>
  <c r="E67" i="8"/>
  <c r="D67" i="8"/>
  <c r="A67" i="8"/>
  <c r="U66" i="8"/>
  <c r="S66" i="8"/>
  <c r="P66" i="8"/>
  <c r="N66" i="8"/>
  <c r="K66" i="8"/>
  <c r="E79" i="7" s="1"/>
  <c r="J66" i="8"/>
  <c r="I66" i="8"/>
  <c r="D79" i="7" s="1"/>
  <c r="H66" i="8"/>
  <c r="G66" i="8"/>
  <c r="F66" i="8"/>
  <c r="E66" i="8"/>
  <c r="G65" i="8"/>
  <c r="A65" i="8"/>
  <c r="U64" i="8"/>
  <c r="I64" i="8"/>
  <c r="D75" i="7" s="1"/>
  <c r="H64" i="8"/>
  <c r="G64" i="8"/>
  <c r="F64" i="8"/>
  <c r="E64" i="8"/>
  <c r="D64" i="8"/>
  <c r="A64" i="8"/>
  <c r="U63" i="8"/>
  <c r="S63" i="8"/>
  <c r="P63" i="8"/>
  <c r="N63" i="8"/>
  <c r="K63" i="8"/>
  <c r="J63" i="8"/>
  <c r="H63" i="8"/>
  <c r="G63" i="8"/>
  <c r="F63" i="8"/>
  <c r="E63" i="8"/>
  <c r="U62" i="8"/>
  <c r="S62" i="8"/>
  <c r="P62" i="8"/>
  <c r="N62" i="8"/>
  <c r="K62" i="8"/>
  <c r="J62" i="8"/>
  <c r="H62" i="8"/>
  <c r="G62" i="8"/>
  <c r="F62" i="8"/>
  <c r="E62" i="8"/>
  <c r="U61" i="8"/>
  <c r="S61" i="8"/>
  <c r="P61" i="8"/>
  <c r="N61" i="8"/>
  <c r="K61" i="8"/>
  <c r="E70" i="7" s="1"/>
  <c r="J61" i="8"/>
  <c r="H61" i="8"/>
  <c r="G61" i="8"/>
  <c r="F61" i="8"/>
  <c r="E61" i="8"/>
  <c r="U60" i="8"/>
  <c r="S60" i="8"/>
  <c r="P60" i="8"/>
  <c r="N60" i="8"/>
  <c r="K60" i="8"/>
  <c r="E71" i="7" s="1"/>
  <c r="J60" i="8"/>
  <c r="H60" i="8"/>
  <c r="G60" i="8"/>
  <c r="F60" i="8"/>
  <c r="E60" i="8"/>
  <c r="U59" i="8"/>
  <c r="S59" i="8"/>
  <c r="P59" i="8"/>
  <c r="N59" i="8"/>
  <c r="K59" i="8"/>
  <c r="E72" i="7" s="1"/>
  <c r="J59" i="8"/>
  <c r="H59" i="8"/>
  <c r="G59" i="8"/>
  <c r="F59" i="8"/>
  <c r="E59" i="8"/>
  <c r="G58" i="8"/>
  <c r="A58" i="8"/>
  <c r="G57" i="8"/>
  <c r="A57" i="8"/>
  <c r="U56" i="8"/>
  <c r="S56" i="8"/>
  <c r="P56" i="8"/>
  <c r="N56" i="8"/>
  <c r="K56" i="8"/>
  <c r="E56" i="7" s="1"/>
  <c r="J56" i="8"/>
  <c r="H56" i="8"/>
  <c r="G56" i="8"/>
  <c r="F56" i="8"/>
  <c r="E56" i="8"/>
  <c r="U55" i="8"/>
  <c r="S55" i="8"/>
  <c r="P55" i="8"/>
  <c r="N55" i="8"/>
  <c r="K55" i="8"/>
  <c r="E57" i="7" s="1"/>
  <c r="J55" i="8"/>
  <c r="H55" i="8"/>
  <c r="G55" i="8"/>
  <c r="F55" i="8"/>
  <c r="E55" i="8"/>
  <c r="U54" i="8"/>
  <c r="S54" i="8"/>
  <c r="P54" i="8"/>
  <c r="N54" i="8"/>
  <c r="K54" i="8"/>
  <c r="E58" i="7" s="1"/>
  <c r="J54" i="8"/>
  <c r="H54" i="8"/>
  <c r="G54" i="8"/>
  <c r="F54" i="8"/>
  <c r="E54" i="8"/>
  <c r="U53" i="8"/>
  <c r="S53" i="8"/>
  <c r="P53" i="8"/>
  <c r="N53" i="8"/>
  <c r="K53" i="8"/>
  <c r="E59" i="7" s="1"/>
  <c r="J53" i="8"/>
  <c r="H53" i="8"/>
  <c r="G53" i="8"/>
  <c r="F53" i="8"/>
  <c r="E53" i="8"/>
  <c r="U52" i="8"/>
  <c r="S52" i="8"/>
  <c r="P52" i="8"/>
  <c r="N52" i="8"/>
  <c r="K52" i="8"/>
  <c r="E60" i="7" s="1"/>
  <c r="J52" i="8"/>
  <c r="H52" i="8"/>
  <c r="G52" i="8"/>
  <c r="F52" i="8"/>
  <c r="E52" i="8"/>
  <c r="U51" i="8"/>
  <c r="S51" i="8"/>
  <c r="P51" i="8"/>
  <c r="N51" i="8"/>
  <c r="K51" i="8"/>
  <c r="E63" i="7" s="1"/>
  <c r="J51" i="8"/>
  <c r="H51" i="8"/>
  <c r="G51" i="8"/>
  <c r="F51" i="8"/>
  <c r="E51" i="8"/>
  <c r="U50" i="8"/>
  <c r="S50" i="8"/>
  <c r="P50" i="8"/>
  <c r="N50" i="8"/>
  <c r="K50" i="8"/>
  <c r="E64" i="7" s="1"/>
  <c r="J50" i="8"/>
  <c r="H50" i="8"/>
  <c r="G50" i="8"/>
  <c r="F50" i="8"/>
  <c r="E50" i="8"/>
  <c r="U49" i="8"/>
  <c r="H49" i="8"/>
  <c r="G49" i="8"/>
  <c r="F49" i="8"/>
  <c r="E49" i="8"/>
  <c r="D49" i="8"/>
  <c r="A49" i="8"/>
  <c r="U48" i="8"/>
  <c r="S48" i="8"/>
  <c r="P48" i="8"/>
  <c r="N48" i="8"/>
  <c r="K48" i="8"/>
  <c r="J48" i="8"/>
  <c r="H48" i="8"/>
  <c r="G48" i="8"/>
  <c r="F48" i="8"/>
  <c r="E48" i="8"/>
  <c r="U47" i="8"/>
  <c r="S47" i="8"/>
  <c r="P47" i="8"/>
  <c r="N47" i="8"/>
  <c r="K47" i="8"/>
  <c r="J47" i="8"/>
  <c r="H47" i="8"/>
  <c r="G47" i="8"/>
  <c r="F47" i="8"/>
  <c r="E47" i="8"/>
  <c r="U46" i="8"/>
  <c r="S46" i="8"/>
  <c r="P46" i="8"/>
  <c r="N46" i="8"/>
  <c r="K46" i="8"/>
  <c r="J46" i="8"/>
  <c r="H46" i="8"/>
  <c r="G46" i="8"/>
  <c r="F46" i="8"/>
  <c r="E46" i="8"/>
  <c r="U45" i="8"/>
  <c r="S45" i="8"/>
  <c r="P45" i="8"/>
  <c r="N45" i="8"/>
  <c r="K45" i="8"/>
  <c r="J45" i="8"/>
  <c r="H45" i="8"/>
  <c r="G45" i="8"/>
  <c r="F45" i="8"/>
  <c r="E45" i="8"/>
  <c r="U44" i="8"/>
  <c r="S44" i="8"/>
  <c r="P44" i="8"/>
  <c r="N44" i="8"/>
  <c r="K44" i="8"/>
  <c r="E54" i="7" s="1"/>
  <c r="J44" i="8"/>
  <c r="H44" i="8"/>
  <c r="G44" i="8"/>
  <c r="F44" i="8"/>
  <c r="E44" i="8"/>
  <c r="U43" i="8"/>
  <c r="S43" i="8"/>
  <c r="P43" i="8"/>
  <c r="N43" i="8"/>
  <c r="K43" i="8"/>
  <c r="E55" i="7" s="1"/>
  <c r="J43" i="8"/>
  <c r="H43" i="8"/>
  <c r="G43" i="8"/>
  <c r="F43" i="8"/>
  <c r="E43" i="8"/>
  <c r="U42" i="8"/>
  <c r="S42" i="8"/>
  <c r="P42" i="8"/>
  <c r="N42" i="8"/>
  <c r="K42" i="8"/>
  <c r="E53" i="7" s="1"/>
  <c r="J42" i="8"/>
  <c r="H42" i="8"/>
  <c r="G42" i="8"/>
  <c r="F42" i="8"/>
  <c r="E42" i="8"/>
  <c r="U41" i="8"/>
  <c r="S41" i="8"/>
  <c r="P41" i="8"/>
  <c r="N41" i="8"/>
  <c r="K41" i="8"/>
  <c r="E51" i="7" s="1"/>
  <c r="J41" i="8"/>
  <c r="H41" i="8"/>
  <c r="G41" i="8"/>
  <c r="F41" i="8"/>
  <c r="E41" i="8"/>
  <c r="U40" i="8"/>
  <c r="S40" i="8"/>
  <c r="P40" i="8"/>
  <c r="N40" i="8"/>
  <c r="K40" i="8"/>
  <c r="E52" i="7" s="1"/>
  <c r="J40" i="8"/>
  <c r="H40" i="8"/>
  <c r="G40" i="8"/>
  <c r="F40" i="8"/>
  <c r="E40" i="8"/>
  <c r="G39" i="8"/>
  <c r="A39" i="8"/>
  <c r="U38" i="8"/>
  <c r="I38" i="8"/>
  <c r="H38" i="8"/>
  <c r="G38" i="8"/>
  <c r="F38" i="8"/>
  <c r="E38" i="8"/>
  <c r="D38" i="8"/>
  <c r="A38" i="8"/>
  <c r="U37" i="8"/>
  <c r="S37" i="8"/>
  <c r="P37" i="8"/>
  <c r="N37" i="8"/>
  <c r="K37" i="8"/>
  <c r="E33" i="7" s="1"/>
  <c r="J37" i="8"/>
  <c r="I37" i="8"/>
  <c r="D33" i="7" s="1"/>
  <c r="H37" i="8"/>
  <c r="G37" i="8"/>
  <c r="F37" i="8"/>
  <c r="E37" i="8"/>
  <c r="U36" i="8"/>
  <c r="S36" i="8"/>
  <c r="P36" i="8"/>
  <c r="N36" i="8"/>
  <c r="K36" i="8"/>
  <c r="E35" i="7" s="1"/>
  <c r="J36" i="8"/>
  <c r="I36" i="8"/>
  <c r="D35" i="7" s="1"/>
  <c r="H36" i="8"/>
  <c r="G36" i="8"/>
  <c r="F36" i="8"/>
  <c r="E36" i="8"/>
  <c r="U35" i="8"/>
  <c r="S35" i="8"/>
  <c r="P35" i="8"/>
  <c r="N35" i="8"/>
  <c r="K35" i="8"/>
  <c r="J35" i="8"/>
  <c r="I35" i="8"/>
  <c r="H35" i="8"/>
  <c r="G35" i="8"/>
  <c r="F35" i="8"/>
  <c r="E35" i="8"/>
  <c r="U34" i="8"/>
  <c r="S34" i="8"/>
  <c r="P34" i="8"/>
  <c r="N34" i="8"/>
  <c r="K34" i="8"/>
  <c r="J34" i="8"/>
  <c r="I34" i="8"/>
  <c r="H34" i="8"/>
  <c r="G34" i="8"/>
  <c r="F34" i="8"/>
  <c r="E34" i="8"/>
  <c r="U33" i="8"/>
  <c r="S33" i="8"/>
  <c r="P33" i="8"/>
  <c r="N33" i="8"/>
  <c r="K33" i="8"/>
  <c r="E47" i="7" s="1"/>
  <c r="J33" i="8"/>
  <c r="I33" i="8"/>
  <c r="D47" i="7" s="1"/>
  <c r="H33" i="8"/>
  <c r="G33" i="8"/>
  <c r="F33" i="8"/>
  <c r="E33" i="8"/>
  <c r="U32" i="8"/>
  <c r="S32" i="8"/>
  <c r="P32" i="8"/>
  <c r="N32" i="8"/>
  <c r="K32" i="8"/>
  <c r="E34" i="7" s="1"/>
  <c r="J32" i="8"/>
  <c r="H32" i="8"/>
  <c r="G32" i="8"/>
  <c r="F32" i="8"/>
  <c r="E32" i="8"/>
  <c r="U31" i="8"/>
  <c r="S31" i="8"/>
  <c r="P31" i="8"/>
  <c r="N31" i="8"/>
  <c r="K31" i="8"/>
  <c r="E36" i="7" s="1"/>
  <c r="J31" i="8"/>
  <c r="H31" i="8"/>
  <c r="G31" i="8"/>
  <c r="F31" i="8"/>
  <c r="E31" i="8"/>
  <c r="U30" i="8"/>
  <c r="S30" i="8"/>
  <c r="P30" i="8"/>
  <c r="N30" i="8"/>
  <c r="K30" i="8"/>
  <c r="E37" i="7" s="1"/>
  <c r="J30" i="8"/>
  <c r="H30" i="8"/>
  <c r="G30" i="8"/>
  <c r="F30" i="8"/>
  <c r="E30" i="8"/>
  <c r="U29" i="8"/>
  <c r="S29" i="8"/>
  <c r="P29" i="8"/>
  <c r="N29" i="8"/>
  <c r="K29" i="8"/>
  <c r="E38" i="7" s="1"/>
  <c r="J29" i="8"/>
  <c r="H29" i="8"/>
  <c r="G29" i="8"/>
  <c r="F29" i="8"/>
  <c r="E29" i="8"/>
  <c r="U28" i="8"/>
  <c r="S28" i="8"/>
  <c r="P28" i="8"/>
  <c r="N28" i="8"/>
  <c r="K28" i="8"/>
  <c r="E41" i="7" s="1"/>
  <c r="J28" i="8"/>
  <c r="H28" i="8"/>
  <c r="G28" i="8"/>
  <c r="F28" i="8"/>
  <c r="E28" i="8"/>
  <c r="U27" i="8"/>
  <c r="S27" i="8"/>
  <c r="P27" i="8"/>
  <c r="N27" i="8"/>
  <c r="K27" i="8"/>
  <c r="E42" i="7" s="1"/>
  <c r="J27" i="8"/>
  <c r="H27" i="8"/>
  <c r="G27" i="8"/>
  <c r="F27" i="8"/>
  <c r="E27" i="8"/>
  <c r="U26" i="8"/>
  <c r="S26" i="8"/>
  <c r="P26" i="8"/>
  <c r="N26" i="8"/>
  <c r="K26" i="8"/>
  <c r="E43" i="7" s="1"/>
  <c r="J26" i="8"/>
  <c r="H26" i="8"/>
  <c r="G26" i="8"/>
  <c r="F26" i="8"/>
  <c r="E26" i="8"/>
  <c r="U25" i="8"/>
  <c r="S25" i="8"/>
  <c r="P25" i="8"/>
  <c r="N25" i="8"/>
  <c r="K25" i="8"/>
  <c r="E45" i="7" s="1"/>
  <c r="J25" i="8"/>
  <c r="H25" i="8"/>
  <c r="G25" i="8"/>
  <c r="F25" i="8"/>
  <c r="E25" i="8"/>
  <c r="U24" i="8"/>
  <c r="S24" i="8"/>
  <c r="P24" i="8"/>
  <c r="N24" i="8"/>
  <c r="K24" i="8"/>
  <c r="E46" i="7" s="1"/>
  <c r="J24" i="8"/>
  <c r="H24" i="8"/>
  <c r="G24" i="8"/>
  <c r="F24" i="8"/>
  <c r="E24" i="8"/>
  <c r="G23" i="8"/>
  <c r="A23" i="8"/>
  <c r="U22" i="8"/>
  <c r="I22" i="8"/>
  <c r="D29" i="7" s="1"/>
  <c r="H22" i="8"/>
  <c r="G22" i="8"/>
  <c r="F22" i="8"/>
  <c r="E22" i="8"/>
  <c r="D22" i="8"/>
  <c r="A22" i="8"/>
  <c r="U21" i="8"/>
  <c r="I21" i="8"/>
  <c r="H21" i="8"/>
  <c r="G21" i="8"/>
  <c r="F21" i="8"/>
  <c r="E21" i="8"/>
  <c r="D21" i="8"/>
  <c r="A21" i="8"/>
  <c r="U20" i="8"/>
  <c r="I20" i="8"/>
  <c r="D27" i="7" s="1"/>
  <c r="H20" i="8"/>
  <c r="G20" i="8"/>
  <c r="F20" i="8"/>
  <c r="E20" i="8"/>
  <c r="D20" i="8"/>
  <c r="A20" i="8"/>
  <c r="U19" i="8"/>
  <c r="I19" i="8"/>
  <c r="D26" i="7" s="1"/>
  <c r="H19" i="8"/>
  <c r="G19" i="8"/>
  <c r="F19" i="8"/>
  <c r="E19" i="8"/>
  <c r="D19" i="8"/>
  <c r="A19" i="8"/>
  <c r="U18" i="8"/>
  <c r="I18" i="8"/>
  <c r="D25" i="7" s="1"/>
  <c r="H18" i="8"/>
  <c r="G18" i="8"/>
  <c r="F18" i="8"/>
  <c r="E18" i="8"/>
  <c r="D18" i="8"/>
  <c r="A18" i="8"/>
  <c r="U17" i="8"/>
  <c r="I17" i="8"/>
  <c r="D24" i="7" s="1"/>
  <c r="H17" i="8"/>
  <c r="G17" i="8"/>
  <c r="F17" i="8"/>
  <c r="E17" i="8"/>
  <c r="D17" i="8"/>
  <c r="A17" i="8"/>
  <c r="U16" i="8"/>
  <c r="S16" i="8"/>
  <c r="P16" i="8"/>
  <c r="N16" i="8"/>
  <c r="K16" i="8"/>
  <c r="E21" i="7" s="1"/>
  <c r="J16" i="8"/>
  <c r="I16" i="8"/>
  <c r="D21" i="7" s="1"/>
  <c r="H16" i="8"/>
  <c r="G16" i="8"/>
  <c r="F16" i="8"/>
  <c r="E16" i="8"/>
  <c r="G15" i="8"/>
  <c r="A15" i="8"/>
  <c r="U14" i="8"/>
  <c r="I14" i="8"/>
  <c r="D17" i="7" s="1"/>
  <c r="H14" i="8"/>
  <c r="G14" i="8"/>
  <c r="F14" i="8"/>
  <c r="E14" i="8"/>
  <c r="D14" i="8"/>
  <c r="A14" i="8"/>
  <c r="U13" i="8"/>
  <c r="S13" i="8"/>
  <c r="P13" i="8"/>
  <c r="N13" i="8"/>
  <c r="K13" i="8"/>
  <c r="J13" i="8"/>
  <c r="H13" i="8"/>
  <c r="G13" i="8"/>
  <c r="F13" i="8"/>
  <c r="E13" i="8"/>
  <c r="U12" i="8"/>
  <c r="S12" i="8"/>
  <c r="P12" i="8"/>
  <c r="N12" i="8"/>
  <c r="K12" i="8"/>
  <c r="J12" i="8"/>
  <c r="H12" i="8"/>
  <c r="G12" i="8"/>
  <c r="F12" i="8"/>
  <c r="E12" i="8"/>
  <c r="U11" i="8"/>
  <c r="S11" i="8"/>
  <c r="P11" i="8"/>
  <c r="N11" i="8"/>
  <c r="K11" i="8"/>
  <c r="E12" i="7" s="1"/>
  <c r="J11" i="8"/>
  <c r="H11" i="8"/>
  <c r="G11" i="8"/>
  <c r="F11" i="8"/>
  <c r="E11" i="8"/>
  <c r="U10" i="8"/>
  <c r="S10" i="8"/>
  <c r="P10" i="8"/>
  <c r="N10" i="8"/>
  <c r="K10" i="8"/>
  <c r="E13" i="7" s="1"/>
  <c r="J10" i="8"/>
  <c r="H10" i="8"/>
  <c r="G10" i="8"/>
  <c r="F10" i="8"/>
  <c r="E10" i="8"/>
  <c r="U9" i="8"/>
  <c r="S9" i="8"/>
  <c r="P9" i="8"/>
  <c r="N9" i="8"/>
  <c r="K9" i="8"/>
  <c r="E14" i="7" s="1"/>
  <c r="J9" i="8"/>
  <c r="H9" i="8"/>
  <c r="G9" i="8"/>
  <c r="F9" i="8"/>
  <c r="E9" i="8"/>
  <c r="G8" i="8"/>
  <c r="A8" i="8"/>
  <c r="G7" i="8"/>
  <c r="A7" i="8"/>
  <c r="G6" i="8"/>
  <c r="A6" i="8"/>
  <c r="C139" i="6"/>
  <c r="B139" i="6"/>
  <c r="C138" i="6"/>
  <c r="B138" i="6"/>
  <c r="D137" i="6"/>
  <c r="C137" i="6"/>
  <c r="B137" i="6"/>
  <c r="C136" i="6"/>
  <c r="B136" i="6"/>
  <c r="C135" i="6"/>
  <c r="B135" i="6"/>
  <c r="D134" i="6"/>
  <c r="C134" i="6"/>
  <c r="B134" i="6"/>
  <c r="D133" i="6"/>
  <c r="C133" i="6"/>
  <c r="B133" i="6"/>
  <c r="C132" i="6"/>
  <c r="B132" i="6"/>
  <c r="D131" i="6"/>
  <c r="C131" i="6"/>
  <c r="B131" i="6"/>
  <c r="C130" i="6"/>
  <c r="B130" i="6"/>
  <c r="A129" i="6"/>
  <c r="C128" i="6"/>
  <c r="B128" i="6"/>
  <c r="C126" i="6"/>
  <c r="B126" i="6"/>
  <c r="A126" i="6"/>
  <c r="C125" i="6"/>
  <c r="B125" i="6"/>
  <c r="A125" i="6"/>
  <c r="C124" i="6"/>
  <c r="B124" i="6"/>
  <c r="A124" i="6"/>
  <c r="C123" i="6"/>
  <c r="B123" i="6"/>
  <c r="A123" i="6"/>
  <c r="C122" i="6"/>
  <c r="B122" i="6"/>
  <c r="A122" i="6"/>
  <c r="C121" i="6"/>
  <c r="B121" i="6"/>
  <c r="A121" i="6"/>
  <c r="C120" i="6"/>
  <c r="B120" i="6"/>
  <c r="A120" i="6"/>
  <c r="C119" i="6"/>
  <c r="B119" i="6"/>
  <c r="A119" i="6"/>
  <c r="A118" i="6"/>
  <c r="A117" i="6"/>
  <c r="AE116" i="6"/>
  <c r="A116" i="6"/>
  <c r="C115" i="6"/>
  <c r="B115" i="6"/>
  <c r="A115" i="6"/>
  <c r="C114" i="6"/>
  <c r="B114" i="6"/>
  <c r="A114" i="6"/>
  <c r="C113" i="6"/>
  <c r="B113" i="6"/>
  <c r="A113" i="6"/>
  <c r="C112" i="6"/>
  <c r="B112" i="6"/>
  <c r="A112" i="6"/>
  <c r="C111" i="6"/>
  <c r="B111" i="6"/>
  <c r="A111" i="6"/>
  <c r="C110" i="6"/>
  <c r="B110" i="6"/>
  <c r="A110" i="6"/>
  <c r="C109" i="6"/>
  <c r="B109" i="6"/>
  <c r="A109" i="6"/>
  <c r="C108" i="6"/>
  <c r="B108" i="6"/>
  <c r="A108" i="6"/>
  <c r="C107" i="6"/>
  <c r="B107" i="6"/>
  <c r="A107" i="6"/>
  <c r="A106" i="6"/>
  <c r="A105" i="6"/>
  <c r="A104" i="6"/>
  <c r="A103" i="6"/>
  <c r="A102" i="6"/>
  <c r="C101" i="6"/>
  <c r="B101" i="6"/>
  <c r="A101" i="6"/>
  <c r="C100" i="6"/>
  <c r="B100" i="6"/>
  <c r="A100" i="6"/>
  <c r="C99" i="6"/>
  <c r="B99" i="6"/>
  <c r="A99" i="6"/>
  <c r="C98" i="6"/>
  <c r="B98" i="6"/>
  <c r="A98" i="6"/>
  <c r="C97" i="6"/>
  <c r="B97" i="6"/>
  <c r="A97" i="6"/>
  <c r="C96" i="6"/>
  <c r="B96" i="6"/>
  <c r="A96" i="6"/>
  <c r="C95" i="6"/>
  <c r="B95" i="6"/>
  <c r="A95" i="6"/>
  <c r="C94" i="6"/>
  <c r="B94" i="6"/>
  <c r="A94" i="6"/>
  <c r="C93" i="6"/>
  <c r="B93" i="6"/>
  <c r="A93" i="6"/>
  <c r="A92" i="6"/>
  <c r="D91" i="6"/>
  <c r="C91" i="6"/>
  <c r="B91" i="6"/>
  <c r="A91" i="6"/>
  <c r="D90" i="6"/>
  <c r="C90" i="6"/>
  <c r="B90" i="6"/>
  <c r="A90" i="6"/>
  <c r="C89" i="6"/>
  <c r="B89" i="6"/>
  <c r="A89" i="6"/>
  <c r="A88" i="6"/>
  <c r="D87" i="6"/>
  <c r="C87" i="6"/>
  <c r="B87" i="6"/>
  <c r="A87" i="6"/>
  <c r="D86" i="6"/>
  <c r="C86" i="6"/>
  <c r="B86" i="6"/>
  <c r="A86" i="6"/>
  <c r="D85" i="6"/>
  <c r="C85" i="6"/>
  <c r="B85" i="6"/>
  <c r="A85" i="6"/>
  <c r="D84" i="6"/>
  <c r="C84" i="6"/>
  <c r="B84" i="6"/>
  <c r="A84" i="6"/>
  <c r="D83" i="6"/>
  <c r="C83" i="6"/>
  <c r="B83" i="6"/>
  <c r="A83" i="6"/>
  <c r="D82" i="6"/>
  <c r="C82" i="6"/>
  <c r="B82" i="6"/>
  <c r="A82" i="6"/>
  <c r="D81" i="6"/>
  <c r="C81" i="6"/>
  <c r="B81" i="6"/>
  <c r="A81" i="6"/>
  <c r="A80" i="6"/>
  <c r="D79" i="6"/>
  <c r="C79" i="6"/>
  <c r="B79" i="6"/>
  <c r="A79" i="6"/>
  <c r="C78" i="6"/>
  <c r="B78" i="6"/>
  <c r="A78" i="6"/>
  <c r="C77" i="6"/>
  <c r="B77" i="6"/>
  <c r="A77" i="6"/>
  <c r="D76" i="6"/>
  <c r="C76" i="6"/>
  <c r="B76" i="6"/>
  <c r="A76" i="6"/>
  <c r="C75" i="6"/>
  <c r="B75" i="6"/>
  <c r="A75" i="6"/>
  <c r="A74" i="6"/>
  <c r="A73" i="6"/>
  <c r="C72" i="6"/>
  <c r="B72" i="6"/>
  <c r="A72" i="6"/>
  <c r="C71" i="6"/>
  <c r="B71" i="6"/>
  <c r="A71" i="6"/>
  <c r="C70" i="6"/>
  <c r="B70" i="6"/>
  <c r="A70" i="6"/>
  <c r="C69" i="6"/>
  <c r="B69" i="6"/>
  <c r="A69" i="6"/>
  <c r="C68" i="6"/>
  <c r="B68" i="6"/>
  <c r="A68" i="6"/>
  <c r="C67" i="6"/>
  <c r="B67" i="6"/>
  <c r="A67" i="6"/>
  <c r="C66" i="6"/>
  <c r="B66" i="6"/>
  <c r="A66" i="6"/>
  <c r="C65" i="6"/>
  <c r="B65" i="6"/>
  <c r="A65" i="6"/>
  <c r="C64" i="6"/>
  <c r="B64" i="6"/>
  <c r="A64" i="6"/>
  <c r="A63" i="6"/>
  <c r="D62" i="6"/>
  <c r="C62" i="6"/>
  <c r="B62" i="6"/>
  <c r="A62" i="6"/>
  <c r="D61" i="6"/>
  <c r="C61" i="6"/>
  <c r="B61" i="6"/>
  <c r="A61" i="6"/>
  <c r="C60" i="6"/>
  <c r="B60" i="6"/>
  <c r="A60" i="6"/>
  <c r="A59" i="6"/>
  <c r="D58" i="6"/>
  <c r="C58" i="6"/>
  <c r="B58" i="6"/>
  <c r="A58" i="6"/>
  <c r="D57" i="6"/>
  <c r="C57" i="6"/>
  <c r="B57" i="6"/>
  <c r="A57" i="6"/>
  <c r="D56" i="6"/>
  <c r="C56" i="6"/>
  <c r="B56" i="6"/>
  <c r="A56" i="6"/>
  <c r="D55" i="6"/>
  <c r="C55" i="6"/>
  <c r="B55" i="6"/>
  <c r="A55" i="6"/>
  <c r="D54" i="6"/>
  <c r="C54" i="6"/>
  <c r="B54" i="6"/>
  <c r="A54" i="6"/>
  <c r="D53" i="6"/>
  <c r="C53" i="6"/>
  <c r="B53" i="6"/>
  <c r="A53" i="6"/>
  <c r="D52" i="6"/>
  <c r="C52" i="6"/>
  <c r="B52" i="6"/>
  <c r="A52" i="6"/>
  <c r="A51" i="6"/>
  <c r="D50" i="6"/>
  <c r="C50" i="6"/>
  <c r="B50" i="6"/>
  <c r="A50" i="6"/>
  <c r="C49" i="6"/>
  <c r="B49" i="6"/>
  <c r="A49" i="6"/>
  <c r="C48" i="6"/>
  <c r="B48" i="6"/>
  <c r="A48" i="6"/>
  <c r="D47" i="6"/>
  <c r="C47" i="6"/>
  <c r="B47" i="6"/>
  <c r="A47" i="6"/>
  <c r="C46" i="6"/>
  <c r="B46" i="6"/>
  <c r="A46" i="6"/>
  <c r="A45" i="6"/>
  <c r="A44" i="6"/>
  <c r="C43" i="6"/>
  <c r="B43" i="6"/>
  <c r="A43" i="6"/>
  <c r="C42" i="6"/>
  <c r="B42" i="6"/>
  <c r="A42" i="6"/>
  <c r="C41" i="6"/>
  <c r="B41" i="6"/>
  <c r="A41" i="6"/>
  <c r="C40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A34" i="6"/>
  <c r="D33" i="6"/>
  <c r="C33" i="6"/>
  <c r="B33" i="6"/>
  <c r="A33" i="6"/>
  <c r="D32" i="6"/>
  <c r="C32" i="6"/>
  <c r="B32" i="6"/>
  <c r="A32" i="6"/>
  <c r="C31" i="6"/>
  <c r="B31" i="6"/>
  <c r="A31" i="6"/>
  <c r="A30" i="6"/>
  <c r="D29" i="6"/>
  <c r="C29" i="6"/>
  <c r="B29" i="6"/>
  <c r="A29" i="6"/>
  <c r="D28" i="6"/>
  <c r="C28" i="6"/>
  <c r="B28" i="6"/>
  <c r="A28" i="6"/>
  <c r="D27" i="6"/>
  <c r="C27" i="6"/>
  <c r="B27" i="6"/>
  <c r="A27" i="6"/>
  <c r="D26" i="6"/>
  <c r="C26" i="6"/>
  <c r="B26" i="6"/>
  <c r="A26" i="6"/>
  <c r="D25" i="6"/>
  <c r="C25" i="6"/>
  <c r="B25" i="6"/>
  <c r="A25" i="6"/>
  <c r="D24" i="6"/>
  <c r="C24" i="6"/>
  <c r="B24" i="6"/>
  <c r="A24" i="6"/>
  <c r="D23" i="6"/>
  <c r="C23" i="6"/>
  <c r="B23" i="6"/>
  <c r="A23" i="6"/>
  <c r="A22" i="6"/>
  <c r="D21" i="6"/>
  <c r="C21" i="6"/>
  <c r="B21" i="6"/>
  <c r="A21" i="6"/>
  <c r="C20" i="6"/>
  <c r="B20" i="6"/>
  <c r="A20" i="6"/>
  <c r="C19" i="6"/>
  <c r="B19" i="6"/>
  <c r="A19" i="6"/>
  <c r="D18" i="6"/>
  <c r="C18" i="6"/>
  <c r="B18" i="6"/>
  <c r="A18" i="6"/>
  <c r="C17" i="6"/>
  <c r="B17" i="6"/>
  <c r="A17" i="6"/>
  <c r="A16" i="6"/>
  <c r="A15" i="6"/>
  <c r="A14" i="6"/>
  <c r="A1" i="6"/>
  <c r="H706" i="5"/>
  <c r="H703" i="5"/>
  <c r="C706" i="5"/>
  <c r="C703" i="5"/>
  <c r="C700" i="5"/>
  <c r="C699" i="5"/>
  <c r="C696" i="5"/>
  <c r="C695" i="5"/>
  <c r="H684" i="5"/>
  <c r="G684" i="5"/>
  <c r="E684" i="5"/>
  <c r="E683" i="5"/>
  <c r="E682" i="5"/>
  <c r="E681" i="5"/>
  <c r="I680" i="5"/>
  <c r="H680" i="5"/>
  <c r="G680" i="5"/>
  <c r="F680" i="5"/>
  <c r="I679" i="5"/>
  <c r="H679" i="5"/>
  <c r="G679" i="5"/>
  <c r="F679" i="5"/>
  <c r="I678" i="5"/>
  <c r="H678" i="5"/>
  <c r="G678" i="5"/>
  <c r="F678" i="5"/>
  <c r="I677" i="5"/>
  <c r="H677" i="5"/>
  <c r="G677" i="5"/>
  <c r="F677" i="5"/>
  <c r="D675" i="5"/>
  <c r="C675" i="5"/>
  <c r="B675" i="5"/>
  <c r="A675" i="5"/>
  <c r="H673" i="5"/>
  <c r="G673" i="5"/>
  <c r="E673" i="5"/>
  <c r="E672" i="5"/>
  <c r="E671" i="5"/>
  <c r="E670" i="5"/>
  <c r="I669" i="5"/>
  <c r="H669" i="5"/>
  <c r="G669" i="5"/>
  <c r="F669" i="5"/>
  <c r="I668" i="5"/>
  <c r="H668" i="5"/>
  <c r="G668" i="5"/>
  <c r="F668" i="5"/>
  <c r="I667" i="5"/>
  <c r="H667" i="5"/>
  <c r="G667" i="5"/>
  <c r="F667" i="5"/>
  <c r="I666" i="5"/>
  <c r="H666" i="5"/>
  <c r="G666" i="5"/>
  <c r="F666" i="5"/>
  <c r="D665" i="5"/>
  <c r="C665" i="5"/>
  <c r="B665" i="5"/>
  <c r="A665" i="5"/>
  <c r="I663" i="5"/>
  <c r="H663" i="5"/>
  <c r="G663" i="5"/>
  <c r="F663" i="5"/>
  <c r="E663" i="5"/>
  <c r="D663" i="5"/>
  <c r="B663" i="5"/>
  <c r="A663" i="5"/>
  <c r="H661" i="5"/>
  <c r="G661" i="5"/>
  <c r="E661" i="5"/>
  <c r="E660" i="5"/>
  <c r="E659" i="5"/>
  <c r="I658" i="5"/>
  <c r="H658" i="5"/>
  <c r="F658" i="5"/>
  <c r="D658" i="5"/>
  <c r="C658" i="5"/>
  <c r="B658" i="5"/>
  <c r="A658" i="5"/>
  <c r="I657" i="5"/>
  <c r="H657" i="5"/>
  <c r="G657" i="5"/>
  <c r="F657" i="5"/>
  <c r="I656" i="5"/>
  <c r="H656" i="5"/>
  <c r="G656" i="5"/>
  <c r="F656" i="5"/>
  <c r="D655" i="5"/>
  <c r="C655" i="5"/>
  <c r="B655" i="5"/>
  <c r="A655" i="5"/>
  <c r="I653" i="5"/>
  <c r="H653" i="5"/>
  <c r="G653" i="5"/>
  <c r="F653" i="5"/>
  <c r="E653" i="5"/>
  <c r="D653" i="5"/>
  <c r="B653" i="5"/>
  <c r="A653" i="5"/>
  <c r="K652" i="5"/>
  <c r="I651" i="5"/>
  <c r="H651" i="5"/>
  <c r="G651" i="5"/>
  <c r="F651" i="5"/>
  <c r="E651" i="5"/>
  <c r="D651" i="5"/>
  <c r="B651" i="5"/>
  <c r="A651" i="5"/>
  <c r="H649" i="5"/>
  <c r="G649" i="5"/>
  <c r="E649" i="5"/>
  <c r="E648" i="5"/>
  <c r="E647" i="5"/>
  <c r="I646" i="5"/>
  <c r="H646" i="5"/>
  <c r="F646" i="5"/>
  <c r="D646" i="5"/>
  <c r="C646" i="5"/>
  <c r="B646" i="5"/>
  <c r="A646" i="5"/>
  <c r="I645" i="5"/>
  <c r="H645" i="5"/>
  <c r="G645" i="5"/>
  <c r="F645" i="5"/>
  <c r="I644" i="5"/>
  <c r="H644" i="5"/>
  <c r="G644" i="5"/>
  <c r="F644" i="5"/>
  <c r="I643" i="5"/>
  <c r="H643" i="5"/>
  <c r="G643" i="5"/>
  <c r="F643" i="5"/>
  <c r="C642" i="5"/>
  <c r="E641" i="5"/>
  <c r="D641" i="5"/>
  <c r="C641" i="5"/>
  <c r="B641" i="5"/>
  <c r="A641" i="5"/>
  <c r="H639" i="5"/>
  <c r="G639" i="5"/>
  <c r="E639" i="5"/>
  <c r="E638" i="5"/>
  <c r="E637" i="5"/>
  <c r="I636" i="5"/>
  <c r="H636" i="5"/>
  <c r="G636" i="5"/>
  <c r="F636" i="5"/>
  <c r="D634" i="5"/>
  <c r="C634" i="5"/>
  <c r="B634" i="5"/>
  <c r="A634" i="5"/>
  <c r="H632" i="5"/>
  <c r="G632" i="5"/>
  <c r="E632" i="5"/>
  <c r="E631" i="5"/>
  <c r="E630" i="5"/>
  <c r="I629" i="5"/>
  <c r="H629" i="5"/>
  <c r="G629" i="5"/>
  <c r="F629" i="5"/>
  <c r="I628" i="5"/>
  <c r="H628" i="5"/>
  <c r="G628" i="5"/>
  <c r="F628" i="5"/>
  <c r="D626" i="5"/>
  <c r="C626" i="5"/>
  <c r="B626" i="5"/>
  <c r="A626" i="5"/>
  <c r="A625" i="5"/>
  <c r="I619" i="5"/>
  <c r="H619" i="5"/>
  <c r="G619" i="5"/>
  <c r="F619" i="5"/>
  <c r="D619" i="5"/>
  <c r="C619" i="5"/>
  <c r="B619" i="5"/>
  <c r="A619" i="5"/>
  <c r="I617" i="5"/>
  <c r="H617" i="5"/>
  <c r="G617" i="5"/>
  <c r="F617" i="5"/>
  <c r="I616" i="5"/>
  <c r="H616" i="5"/>
  <c r="G616" i="5"/>
  <c r="F616" i="5"/>
  <c r="D614" i="5"/>
  <c r="C614" i="5"/>
  <c r="B614" i="5"/>
  <c r="A614" i="5"/>
  <c r="I612" i="5"/>
  <c r="H612" i="5"/>
  <c r="G612" i="5"/>
  <c r="F612" i="5"/>
  <c r="I611" i="5"/>
  <c r="H611" i="5"/>
  <c r="G611" i="5"/>
  <c r="F611" i="5"/>
  <c r="D610" i="5"/>
  <c r="C610" i="5"/>
  <c r="B610" i="5"/>
  <c r="A610" i="5"/>
  <c r="I608" i="5"/>
  <c r="H608" i="5"/>
  <c r="G608" i="5"/>
  <c r="F608" i="5"/>
  <c r="I607" i="5"/>
  <c r="H607" i="5"/>
  <c r="G607" i="5"/>
  <c r="F607" i="5"/>
  <c r="D606" i="5"/>
  <c r="C606" i="5"/>
  <c r="B606" i="5"/>
  <c r="A606" i="5"/>
  <c r="H604" i="5"/>
  <c r="G604" i="5"/>
  <c r="E604" i="5"/>
  <c r="E603" i="5"/>
  <c r="E602" i="5"/>
  <c r="I601" i="5"/>
  <c r="H601" i="5"/>
  <c r="G601" i="5"/>
  <c r="F601" i="5"/>
  <c r="D599" i="5"/>
  <c r="C599" i="5"/>
  <c r="B599" i="5"/>
  <c r="A599" i="5"/>
  <c r="E597" i="5"/>
  <c r="I596" i="5"/>
  <c r="H596" i="5"/>
  <c r="G596" i="5"/>
  <c r="F596" i="5"/>
  <c r="I595" i="5"/>
  <c r="H595" i="5"/>
  <c r="G595" i="5"/>
  <c r="F595" i="5"/>
  <c r="D593" i="5"/>
  <c r="C593" i="5"/>
  <c r="B593" i="5"/>
  <c r="A593" i="5"/>
  <c r="H591" i="5"/>
  <c r="G591" i="5"/>
  <c r="E591" i="5"/>
  <c r="E590" i="5"/>
  <c r="E589" i="5"/>
  <c r="I588" i="5"/>
  <c r="H588" i="5"/>
  <c r="G588" i="5"/>
  <c r="F588" i="5"/>
  <c r="D587" i="5"/>
  <c r="C587" i="5"/>
  <c r="B587" i="5"/>
  <c r="A587" i="5"/>
  <c r="H585" i="5"/>
  <c r="G585" i="5"/>
  <c r="E585" i="5"/>
  <c r="E584" i="5"/>
  <c r="E583" i="5"/>
  <c r="I582" i="5"/>
  <c r="H582" i="5"/>
  <c r="G582" i="5"/>
  <c r="F582" i="5"/>
  <c r="I581" i="5"/>
  <c r="H581" i="5"/>
  <c r="G581" i="5"/>
  <c r="F581" i="5"/>
  <c r="D579" i="5"/>
  <c r="C579" i="5"/>
  <c r="B579" i="5"/>
  <c r="A579" i="5"/>
  <c r="H577" i="5"/>
  <c r="G577" i="5"/>
  <c r="E577" i="5"/>
  <c r="E576" i="5"/>
  <c r="E575" i="5"/>
  <c r="I574" i="5"/>
  <c r="H574" i="5"/>
  <c r="G574" i="5"/>
  <c r="F574" i="5"/>
  <c r="D572" i="5"/>
  <c r="C572" i="5"/>
  <c r="B572" i="5"/>
  <c r="A572" i="5"/>
  <c r="A571" i="5"/>
  <c r="A569" i="5"/>
  <c r="AE567" i="5"/>
  <c r="C564" i="5"/>
  <c r="C563" i="5"/>
  <c r="H555" i="5"/>
  <c r="G555" i="5"/>
  <c r="E555" i="5"/>
  <c r="E554" i="5"/>
  <c r="E553" i="5"/>
  <c r="E552" i="5"/>
  <c r="I551" i="5"/>
  <c r="H551" i="5"/>
  <c r="G551" i="5"/>
  <c r="F551" i="5"/>
  <c r="I550" i="5"/>
  <c r="H550" i="5"/>
  <c r="G550" i="5"/>
  <c r="F550" i="5"/>
  <c r="I549" i="5"/>
  <c r="H549" i="5"/>
  <c r="G549" i="5"/>
  <c r="F549" i="5"/>
  <c r="I548" i="5"/>
  <c r="H548" i="5"/>
  <c r="G548" i="5"/>
  <c r="F548" i="5"/>
  <c r="D546" i="5"/>
  <c r="C546" i="5"/>
  <c r="B546" i="5"/>
  <c r="A546" i="5"/>
  <c r="I544" i="5"/>
  <c r="H544" i="5"/>
  <c r="G544" i="5"/>
  <c r="F544" i="5"/>
  <c r="D544" i="5"/>
  <c r="C544" i="5"/>
  <c r="B544" i="5"/>
  <c r="A544" i="5"/>
  <c r="I542" i="5"/>
  <c r="H542" i="5"/>
  <c r="G542" i="5"/>
  <c r="F542" i="5"/>
  <c r="I541" i="5"/>
  <c r="H541" i="5"/>
  <c r="G541" i="5"/>
  <c r="F541" i="5"/>
  <c r="D539" i="5"/>
  <c r="C539" i="5"/>
  <c r="B539" i="5"/>
  <c r="A539" i="5"/>
  <c r="I537" i="5"/>
  <c r="H537" i="5"/>
  <c r="G537" i="5"/>
  <c r="F537" i="5"/>
  <c r="I536" i="5"/>
  <c r="H536" i="5"/>
  <c r="G536" i="5"/>
  <c r="F536" i="5"/>
  <c r="D535" i="5"/>
  <c r="C535" i="5"/>
  <c r="B535" i="5"/>
  <c r="A535" i="5"/>
  <c r="I533" i="5"/>
  <c r="H533" i="5"/>
  <c r="G533" i="5"/>
  <c r="F533" i="5"/>
  <c r="I532" i="5"/>
  <c r="H532" i="5"/>
  <c r="G532" i="5"/>
  <c r="F532" i="5"/>
  <c r="D531" i="5"/>
  <c r="C531" i="5"/>
  <c r="B531" i="5"/>
  <c r="A531" i="5"/>
  <c r="H529" i="5"/>
  <c r="G529" i="5"/>
  <c r="E529" i="5"/>
  <c r="E528" i="5"/>
  <c r="E527" i="5"/>
  <c r="I526" i="5"/>
  <c r="H526" i="5"/>
  <c r="G526" i="5"/>
  <c r="F526" i="5"/>
  <c r="D524" i="5"/>
  <c r="C524" i="5"/>
  <c r="B524" i="5"/>
  <c r="A524" i="5"/>
  <c r="E522" i="5"/>
  <c r="I521" i="5"/>
  <c r="H521" i="5"/>
  <c r="G521" i="5"/>
  <c r="F521" i="5"/>
  <c r="I520" i="5"/>
  <c r="H520" i="5"/>
  <c r="G520" i="5"/>
  <c r="F520" i="5"/>
  <c r="D518" i="5"/>
  <c r="C518" i="5"/>
  <c r="B518" i="5"/>
  <c r="A518" i="5"/>
  <c r="H516" i="5"/>
  <c r="G516" i="5"/>
  <c r="E516" i="5"/>
  <c r="E515" i="5"/>
  <c r="E514" i="5"/>
  <c r="I513" i="5"/>
  <c r="H513" i="5"/>
  <c r="G513" i="5"/>
  <c r="F513" i="5"/>
  <c r="D511" i="5"/>
  <c r="C511" i="5"/>
  <c r="B511" i="5"/>
  <c r="A511" i="5"/>
  <c r="H509" i="5"/>
  <c r="G509" i="5"/>
  <c r="E509" i="5"/>
  <c r="E508" i="5"/>
  <c r="E507" i="5"/>
  <c r="E506" i="5"/>
  <c r="I505" i="5"/>
  <c r="H505" i="5"/>
  <c r="G505" i="5"/>
  <c r="F505" i="5"/>
  <c r="I504" i="5"/>
  <c r="H504" i="5"/>
  <c r="G504" i="5"/>
  <c r="F504" i="5"/>
  <c r="I503" i="5"/>
  <c r="H503" i="5"/>
  <c r="G503" i="5"/>
  <c r="F503" i="5"/>
  <c r="D501" i="5"/>
  <c r="C501" i="5"/>
  <c r="B501" i="5"/>
  <c r="A501" i="5"/>
  <c r="A500" i="5"/>
  <c r="I497" i="5"/>
  <c r="A495" i="5"/>
  <c r="I492" i="5"/>
  <c r="A490" i="5"/>
  <c r="I487" i="5"/>
  <c r="A485" i="5"/>
  <c r="A483" i="5"/>
  <c r="C481" i="5"/>
  <c r="C480" i="5"/>
  <c r="H472" i="5"/>
  <c r="G472" i="5"/>
  <c r="E472" i="5"/>
  <c r="E471" i="5"/>
  <c r="E470" i="5"/>
  <c r="E469" i="5"/>
  <c r="I468" i="5"/>
  <c r="H468" i="5"/>
  <c r="G468" i="5"/>
  <c r="F468" i="5"/>
  <c r="I467" i="5"/>
  <c r="H467" i="5"/>
  <c r="G467" i="5"/>
  <c r="F467" i="5"/>
  <c r="I466" i="5"/>
  <c r="H466" i="5"/>
  <c r="G466" i="5"/>
  <c r="F466" i="5"/>
  <c r="I465" i="5"/>
  <c r="H465" i="5"/>
  <c r="G465" i="5"/>
  <c r="F465" i="5"/>
  <c r="D463" i="5"/>
  <c r="C463" i="5"/>
  <c r="B463" i="5"/>
  <c r="A463" i="5"/>
  <c r="I461" i="5"/>
  <c r="H461" i="5"/>
  <c r="G461" i="5"/>
  <c r="F461" i="5"/>
  <c r="D461" i="5"/>
  <c r="C461" i="5"/>
  <c r="B461" i="5"/>
  <c r="A461" i="5"/>
  <c r="I459" i="5"/>
  <c r="H459" i="5"/>
  <c r="G459" i="5"/>
  <c r="F459" i="5"/>
  <c r="I458" i="5"/>
  <c r="H458" i="5"/>
  <c r="G458" i="5"/>
  <c r="F458" i="5"/>
  <c r="D456" i="5"/>
  <c r="C456" i="5"/>
  <c r="B456" i="5"/>
  <c r="A456" i="5"/>
  <c r="I454" i="5"/>
  <c r="H454" i="5"/>
  <c r="G454" i="5"/>
  <c r="F454" i="5"/>
  <c r="I453" i="5"/>
  <c r="H453" i="5"/>
  <c r="G453" i="5"/>
  <c r="F453" i="5"/>
  <c r="D452" i="5"/>
  <c r="C452" i="5"/>
  <c r="B452" i="5"/>
  <c r="A452" i="5"/>
  <c r="I450" i="5"/>
  <c r="H450" i="5"/>
  <c r="G450" i="5"/>
  <c r="F450" i="5"/>
  <c r="I449" i="5"/>
  <c r="H449" i="5"/>
  <c r="G449" i="5"/>
  <c r="F449" i="5"/>
  <c r="D448" i="5"/>
  <c r="C448" i="5"/>
  <c r="B448" i="5"/>
  <c r="A448" i="5"/>
  <c r="H446" i="5"/>
  <c r="G446" i="5"/>
  <c r="E446" i="5"/>
  <c r="E445" i="5"/>
  <c r="E444" i="5"/>
  <c r="I443" i="5"/>
  <c r="H443" i="5"/>
  <c r="G443" i="5"/>
  <c r="F443" i="5"/>
  <c r="D441" i="5"/>
  <c r="C441" i="5"/>
  <c r="B441" i="5"/>
  <c r="A441" i="5"/>
  <c r="E439" i="5"/>
  <c r="I438" i="5"/>
  <c r="H438" i="5"/>
  <c r="G438" i="5"/>
  <c r="F438" i="5"/>
  <c r="I437" i="5"/>
  <c r="H437" i="5"/>
  <c r="G437" i="5"/>
  <c r="F437" i="5"/>
  <c r="D435" i="5"/>
  <c r="C435" i="5"/>
  <c r="B435" i="5"/>
  <c r="A435" i="5"/>
  <c r="H433" i="5"/>
  <c r="G433" i="5"/>
  <c r="E433" i="5"/>
  <c r="E432" i="5"/>
  <c r="E431" i="5"/>
  <c r="I430" i="5"/>
  <c r="H430" i="5"/>
  <c r="G430" i="5"/>
  <c r="F430" i="5"/>
  <c r="D428" i="5"/>
  <c r="C428" i="5"/>
  <c r="B428" i="5"/>
  <c r="A428" i="5"/>
  <c r="H426" i="5"/>
  <c r="G426" i="5"/>
  <c r="E426" i="5"/>
  <c r="E425" i="5"/>
  <c r="E424" i="5"/>
  <c r="E423" i="5"/>
  <c r="I422" i="5"/>
  <c r="H422" i="5"/>
  <c r="G422" i="5"/>
  <c r="F422" i="5"/>
  <c r="I421" i="5"/>
  <c r="H421" i="5"/>
  <c r="G421" i="5"/>
  <c r="F421" i="5"/>
  <c r="I420" i="5"/>
  <c r="H420" i="5"/>
  <c r="G420" i="5"/>
  <c r="F420" i="5"/>
  <c r="D418" i="5"/>
  <c r="C418" i="5"/>
  <c r="B418" i="5"/>
  <c r="A418" i="5"/>
  <c r="A417" i="5"/>
  <c r="I411" i="5"/>
  <c r="H411" i="5"/>
  <c r="G411" i="5"/>
  <c r="F411" i="5"/>
  <c r="E411" i="5"/>
  <c r="D411" i="5"/>
  <c r="C411" i="5"/>
  <c r="B411" i="5"/>
  <c r="A411" i="5"/>
  <c r="H409" i="5"/>
  <c r="G409" i="5"/>
  <c r="E409" i="5"/>
  <c r="E408" i="5"/>
  <c r="E407" i="5"/>
  <c r="E406" i="5"/>
  <c r="I405" i="5"/>
  <c r="H405" i="5"/>
  <c r="G405" i="5"/>
  <c r="F405" i="5"/>
  <c r="I404" i="5"/>
  <c r="H404" i="5"/>
  <c r="G404" i="5"/>
  <c r="F404" i="5"/>
  <c r="I403" i="5"/>
  <c r="H403" i="5"/>
  <c r="G403" i="5"/>
  <c r="F403" i="5"/>
  <c r="I402" i="5"/>
  <c r="H402" i="5"/>
  <c r="G402" i="5"/>
  <c r="F402" i="5"/>
  <c r="E401" i="5"/>
  <c r="D401" i="5"/>
  <c r="C401" i="5"/>
  <c r="B401" i="5"/>
  <c r="A401" i="5"/>
  <c r="H399" i="5"/>
  <c r="G399" i="5"/>
  <c r="E399" i="5"/>
  <c r="E398" i="5"/>
  <c r="E397" i="5"/>
  <c r="E396" i="5"/>
  <c r="I395" i="5"/>
  <c r="H395" i="5"/>
  <c r="G395" i="5"/>
  <c r="F395" i="5"/>
  <c r="I394" i="5"/>
  <c r="H394" i="5"/>
  <c r="G394" i="5"/>
  <c r="F394" i="5"/>
  <c r="I393" i="5"/>
  <c r="H393" i="5"/>
  <c r="G393" i="5"/>
  <c r="F393" i="5"/>
  <c r="I392" i="5"/>
  <c r="H392" i="5"/>
  <c r="G392" i="5"/>
  <c r="F392" i="5"/>
  <c r="D390" i="5"/>
  <c r="C390" i="5"/>
  <c r="B390" i="5"/>
  <c r="A390" i="5"/>
  <c r="A389" i="5"/>
  <c r="I383" i="5"/>
  <c r="H383" i="5"/>
  <c r="G383" i="5"/>
  <c r="F383" i="5"/>
  <c r="E383" i="5"/>
  <c r="D383" i="5"/>
  <c r="B383" i="5"/>
  <c r="A383" i="5"/>
  <c r="I381" i="5"/>
  <c r="H381" i="5"/>
  <c r="G381" i="5"/>
  <c r="F381" i="5"/>
  <c r="E381" i="5"/>
  <c r="D381" i="5"/>
  <c r="B381" i="5"/>
  <c r="A381" i="5"/>
  <c r="I379" i="5"/>
  <c r="H379" i="5"/>
  <c r="G379" i="5"/>
  <c r="F379" i="5"/>
  <c r="E379" i="5"/>
  <c r="D379" i="5"/>
  <c r="B379" i="5"/>
  <c r="A379" i="5"/>
  <c r="I377" i="5"/>
  <c r="H377" i="5"/>
  <c r="G377" i="5"/>
  <c r="F377" i="5"/>
  <c r="E377" i="5"/>
  <c r="D377" i="5"/>
  <c r="B377" i="5"/>
  <c r="A377" i="5"/>
  <c r="I375" i="5"/>
  <c r="H375" i="5"/>
  <c r="G375" i="5"/>
  <c r="F375" i="5"/>
  <c r="E375" i="5"/>
  <c r="D375" i="5"/>
  <c r="B375" i="5"/>
  <c r="A375" i="5"/>
  <c r="I373" i="5"/>
  <c r="H373" i="5"/>
  <c r="G373" i="5"/>
  <c r="F373" i="5"/>
  <c r="E373" i="5"/>
  <c r="D373" i="5"/>
  <c r="B373" i="5"/>
  <c r="A373" i="5"/>
  <c r="H371" i="5"/>
  <c r="G371" i="5"/>
  <c r="E371" i="5"/>
  <c r="E370" i="5"/>
  <c r="E369" i="5"/>
  <c r="I368" i="5"/>
  <c r="H368" i="5"/>
  <c r="G368" i="5"/>
  <c r="F368" i="5"/>
  <c r="E367" i="5"/>
  <c r="D367" i="5"/>
  <c r="C367" i="5"/>
  <c r="B367" i="5"/>
  <c r="A367" i="5"/>
  <c r="A366" i="5"/>
  <c r="I360" i="5"/>
  <c r="H360" i="5"/>
  <c r="G360" i="5"/>
  <c r="F360" i="5"/>
  <c r="E360" i="5"/>
  <c r="D360" i="5"/>
  <c r="C360" i="5"/>
  <c r="B360" i="5"/>
  <c r="A360" i="5"/>
  <c r="I358" i="5"/>
  <c r="H358" i="5"/>
  <c r="G358" i="5"/>
  <c r="F358" i="5"/>
  <c r="I357" i="5"/>
  <c r="H357" i="5"/>
  <c r="G357" i="5"/>
  <c r="F357" i="5"/>
  <c r="D356" i="5"/>
  <c r="C356" i="5"/>
  <c r="B356" i="5"/>
  <c r="A356" i="5"/>
  <c r="I354" i="5"/>
  <c r="H354" i="5"/>
  <c r="G354" i="5"/>
  <c r="F354" i="5"/>
  <c r="I353" i="5"/>
  <c r="H353" i="5"/>
  <c r="G353" i="5"/>
  <c r="F353" i="5"/>
  <c r="D352" i="5"/>
  <c r="C352" i="5"/>
  <c r="B352" i="5"/>
  <c r="A352" i="5"/>
  <c r="H350" i="5"/>
  <c r="G350" i="5"/>
  <c r="E350" i="5"/>
  <c r="E349" i="5"/>
  <c r="E348" i="5"/>
  <c r="I347" i="5"/>
  <c r="H347" i="5"/>
  <c r="G347" i="5"/>
  <c r="F347" i="5"/>
  <c r="E346" i="5"/>
  <c r="D346" i="5"/>
  <c r="C346" i="5"/>
  <c r="B346" i="5"/>
  <c r="A346" i="5"/>
  <c r="H344" i="5"/>
  <c r="G344" i="5"/>
  <c r="E344" i="5"/>
  <c r="E343" i="5"/>
  <c r="E342" i="5"/>
  <c r="I341" i="5"/>
  <c r="H341" i="5"/>
  <c r="G341" i="5"/>
  <c r="F341" i="5"/>
  <c r="I340" i="5"/>
  <c r="H340" i="5"/>
  <c r="G340" i="5"/>
  <c r="F340" i="5"/>
  <c r="D338" i="5"/>
  <c r="C338" i="5"/>
  <c r="B338" i="5"/>
  <c r="A338" i="5"/>
  <c r="A337" i="5"/>
  <c r="A335" i="5"/>
  <c r="C333" i="5"/>
  <c r="C332" i="5"/>
  <c r="H324" i="5"/>
  <c r="G324" i="5"/>
  <c r="E324" i="5"/>
  <c r="E323" i="5"/>
  <c r="E322" i="5"/>
  <c r="E321" i="5"/>
  <c r="I320" i="5"/>
  <c r="H320" i="5"/>
  <c r="G320" i="5"/>
  <c r="F320" i="5"/>
  <c r="I319" i="5"/>
  <c r="H319" i="5"/>
  <c r="G319" i="5"/>
  <c r="F319" i="5"/>
  <c r="I318" i="5"/>
  <c r="H318" i="5"/>
  <c r="G318" i="5"/>
  <c r="F318" i="5"/>
  <c r="I317" i="5"/>
  <c r="H317" i="5"/>
  <c r="G317" i="5"/>
  <c r="F317" i="5"/>
  <c r="D315" i="5"/>
  <c r="C315" i="5"/>
  <c r="B315" i="5"/>
  <c r="A315" i="5"/>
  <c r="I313" i="5"/>
  <c r="H313" i="5"/>
  <c r="G313" i="5"/>
  <c r="F313" i="5"/>
  <c r="D313" i="5"/>
  <c r="C313" i="5"/>
  <c r="B313" i="5"/>
  <c r="A313" i="5"/>
  <c r="I311" i="5"/>
  <c r="H311" i="5"/>
  <c r="G311" i="5"/>
  <c r="F311" i="5"/>
  <c r="I310" i="5"/>
  <c r="H310" i="5"/>
  <c r="G310" i="5"/>
  <c r="F310" i="5"/>
  <c r="D308" i="5"/>
  <c r="C308" i="5"/>
  <c r="B308" i="5"/>
  <c r="A308" i="5"/>
  <c r="I306" i="5"/>
  <c r="H306" i="5"/>
  <c r="G306" i="5"/>
  <c r="F306" i="5"/>
  <c r="I305" i="5"/>
  <c r="H305" i="5"/>
  <c r="G305" i="5"/>
  <c r="F305" i="5"/>
  <c r="D304" i="5"/>
  <c r="C304" i="5"/>
  <c r="B304" i="5"/>
  <c r="A304" i="5"/>
  <c r="I302" i="5"/>
  <c r="H302" i="5"/>
  <c r="G302" i="5"/>
  <c r="F302" i="5"/>
  <c r="I301" i="5"/>
  <c r="H301" i="5"/>
  <c r="G301" i="5"/>
  <c r="F301" i="5"/>
  <c r="D300" i="5"/>
  <c r="C300" i="5"/>
  <c r="B300" i="5"/>
  <c r="A300" i="5"/>
  <c r="H298" i="5"/>
  <c r="G298" i="5"/>
  <c r="E298" i="5"/>
  <c r="E297" i="5"/>
  <c r="E296" i="5"/>
  <c r="I295" i="5"/>
  <c r="H295" i="5"/>
  <c r="G295" i="5"/>
  <c r="F295" i="5"/>
  <c r="D293" i="5"/>
  <c r="C293" i="5"/>
  <c r="B293" i="5"/>
  <c r="A293" i="5"/>
  <c r="E291" i="5"/>
  <c r="I290" i="5"/>
  <c r="H290" i="5"/>
  <c r="G290" i="5"/>
  <c r="F290" i="5"/>
  <c r="I289" i="5"/>
  <c r="H289" i="5"/>
  <c r="G289" i="5"/>
  <c r="F289" i="5"/>
  <c r="D287" i="5"/>
  <c r="C287" i="5"/>
  <c r="B287" i="5"/>
  <c r="A287" i="5"/>
  <c r="H285" i="5"/>
  <c r="G285" i="5"/>
  <c r="E285" i="5"/>
  <c r="E284" i="5"/>
  <c r="E283" i="5"/>
  <c r="I282" i="5"/>
  <c r="H282" i="5"/>
  <c r="G282" i="5"/>
  <c r="F282" i="5"/>
  <c r="D280" i="5"/>
  <c r="C280" i="5"/>
  <c r="B280" i="5"/>
  <c r="A280" i="5"/>
  <c r="H278" i="5"/>
  <c r="G278" i="5"/>
  <c r="E278" i="5"/>
  <c r="E277" i="5"/>
  <c r="E276" i="5"/>
  <c r="E275" i="5"/>
  <c r="I274" i="5"/>
  <c r="H274" i="5"/>
  <c r="G274" i="5"/>
  <c r="F274" i="5"/>
  <c r="I273" i="5"/>
  <c r="H273" i="5"/>
  <c r="G273" i="5"/>
  <c r="F273" i="5"/>
  <c r="I272" i="5"/>
  <c r="H272" i="5"/>
  <c r="G272" i="5"/>
  <c r="F272" i="5"/>
  <c r="D270" i="5"/>
  <c r="C270" i="5"/>
  <c r="B270" i="5"/>
  <c r="A270" i="5"/>
  <c r="A269" i="5"/>
  <c r="I263" i="5"/>
  <c r="H263" i="5"/>
  <c r="G263" i="5"/>
  <c r="F263" i="5"/>
  <c r="E263" i="5"/>
  <c r="D263" i="5"/>
  <c r="C263" i="5"/>
  <c r="B263" i="5"/>
  <c r="A263" i="5"/>
  <c r="H261" i="5"/>
  <c r="G261" i="5"/>
  <c r="E261" i="5"/>
  <c r="E260" i="5"/>
  <c r="E259" i="5"/>
  <c r="E258" i="5"/>
  <c r="I257" i="5"/>
  <c r="H257" i="5"/>
  <c r="G257" i="5"/>
  <c r="F257" i="5"/>
  <c r="I256" i="5"/>
  <c r="H256" i="5"/>
  <c r="G256" i="5"/>
  <c r="F256" i="5"/>
  <c r="I255" i="5"/>
  <c r="H255" i="5"/>
  <c r="G255" i="5"/>
  <c r="F255" i="5"/>
  <c r="I254" i="5"/>
  <c r="H254" i="5"/>
  <c r="G254" i="5"/>
  <c r="F254" i="5"/>
  <c r="E253" i="5"/>
  <c r="D253" i="5"/>
  <c r="C253" i="5"/>
  <c r="B253" i="5"/>
  <c r="A253" i="5"/>
  <c r="H251" i="5"/>
  <c r="G251" i="5"/>
  <c r="E251" i="5"/>
  <c r="E250" i="5"/>
  <c r="E249" i="5"/>
  <c r="E248" i="5"/>
  <c r="I247" i="5"/>
  <c r="H247" i="5"/>
  <c r="G247" i="5"/>
  <c r="F247" i="5"/>
  <c r="I246" i="5"/>
  <c r="H246" i="5"/>
  <c r="G246" i="5"/>
  <c r="F246" i="5"/>
  <c r="I245" i="5"/>
  <c r="H245" i="5"/>
  <c r="G245" i="5"/>
  <c r="F245" i="5"/>
  <c r="I244" i="5"/>
  <c r="H244" i="5"/>
  <c r="G244" i="5"/>
  <c r="F244" i="5"/>
  <c r="D242" i="5"/>
  <c r="C242" i="5"/>
  <c r="B242" i="5"/>
  <c r="A242" i="5"/>
  <c r="A241" i="5"/>
  <c r="I235" i="5"/>
  <c r="H235" i="5"/>
  <c r="G235" i="5"/>
  <c r="F235" i="5"/>
  <c r="E235" i="5"/>
  <c r="D235" i="5"/>
  <c r="B235" i="5"/>
  <c r="A235" i="5"/>
  <c r="I233" i="5"/>
  <c r="H233" i="5"/>
  <c r="G233" i="5"/>
  <c r="F233" i="5"/>
  <c r="E233" i="5"/>
  <c r="D233" i="5"/>
  <c r="B233" i="5"/>
  <c r="A233" i="5"/>
  <c r="I231" i="5"/>
  <c r="H231" i="5"/>
  <c r="G231" i="5"/>
  <c r="F231" i="5"/>
  <c r="E231" i="5"/>
  <c r="D231" i="5"/>
  <c r="B231" i="5"/>
  <c r="A231" i="5"/>
  <c r="I229" i="5"/>
  <c r="H229" i="5"/>
  <c r="G229" i="5"/>
  <c r="F229" i="5"/>
  <c r="E229" i="5"/>
  <c r="D229" i="5"/>
  <c r="B229" i="5"/>
  <c r="A229" i="5"/>
  <c r="I227" i="5"/>
  <c r="H227" i="5"/>
  <c r="G227" i="5"/>
  <c r="F227" i="5"/>
  <c r="E227" i="5"/>
  <c r="D227" i="5"/>
  <c r="B227" i="5"/>
  <c r="A227" i="5"/>
  <c r="I225" i="5"/>
  <c r="H225" i="5"/>
  <c r="G225" i="5"/>
  <c r="F225" i="5"/>
  <c r="E225" i="5"/>
  <c r="D225" i="5"/>
  <c r="B225" i="5"/>
  <c r="A225" i="5"/>
  <c r="H223" i="5"/>
  <c r="G223" i="5"/>
  <c r="E223" i="5"/>
  <c r="E222" i="5"/>
  <c r="E221" i="5"/>
  <c r="E220" i="5"/>
  <c r="I219" i="5"/>
  <c r="H219" i="5"/>
  <c r="G219" i="5"/>
  <c r="F219" i="5"/>
  <c r="I218" i="5"/>
  <c r="H218" i="5"/>
  <c r="G218" i="5"/>
  <c r="F218" i="5"/>
  <c r="I217" i="5"/>
  <c r="H217" i="5"/>
  <c r="G217" i="5"/>
  <c r="F217" i="5"/>
  <c r="E216" i="5"/>
  <c r="D216" i="5"/>
  <c r="C216" i="5"/>
  <c r="B216" i="5"/>
  <c r="A216" i="5"/>
  <c r="A215" i="5"/>
  <c r="I209" i="5"/>
  <c r="H209" i="5"/>
  <c r="G209" i="5"/>
  <c r="F209" i="5"/>
  <c r="E209" i="5"/>
  <c r="D209" i="5"/>
  <c r="C209" i="5"/>
  <c r="B209" i="5"/>
  <c r="A209" i="5"/>
  <c r="I207" i="5"/>
  <c r="H207" i="5"/>
  <c r="G207" i="5"/>
  <c r="F207" i="5"/>
  <c r="I206" i="5"/>
  <c r="H206" i="5"/>
  <c r="G206" i="5"/>
  <c r="F206" i="5"/>
  <c r="D205" i="5"/>
  <c r="C205" i="5"/>
  <c r="B205" i="5"/>
  <c r="A205" i="5"/>
  <c r="I203" i="5"/>
  <c r="H203" i="5"/>
  <c r="G203" i="5"/>
  <c r="F203" i="5"/>
  <c r="I202" i="5"/>
  <c r="H202" i="5"/>
  <c r="G202" i="5"/>
  <c r="F202" i="5"/>
  <c r="D201" i="5"/>
  <c r="C201" i="5"/>
  <c r="B201" i="5"/>
  <c r="A201" i="5"/>
  <c r="H199" i="5"/>
  <c r="G199" i="5"/>
  <c r="E199" i="5"/>
  <c r="E198" i="5"/>
  <c r="E197" i="5"/>
  <c r="I196" i="5"/>
  <c r="H196" i="5"/>
  <c r="G196" i="5"/>
  <c r="F196" i="5"/>
  <c r="E195" i="5"/>
  <c r="D195" i="5"/>
  <c r="C195" i="5"/>
  <c r="B195" i="5"/>
  <c r="A195" i="5"/>
  <c r="H193" i="5"/>
  <c r="G193" i="5"/>
  <c r="E193" i="5"/>
  <c r="E192" i="5"/>
  <c r="E191" i="5"/>
  <c r="I190" i="5"/>
  <c r="H190" i="5"/>
  <c r="G190" i="5"/>
  <c r="F190" i="5"/>
  <c r="I189" i="5"/>
  <c r="H189" i="5"/>
  <c r="G189" i="5"/>
  <c r="F189" i="5"/>
  <c r="D187" i="5"/>
  <c r="C187" i="5"/>
  <c r="B187" i="5"/>
  <c r="A187" i="5"/>
  <c r="A186" i="5"/>
  <c r="A184" i="5"/>
  <c r="C182" i="5"/>
  <c r="C181" i="5"/>
  <c r="H173" i="5"/>
  <c r="G173" i="5"/>
  <c r="E173" i="5"/>
  <c r="E172" i="5"/>
  <c r="E171" i="5"/>
  <c r="E170" i="5"/>
  <c r="I169" i="5"/>
  <c r="H169" i="5"/>
  <c r="G169" i="5"/>
  <c r="F169" i="5"/>
  <c r="I168" i="5"/>
  <c r="H168" i="5"/>
  <c r="G168" i="5"/>
  <c r="F168" i="5"/>
  <c r="I167" i="5"/>
  <c r="H167" i="5"/>
  <c r="G167" i="5"/>
  <c r="F167" i="5"/>
  <c r="I166" i="5"/>
  <c r="H166" i="5"/>
  <c r="G166" i="5"/>
  <c r="F166" i="5"/>
  <c r="D164" i="5"/>
  <c r="C164" i="5"/>
  <c r="B164" i="5"/>
  <c r="A164" i="5"/>
  <c r="I162" i="5"/>
  <c r="H162" i="5"/>
  <c r="G162" i="5"/>
  <c r="F162" i="5"/>
  <c r="D162" i="5"/>
  <c r="C162" i="5"/>
  <c r="B162" i="5"/>
  <c r="A162" i="5"/>
  <c r="I160" i="5"/>
  <c r="H160" i="5"/>
  <c r="G160" i="5"/>
  <c r="F160" i="5"/>
  <c r="I159" i="5"/>
  <c r="H159" i="5"/>
  <c r="G159" i="5"/>
  <c r="F159" i="5"/>
  <c r="D157" i="5"/>
  <c r="C157" i="5"/>
  <c r="B157" i="5"/>
  <c r="A157" i="5"/>
  <c r="I155" i="5"/>
  <c r="H155" i="5"/>
  <c r="G155" i="5"/>
  <c r="F155" i="5"/>
  <c r="I154" i="5"/>
  <c r="H154" i="5"/>
  <c r="G154" i="5"/>
  <c r="F154" i="5"/>
  <c r="D153" i="5"/>
  <c r="C153" i="5"/>
  <c r="B153" i="5"/>
  <c r="A153" i="5"/>
  <c r="I151" i="5"/>
  <c r="H151" i="5"/>
  <c r="G151" i="5"/>
  <c r="F151" i="5"/>
  <c r="I150" i="5"/>
  <c r="H150" i="5"/>
  <c r="G150" i="5"/>
  <c r="F150" i="5"/>
  <c r="D149" i="5"/>
  <c r="C149" i="5"/>
  <c r="B149" i="5"/>
  <c r="A149" i="5"/>
  <c r="H147" i="5"/>
  <c r="G147" i="5"/>
  <c r="E147" i="5"/>
  <c r="E146" i="5"/>
  <c r="E145" i="5"/>
  <c r="I144" i="5"/>
  <c r="H144" i="5"/>
  <c r="G144" i="5"/>
  <c r="F144" i="5"/>
  <c r="D142" i="5"/>
  <c r="C142" i="5"/>
  <c r="B142" i="5"/>
  <c r="A142" i="5"/>
  <c r="E140" i="5"/>
  <c r="I139" i="5"/>
  <c r="H139" i="5"/>
  <c r="G139" i="5"/>
  <c r="F139" i="5"/>
  <c r="I138" i="5"/>
  <c r="H138" i="5"/>
  <c r="G138" i="5"/>
  <c r="F138" i="5"/>
  <c r="D136" i="5"/>
  <c r="C136" i="5"/>
  <c r="B136" i="5"/>
  <c r="A136" i="5"/>
  <c r="H134" i="5"/>
  <c r="G134" i="5"/>
  <c r="E134" i="5"/>
  <c r="E133" i="5"/>
  <c r="E132" i="5"/>
  <c r="I131" i="5"/>
  <c r="H131" i="5"/>
  <c r="G131" i="5"/>
  <c r="F131" i="5"/>
  <c r="D129" i="5"/>
  <c r="C129" i="5"/>
  <c r="B129" i="5"/>
  <c r="A129" i="5"/>
  <c r="H127" i="5"/>
  <c r="G127" i="5"/>
  <c r="E127" i="5"/>
  <c r="E126" i="5"/>
  <c r="E125" i="5"/>
  <c r="E124" i="5"/>
  <c r="I123" i="5"/>
  <c r="H123" i="5"/>
  <c r="G123" i="5"/>
  <c r="F123" i="5"/>
  <c r="I122" i="5"/>
  <c r="H122" i="5"/>
  <c r="G122" i="5"/>
  <c r="F122" i="5"/>
  <c r="I121" i="5"/>
  <c r="H121" i="5"/>
  <c r="G121" i="5"/>
  <c r="F121" i="5"/>
  <c r="D119" i="5"/>
  <c r="C119" i="5"/>
  <c r="B119" i="5"/>
  <c r="A119" i="5"/>
  <c r="A118" i="5"/>
  <c r="I112" i="5"/>
  <c r="H112" i="5"/>
  <c r="G112" i="5"/>
  <c r="F112" i="5"/>
  <c r="E112" i="5"/>
  <c r="D112" i="5"/>
  <c r="C112" i="5"/>
  <c r="B112" i="5"/>
  <c r="A112" i="5"/>
  <c r="H110" i="5"/>
  <c r="G110" i="5"/>
  <c r="E110" i="5"/>
  <c r="E109" i="5"/>
  <c r="E108" i="5"/>
  <c r="E107" i="5"/>
  <c r="I106" i="5"/>
  <c r="H106" i="5"/>
  <c r="G106" i="5"/>
  <c r="F106" i="5"/>
  <c r="I105" i="5"/>
  <c r="H105" i="5"/>
  <c r="G105" i="5"/>
  <c r="F105" i="5"/>
  <c r="I104" i="5"/>
  <c r="H104" i="5"/>
  <c r="G104" i="5"/>
  <c r="F104" i="5"/>
  <c r="I103" i="5"/>
  <c r="H103" i="5"/>
  <c r="G103" i="5"/>
  <c r="F103" i="5"/>
  <c r="E102" i="5"/>
  <c r="D102" i="5"/>
  <c r="C102" i="5"/>
  <c r="B102" i="5"/>
  <c r="A102" i="5"/>
  <c r="H100" i="5"/>
  <c r="G100" i="5"/>
  <c r="E100" i="5"/>
  <c r="E99" i="5"/>
  <c r="E98" i="5"/>
  <c r="E97" i="5"/>
  <c r="I96" i="5"/>
  <c r="H96" i="5"/>
  <c r="G96" i="5"/>
  <c r="F96" i="5"/>
  <c r="I95" i="5"/>
  <c r="H95" i="5"/>
  <c r="G95" i="5"/>
  <c r="F95" i="5"/>
  <c r="I94" i="5"/>
  <c r="H94" i="5"/>
  <c r="G94" i="5"/>
  <c r="F94" i="5"/>
  <c r="I93" i="5"/>
  <c r="H93" i="5"/>
  <c r="G93" i="5"/>
  <c r="F93" i="5"/>
  <c r="D91" i="5"/>
  <c r="C91" i="5"/>
  <c r="B91" i="5"/>
  <c r="A91" i="5"/>
  <c r="A90" i="5"/>
  <c r="I84" i="5"/>
  <c r="H84" i="5"/>
  <c r="G84" i="5"/>
  <c r="F84" i="5"/>
  <c r="E84" i="5"/>
  <c r="D84" i="5"/>
  <c r="B84" i="5"/>
  <c r="A84" i="5"/>
  <c r="I82" i="5"/>
  <c r="H82" i="5"/>
  <c r="G82" i="5"/>
  <c r="F82" i="5"/>
  <c r="E82" i="5"/>
  <c r="D82" i="5"/>
  <c r="B82" i="5"/>
  <c r="A82" i="5"/>
  <c r="I80" i="5"/>
  <c r="H80" i="5"/>
  <c r="G80" i="5"/>
  <c r="F80" i="5"/>
  <c r="E80" i="5"/>
  <c r="D80" i="5"/>
  <c r="B80" i="5"/>
  <c r="A80" i="5"/>
  <c r="I78" i="5"/>
  <c r="H78" i="5"/>
  <c r="G78" i="5"/>
  <c r="F78" i="5"/>
  <c r="E78" i="5"/>
  <c r="D78" i="5"/>
  <c r="B78" i="5"/>
  <c r="A78" i="5"/>
  <c r="I76" i="5"/>
  <c r="H76" i="5"/>
  <c r="G76" i="5"/>
  <c r="F76" i="5"/>
  <c r="E76" i="5"/>
  <c r="D76" i="5"/>
  <c r="B76" i="5"/>
  <c r="A76" i="5"/>
  <c r="I74" i="5"/>
  <c r="H74" i="5"/>
  <c r="G74" i="5"/>
  <c r="F74" i="5"/>
  <c r="E74" i="5"/>
  <c r="D74" i="5"/>
  <c r="B74" i="5"/>
  <c r="A74" i="5"/>
  <c r="H72" i="5"/>
  <c r="G72" i="5"/>
  <c r="E72" i="5"/>
  <c r="E71" i="5"/>
  <c r="E70" i="5"/>
  <c r="E69" i="5"/>
  <c r="I68" i="5"/>
  <c r="H68" i="5"/>
  <c r="G68" i="5"/>
  <c r="F68" i="5"/>
  <c r="I67" i="5"/>
  <c r="H67" i="5"/>
  <c r="G67" i="5"/>
  <c r="F67" i="5"/>
  <c r="I66" i="5"/>
  <c r="H66" i="5"/>
  <c r="G66" i="5"/>
  <c r="F66" i="5"/>
  <c r="E65" i="5"/>
  <c r="D65" i="5"/>
  <c r="C65" i="5"/>
  <c r="B65" i="5"/>
  <c r="A65" i="5"/>
  <c r="A64" i="5"/>
  <c r="I58" i="5"/>
  <c r="H58" i="5"/>
  <c r="G58" i="5"/>
  <c r="F58" i="5"/>
  <c r="E58" i="5"/>
  <c r="D58" i="5"/>
  <c r="C58" i="5"/>
  <c r="B58" i="5"/>
  <c r="A58" i="5"/>
  <c r="I56" i="5"/>
  <c r="H56" i="5"/>
  <c r="G56" i="5"/>
  <c r="F56" i="5"/>
  <c r="I55" i="5"/>
  <c r="H55" i="5"/>
  <c r="G55" i="5"/>
  <c r="F55" i="5"/>
  <c r="D54" i="5"/>
  <c r="C54" i="5"/>
  <c r="B54" i="5"/>
  <c r="A54" i="5"/>
  <c r="I52" i="5"/>
  <c r="H52" i="5"/>
  <c r="G52" i="5"/>
  <c r="F52" i="5"/>
  <c r="I51" i="5"/>
  <c r="H51" i="5"/>
  <c r="G51" i="5"/>
  <c r="F51" i="5"/>
  <c r="D50" i="5"/>
  <c r="C50" i="5"/>
  <c r="B50" i="5"/>
  <c r="A50" i="5"/>
  <c r="H48" i="5"/>
  <c r="G48" i="5"/>
  <c r="E48" i="5"/>
  <c r="E47" i="5"/>
  <c r="E46" i="5"/>
  <c r="I45" i="5"/>
  <c r="H45" i="5"/>
  <c r="G45" i="5"/>
  <c r="F45" i="5"/>
  <c r="E44" i="5"/>
  <c r="D44" i="5"/>
  <c r="C44" i="5"/>
  <c r="B44" i="5"/>
  <c r="A44" i="5"/>
  <c r="H42" i="5"/>
  <c r="G42" i="5"/>
  <c r="E42" i="5"/>
  <c r="E41" i="5"/>
  <c r="E40" i="5"/>
  <c r="I39" i="5"/>
  <c r="H39" i="5"/>
  <c r="G39" i="5"/>
  <c r="F39" i="5"/>
  <c r="I38" i="5"/>
  <c r="H38" i="5"/>
  <c r="G38" i="5"/>
  <c r="F38" i="5"/>
  <c r="D36" i="5"/>
  <c r="C36" i="5"/>
  <c r="B36" i="5"/>
  <c r="A36" i="5"/>
  <c r="A35" i="5"/>
  <c r="A33" i="5"/>
  <c r="A18" i="5"/>
  <c r="A1" i="5"/>
  <c r="D44" i="7" l="1"/>
  <c r="M10" i="8"/>
  <c r="T37" i="8"/>
  <c r="T56" i="8"/>
  <c r="T83" i="8"/>
  <c r="T87" i="8"/>
  <c r="O193" i="8"/>
  <c r="D28" i="7"/>
  <c r="O13" i="8"/>
  <c r="O90" i="8"/>
  <c r="T133" i="8"/>
  <c r="R133" i="8"/>
  <c r="M54" i="8"/>
  <c r="F58" i="7" s="1"/>
  <c r="M134" i="8"/>
  <c r="M171" i="8"/>
  <c r="F199" i="7" s="1"/>
  <c r="R193" i="8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1" i="3"/>
  <c r="CY1" i="3"/>
  <c r="CZ1" i="3"/>
  <c r="DA1" i="3"/>
  <c r="DB1" i="3"/>
  <c r="DC1" i="3"/>
  <c r="A2" i="3"/>
  <c r="CY2" i="3"/>
  <c r="CZ2" i="3"/>
  <c r="DB2" i="3" s="1"/>
  <c r="L9" i="8" s="1"/>
  <c r="DA2" i="3"/>
  <c r="DC2" i="3"/>
  <c r="Q9" i="8" s="1"/>
  <c r="A3" i="3"/>
  <c r="CY3" i="3"/>
  <c r="CZ3" i="3"/>
  <c r="DB3" i="3" s="1"/>
  <c r="DA3" i="3"/>
  <c r="DC3" i="3"/>
  <c r="A4" i="3"/>
  <c r="CX4" i="3"/>
  <c r="CY4" i="3"/>
  <c r="CZ4" i="3"/>
  <c r="DB4" i="3" s="1"/>
  <c r="DA4" i="3"/>
  <c r="DC4" i="3"/>
  <c r="A5" i="3"/>
  <c r="CX5" i="3"/>
  <c r="CY5" i="3"/>
  <c r="CZ5" i="3"/>
  <c r="DA5" i="3"/>
  <c r="DB5" i="3"/>
  <c r="DC5" i="3"/>
  <c r="A6" i="3"/>
  <c r="CX6" i="3"/>
  <c r="CY6" i="3"/>
  <c r="CZ6" i="3"/>
  <c r="DB6" i="3" s="1"/>
  <c r="DA6" i="3"/>
  <c r="DC6" i="3"/>
  <c r="A7" i="3"/>
  <c r="CY7" i="3"/>
  <c r="CZ7" i="3"/>
  <c r="DB7" i="3" s="1"/>
  <c r="L11" i="8" s="1"/>
  <c r="DA7" i="3"/>
  <c r="DC7" i="3"/>
  <c r="Q11" i="8" s="1"/>
  <c r="A8" i="3"/>
  <c r="CY8" i="3"/>
  <c r="CZ8" i="3"/>
  <c r="DB8" i="3" s="1"/>
  <c r="L10" i="8" s="1"/>
  <c r="O10" i="8" s="1"/>
  <c r="DA8" i="3"/>
  <c r="DC8" i="3"/>
  <c r="Q10" i="8" s="1"/>
  <c r="A9" i="3"/>
  <c r="CY9" i="3"/>
  <c r="CZ9" i="3"/>
  <c r="DB9" i="3" s="1"/>
  <c r="L13" i="8" s="1"/>
  <c r="M13" i="8" s="1"/>
  <c r="DA9" i="3"/>
  <c r="DC9" i="3"/>
  <c r="Q13" i="8" s="1"/>
  <c r="A10" i="3"/>
  <c r="CY10" i="3"/>
  <c r="CZ10" i="3"/>
  <c r="DA10" i="3"/>
  <c r="DB10" i="3"/>
  <c r="L12" i="8" s="1"/>
  <c r="DC10" i="3"/>
  <c r="Q12" i="8" s="1"/>
  <c r="A11" i="3"/>
  <c r="CX11" i="3"/>
  <c r="CY11" i="3"/>
  <c r="CZ11" i="3"/>
  <c r="DB11" i="3" s="1"/>
  <c r="DA11" i="3"/>
  <c r="DC11" i="3"/>
  <c r="A12" i="3"/>
  <c r="CX12" i="3"/>
  <c r="CY12" i="3"/>
  <c r="CZ12" i="3"/>
  <c r="DB12" i="3" s="1"/>
  <c r="L16" i="8" s="1"/>
  <c r="DA12" i="3"/>
  <c r="DC12" i="3"/>
  <c r="Q16" i="8" s="1"/>
  <c r="R16" i="8" s="1"/>
  <c r="A13" i="3"/>
  <c r="CX13" i="3"/>
  <c r="CY13" i="3"/>
  <c r="CZ13" i="3"/>
  <c r="DA13" i="3"/>
  <c r="DB13" i="3"/>
  <c r="DC13" i="3"/>
  <c r="A14" i="3"/>
  <c r="CX14" i="3"/>
  <c r="CY14" i="3"/>
  <c r="CZ14" i="3"/>
  <c r="DB14" i="3" s="1"/>
  <c r="DA14" i="3"/>
  <c r="DC14" i="3"/>
  <c r="A15" i="3"/>
  <c r="CX15" i="3"/>
  <c r="CY15" i="3"/>
  <c r="CZ15" i="3"/>
  <c r="DB15" i="3" s="1"/>
  <c r="DA15" i="3"/>
  <c r="DC15" i="3"/>
  <c r="A16" i="3"/>
  <c r="CX16" i="3"/>
  <c r="CY16" i="3"/>
  <c r="CZ16" i="3"/>
  <c r="DB16" i="3" s="1"/>
  <c r="DA16" i="3"/>
  <c r="DC16" i="3"/>
  <c r="A17" i="3"/>
  <c r="CX17" i="3"/>
  <c r="CY17" i="3"/>
  <c r="CZ17" i="3"/>
  <c r="DB17" i="3" s="1"/>
  <c r="DA17" i="3"/>
  <c r="DC17" i="3"/>
  <c r="A18" i="3"/>
  <c r="CX18" i="3"/>
  <c r="CY18" i="3"/>
  <c r="CZ18" i="3"/>
  <c r="DA18" i="3"/>
  <c r="DB18" i="3"/>
  <c r="DC18" i="3"/>
  <c r="A19" i="3"/>
  <c r="CX19" i="3"/>
  <c r="CY19" i="3"/>
  <c r="CZ19" i="3"/>
  <c r="DB19" i="3" s="1"/>
  <c r="DA19" i="3"/>
  <c r="DC19" i="3"/>
  <c r="A20" i="3"/>
  <c r="CX20" i="3"/>
  <c r="CY20" i="3"/>
  <c r="CZ20" i="3"/>
  <c r="DB20" i="3" s="1"/>
  <c r="DA20" i="3"/>
  <c r="DC20" i="3"/>
  <c r="A21" i="3"/>
  <c r="CX21" i="3"/>
  <c r="CY21" i="3"/>
  <c r="CZ21" i="3"/>
  <c r="DA21" i="3"/>
  <c r="DB21" i="3"/>
  <c r="DC21" i="3"/>
  <c r="A22" i="3"/>
  <c r="CX22" i="3"/>
  <c r="CY22" i="3"/>
  <c r="CZ22" i="3"/>
  <c r="DB22" i="3" s="1"/>
  <c r="DA22" i="3"/>
  <c r="DC22" i="3"/>
  <c r="A23" i="3"/>
  <c r="CX23" i="3"/>
  <c r="CY23" i="3"/>
  <c r="CZ23" i="3"/>
  <c r="DB23" i="3" s="1"/>
  <c r="DA23" i="3"/>
  <c r="DC23" i="3"/>
  <c r="A24" i="3"/>
  <c r="CX24" i="3"/>
  <c r="CY24" i="3"/>
  <c r="CZ24" i="3"/>
  <c r="DB24" i="3" s="1"/>
  <c r="DA24" i="3"/>
  <c r="DC24" i="3"/>
  <c r="A25" i="3"/>
  <c r="CX25" i="3"/>
  <c r="CY25" i="3"/>
  <c r="CZ25" i="3"/>
  <c r="DB25" i="3" s="1"/>
  <c r="DA25" i="3"/>
  <c r="DC25" i="3"/>
  <c r="A26" i="3"/>
  <c r="CX26" i="3"/>
  <c r="CY26" i="3"/>
  <c r="CZ26" i="3"/>
  <c r="DA26" i="3"/>
  <c r="DB26" i="3"/>
  <c r="DC26" i="3"/>
  <c r="A27" i="3"/>
  <c r="CX27" i="3"/>
  <c r="CY27" i="3"/>
  <c r="CZ27" i="3"/>
  <c r="DB27" i="3" s="1"/>
  <c r="DA27" i="3"/>
  <c r="DC27" i="3"/>
  <c r="A28" i="3"/>
  <c r="CX28" i="3"/>
  <c r="CY28" i="3"/>
  <c r="CZ28" i="3"/>
  <c r="DB28" i="3" s="1"/>
  <c r="DA28" i="3"/>
  <c r="DC28" i="3"/>
  <c r="A29" i="3"/>
  <c r="CY29" i="3"/>
  <c r="CZ29" i="3"/>
  <c r="DB29" i="3" s="1"/>
  <c r="DA29" i="3"/>
  <c r="DC29" i="3"/>
  <c r="A30" i="3"/>
  <c r="CY30" i="3"/>
  <c r="CZ30" i="3"/>
  <c r="DA30" i="3"/>
  <c r="DB30" i="3"/>
  <c r="L32" i="8" s="1"/>
  <c r="DC30" i="3"/>
  <c r="Q32" i="8" s="1"/>
  <c r="A31" i="3"/>
  <c r="CY31" i="3"/>
  <c r="CZ31" i="3"/>
  <c r="DB31" i="3" s="1"/>
  <c r="L31" i="8" s="1"/>
  <c r="DA31" i="3"/>
  <c r="DC31" i="3"/>
  <c r="Q31" i="8" s="1"/>
  <c r="A32" i="3"/>
  <c r="CY32" i="3"/>
  <c r="CZ32" i="3"/>
  <c r="DB32" i="3" s="1"/>
  <c r="L30" i="8" s="1"/>
  <c r="DA32" i="3"/>
  <c r="DC32" i="3"/>
  <c r="Q30" i="8" s="1"/>
  <c r="A33" i="3"/>
  <c r="CY33" i="3"/>
  <c r="CZ33" i="3"/>
  <c r="DA33" i="3"/>
  <c r="DB33" i="3"/>
  <c r="L29" i="8" s="1"/>
  <c r="DC33" i="3"/>
  <c r="Q29" i="8" s="1"/>
  <c r="A34" i="3"/>
  <c r="CY34" i="3"/>
  <c r="CZ34" i="3"/>
  <c r="DB34" i="3" s="1"/>
  <c r="L28" i="8" s="1"/>
  <c r="DA34" i="3"/>
  <c r="DC34" i="3"/>
  <c r="Q28" i="8" s="1"/>
  <c r="A35" i="3"/>
  <c r="CY35" i="3"/>
  <c r="CZ35" i="3"/>
  <c r="DB35" i="3" s="1"/>
  <c r="L27" i="8" s="1"/>
  <c r="DA35" i="3"/>
  <c r="DC35" i="3"/>
  <c r="Q27" i="8" s="1"/>
  <c r="A36" i="3"/>
  <c r="CY36" i="3"/>
  <c r="CZ36" i="3"/>
  <c r="DB36" i="3" s="1"/>
  <c r="L26" i="8" s="1"/>
  <c r="DA36" i="3"/>
  <c r="DC36" i="3"/>
  <c r="Q26" i="8" s="1"/>
  <c r="A37" i="3"/>
  <c r="CY37" i="3"/>
  <c r="CZ37" i="3"/>
  <c r="DB37" i="3" s="1"/>
  <c r="L25" i="8" s="1"/>
  <c r="DA37" i="3"/>
  <c r="DC37" i="3"/>
  <c r="Q25" i="8" s="1"/>
  <c r="A38" i="3"/>
  <c r="CY38" i="3"/>
  <c r="CZ38" i="3"/>
  <c r="DA38" i="3"/>
  <c r="DB38" i="3"/>
  <c r="L24" i="8" s="1"/>
  <c r="DC38" i="3"/>
  <c r="Q24" i="8" s="1"/>
  <c r="A39" i="3"/>
  <c r="CX39" i="3"/>
  <c r="CY39" i="3"/>
  <c r="CZ39" i="3"/>
  <c r="DB39" i="3" s="1"/>
  <c r="DA39" i="3"/>
  <c r="DC39" i="3"/>
  <c r="A40" i="3"/>
  <c r="CX40" i="3"/>
  <c r="CY40" i="3"/>
  <c r="CZ40" i="3"/>
  <c r="DB40" i="3" s="1"/>
  <c r="L37" i="8" s="1"/>
  <c r="DA40" i="3"/>
  <c r="DC40" i="3"/>
  <c r="Q37" i="8" s="1"/>
  <c r="R37" i="8" s="1"/>
  <c r="A41" i="3"/>
  <c r="CX41" i="3"/>
  <c r="CY41" i="3"/>
  <c r="CZ41" i="3"/>
  <c r="DA41" i="3"/>
  <c r="DB41" i="3"/>
  <c r="L36" i="8" s="1"/>
  <c r="DC41" i="3"/>
  <c r="Q36" i="8" s="1"/>
  <c r="A42" i="3"/>
  <c r="CX42" i="3"/>
  <c r="CY42" i="3"/>
  <c r="CZ42" i="3"/>
  <c r="DB42" i="3" s="1"/>
  <c r="L35" i="8" s="1"/>
  <c r="DA42" i="3"/>
  <c r="DC42" i="3"/>
  <c r="Q35" i="8" s="1"/>
  <c r="A43" i="3"/>
  <c r="CX43" i="3"/>
  <c r="CY43" i="3"/>
  <c r="CZ43" i="3"/>
  <c r="DB43" i="3" s="1"/>
  <c r="L34" i="8" s="1"/>
  <c r="DA43" i="3"/>
  <c r="DC43" i="3"/>
  <c r="Q34" i="8" s="1"/>
  <c r="A44" i="3"/>
  <c r="CX44" i="3"/>
  <c r="CY44" i="3"/>
  <c r="CZ44" i="3"/>
  <c r="DB44" i="3" s="1"/>
  <c r="L33" i="8" s="1"/>
  <c r="DA44" i="3"/>
  <c r="DC44" i="3"/>
  <c r="Q33" i="8" s="1"/>
  <c r="A45" i="3"/>
  <c r="CY45" i="3"/>
  <c r="CZ45" i="3"/>
  <c r="DA45" i="3"/>
  <c r="DB45" i="3"/>
  <c r="DC45" i="3"/>
  <c r="A46" i="3"/>
  <c r="CY46" i="3"/>
  <c r="CZ46" i="3"/>
  <c r="DB46" i="3" s="1"/>
  <c r="L41" i="8" s="1"/>
  <c r="DA46" i="3"/>
  <c r="DC46" i="3"/>
  <c r="Q41" i="8" s="1"/>
  <c r="A47" i="3"/>
  <c r="CY47" i="3"/>
  <c r="CZ47" i="3"/>
  <c r="DB47" i="3" s="1"/>
  <c r="L40" i="8" s="1"/>
  <c r="DA47" i="3"/>
  <c r="DC47" i="3"/>
  <c r="Q40" i="8" s="1"/>
  <c r="A48" i="3"/>
  <c r="CY48" i="3"/>
  <c r="CZ48" i="3"/>
  <c r="DB48" i="3" s="1"/>
  <c r="DA48" i="3"/>
  <c r="DC48" i="3"/>
  <c r="A49" i="3"/>
  <c r="CY49" i="3"/>
  <c r="CZ49" i="3"/>
  <c r="DB49" i="3" s="1"/>
  <c r="L42" i="8" s="1"/>
  <c r="DA49" i="3"/>
  <c r="DC49" i="3"/>
  <c r="Q42" i="8" s="1"/>
  <c r="A50" i="3"/>
  <c r="CY50" i="3"/>
  <c r="CZ50" i="3"/>
  <c r="DA50" i="3"/>
  <c r="DB50" i="3"/>
  <c r="DC50" i="3"/>
  <c r="A51" i="3"/>
  <c r="CY51" i="3"/>
  <c r="CZ51" i="3"/>
  <c r="DB51" i="3" s="1"/>
  <c r="L44" i="8" s="1"/>
  <c r="DA51" i="3"/>
  <c r="DC51" i="3"/>
  <c r="Q44" i="8" s="1"/>
  <c r="A52" i="3"/>
  <c r="CY52" i="3"/>
  <c r="CZ52" i="3"/>
  <c r="DB52" i="3" s="1"/>
  <c r="L43" i="8" s="1"/>
  <c r="DA52" i="3"/>
  <c r="DC52" i="3"/>
  <c r="Q43" i="8" s="1"/>
  <c r="A53" i="3"/>
  <c r="CY53" i="3"/>
  <c r="CZ53" i="3"/>
  <c r="DA53" i="3"/>
  <c r="DB53" i="3"/>
  <c r="L46" i="8" s="1"/>
  <c r="DC53" i="3"/>
  <c r="Q46" i="8" s="1"/>
  <c r="A54" i="3"/>
  <c r="CY54" i="3"/>
  <c r="CZ54" i="3"/>
  <c r="DB54" i="3" s="1"/>
  <c r="L45" i="8" s="1"/>
  <c r="DA54" i="3"/>
  <c r="DC54" i="3"/>
  <c r="Q45" i="8" s="1"/>
  <c r="A55" i="3"/>
  <c r="CY55" i="3"/>
  <c r="CZ55" i="3"/>
  <c r="DB55" i="3" s="1"/>
  <c r="L48" i="8" s="1"/>
  <c r="DA55" i="3"/>
  <c r="DC55" i="3"/>
  <c r="Q48" i="8" s="1"/>
  <c r="A56" i="3"/>
  <c r="CY56" i="3"/>
  <c r="CZ56" i="3"/>
  <c r="DB56" i="3" s="1"/>
  <c r="L47" i="8" s="1"/>
  <c r="DA56" i="3"/>
  <c r="DC56" i="3"/>
  <c r="Q47" i="8" s="1"/>
  <c r="A57" i="3"/>
  <c r="CY57" i="3"/>
  <c r="CZ57" i="3"/>
  <c r="DB57" i="3" s="1"/>
  <c r="DA57" i="3"/>
  <c r="DC57" i="3"/>
  <c r="A58" i="3"/>
  <c r="CY58" i="3"/>
  <c r="CZ58" i="3"/>
  <c r="DA58" i="3"/>
  <c r="DB58" i="3"/>
  <c r="L56" i="8" s="1"/>
  <c r="DC58" i="3"/>
  <c r="Q56" i="8" s="1"/>
  <c r="A59" i="3"/>
  <c r="CY59" i="3"/>
  <c r="CZ59" i="3"/>
  <c r="DB59" i="3" s="1"/>
  <c r="L55" i="8" s="1"/>
  <c r="DA59" i="3"/>
  <c r="DC59" i="3"/>
  <c r="Q55" i="8" s="1"/>
  <c r="A60" i="3"/>
  <c r="CY60" i="3"/>
  <c r="CZ60" i="3"/>
  <c r="DB60" i="3" s="1"/>
  <c r="L54" i="8" s="1"/>
  <c r="DA60" i="3"/>
  <c r="DC60" i="3"/>
  <c r="Q54" i="8" s="1"/>
  <c r="A61" i="3"/>
  <c r="CY61" i="3"/>
  <c r="CZ61" i="3"/>
  <c r="DA61" i="3"/>
  <c r="DB61" i="3"/>
  <c r="L53" i="8" s="1"/>
  <c r="DC61" i="3"/>
  <c r="Q53" i="8" s="1"/>
  <c r="A62" i="3"/>
  <c r="CY62" i="3"/>
  <c r="CZ62" i="3"/>
  <c r="DB62" i="3" s="1"/>
  <c r="L52" i="8" s="1"/>
  <c r="DA62" i="3"/>
  <c r="DC62" i="3"/>
  <c r="Q52" i="8" s="1"/>
  <c r="A63" i="3"/>
  <c r="CY63" i="3"/>
  <c r="CZ63" i="3"/>
  <c r="DB63" i="3" s="1"/>
  <c r="L51" i="8" s="1"/>
  <c r="DA63" i="3"/>
  <c r="DC63" i="3"/>
  <c r="Q51" i="8" s="1"/>
  <c r="A64" i="3"/>
  <c r="CY64" i="3"/>
  <c r="CZ64" i="3"/>
  <c r="DB64" i="3" s="1"/>
  <c r="L50" i="8" s="1"/>
  <c r="DA64" i="3"/>
  <c r="DC64" i="3"/>
  <c r="Q50" i="8" s="1"/>
  <c r="A65" i="3"/>
  <c r="CX65" i="3"/>
  <c r="CY65" i="3"/>
  <c r="CZ65" i="3"/>
  <c r="DA65" i="3"/>
  <c r="DB65" i="3"/>
  <c r="DC65" i="3"/>
  <c r="A66" i="3"/>
  <c r="CX66" i="3"/>
  <c r="CY66" i="3"/>
  <c r="CZ66" i="3"/>
  <c r="DB66" i="3" s="1"/>
  <c r="DA66" i="3"/>
  <c r="DC66" i="3"/>
  <c r="A67" i="3"/>
  <c r="CX67" i="3"/>
  <c r="CY67" i="3"/>
  <c r="CZ67" i="3"/>
  <c r="DB67" i="3" s="1"/>
  <c r="DA67" i="3"/>
  <c r="DC67" i="3"/>
  <c r="A68" i="3"/>
  <c r="CX68" i="3"/>
  <c r="CY68" i="3"/>
  <c r="CZ68" i="3"/>
  <c r="DB68" i="3" s="1"/>
  <c r="DA68" i="3"/>
  <c r="DC68" i="3"/>
  <c r="A69" i="3"/>
  <c r="CY69" i="3"/>
  <c r="CZ69" i="3"/>
  <c r="DA69" i="3"/>
  <c r="DB69" i="3"/>
  <c r="DC69" i="3"/>
  <c r="A70" i="3"/>
  <c r="CY70" i="3"/>
  <c r="CZ70" i="3"/>
  <c r="DB70" i="3" s="1"/>
  <c r="L59" i="8" s="1"/>
  <c r="DA70" i="3"/>
  <c r="DC70" i="3"/>
  <c r="Q59" i="8" s="1"/>
  <c r="A71" i="3"/>
  <c r="CY71" i="3"/>
  <c r="CZ71" i="3"/>
  <c r="DB71" i="3" s="1"/>
  <c r="DA71" i="3"/>
  <c r="DC71" i="3"/>
  <c r="A72" i="3"/>
  <c r="CX72" i="3"/>
  <c r="CY72" i="3"/>
  <c r="CZ72" i="3"/>
  <c r="DB72" i="3" s="1"/>
  <c r="DA72" i="3"/>
  <c r="DC72" i="3"/>
  <c r="A73" i="3"/>
  <c r="CX73" i="3"/>
  <c r="CY73" i="3"/>
  <c r="CZ73" i="3"/>
  <c r="DA73" i="3"/>
  <c r="DB73" i="3"/>
  <c r="DC73" i="3"/>
  <c r="A74" i="3"/>
  <c r="CX74" i="3"/>
  <c r="CY74" i="3"/>
  <c r="CZ74" i="3"/>
  <c r="DA74" i="3"/>
  <c r="DB74" i="3"/>
  <c r="DC74" i="3"/>
  <c r="A75" i="3"/>
  <c r="CY75" i="3"/>
  <c r="CZ75" i="3"/>
  <c r="DB75" i="3" s="1"/>
  <c r="L61" i="8" s="1"/>
  <c r="DA75" i="3"/>
  <c r="DC75" i="3"/>
  <c r="Q61" i="8" s="1"/>
  <c r="A76" i="3"/>
  <c r="CY76" i="3"/>
  <c r="CZ76" i="3"/>
  <c r="DB76" i="3" s="1"/>
  <c r="L60" i="8" s="1"/>
  <c r="M60" i="8" s="1"/>
  <c r="DA76" i="3"/>
  <c r="DC76" i="3"/>
  <c r="Q60" i="8" s="1"/>
  <c r="A77" i="3"/>
  <c r="CY77" i="3"/>
  <c r="CZ77" i="3"/>
  <c r="DA77" i="3"/>
  <c r="DB77" i="3"/>
  <c r="L63" i="8" s="1"/>
  <c r="DC77" i="3"/>
  <c r="Q63" i="8" s="1"/>
  <c r="A78" i="3"/>
  <c r="CY78" i="3"/>
  <c r="CZ78" i="3"/>
  <c r="DB78" i="3" s="1"/>
  <c r="L62" i="8" s="1"/>
  <c r="DA78" i="3"/>
  <c r="DC78" i="3"/>
  <c r="Q62" i="8" s="1"/>
  <c r="A79" i="3"/>
  <c r="CX79" i="3"/>
  <c r="CY79" i="3"/>
  <c r="CZ79" i="3"/>
  <c r="DB79" i="3" s="1"/>
  <c r="DA79" i="3"/>
  <c r="DC79" i="3"/>
  <c r="A80" i="3"/>
  <c r="CX80" i="3"/>
  <c r="CY80" i="3"/>
  <c r="CZ80" i="3"/>
  <c r="DB80" i="3" s="1"/>
  <c r="L66" i="8" s="1"/>
  <c r="DA80" i="3"/>
  <c r="DC80" i="3"/>
  <c r="Q66" i="8" s="1"/>
  <c r="A81" i="3"/>
  <c r="CX81" i="3"/>
  <c r="CY81" i="3"/>
  <c r="CZ81" i="3"/>
  <c r="DA81" i="3"/>
  <c r="DB81" i="3"/>
  <c r="DC81" i="3"/>
  <c r="A82" i="3"/>
  <c r="CX82" i="3"/>
  <c r="CY82" i="3"/>
  <c r="CZ82" i="3"/>
  <c r="DA82" i="3"/>
  <c r="DB82" i="3"/>
  <c r="DC82" i="3"/>
  <c r="A83" i="3"/>
  <c r="CX83" i="3"/>
  <c r="CY83" i="3"/>
  <c r="CZ83" i="3"/>
  <c r="DB83" i="3" s="1"/>
  <c r="DA83" i="3"/>
  <c r="DC83" i="3"/>
  <c r="A84" i="3"/>
  <c r="CY84" i="3"/>
  <c r="CZ84" i="3"/>
  <c r="DB84" i="3" s="1"/>
  <c r="DA84" i="3"/>
  <c r="DC84" i="3"/>
  <c r="A85" i="3"/>
  <c r="CY85" i="3"/>
  <c r="CZ85" i="3"/>
  <c r="DA85" i="3"/>
  <c r="DB85" i="3"/>
  <c r="L82" i="8" s="1"/>
  <c r="DC85" i="3"/>
  <c r="Q82" i="8" s="1"/>
  <c r="A86" i="3"/>
  <c r="CY86" i="3"/>
  <c r="CZ86" i="3"/>
  <c r="DB86" i="3" s="1"/>
  <c r="L81" i="8" s="1"/>
  <c r="DA86" i="3"/>
  <c r="DC86" i="3"/>
  <c r="Q81" i="8" s="1"/>
  <c r="A87" i="3"/>
  <c r="CY87" i="3"/>
  <c r="CZ87" i="3"/>
  <c r="DB87" i="3" s="1"/>
  <c r="L80" i="8" s="1"/>
  <c r="DA87" i="3"/>
  <c r="DC87" i="3"/>
  <c r="Q80" i="8" s="1"/>
  <c r="A88" i="3"/>
  <c r="CY88" i="3"/>
  <c r="CZ88" i="3"/>
  <c r="DB88" i="3" s="1"/>
  <c r="L79" i="8" s="1"/>
  <c r="DA88" i="3"/>
  <c r="DC88" i="3"/>
  <c r="Q79" i="8" s="1"/>
  <c r="A89" i="3"/>
  <c r="CY89" i="3"/>
  <c r="CZ89" i="3"/>
  <c r="DB89" i="3" s="1"/>
  <c r="L78" i="8" s="1"/>
  <c r="DA89" i="3"/>
  <c r="DC89" i="3"/>
  <c r="Q78" i="8" s="1"/>
  <c r="A90" i="3"/>
  <c r="CY90" i="3"/>
  <c r="CZ90" i="3"/>
  <c r="DA90" i="3"/>
  <c r="DB90" i="3"/>
  <c r="L77" i="8" s="1"/>
  <c r="DC90" i="3"/>
  <c r="Q77" i="8" s="1"/>
  <c r="A91" i="3"/>
  <c r="CY91" i="3"/>
  <c r="CZ91" i="3"/>
  <c r="DB91" i="3" s="1"/>
  <c r="L76" i="8" s="1"/>
  <c r="DA91" i="3"/>
  <c r="DC91" i="3"/>
  <c r="Q76" i="8" s="1"/>
  <c r="A92" i="3"/>
  <c r="CY92" i="3"/>
  <c r="CZ92" i="3"/>
  <c r="DB92" i="3" s="1"/>
  <c r="L75" i="8" s="1"/>
  <c r="DA92" i="3"/>
  <c r="DC92" i="3"/>
  <c r="Q75" i="8" s="1"/>
  <c r="A93" i="3"/>
  <c r="CY93" i="3"/>
  <c r="CZ93" i="3"/>
  <c r="DA93" i="3"/>
  <c r="DB93" i="3"/>
  <c r="L74" i="8" s="1"/>
  <c r="DC93" i="3"/>
  <c r="Q74" i="8" s="1"/>
  <c r="A94" i="3"/>
  <c r="CX94" i="3"/>
  <c r="CY94" i="3"/>
  <c r="CZ94" i="3"/>
  <c r="DA94" i="3"/>
  <c r="DB94" i="3"/>
  <c r="DC94" i="3"/>
  <c r="A95" i="3"/>
  <c r="CX95" i="3"/>
  <c r="CY95" i="3"/>
  <c r="CZ95" i="3"/>
  <c r="DB95" i="3" s="1"/>
  <c r="L87" i="8" s="1"/>
  <c r="DA95" i="3"/>
  <c r="DC95" i="3"/>
  <c r="Q87" i="8" s="1"/>
  <c r="R87" i="8" s="1"/>
  <c r="A96" i="3"/>
  <c r="CX96" i="3"/>
  <c r="CY96" i="3"/>
  <c r="CZ96" i="3"/>
  <c r="DB96" i="3" s="1"/>
  <c r="L86" i="8" s="1"/>
  <c r="DA96" i="3"/>
  <c r="DC96" i="3"/>
  <c r="Q86" i="8" s="1"/>
  <c r="A97" i="3"/>
  <c r="CX97" i="3"/>
  <c r="CY97" i="3"/>
  <c r="CZ97" i="3"/>
  <c r="DB97" i="3" s="1"/>
  <c r="L85" i="8" s="1"/>
  <c r="O85" i="8" s="1"/>
  <c r="DA97" i="3"/>
  <c r="DC97" i="3"/>
  <c r="Q85" i="8" s="1"/>
  <c r="A98" i="3"/>
  <c r="CX98" i="3"/>
  <c r="CY98" i="3"/>
  <c r="CZ98" i="3"/>
  <c r="DB98" i="3" s="1"/>
  <c r="L84" i="8" s="1"/>
  <c r="DA98" i="3"/>
  <c r="DC98" i="3"/>
  <c r="Q84" i="8" s="1"/>
  <c r="A99" i="3"/>
  <c r="CX99" i="3"/>
  <c r="CY99" i="3"/>
  <c r="CZ99" i="3"/>
  <c r="DB99" i="3" s="1"/>
  <c r="L83" i="8" s="1"/>
  <c r="DA99" i="3"/>
  <c r="DC99" i="3"/>
  <c r="Q83" i="8" s="1"/>
  <c r="R83" i="8" s="1"/>
  <c r="A100" i="3"/>
  <c r="CY100" i="3"/>
  <c r="CZ100" i="3"/>
  <c r="DB100" i="3" s="1"/>
  <c r="DA100" i="3"/>
  <c r="DC100" i="3"/>
  <c r="A101" i="3"/>
  <c r="CY101" i="3"/>
  <c r="CZ101" i="3"/>
  <c r="DB101" i="3" s="1"/>
  <c r="L91" i="8" s="1"/>
  <c r="DA101" i="3"/>
  <c r="DC101" i="3"/>
  <c r="Q91" i="8" s="1"/>
  <c r="A102" i="3"/>
  <c r="CY102" i="3"/>
  <c r="CZ102" i="3"/>
  <c r="DA102" i="3"/>
  <c r="DB102" i="3"/>
  <c r="L90" i="8" s="1"/>
  <c r="DC102" i="3"/>
  <c r="Q90" i="8" s="1"/>
  <c r="A103" i="3"/>
  <c r="CY103" i="3"/>
  <c r="CZ103" i="3"/>
  <c r="DB103" i="3" s="1"/>
  <c r="DA103" i="3"/>
  <c r="DC103" i="3"/>
  <c r="A104" i="3"/>
  <c r="CY104" i="3"/>
  <c r="CZ104" i="3"/>
  <c r="DB104" i="3" s="1"/>
  <c r="L92" i="8" s="1"/>
  <c r="DA104" i="3"/>
  <c r="DC104" i="3"/>
  <c r="Q92" i="8" s="1"/>
  <c r="A105" i="3"/>
  <c r="CY105" i="3"/>
  <c r="CZ105" i="3"/>
  <c r="DA105" i="3"/>
  <c r="DB105" i="3"/>
  <c r="DC105" i="3"/>
  <c r="A106" i="3"/>
  <c r="CY106" i="3"/>
  <c r="CZ106" i="3"/>
  <c r="DB106" i="3" s="1"/>
  <c r="L94" i="8" s="1"/>
  <c r="DA106" i="3"/>
  <c r="DC106" i="3"/>
  <c r="Q94" i="8" s="1"/>
  <c r="A107" i="3"/>
  <c r="CY107" i="3"/>
  <c r="CZ107" i="3"/>
  <c r="DB107" i="3" s="1"/>
  <c r="L93" i="8" s="1"/>
  <c r="DA107" i="3"/>
  <c r="DC107" i="3"/>
  <c r="Q93" i="8" s="1"/>
  <c r="A108" i="3"/>
  <c r="CY108" i="3"/>
  <c r="CZ108" i="3"/>
  <c r="DB108" i="3" s="1"/>
  <c r="L96" i="8" s="1"/>
  <c r="DA108" i="3"/>
  <c r="DC108" i="3"/>
  <c r="Q96" i="8" s="1"/>
  <c r="A109" i="3"/>
  <c r="CY109" i="3"/>
  <c r="CZ109" i="3"/>
  <c r="DB109" i="3" s="1"/>
  <c r="L95" i="8" s="1"/>
  <c r="DA109" i="3"/>
  <c r="DC109" i="3"/>
  <c r="Q95" i="8" s="1"/>
  <c r="A110" i="3"/>
  <c r="CY110" i="3"/>
  <c r="CZ110" i="3"/>
  <c r="DA110" i="3"/>
  <c r="DB110" i="3"/>
  <c r="L98" i="8" s="1"/>
  <c r="DC110" i="3"/>
  <c r="Q98" i="8" s="1"/>
  <c r="A111" i="3"/>
  <c r="CY111" i="3"/>
  <c r="CZ111" i="3"/>
  <c r="DB111" i="3" s="1"/>
  <c r="L97" i="8" s="1"/>
  <c r="DA111" i="3"/>
  <c r="DC111" i="3"/>
  <c r="Q97" i="8" s="1"/>
  <c r="A112" i="3"/>
  <c r="CY112" i="3"/>
  <c r="CZ112" i="3"/>
  <c r="DB112" i="3" s="1"/>
  <c r="DA112" i="3"/>
  <c r="DC112" i="3"/>
  <c r="A113" i="3"/>
  <c r="CY113" i="3"/>
  <c r="CZ113" i="3"/>
  <c r="DA113" i="3"/>
  <c r="DB113" i="3"/>
  <c r="L106" i="8" s="1"/>
  <c r="DC113" i="3"/>
  <c r="Q106" i="8" s="1"/>
  <c r="A114" i="3"/>
  <c r="CY114" i="3"/>
  <c r="CZ114" i="3"/>
  <c r="DB114" i="3" s="1"/>
  <c r="L105" i="8" s="1"/>
  <c r="DA114" i="3"/>
  <c r="DC114" i="3"/>
  <c r="Q105" i="8" s="1"/>
  <c r="A115" i="3"/>
  <c r="CY115" i="3"/>
  <c r="CZ115" i="3"/>
  <c r="DB115" i="3" s="1"/>
  <c r="L104" i="8" s="1"/>
  <c r="DA115" i="3"/>
  <c r="DC115" i="3"/>
  <c r="Q104" i="8" s="1"/>
  <c r="A116" i="3"/>
  <c r="CY116" i="3"/>
  <c r="CZ116" i="3"/>
  <c r="DB116" i="3" s="1"/>
  <c r="L103" i="8" s="1"/>
  <c r="DA116" i="3"/>
  <c r="DC116" i="3"/>
  <c r="Q103" i="8" s="1"/>
  <c r="A117" i="3"/>
  <c r="CY117" i="3"/>
  <c r="CZ117" i="3"/>
  <c r="DB117" i="3" s="1"/>
  <c r="L102" i="8" s="1"/>
  <c r="DA117" i="3"/>
  <c r="DC117" i="3"/>
  <c r="Q102" i="8" s="1"/>
  <c r="A118" i="3"/>
  <c r="CY118" i="3"/>
  <c r="CZ118" i="3"/>
  <c r="DA118" i="3"/>
  <c r="DB118" i="3"/>
  <c r="L101" i="8" s="1"/>
  <c r="DC118" i="3"/>
  <c r="Q101" i="8" s="1"/>
  <c r="A119" i="3"/>
  <c r="CY119" i="3"/>
  <c r="CZ119" i="3"/>
  <c r="DB119" i="3" s="1"/>
  <c r="L100" i="8" s="1"/>
  <c r="DA119" i="3"/>
  <c r="DC119" i="3"/>
  <c r="Q100" i="8" s="1"/>
  <c r="A120" i="3"/>
  <c r="CX120" i="3"/>
  <c r="CY120" i="3"/>
  <c r="CZ120" i="3"/>
  <c r="DB120" i="3" s="1"/>
  <c r="DA120" i="3"/>
  <c r="DC120" i="3"/>
  <c r="A121" i="3"/>
  <c r="CX121" i="3"/>
  <c r="CY121" i="3"/>
  <c r="CZ121" i="3"/>
  <c r="DB121" i="3" s="1"/>
  <c r="DA121" i="3"/>
  <c r="DC121" i="3"/>
  <c r="A122" i="3"/>
  <c r="CX122" i="3"/>
  <c r="CY122" i="3"/>
  <c r="CZ122" i="3"/>
  <c r="DB122" i="3" s="1"/>
  <c r="DA122" i="3"/>
  <c r="DC122" i="3"/>
  <c r="A123" i="3"/>
  <c r="CX123" i="3"/>
  <c r="CY123" i="3"/>
  <c r="CZ123" i="3"/>
  <c r="DB123" i="3" s="1"/>
  <c r="DA123" i="3"/>
  <c r="DC123" i="3"/>
  <c r="A124" i="3"/>
  <c r="CY124" i="3"/>
  <c r="CZ124" i="3"/>
  <c r="DB124" i="3" s="1"/>
  <c r="DA124" i="3"/>
  <c r="DC124" i="3"/>
  <c r="A125" i="3"/>
  <c r="CY125" i="3"/>
  <c r="CZ125" i="3"/>
  <c r="DB125" i="3" s="1"/>
  <c r="L109" i="8" s="1"/>
  <c r="DA125" i="3"/>
  <c r="DC125" i="3"/>
  <c r="Q109" i="8" s="1"/>
  <c r="A126" i="3"/>
  <c r="CY126" i="3"/>
  <c r="CZ126" i="3"/>
  <c r="DA126" i="3"/>
  <c r="DB126" i="3"/>
  <c r="DC126" i="3"/>
  <c r="A127" i="3"/>
  <c r="CX127" i="3"/>
  <c r="CY127" i="3"/>
  <c r="CZ127" i="3"/>
  <c r="DB127" i="3" s="1"/>
  <c r="DA127" i="3"/>
  <c r="DC127" i="3"/>
  <c r="A128" i="3"/>
  <c r="CX128" i="3"/>
  <c r="CY128" i="3"/>
  <c r="CZ128" i="3"/>
  <c r="DB128" i="3" s="1"/>
  <c r="DA128" i="3"/>
  <c r="DC128" i="3"/>
  <c r="A129" i="3"/>
  <c r="CX129" i="3"/>
  <c r="CY129" i="3"/>
  <c r="CZ129" i="3"/>
  <c r="DA129" i="3"/>
  <c r="DB129" i="3"/>
  <c r="DC129" i="3"/>
  <c r="A130" i="3"/>
  <c r="CY130" i="3"/>
  <c r="CZ130" i="3"/>
  <c r="DB130" i="3" s="1"/>
  <c r="L111" i="8" s="1"/>
  <c r="DA130" i="3"/>
  <c r="DC130" i="3"/>
  <c r="Q111" i="8" s="1"/>
  <c r="A131" i="3"/>
  <c r="CY131" i="3"/>
  <c r="CZ131" i="3"/>
  <c r="DB131" i="3" s="1"/>
  <c r="L110" i="8" s="1"/>
  <c r="DA131" i="3"/>
  <c r="DC131" i="3"/>
  <c r="Q110" i="8" s="1"/>
  <c r="A132" i="3"/>
  <c r="CY132" i="3"/>
  <c r="CZ132" i="3"/>
  <c r="DB132" i="3" s="1"/>
  <c r="L113" i="8" s="1"/>
  <c r="DA132" i="3"/>
  <c r="DC132" i="3"/>
  <c r="Q113" i="8" s="1"/>
  <c r="A133" i="3"/>
  <c r="CY133" i="3"/>
  <c r="CZ133" i="3"/>
  <c r="DB133" i="3" s="1"/>
  <c r="L112" i="8" s="1"/>
  <c r="DA133" i="3"/>
  <c r="DC133" i="3"/>
  <c r="Q112" i="8" s="1"/>
  <c r="A134" i="3"/>
  <c r="CX134" i="3"/>
  <c r="CY134" i="3"/>
  <c r="CZ134" i="3"/>
  <c r="DA134" i="3"/>
  <c r="DB134" i="3"/>
  <c r="DC134" i="3"/>
  <c r="A135" i="3"/>
  <c r="CX135" i="3"/>
  <c r="CY135" i="3"/>
  <c r="CZ135" i="3"/>
  <c r="DB135" i="3" s="1"/>
  <c r="DA135" i="3"/>
  <c r="DC135" i="3"/>
  <c r="A136" i="3"/>
  <c r="CX136" i="3"/>
  <c r="CY136" i="3"/>
  <c r="CZ136" i="3"/>
  <c r="DB136" i="3" s="1"/>
  <c r="DA136" i="3"/>
  <c r="DC136" i="3"/>
  <c r="A137" i="3"/>
  <c r="CX137" i="3"/>
  <c r="CY137" i="3"/>
  <c r="CZ137" i="3"/>
  <c r="DA137" i="3"/>
  <c r="DB137" i="3"/>
  <c r="DC137" i="3"/>
  <c r="A138" i="3"/>
  <c r="CX138" i="3"/>
  <c r="CY138" i="3"/>
  <c r="CZ138" i="3"/>
  <c r="DB138" i="3" s="1"/>
  <c r="DA138" i="3"/>
  <c r="DC138" i="3"/>
  <c r="A139" i="3"/>
  <c r="CY139" i="3"/>
  <c r="CZ139" i="3"/>
  <c r="DB139" i="3" s="1"/>
  <c r="DA139" i="3"/>
  <c r="DC139" i="3"/>
  <c r="A140" i="3"/>
  <c r="CY140" i="3"/>
  <c r="CZ140" i="3"/>
  <c r="DB140" i="3" s="1"/>
  <c r="L131" i="8" s="1"/>
  <c r="DA140" i="3"/>
  <c r="DC140" i="3"/>
  <c r="Q131" i="8" s="1"/>
  <c r="A141" i="3"/>
  <c r="CY141" i="3"/>
  <c r="CZ141" i="3"/>
  <c r="DB141" i="3" s="1"/>
  <c r="L130" i="8" s="1"/>
  <c r="DA141" i="3"/>
  <c r="DC141" i="3"/>
  <c r="Q130" i="8" s="1"/>
  <c r="A142" i="3"/>
  <c r="CY142" i="3"/>
  <c r="CZ142" i="3"/>
  <c r="DA142" i="3"/>
  <c r="DB142" i="3"/>
  <c r="L129" i="8" s="1"/>
  <c r="DC142" i="3"/>
  <c r="Q129" i="8" s="1"/>
  <c r="T129" i="8" s="1"/>
  <c r="A143" i="3"/>
  <c r="CY143" i="3"/>
  <c r="CZ143" i="3"/>
  <c r="DB143" i="3" s="1"/>
  <c r="L128" i="8" s="1"/>
  <c r="DA143" i="3"/>
  <c r="DC143" i="3"/>
  <c r="Q128" i="8" s="1"/>
  <c r="A144" i="3"/>
  <c r="CY144" i="3"/>
  <c r="CZ144" i="3"/>
  <c r="DB144" i="3" s="1"/>
  <c r="L127" i="8" s="1"/>
  <c r="DA144" i="3"/>
  <c r="DC144" i="3"/>
  <c r="Q127" i="8" s="1"/>
  <c r="A145" i="3"/>
  <c r="CY145" i="3"/>
  <c r="CZ145" i="3"/>
  <c r="DA145" i="3"/>
  <c r="DB145" i="3"/>
  <c r="L126" i="8" s="1"/>
  <c r="DC145" i="3"/>
  <c r="Q126" i="8" s="1"/>
  <c r="A146" i="3"/>
  <c r="CY146" i="3"/>
  <c r="CZ146" i="3"/>
  <c r="DB146" i="3" s="1"/>
  <c r="L125" i="8" s="1"/>
  <c r="DA146" i="3"/>
  <c r="DC146" i="3"/>
  <c r="Q125" i="8" s="1"/>
  <c r="A147" i="3"/>
  <c r="CY147" i="3"/>
  <c r="CZ147" i="3"/>
  <c r="DB147" i="3" s="1"/>
  <c r="L124" i="8" s="1"/>
  <c r="DA147" i="3"/>
  <c r="DC147" i="3"/>
  <c r="Q124" i="8" s="1"/>
  <c r="A148" i="3"/>
  <c r="CY148" i="3"/>
  <c r="CZ148" i="3"/>
  <c r="DB148" i="3" s="1"/>
  <c r="L123" i="8" s="1"/>
  <c r="DA148" i="3"/>
  <c r="DC148" i="3"/>
  <c r="Q123" i="8" s="1"/>
  <c r="A149" i="3"/>
  <c r="CX149" i="3"/>
  <c r="CY149" i="3"/>
  <c r="CZ149" i="3"/>
  <c r="DA149" i="3"/>
  <c r="DB149" i="3"/>
  <c r="DC149" i="3"/>
  <c r="A150" i="3"/>
  <c r="CX150" i="3"/>
  <c r="CY150" i="3"/>
  <c r="CZ150" i="3"/>
  <c r="DB150" i="3" s="1"/>
  <c r="L136" i="8" s="1"/>
  <c r="DA150" i="3"/>
  <c r="DC150" i="3"/>
  <c r="Q136" i="8" s="1"/>
  <c r="A151" i="3"/>
  <c r="CX151" i="3"/>
  <c r="CY151" i="3"/>
  <c r="CZ151" i="3"/>
  <c r="DB151" i="3" s="1"/>
  <c r="L135" i="8" s="1"/>
  <c r="DA151" i="3"/>
  <c r="DC151" i="3"/>
  <c r="Q135" i="8" s="1"/>
  <c r="A152" i="3"/>
  <c r="CX152" i="3"/>
  <c r="CY152" i="3"/>
  <c r="CZ152" i="3"/>
  <c r="DB152" i="3" s="1"/>
  <c r="L134" i="8" s="1"/>
  <c r="O134" i="8" s="1"/>
  <c r="DA152" i="3"/>
  <c r="DC152" i="3"/>
  <c r="Q134" i="8" s="1"/>
  <c r="A153" i="3"/>
  <c r="CX153" i="3"/>
  <c r="CY153" i="3"/>
  <c r="CZ153" i="3"/>
  <c r="DB153" i="3" s="1"/>
  <c r="L133" i="8" s="1"/>
  <c r="DA153" i="3"/>
  <c r="DC153" i="3"/>
  <c r="Q133" i="8" s="1"/>
  <c r="A154" i="3"/>
  <c r="CX154" i="3"/>
  <c r="CY154" i="3"/>
  <c r="CZ154" i="3"/>
  <c r="DA154" i="3"/>
  <c r="DB154" i="3"/>
  <c r="L132" i="8" s="1"/>
  <c r="DC154" i="3"/>
  <c r="Q132" i="8" s="1"/>
  <c r="A155" i="3"/>
  <c r="CX155" i="3"/>
  <c r="CY155" i="3"/>
  <c r="CZ155" i="3"/>
  <c r="DB155" i="3" s="1"/>
  <c r="DA155" i="3"/>
  <c r="DC155" i="3"/>
  <c r="A156" i="3"/>
  <c r="CX156" i="3"/>
  <c r="CY156" i="3"/>
  <c r="CZ156" i="3"/>
  <c r="DB156" i="3" s="1"/>
  <c r="DA156" i="3"/>
  <c r="DC156" i="3"/>
  <c r="A157" i="3"/>
  <c r="CX157" i="3"/>
  <c r="CY157" i="3"/>
  <c r="CZ157" i="3"/>
  <c r="DA157" i="3"/>
  <c r="DB157" i="3"/>
  <c r="DC157" i="3"/>
  <c r="A158" i="3"/>
  <c r="CX158" i="3"/>
  <c r="CY158" i="3"/>
  <c r="CZ158" i="3"/>
  <c r="DB158" i="3" s="1"/>
  <c r="DA158" i="3"/>
  <c r="DC158" i="3"/>
  <c r="A159" i="3"/>
  <c r="CX159" i="3"/>
  <c r="CY159" i="3"/>
  <c r="CZ159" i="3"/>
  <c r="DB159" i="3" s="1"/>
  <c r="DA159" i="3"/>
  <c r="DC159" i="3"/>
  <c r="A160" i="3"/>
  <c r="CX160" i="3"/>
  <c r="CY160" i="3"/>
  <c r="CZ160" i="3"/>
  <c r="DB160" i="3" s="1"/>
  <c r="DA160" i="3"/>
  <c r="DC160" i="3"/>
  <c r="A161" i="3"/>
  <c r="CX161" i="3"/>
  <c r="CY161" i="3"/>
  <c r="CZ161" i="3"/>
  <c r="DB161" i="3" s="1"/>
  <c r="DA161" i="3"/>
  <c r="DC161" i="3"/>
  <c r="A162" i="3"/>
  <c r="CX162" i="3"/>
  <c r="CY162" i="3"/>
  <c r="CZ162" i="3"/>
  <c r="DA162" i="3"/>
  <c r="DB162" i="3"/>
  <c r="DC162" i="3"/>
  <c r="A163" i="3"/>
  <c r="CX163" i="3"/>
  <c r="CY163" i="3"/>
  <c r="CZ163" i="3"/>
  <c r="DB163" i="3" s="1"/>
  <c r="DA163" i="3"/>
  <c r="DC163" i="3"/>
  <c r="A164" i="3"/>
  <c r="CX164" i="3"/>
  <c r="CY164" i="3"/>
  <c r="CZ164" i="3"/>
  <c r="DB164" i="3" s="1"/>
  <c r="DA164" i="3"/>
  <c r="DC164" i="3"/>
  <c r="A165" i="3"/>
  <c r="CY165" i="3"/>
  <c r="CZ165" i="3"/>
  <c r="DB165" i="3" s="1"/>
  <c r="DA165" i="3"/>
  <c r="DC165" i="3"/>
  <c r="A166" i="3"/>
  <c r="CY166" i="3"/>
  <c r="CZ166" i="3"/>
  <c r="DA166" i="3"/>
  <c r="DB166" i="3"/>
  <c r="L140" i="8" s="1"/>
  <c r="DC166" i="3"/>
  <c r="Q140" i="8" s="1"/>
  <c r="A167" i="3"/>
  <c r="CY167" i="3"/>
  <c r="CZ167" i="3"/>
  <c r="DB167" i="3" s="1"/>
  <c r="L139" i="8" s="1"/>
  <c r="DA167" i="3"/>
  <c r="DC167" i="3"/>
  <c r="Q139" i="8" s="1"/>
  <c r="A168" i="3"/>
  <c r="CY168" i="3"/>
  <c r="CZ168" i="3"/>
  <c r="DB168" i="3" s="1"/>
  <c r="DA168" i="3"/>
  <c r="DC168" i="3"/>
  <c r="A169" i="3"/>
  <c r="CY169" i="3"/>
  <c r="CZ169" i="3"/>
  <c r="DA169" i="3"/>
  <c r="DB169" i="3"/>
  <c r="L141" i="8" s="1"/>
  <c r="DC169" i="3"/>
  <c r="Q141" i="8" s="1"/>
  <c r="A170" i="3"/>
  <c r="CY170" i="3"/>
  <c r="CZ170" i="3"/>
  <c r="DB170" i="3" s="1"/>
  <c r="DA170" i="3"/>
  <c r="DC170" i="3"/>
  <c r="A171" i="3"/>
  <c r="CY171" i="3"/>
  <c r="CZ171" i="3"/>
  <c r="DB171" i="3" s="1"/>
  <c r="L143" i="8" s="1"/>
  <c r="DA171" i="3"/>
  <c r="DC171" i="3"/>
  <c r="Q143" i="8" s="1"/>
  <c r="A172" i="3"/>
  <c r="CY172" i="3"/>
  <c r="CZ172" i="3"/>
  <c r="DB172" i="3" s="1"/>
  <c r="L142" i="8" s="1"/>
  <c r="DA172" i="3"/>
  <c r="DC172" i="3"/>
  <c r="Q142" i="8" s="1"/>
  <c r="A173" i="3"/>
  <c r="CY173" i="3"/>
  <c r="CZ173" i="3"/>
  <c r="DB173" i="3" s="1"/>
  <c r="L145" i="8" s="1"/>
  <c r="DA173" i="3"/>
  <c r="DC173" i="3"/>
  <c r="Q145" i="8" s="1"/>
  <c r="A174" i="3"/>
  <c r="CY174" i="3"/>
  <c r="CZ174" i="3"/>
  <c r="DA174" i="3"/>
  <c r="DB174" i="3"/>
  <c r="L144" i="8" s="1"/>
  <c r="DC174" i="3"/>
  <c r="Q144" i="8" s="1"/>
  <c r="A175" i="3"/>
  <c r="CY175" i="3"/>
  <c r="CZ175" i="3"/>
  <c r="DB175" i="3" s="1"/>
  <c r="L147" i="8" s="1"/>
  <c r="DA175" i="3"/>
  <c r="DC175" i="3"/>
  <c r="Q147" i="8" s="1"/>
  <c r="A176" i="3"/>
  <c r="CY176" i="3"/>
  <c r="CZ176" i="3"/>
  <c r="DB176" i="3" s="1"/>
  <c r="L146" i="8" s="1"/>
  <c r="DA176" i="3"/>
  <c r="DC176" i="3"/>
  <c r="Q146" i="8" s="1"/>
  <c r="A177" i="3"/>
  <c r="CY177" i="3"/>
  <c r="CZ177" i="3"/>
  <c r="DA177" i="3"/>
  <c r="DB177" i="3"/>
  <c r="DC177" i="3"/>
  <c r="A178" i="3"/>
  <c r="CY178" i="3"/>
  <c r="CZ178" i="3"/>
  <c r="DB178" i="3" s="1"/>
  <c r="L155" i="8" s="1"/>
  <c r="DA178" i="3"/>
  <c r="DC178" i="3"/>
  <c r="Q155" i="8" s="1"/>
  <c r="A179" i="3"/>
  <c r="CY179" i="3"/>
  <c r="CZ179" i="3"/>
  <c r="DB179" i="3" s="1"/>
  <c r="L154" i="8" s="1"/>
  <c r="DA179" i="3"/>
  <c r="DC179" i="3"/>
  <c r="Q154" i="8" s="1"/>
  <c r="A180" i="3"/>
  <c r="CY180" i="3"/>
  <c r="CZ180" i="3"/>
  <c r="DB180" i="3" s="1"/>
  <c r="L153" i="8" s="1"/>
  <c r="DA180" i="3"/>
  <c r="DC180" i="3"/>
  <c r="Q153" i="8" s="1"/>
  <c r="A181" i="3"/>
  <c r="CY181" i="3"/>
  <c r="CZ181" i="3"/>
  <c r="DB181" i="3" s="1"/>
  <c r="L152" i="8" s="1"/>
  <c r="DA181" i="3"/>
  <c r="DC181" i="3"/>
  <c r="Q152" i="8" s="1"/>
  <c r="A182" i="3"/>
  <c r="CY182" i="3"/>
  <c r="CZ182" i="3"/>
  <c r="DA182" i="3"/>
  <c r="DB182" i="3"/>
  <c r="L151" i="8" s="1"/>
  <c r="DC182" i="3"/>
  <c r="Q151" i="8" s="1"/>
  <c r="A183" i="3"/>
  <c r="CY183" i="3"/>
  <c r="CZ183" i="3"/>
  <c r="DB183" i="3" s="1"/>
  <c r="L150" i="8" s="1"/>
  <c r="DA183" i="3"/>
  <c r="DC183" i="3"/>
  <c r="Q150" i="8" s="1"/>
  <c r="A184" i="3"/>
  <c r="CY184" i="3"/>
  <c r="CZ184" i="3"/>
  <c r="DB184" i="3" s="1"/>
  <c r="L149" i="8" s="1"/>
  <c r="DA184" i="3"/>
  <c r="DC184" i="3"/>
  <c r="Q149" i="8" s="1"/>
  <c r="A185" i="3"/>
  <c r="CX185" i="3"/>
  <c r="CY185" i="3"/>
  <c r="CZ185" i="3"/>
  <c r="DB185" i="3" s="1"/>
  <c r="DA185" i="3"/>
  <c r="DC185" i="3"/>
  <c r="A186" i="3"/>
  <c r="CX186" i="3"/>
  <c r="CY186" i="3"/>
  <c r="CZ186" i="3"/>
  <c r="DA186" i="3"/>
  <c r="DB186" i="3"/>
  <c r="DC186" i="3"/>
  <c r="A187" i="3"/>
  <c r="CX187" i="3"/>
  <c r="CY187" i="3"/>
  <c r="CZ187" i="3"/>
  <c r="DB187" i="3" s="1"/>
  <c r="DA187" i="3"/>
  <c r="DC187" i="3"/>
  <c r="A188" i="3"/>
  <c r="CX188" i="3"/>
  <c r="CY188" i="3"/>
  <c r="CZ188" i="3"/>
  <c r="DB188" i="3" s="1"/>
  <c r="DA188" i="3"/>
  <c r="DC188" i="3"/>
  <c r="A189" i="3"/>
  <c r="CY189" i="3"/>
  <c r="CZ189" i="3"/>
  <c r="DB189" i="3" s="1"/>
  <c r="DA189" i="3"/>
  <c r="DC189" i="3"/>
  <c r="A190" i="3"/>
  <c r="CY190" i="3"/>
  <c r="CZ190" i="3"/>
  <c r="DA190" i="3"/>
  <c r="DB190" i="3"/>
  <c r="L162" i="8" s="1"/>
  <c r="O162" i="8" s="1"/>
  <c r="DC190" i="3"/>
  <c r="Q162" i="8" s="1"/>
  <c r="A191" i="3"/>
  <c r="CY191" i="3"/>
  <c r="CZ191" i="3"/>
  <c r="DB191" i="3" s="1"/>
  <c r="L161" i="8" s="1"/>
  <c r="DA191" i="3"/>
  <c r="DC191" i="3"/>
  <c r="Q161" i="8" s="1"/>
  <c r="A192" i="3"/>
  <c r="CY192" i="3"/>
  <c r="CZ192" i="3"/>
  <c r="DB192" i="3" s="1"/>
  <c r="DA192" i="3"/>
  <c r="DC192" i="3"/>
  <c r="A193" i="3"/>
  <c r="CY193" i="3"/>
  <c r="CZ193" i="3"/>
  <c r="DA193" i="3"/>
  <c r="DB193" i="3"/>
  <c r="L163" i="8" s="1"/>
  <c r="DC193" i="3"/>
  <c r="Q163" i="8" s="1"/>
  <c r="A194" i="3"/>
  <c r="CY194" i="3"/>
  <c r="CZ194" i="3"/>
  <c r="DB194" i="3" s="1"/>
  <c r="DA194" i="3"/>
  <c r="DC194" i="3"/>
  <c r="A195" i="3"/>
  <c r="CY195" i="3"/>
  <c r="CZ195" i="3"/>
  <c r="DB195" i="3" s="1"/>
  <c r="L165" i="8" s="1"/>
  <c r="DA195" i="3"/>
  <c r="DC195" i="3"/>
  <c r="Q165" i="8" s="1"/>
  <c r="A196" i="3"/>
  <c r="CY196" i="3"/>
  <c r="CZ196" i="3"/>
  <c r="DB196" i="3" s="1"/>
  <c r="L164" i="8" s="1"/>
  <c r="DA196" i="3"/>
  <c r="DC196" i="3"/>
  <c r="Q164" i="8" s="1"/>
  <c r="A197" i="3"/>
  <c r="CY197" i="3"/>
  <c r="CZ197" i="3"/>
  <c r="DB197" i="3" s="1"/>
  <c r="L167" i="8" s="1"/>
  <c r="DA197" i="3"/>
  <c r="DC197" i="3"/>
  <c r="Q167" i="8" s="1"/>
  <c r="A198" i="3"/>
  <c r="CY198" i="3"/>
  <c r="CZ198" i="3"/>
  <c r="DA198" i="3"/>
  <c r="DB198" i="3"/>
  <c r="L166" i="8" s="1"/>
  <c r="DC198" i="3"/>
  <c r="Q166" i="8" s="1"/>
  <c r="A199" i="3"/>
  <c r="CY199" i="3"/>
  <c r="CZ199" i="3"/>
  <c r="DB199" i="3" s="1"/>
  <c r="L169" i="8" s="1"/>
  <c r="DA199" i="3"/>
  <c r="DC199" i="3"/>
  <c r="Q169" i="8" s="1"/>
  <c r="A200" i="3"/>
  <c r="CY200" i="3"/>
  <c r="CZ200" i="3"/>
  <c r="DB200" i="3" s="1"/>
  <c r="L168" i="8" s="1"/>
  <c r="DA200" i="3"/>
  <c r="DC200" i="3"/>
  <c r="Q168" i="8" s="1"/>
  <c r="A201" i="3"/>
  <c r="CY201" i="3"/>
  <c r="CZ201" i="3"/>
  <c r="DA201" i="3"/>
  <c r="DB201" i="3"/>
  <c r="DC201" i="3"/>
  <c r="A202" i="3"/>
  <c r="CY202" i="3"/>
  <c r="CZ202" i="3"/>
  <c r="DB202" i="3" s="1"/>
  <c r="L177" i="8" s="1"/>
  <c r="DA202" i="3"/>
  <c r="DC202" i="3"/>
  <c r="Q177" i="8" s="1"/>
  <c r="A203" i="3"/>
  <c r="CY203" i="3"/>
  <c r="CZ203" i="3"/>
  <c r="DB203" i="3" s="1"/>
  <c r="L176" i="8" s="1"/>
  <c r="DA203" i="3"/>
  <c r="DC203" i="3"/>
  <c r="Q176" i="8" s="1"/>
  <c r="A204" i="3"/>
  <c r="CY204" i="3"/>
  <c r="CZ204" i="3"/>
  <c r="DB204" i="3" s="1"/>
  <c r="L175" i="8" s="1"/>
  <c r="DA204" i="3"/>
  <c r="DC204" i="3"/>
  <c r="Q175" i="8" s="1"/>
  <c r="A205" i="3"/>
  <c r="CY205" i="3"/>
  <c r="CZ205" i="3"/>
  <c r="DB205" i="3" s="1"/>
  <c r="L174" i="8" s="1"/>
  <c r="DA205" i="3"/>
  <c r="DC205" i="3"/>
  <c r="Q174" i="8" s="1"/>
  <c r="A206" i="3"/>
  <c r="CY206" i="3"/>
  <c r="CZ206" i="3"/>
  <c r="DA206" i="3"/>
  <c r="DB206" i="3"/>
  <c r="L173" i="8" s="1"/>
  <c r="DC206" i="3"/>
  <c r="Q173" i="8" s="1"/>
  <c r="A207" i="3"/>
  <c r="CY207" i="3"/>
  <c r="CZ207" i="3"/>
  <c r="DB207" i="3" s="1"/>
  <c r="L172" i="8" s="1"/>
  <c r="DA207" i="3"/>
  <c r="DC207" i="3"/>
  <c r="Q172" i="8" s="1"/>
  <c r="A208" i="3"/>
  <c r="CY208" i="3"/>
  <c r="CZ208" i="3"/>
  <c r="DB208" i="3" s="1"/>
  <c r="L171" i="8" s="1"/>
  <c r="DA208" i="3"/>
  <c r="DC208" i="3"/>
  <c r="Q171" i="8" s="1"/>
  <c r="A209" i="3"/>
  <c r="CX209" i="3"/>
  <c r="CY209" i="3"/>
  <c r="CZ209" i="3"/>
  <c r="DB209" i="3" s="1"/>
  <c r="DA209" i="3"/>
  <c r="DC209" i="3"/>
  <c r="A210" i="3"/>
  <c r="CX210" i="3"/>
  <c r="CY210" i="3"/>
  <c r="CZ210" i="3"/>
  <c r="DA210" i="3"/>
  <c r="DB210" i="3"/>
  <c r="DC210" i="3"/>
  <c r="A211" i="3"/>
  <c r="CX211" i="3"/>
  <c r="CY211" i="3"/>
  <c r="CZ211" i="3"/>
  <c r="DB211" i="3" s="1"/>
  <c r="DA211" i="3"/>
  <c r="DC211" i="3"/>
  <c r="A212" i="3"/>
  <c r="CX212" i="3"/>
  <c r="CY212" i="3"/>
  <c r="CZ212" i="3"/>
  <c r="DB212" i="3" s="1"/>
  <c r="DA212" i="3"/>
  <c r="DC212" i="3"/>
  <c r="A213" i="3"/>
  <c r="CX213" i="3"/>
  <c r="CY213" i="3"/>
  <c r="CZ213" i="3"/>
  <c r="DA213" i="3"/>
  <c r="DB213" i="3"/>
  <c r="DC213" i="3"/>
  <c r="A214" i="3"/>
  <c r="CX214" i="3"/>
  <c r="CY214" i="3"/>
  <c r="CZ214" i="3"/>
  <c r="DB214" i="3" s="1"/>
  <c r="DA214" i="3"/>
  <c r="DC214" i="3"/>
  <c r="A215" i="3"/>
  <c r="CX215" i="3"/>
  <c r="CY215" i="3"/>
  <c r="CZ215" i="3"/>
  <c r="DB215" i="3" s="1"/>
  <c r="DA215" i="3"/>
  <c r="DC215" i="3"/>
  <c r="A216" i="3"/>
  <c r="CX216" i="3"/>
  <c r="CY216" i="3"/>
  <c r="CZ216" i="3"/>
  <c r="DB216" i="3" s="1"/>
  <c r="DA216" i="3"/>
  <c r="DC216" i="3"/>
  <c r="A217" i="3"/>
  <c r="CX217" i="3"/>
  <c r="CY217" i="3"/>
  <c r="CZ217" i="3"/>
  <c r="DA217" i="3"/>
  <c r="DB217" i="3"/>
  <c r="DC217" i="3"/>
  <c r="A218" i="3"/>
  <c r="CY218" i="3"/>
  <c r="CZ218" i="3"/>
  <c r="DB218" i="3" s="1"/>
  <c r="DA218" i="3"/>
  <c r="DC218" i="3"/>
  <c r="A219" i="3"/>
  <c r="CY219" i="3"/>
  <c r="CZ219" i="3"/>
  <c r="DA219" i="3"/>
  <c r="DB219" i="3"/>
  <c r="DC219" i="3"/>
  <c r="A220" i="3"/>
  <c r="CY220" i="3"/>
  <c r="CZ220" i="3"/>
  <c r="DB220" i="3" s="1"/>
  <c r="DA220" i="3"/>
  <c r="DC220" i="3"/>
  <c r="A221" i="3"/>
  <c r="CY221" i="3"/>
  <c r="CZ221" i="3"/>
  <c r="DA221" i="3"/>
  <c r="DB221" i="3"/>
  <c r="DC221" i="3"/>
  <c r="A222" i="3"/>
  <c r="CY222" i="3"/>
  <c r="CZ222" i="3"/>
  <c r="DB222" i="3" s="1"/>
  <c r="DA222" i="3"/>
  <c r="DC222" i="3"/>
  <c r="A223" i="3"/>
  <c r="CY223" i="3"/>
  <c r="CZ223" i="3"/>
  <c r="DB223" i="3" s="1"/>
  <c r="L181" i="8" s="1"/>
  <c r="DA223" i="3"/>
  <c r="DC223" i="3"/>
  <c r="Q181" i="8" s="1"/>
  <c r="A224" i="3"/>
  <c r="CY224" i="3"/>
  <c r="CZ224" i="3"/>
  <c r="DB224" i="3" s="1"/>
  <c r="DA224" i="3"/>
  <c r="DC224" i="3"/>
  <c r="A225" i="3"/>
  <c r="CY225" i="3"/>
  <c r="CZ225" i="3"/>
  <c r="DB225" i="3" s="1"/>
  <c r="DA225" i="3"/>
  <c r="DC225" i="3"/>
  <c r="A226" i="3"/>
  <c r="CY226" i="3"/>
  <c r="CZ226" i="3"/>
  <c r="DB226" i="3" s="1"/>
  <c r="DA226" i="3"/>
  <c r="DC226" i="3"/>
  <c r="A227" i="3"/>
  <c r="CY227" i="3"/>
  <c r="CZ227" i="3"/>
  <c r="DB227" i="3" s="1"/>
  <c r="L182" i="8" s="1"/>
  <c r="DA227" i="3"/>
  <c r="DC227" i="3"/>
  <c r="Q182" i="8" s="1"/>
  <c r="A228" i="3"/>
  <c r="CY228" i="3"/>
  <c r="CZ228" i="3"/>
  <c r="DB228" i="3" s="1"/>
  <c r="DA228" i="3"/>
  <c r="DC228" i="3"/>
  <c r="A229" i="3"/>
  <c r="CY229" i="3"/>
  <c r="CZ229" i="3"/>
  <c r="DB229" i="3" s="1"/>
  <c r="L184" i="8" s="1"/>
  <c r="DA229" i="3"/>
  <c r="DC229" i="3"/>
  <c r="Q184" i="8" s="1"/>
  <c r="T184" i="8" s="1"/>
  <c r="A230" i="3"/>
  <c r="CY230" i="3"/>
  <c r="CZ230" i="3"/>
  <c r="DA230" i="3"/>
  <c r="DB230" i="3"/>
  <c r="L183" i="8" s="1"/>
  <c r="DC230" i="3"/>
  <c r="Q183" i="8" s="1"/>
  <c r="A231" i="3"/>
  <c r="CY231" i="3"/>
  <c r="CZ231" i="3"/>
  <c r="DB231" i="3" s="1"/>
  <c r="L186" i="8" s="1"/>
  <c r="DA231" i="3"/>
  <c r="DC231" i="3"/>
  <c r="Q186" i="8" s="1"/>
  <c r="A232" i="3"/>
  <c r="CY232" i="3"/>
  <c r="CZ232" i="3"/>
  <c r="DB232" i="3" s="1"/>
  <c r="L185" i="8" s="1"/>
  <c r="DA232" i="3"/>
  <c r="DC232" i="3"/>
  <c r="Q185" i="8" s="1"/>
  <c r="A233" i="3"/>
  <c r="CY233" i="3"/>
  <c r="CZ233" i="3"/>
  <c r="DB233" i="3" s="1"/>
  <c r="L188" i="8" s="1"/>
  <c r="DA233" i="3"/>
  <c r="DC233" i="3"/>
  <c r="Q188" i="8" s="1"/>
  <c r="A234" i="3"/>
  <c r="CY234" i="3"/>
  <c r="CZ234" i="3"/>
  <c r="DA234" i="3"/>
  <c r="DB234" i="3"/>
  <c r="L187" i="8" s="1"/>
  <c r="DC234" i="3"/>
  <c r="Q187" i="8" s="1"/>
  <c r="A235" i="3"/>
  <c r="CY235" i="3"/>
  <c r="CZ235" i="3"/>
  <c r="DB235" i="3" s="1"/>
  <c r="DA235" i="3"/>
  <c r="DC235" i="3"/>
  <c r="A236" i="3"/>
  <c r="CY236" i="3"/>
  <c r="CZ236" i="3"/>
  <c r="DB236" i="3" s="1"/>
  <c r="L191" i="8" s="1"/>
  <c r="DA236" i="3"/>
  <c r="DC236" i="3"/>
  <c r="Q191" i="8" s="1"/>
  <c r="A237" i="3"/>
  <c r="CY237" i="3"/>
  <c r="CZ237" i="3"/>
  <c r="DA237" i="3"/>
  <c r="DB237" i="3"/>
  <c r="DC237" i="3"/>
  <c r="A238" i="3"/>
  <c r="CY238" i="3"/>
  <c r="CZ238" i="3"/>
  <c r="DB238" i="3" s="1"/>
  <c r="DA238" i="3"/>
  <c r="DC238" i="3"/>
  <c r="A239" i="3"/>
  <c r="CY239" i="3"/>
  <c r="CZ239" i="3"/>
  <c r="DB239" i="3" s="1"/>
  <c r="DA239" i="3"/>
  <c r="DC239" i="3"/>
  <c r="A240" i="3"/>
  <c r="CY240" i="3"/>
  <c r="CZ240" i="3"/>
  <c r="DB240" i="3" s="1"/>
  <c r="DA240" i="3"/>
  <c r="DC240" i="3"/>
  <c r="A241" i="3"/>
  <c r="CY241" i="3"/>
  <c r="CZ241" i="3"/>
  <c r="DB241" i="3" s="1"/>
  <c r="DA241" i="3"/>
  <c r="DC241" i="3"/>
  <c r="A242" i="3"/>
  <c r="CY242" i="3"/>
  <c r="CZ242" i="3"/>
  <c r="DA242" i="3"/>
  <c r="DB242" i="3"/>
  <c r="L195" i="8" s="1"/>
  <c r="DC242" i="3"/>
  <c r="Q195" i="8" s="1"/>
  <c r="T195" i="8" s="1"/>
  <c r="A243" i="3"/>
  <c r="CY243" i="3"/>
  <c r="CZ243" i="3"/>
  <c r="DB243" i="3" s="1"/>
  <c r="L194" i="8" s="1"/>
  <c r="DA243" i="3"/>
  <c r="DC243" i="3"/>
  <c r="Q194" i="8" s="1"/>
  <c r="A244" i="3"/>
  <c r="CY244" i="3"/>
  <c r="CZ244" i="3"/>
  <c r="DB244" i="3" s="1"/>
  <c r="L193" i="8" s="1"/>
  <c r="M193" i="8" s="1"/>
  <c r="F226" i="7" s="1"/>
  <c r="DA244" i="3"/>
  <c r="DC244" i="3"/>
  <c r="Q193" i="8" s="1"/>
  <c r="T193" i="8" s="1"/>
  <c r="A245" i="3"/>
  <c r="CY245" i="3"/>
  <c r="CZ245" i="3"/>
  <c r="DB245" i="3" s="1"/>
  <c r="L192" i="8" s="1"/>
  <c r="O192" i="8" s="1"/>
  <c r="DA245" i="3"/>
  <c r="DC245" i="3"/>
  <c r="Q192" i="8" s="1"/>
  <c r="A246" i="3"/>
  <c r="CY246" i="3"/>
  <c r="CZ246" i="3"/>
  <c r="DA246" i="3"/>
  <c r="DB246" i="3"/>
  <c r="DC246" i="3"/>
  <c r="A247" i="3"/>
  <c r="CY247" i="3"/>
  <c r="CZ247" i="3"/>
  <c r="DB247" i="3" s="1"/>
  <c r="DA247" i="3"/>
  <c r="DC247" i="3"/>
  <c r="A248" i="3"/>
  <c r="CY248" i="3"/>
  <c r="CZ248" i="3"/>
  <c r="DB248" i="3" s="1"/>
  <c r="L199" i="8" s="1"/>
  <c r="DA248" i="3"/>
  <c r="DC248" i="3"/>
  <c r="Q199" i="8" s="1"/>
  <c r="A249" i="3"/>
  <c r="CY249" i="3"/>
  <c r="CZ249" i="3"/>
  <c r="DA249" i="3"/>
  <c r="DB249" i="3"/>
  <c r="DC249" i="3"/>
  <c r="A250" i="3"/>
  <c r="CY250" i="3"/>
  <c r="CZ250" i="3"/>
  <c r="DB250" i="3" s="1"/>
  <c r="L198" i="8" s="1"/>
  <c r="DA250" i="3"/>
  <c r="DC250" i="3"/>
  <c r="Q198" i="8" s="1"/>
  <c r="A251" i="3"/>
  <c r="CY251" i="3"/>
  <c r="CZ251" i="3"/>
  <c r="DA251" i="3"/>
  <c r="DB251" i="3"/>
  <c r="DC251" i="3"/>
  <c r="A252" i="3"/>
  <c r="CY252" i="3"/>
  <c r="CZ252" i="3"/>
  <c r="DB252" i="3" s="1"/>
  <c r="DA252" i="3"/>
  <c r="DC252" i="3"/>
  <c r="A253" i="3"/>
  <c r="CY253" i="3"/>
  <c r="CZ253" i="3"/>
  <c r="DA253" i="3"/>
  <c r="DB253" i="3"/>
  <c r="L207" i="8" s="1"/>
  <c r="DC253" i="3"/>
  <c r="Q207" i="8" s="1"/>
  <c r="A254" i="3"/>
  <c r="CY254" i="3"/>
  <c r="CZ254" i="3"/>
  <c r="DB254" i="3" s="1"/>
  <c r="L206" i="8" s="1"/>
  <c r="DA254" i="3"/>
  <c r="DC254" i="3"/>
  <c r="Q206" i="8" s="1"/>
  <c r="A255" i="3"/>
  <c r="CY255" i="3"/>
  <c r="CZ255" i="3"/>
  <c r="DB255" i="3" s="1"/>
  <c r="L205" i="8" s="1"/>
  <c r="DA255" i="3"/>
  <c r="DC255" i="3"/>
  <c r="Q205" i="8" s="1"/>
  <c r="A256" i="3"/>
  <c r="CY256" i="3"/>
  <c r="CZ256" i="3"/>
  <c r="DB256" i="3" s="1"/>
  <c r="L204" i="8" s="1"/>
  <c r="DA256" i="3"/>
  <c r="DC256" i="3"/>
  <c r="Q204" i="8" s="1"/>
  <c r="A257" i="3"/>
  <c r="CY257" i="3"/>
  <c r="CZ257" i="3"/>
  <c r="DB257" i="3" s="1"/>
  <c r="L203" i="8" s="1"/>
  <c r="DA257" i="3"/>
  <c r="DC257" i="3"/>
  <c r="Q203" i="8" s="1"/>
  <c r="A258" i="3"/>
  <c r="CY258" i="3"/>
  <c r="CZ258" i="3"/>
  <c r="DB258" i="3" s="1"/>
  <c r="L202" i="8" s="1"/>
  <c r="DA258" i="3"/>
  <c r="DC258" i="3"/>
  <c r="Q202" i="8" s="1"/>
  <c r="A259" i="3"/>
  <c r="CY259" i="3"/>
  <c r="CZ259" i="3"/>
  <c r="DB259" i="3" s="1"/>
  <c r="L201" i="8" s="1"/>
  <c r="DA259" i="3"/>
  <c r="DC259" i="3"/>
  <c r="Q201" i="8" s="1"/>
  <c r="A260" i="3"/>
  <c r="CY260" i="3"/>
  <c r="CZ260" i="3"/>
  <c r="DB260" i="3" s="1"/>
  <c r="DA260" i="3"/>
  <c r="DC260" i="3"/>
  <c r="A261" i="3"/>
  <c r="CY261" i="3"/>
  <c r="CZ261" i="3"/>
  <c r="DB261" i="3" s="1"/>
  <c r="L211" i="8" s="1"/>
  <c r="DA261" i="3"/>
  <c r="DC261" i="3"/>
  <c r="Q211" i="8" s="1"/>
  <c r="A262" i="3"/>
  <c r="CY262" i="3"/>
  <c r="CZ262" i="3"/>
  <c r="DA262" i="3"/>
  <c r="DB262" i="3"/>
  <c r="L210" i="8" s="1"/>
  <c r="DC262" i="3"/>
  <c r="Q210" i="8" s="1"/>
  <c r="A263" i="3"/>
  <c r="CY263" i="3"/>
  <c r="CZ263" i="3"/>
  <c r="DB263" i="3" s="1"/>
  <c r="L209" i="8" s="1"/>
  <c r="DA263" i="3"/>
  <c r="DC263" i="3"/>
  <c r="Q209" i="8" s="1"/>
  <c r="A264" i="3"/>
  <c r="CY264" i="3"/>
  <c r="CZ264" i="3"/>
  <c r="DB264" i="3" s="1"/>
  <c r="L208" i="8" s="1"/>
  <c r="DA264" i="3"/>
  <c r="DC264" i="3"/>
  <c r="Q208" i="8" s="1"/>
  <c r="A265" i="3"/>
  <c r="CX265" i="3"/>
  <c r="CY265" i="3"/>
  <c r="CZ265" i="3"/>
  <c r="DB265" i="3" s="1"/>
  <c r="DA265" i="3"/>
  <c r="DC265" i="3"/>
  <c r="A266" i="3"/>
  <c r="CX266" i="3"/>
  <c r="CY266" i="3"/>
  <c r="CZ266" i="3"/>
  <c r="DB266" i="3" s="1"/>
  <c r="DA266" i="3"/>
  <c r="DC266" i="3"/>
  <c r="A267" i="3"/>
  <c r="CX267" i="3"/>
  <c r="CY267" i="3"/>
  <c r="CZ267" i="3"/>
  <c r="DB267" i="3" s="1"/>
  <c r="DA267" i="3"/>
  <c r="DC267" i="3"/>
  <c r="A268" i="3"/>
  <c r="CX268" i="3"/>
  <c r="CY268" i="3"/>
  <c r="CZ268" i="3"/>
  <c r="DB268" i="3" s="1"/>
  <c r="DA268" i="3"/>
  <c r="DC268" i="3"/>
  <c r="D12" i="1"/>
  <c r="E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D20" i="1"/>
  <c r="E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D24" i="1"/>
  <c r="E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D28" i="1"/>
  <c r="E30" i="1"/>
  <c r="Z30" i="1"/>
  <c r="AA30" i="1"/>
  <c r="AM30" i="1"/>
  <c r="AN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GG30" i="1"/>
  <c r="GH30" i="1"/>
  <c r="GI30" i="1"/>
  <c r="GJ30" i="1"/>
  <c r="GK30" i="1"/>
  <c r="GL30" i="1"/>
  <c r="GM30" i="1"/>
  <c r="GN30" i="1"/>
  <c r="GO30" i="1"/>
  <c r="GP30" i="1"/>
  <c r="GQ30" i="1"/>
  <c r="GR30" i="1"/>
  <c r="GS30" i="1"/>
  <c r="GT30" i="1"/>
  <c r="GU30" i="1"/>
  <c r="GV30" i="1"/>
  <c r="GW30" i="1"/>
  <c r="GX30" i="1"/>
  <c r="C32" i="1"/>
  <c r="D32" i="1"/>
  <c r="I32" i="1"/>
  <c r="R9" i="8" s="1"/>
  <c r="T32" i="1"/>
  <c r="AC32" i="1"/>
  <c r="AE32" i="1"/>
  <c r="AF32" i="1"/>
  <c r="AG32" i="1"/>
  <c r="AH32" i="1"/>
  <c r="CV32" i="1" s="1"/>
  <c r="U32" i="1" s="1"/>
  <c r="K42" i="5" s="1"/>
  <c r="AI32" i="1"/>
  <c r="CW32" i="1" s="1"/>
  <c r="V32" i="1" s="1"/>
  <c r="AJ32" i="1"/>
  <c r="CQ32" i="1"/>
  <c r="P32" i="1" s="1"/>
  <c r="CT32" i="1"/>
  <c r="S32" i="1" s="1"/>
  <c r="CU32" i="1"/>
  <c r="CX32" i="1"/>
  <c r="W32" i="1" s="1"/>
  <c r="FR32" i="1"/>
  <c r="GL32" i="1"/>
  <c r="GN32" i="1"/>
  <c r="GO32" i="1"/>
  <c r="GV32" i="1"/>
  <c r="HC32" i="1" s="1"/>
  <c r="GX32" i="1" s="1"/>
  <c r="AC33" i="1"/>
  <c r="CQ33" i="1" s="1"/>
  <c r="P33" i="1" s="1"/>
  <c r="AE33" i="1"/>
  <c r="AF33" i="1"/>
  <c r="CT33" i="1" s="1"/>
  <c r="S33" i="1" s="1"/>
  <c r="CY33" i="1" s="1"/>
  <c r="X33" i="1" s="1"/>
  <c r="AG33" i="1"/>
  <c r="CU33" i="1" s="1"/>
  <c r="T33" i="1" s="1"/>
  <c r="AH33" i="1"/>
  <c r="CV33" i="1" s="1"/>
  <c r="U33" i="1" s="1"/>
  <c r="AI33" i="1"/>
  <c r="CW33" i="1" s="1"/>
  <c r="V33" i="1" s="1"/>
  <c r="AJ33" i="1"/>
  <c r="CX33" i="1" s="1"/>
  <c r="W33" i="1" s="1"/>
  <c r="CZ33" i="1"/>
  <c r="Y33" i="1" s="1"/>
  <c r="FR33" i="1"/>
  <c r="GL33" i="1"/>
  <c r="GN33" i="1"/>
  <c r="GO33" i="1"/>
  <c r="GV33" i="1"/>
  <c r="HC33" i="1" s="1"/>
  <c r="GX33" i="1" s="1"/>
  <c r="C34" i="1"/>
  <c r="D34" i="1"/>
  <c r="AC34" i="1"/>
  <c r="CQ34" i="1" s="1"/>
  <c r="P34" i="1" s="1"/>
  <c r="AD34" i="1"/>
  <c r="AE34" i="1"/>
  <c r="U44" i="5" s="1"/>
  <c r="AF34" i="1"/>
  <c r="AG34" i="1"/>
  <c r="CU34" i="1" s="1"/>
  <c r="T34" i="1" s="1"/>
  <c r="AH34" i="1"/>
  <c r="CV34" i="1" s="1"/>
  <c r="U34" i="1" s="1"/>
  <c r="K48" i="5" s="1"/>
  <c r="AI34" i="1"/>
  <c r="AJ34" i="1"/>
  <c r="CX34" i="1" s="1"/>
  <c r="W34" i="1" s="1"/>
  <c r="CR34" i="1"/>
  <c r="Q34" i="1" s="1"/>
  <c r="CS34" i="1"/>
  <c r="CW34" i="1"/>
  <c r="V34" i="1" s="1"/>
  <c r="FR34" i="1"/>
  <c r="GL34" i="1"/>
  <c r="GN34" i="1"/>
  <c r="GO34" i="1"/>
  <c r="GV34" i="1"/>
  <c r="HC34" i="1"/>
  <c r="GX34" i="1" s="1"/>
  <c r="C35" i="1"/>
  <c r="D35" i="1"/>
  <c r="AC35" i="1"/>
  <c r="AE35" i="1"/>
  <c r="AD35" i="1" s="1"/>
  <c r="AF35" i="1"/>
  <c r="AG35" i="1"/>
  <c r="CU35" i="1" s="1"/>
  <c r="T35" i="1" s="1"/>
  <c r="AH35" i="1"/>
  <c r="AI35" i="1"/>
  <c r="CW35" i="1" s="1"/>
  <c r="V35" i="1" s="1"/>
  <c r="AJ35" i="1"/>
  <c r="CT35" i="1"/>
  <c r="S35" i="1" s="1"/>
  <c r="CV35" i="1"/>
  <c r="U35" i="1" s="1"/>
  <c r="CX35" i="1"/>
  <c r="W35" i="1" s="1"/>
  <c r="FR35" i="1"/>
  <c r="GL35" i="1"/>
  <c r="GN35" i="1"/>
  <c r="GO35" i="1"/>
  <c r="GV35" i="1"/>
  <c r="HC35" i="1" s="1"/>
  <c r="GX35" i="1" s="1"/>
  <c r="C36" i="1"/>
  <c r="D36" i="1"/>
  <c r="I36" i="1"/>
  <c r="AC36" i="1"/>
  <c r="AD36" i="1"/>
  <c r="AB36" i="1" s="1"/>
  <c r="AE36" i="1"/>
  <c r="U50" i="5" s="1"/>
  <c r="AF36" i="1"/>
  <c r="AG36" i="1"/>
  <c r="CU36" i="1" s="1"/>
  <c r="T36" i="1" s="1"/>
  <c r="AH36" i="1"/>
  <c r="CV36" i="1" s="1"/>
  <c r="U36" i="1" s="1"/>
  <c r="AI36" i="1"/>
  <c r="AJ36" i="1"/>
  <c r="CX36" i="1" s="1"/>
  <c r="W36" i="1" s="1"/>
  <c r="CQ36" i="1"/>
  <c r="P36" i="1" s="1"/>
  <c r="CR36" i="1"/>
  <c r="Q36" i="1" s="1"/>
  <c r="J51" i="5" s="1"/>
  <c r="I53" i="5" s="1"/>
  <c r="CS36" i="1"/>
  <c r="CW36" i="1"/>
  <c r="V36" i="1" s="1"/>
  <c r="FR36" i="1"/>
  <c r="GL36" i="1"/>
  <c r="GN36" i="1"/>
  <c r="GO36" i="1"/>
  <c r="GV36" i="1"/>
  <c r="HC36" i="1" s="1"/>
  <c r="GX36" i="1" s="1"/>
  <c r="C37" i="1"/>
  <c r="D37" i="1"/>
  <c r="I37" i="1"/>
  <c r="AC37" i="1"/>
  <c r="AE37" i="1"/>
  <c r="AF37" i="1"/>
  <c r="AG37" i="1"/>
  <c r="CU37" i="1" s="1"/>
  <c r="T37" i="1" s="1"/>
  <c r="AH37" i="1"/>
  <c r="AI37" i="1"/>
  <c r="CW37" i="1" s="1"/>
  <c r="AJ37" i="1"/>
  <c r="CX37" i="1" s="1"/>
  <c r="W37" i="1" s="1"/>
  <c r="CR37" i="1"/>
  <c r="Q37" i="1" s="1"/>
  <c r="J55" i="5" s="1"/>
  <c r="I57" i="5" s="1"/>
  <c r="P57" i="5" s="1"/>
  <c r="CV37" i="1"/>
  <c r="U37" i="1" s="1"/>
  <c r="FR37" i="1"/>
  <c r="GL37" i="1"/>
  <c r="GN37" i="1"/>
  <c r="GO37" i="1"/>
  <c r="GV37" i="1"/>
  <c r="GX37" i="1"/>
  <c r="HC37" i="1"/>
  <c r="AC38" i="1"/>
  <c r="AE38" i="1"/>
  <c r="AF38" i="1"/>
  <c r="AG38" i="1"/>
  <c r="CU38" i="1" s="1"/>
  <c r="T38" i="1" s="1"/>
  <c r="AH38" i="1"/>
  <c r="AI38" i="1"/>
  <c r="CW38" i="1" s="1"/>
  <c r="V38" i="1" s="1"/>
  <c r="AJ38" i="1"/>
  <c r="CX38" i="1" s="1"/>
  <c r="W38" i="1" s="1"/>
  <c r="CV38" i="1"/>
  <c r="U38" i="1" s="1"/>
  <c r="FR38" i="1"/>
  <c r="GL38" i="1"/>
  <c r="GN38" i="1"/>
  <c r="GO38" i="1"/>
  <c r="GV38" i="1"/>
  <c r="HC38" i="1" s="1"/>
  <c r="GX38" i="1" s="1"/>
  <c r="B40" i="1"/>
  <c r="B30" i="1" s="1"/>
  <c r="C40" i="1"/>
  <c r="C30" i="1" s="1"/>
  <c r="D40" i="1"/>
  <c r="D30" i="1" s="1"/>
  <c r="F40" i="1"/>
  <c r="F30" i="1" s="1"/>
  <c r="G40" i="1"/>
  <c r="BX40" i="1"/>
  <c r="BX30" i="1" s="1"/>
  <c r="BY40" i="1"/>
  <c r="CK40" i="1"/>
  <c r="CL40" i="1"/>
  <c r="CL30" i="1" s="1"/>
  <c r="CM40" i="1"/>
  <c r="CM30" i="1" s="1"/>
  <c r="D70" i="1"/>
  <c r="E72" i="1"/>
  <c r="Z72" i="1"/>
  <c r="AA72" i="1"/>
  <c r="AM72" i="1"/>
  <c r="AN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FF72" i="1"/>
  <c r="FG72" i="1"/>
  <c r="FH72" i="1"/>
  <c r="FI72" i="1"/>
  <c r="FJ72" i="1"/>
  <c r="FK72" i="1"/>
  <c r="FL72" i="1"/>
  <c r="FM72" i="1"/>
  <c r="FN72" i="1"/>
  <c r="FO72" i="1"/>
  <c r="FP72" i="1"/>
  <c r="FQ72" i="1"/>
  <c r="FR72" i="1"/>
  <c r="FS72" i="1"/>
  <c r="FT72" i="1"/>
  <c r="FU72" i="1"/>
  <c r="FV72" i="1"/>
  <c r="FW72" i="1"/>
  <c r="FX72" i="1"/>
  <c r="FY72" i="1"/>
  <c r="FZ72" i="1"/>
  <c r="GA72" i="1"/>
  <c r="GB72" i="1"/>
  <c r="GC72" i="1"/>
  <c r="GD72" i="1"/>
  <c r="GE72" i="1"/>
  <c r="GF72" i="1"/>
  <c r="GG72" i="1"/>
  <c r="GH72" i="1"/>
  <c r="GI72" i="1"/>
  <c r="GJ72" i="1"/>
  <c r="GK72" i="1"/>
  <c r="GL72" i="1"/>
  <c r="GM72" i="1"/>
  <c r="GN72" i="1"/>
  <c r="GO72" i="1"/>
  <c r="GP72" i="1"/>
  <c r="GQ72" i="1"/>
  <c r="GR72" i="1"/>
  <c r="GS72" i="1"/>
  <c r="GT72" i="1"/>
  <c r="GU72" i="1"/>
  <c r="GV72" i="1"/>
  <c r="GW72" i="1"/>
  <c r="GX72" i="1"/>
  <c r="C74" i="1"/>
  <c r="D74" i="1"/>
  <c r="AC74" i="1"/>
  <c r="AE74" i="1"/>
  <c r="CR74" i="1" s="1"/>
  <c r="Q74" i="1" s="1"/>
  <c r="J67" i="5" s="1"/>
  <c r="AF74" i="1"/>
  <c r="AG74" i="1"/>
  <c r="CU74" i="1" s="1"/>
  <c r="T74" i="1" s="1"/>
  <c r="AH74" i="1"/>
  <c r="AI74" i="1"/>
  <c r="CW74" i="1" s="1"/>
  <c r="V74" i="1" s="1"/>
  <c r="AJ74" i="1"/>
  <c r="CT74" i="1"/>
  <c r="S74" i="1" s="1"/>
  <c r="J66" i="5" s="1"/>
  <c r="CV74" i="1"/>
  <c r="U74" i="1" s="1"/>
  <c r="K72" i="5" s="1"/>
  <c r="CX74" i="1"/>
  <c r="W74" i="1" s="1"/>
  <c r="FR74" i="1"/>
  <c r="GL74" i="1"/>
  <c r="GN74" i="1"/>
  <c r="GO74" i="1"/>
  <c r="GV74" i="1"/>
  <c r="HC74" i="1"/>
  <c r="GX74" i="1" s="1"/>
  <c r="C75" i="1"/>
  <c r="D75" i="1"/>
  <c r="AC75" i="1"/>
  <c r="AD75" i="1"/>
  <c r="AB75" i="1" s="1"/>
  <c r="AE75" i="1"/>
  <c r="AF75" i="1"/>
  <c r="CT75" i="1" s="1"/>
  <c r="S75" i="1" s="1"/>
  <c r="CZ75" i="1" s="1"/>
  <c r="Y75" i="1" s="1"/>
  <c r="AG75" i="1"/>
  <c r="CU75" i="1" s="1"/>
  <c r="T75" i="1" s="1"/>
  <c r="AH75" i="1"/>
  <c r="CV75" i="1" s="1"/>
  <c r="U75" i="1" s="1"/>
  <c r="AI75" i="1"/>
  <c r="AJ75" i="1"/>
  <c r="CX75" i="1" s="1"/>
  <c r="W75" i="1" s="1"/>
  <c r="CQ75" i="1"/>
  <c r="P75" i="1" s="1"/>
  <c r="CR75" i="1"/>
  <c r="Q75" i="1" s="1"/>
  <c r="CS75" i="1"/>
  <c r="R75" i="1" s="1"/>
  <c r="GK75" i="1" s="1"/>
  <c r="CW75" i="1"/>
  <c r="V75" i="1" s="1"/>
  <c r="CY75" i="1"/>
  <c r="X75" i="1" s="1"/>
  <c r="FR75" i="1"/>
  <c r="GL75" i="1"/>
  <c r="GN75" i="1"/>
  <c r="GO75" i="1"/>
  <c r="GV75" i="1"/>
  <c r="HC75" i="1"/>
  <c r="GX75" i="1" s="1"/>
  <c r="I76" i="1"/>
  <c r="AC76" i="1"/>
  <c r="CQ76" i="1" s="1"/>
  <c r="P76" i="1" s="1"/>
  <c r="AE76" i="1"/>
  <c r="AD76" i="1" s="1"/>
  <c r="AF76" i="1"/>
  <c r="CT76" i="1" s="1"/>
  <c r="AG76" i="1"/>
  <c r="CU76" i="1" s="1"/>
  <c r="T76" i="1" s="1"/>
  <c r="AH76" i="1"/>
  <c r="CV76" i="1" s="1"/>
  <c r="AI76" i="1"/>
  <c r="AJ76" i="1"/>
  <c r="CX76" i="1" s="1"/>
  <c r="CS76" i="1"/>
  <c r="CW76" i="1"/>
  <c r="V76" i="1" s="1"/>
  <c r="FR76" i="1"/>
  <c r="GL76" i="1"/>
  <c r="GN76" i="1"/>
  <c r="GO76" i="1"/>
  <c r="GV76" i="1"/>
  <c r="HC76" i="1" s="1"/>
  <c r="GX76" i="1" s="1"/>
  <c r="I77" i="1"/>
  <c r="AC77" i="1"/>
  <c r="AE77" i="1"/>
  <c r="AF77" i="1"/>
  <c r="CT77" i="1" s="1"/>
  <c r="AG77" i="1"/>
  <c r="CU77" i="1" s="1"/>
  <c r="T77" i="1" s="1"/>
  <c r="AH77" i="1"/>
  <c r="CV77" i="1" s="1"/>
  <c r="U77" i="1" s="1"/>
  <c r="AI77" i="1"/>
  <c r="CW77" i="1" s="1"/>
  <c r="V77" i="1" s="1"/>
  <c r="AJ77" i="1"/>
  <c r="CX77" i="1" s="1"/>
  <c r="CQ77" i="1"/>
  <c r="P77" i="1" s="1"/>
  <c r="CS77" i="1"/>
  <c r="R77" i="1" s="1"/>
  <c r="GK77" i="1" s="1"/>
  <c r="FR77" i="1"/>
  <c r="GL77" i="1"/>
  <c r="GN77" i="1"/>
  <c r="GO77" i="1"/>
  <c r="GV77" i="1"/>
  <c r="HC77" i="1"/>
  <c r="GX77" i="1" s="1"/>
  <c r="AC78" i="1"/>
  <c r="AE78" i="1"/>
  <c r="AD78" i="1" s="1"/>
  <c r="AF78" i="1"/>
  <c r="AG78" i="1"/>
  <c r="CU78" i="1" s="1"/>
  <c r="T78" i="1" s="1"/>
  <c r="AH78" i="1"/>
  <c r="AI78" i="1"/>
  <c r="CW78" i="1" s="1"/>
  <c r="V78" i="1" s="1"/>
  <c r="AJ78" i="1"/>
  <c r="CR78" i="1"/>
  <c r="Q78" i="1" s="1"/>
  <c r="CT78" i="1"/>
  <c r="S78" i="1" s="1"/>
  <c r="CV78" i="1"/>
  <c r="U78" i="1" s="1"/>
  <c r="CX78" i="1"/>
  <c r="W78" i="1" s="1"/>
  <c r="FR78" i="1"/>
  <c r="GL78" i="1"/>
  <c r="GO78" i="1"/>
  <c r="GP78" i="1"/>
  <c r="GV78" i="1"/>
  <c r="HC78" i="1" s="1"/>
  <c r="GX78" i="1" s="1"/>
  <c r="C79" i="1"/>
  <c r="AC79" i="1"/>
  <c r="AE79" i="1"/>
  <c r="CR79" i="1" s="1"/>
  <c r="Q79" i="1" s="1"/>
  <c r="AF79" i="1"/>
  <c r="AG79" i="1"/>
  <c r="CU79" i="1" s="1"/>
  <c r="T79" i="1" s="1"/>
  <c r="AH79" i="1"/>
  <c r="AI79" i="1"/>
  <c r="CW79" i="1" s="1"/>
  <c r="V79" i="1" s="1"/>
  <c r="AJ79" i="1"/>
  <c r="CT79" i="1"/>
  <c r="S79" i="1" s="1"/>
  <c r="CV79" i="1"/>
  <c r="U79" i="1" s="1"/>
  <c r="CX79" i="1"/>
  <c r="W79" i="1" s="1"/>
  <c r="FR79" i="1"/>
  <c r="GL79" i="1"/>
  <c r="GN79" i="1"/>
  <c r="GO79" i="1"/>
  <c r="CC94" i="1" s="1"/>
  <c r="AT94" i="1" s="1"/>
  <c r="GV79" i="1"/>
  <c r="HC79" i="1" s="1"/>
  <c r="GX79" i="1" s="1"/>
  <c r="I80" i="1"/>
  <c r="AC80" i="1"/>
  <c r="AE80" i="1"/>
  <c r="AD80" i="1" s="1"/>
  <c r="AF80" i="1"/>
  <c r="AG80" i="1"/>
  <c r="CU80" i="1" s="1"/>
  <c r="T80" i="1" s="1"/>
  <c r="AH80" i="1"/>
  <c r="CV80" i="1" s="1"/>
  <c r="U80" i="1" s="1"/>
  <c r="AI80" i="1"/>
  <c r="CW80" i="1" s="1"/>
  <c r="AJ80" i="1"/>
  <c r="CX80" i="1" s="1"/>
  <c r="W80" i="1" s="1"/>
  <c r="CR80" i="1"/>
  <c r="Q80" i="1" s="1"/>
  <c r="CT80" i="1"/>
  <c r="S80" i="1" s="1"/>
  <c r="FR80" i="1"/>
  <c r="GL80" i="1"/>
  <c r="GN80" i="1"/>
  <c r="GO80" i="1"/>
  <c r="GV80" i="1"/>
  <c r="HC80" i="1"/>
  <c r="GX80" i="1" s="1"/>
  <c r="I81" i="1"/>
  <c r="AC81" i="1"/>
  <c r="AE81" i="1"/>
  <c r="AF81" i="1"/>
  <c r="CT81" i="1" s="1"/>
  <c r="S81" i="1" s="1"/>
  <c r="CY81" i="1" s="1"/>
  <c r="X81" i="1" s="1"/>
  <c r="AG81" i="1"/>
  <c r="CU81" i="1" s="1"/>
  <c r="T81" i="1" s="1"/>
  <c r="AH81" i="1"/>
  <c r="AI81" i="1"/>
  <c r="CW81" i="1" s="1"/>
  <c r="V81" i="1" s="1"/>
  <c r="AJ81" i="1"/>
  <c r="CX81" i="1" s="1"/>
  <c r="W81" i="1" s="1"/>
  <c r="CV81" i="1"/>
  <c r="U81" i="1" s="1"/>
  <c r="FR81" i="1"/>
  <c r="GL81" i="1"/>
  <c r="GN81" i="1"/>
  <c r="GO81" i="1"/>
  <c r="GV81" i="1"/>
  <c r="HC81" i="1" s="1"/>
  <c r="GX81" i="1" s="1"/>
  <c r="I82" i="1"/>
  <c r="U82" i="1"/>
  <c r="AC82" i="1"/>
  <c r="AE82" i="1"/>
  <c r="AF82" i="1"/>
  <c r="AG82" i="1"/>
  <c r="CU82" i="1" s="1"/>
  <c r="T82" i="1" s="1"/>
  <c r="AH82" i="1"/>
  <c r="AI82" i="1"/>
  <c r="CW82" i="1" s="1"/>
  <c r="V82" i="1" s="1"/>
  <c r="AJ82" i="1"/>
  <c r="CT82" i="1"/>
  <c r="S82" i="1" s="1"/>
  <c r="CV82" i="1"/>
  <c r="CX82" i="1"/>
  <c r="W82" i="1" s="1"/>
  <c r="FR82" i="1"/>
  <c r="GL82" i="1"/>
  <c r="GN82" i="1"/>
  <c r="GO82" i="1"/>
  <c r="GV82" i="1"/>
  <c r="HC82" i="1" s="1"/>
  <c r="GX82" i="1" s="1"/>
  <c r="C83" i="1"/>
  <c r="D83" i="1"/>
  <c r="AC83" i="1"/>
  <c r="AD83" i="1"/>
  <c r="AE83" i="1"/>
  <c r="AF83" i="1"/>
  <c r="CT83" i="1" s="1"/>
  <c r="S83" i="1" s="1"/>
  <c r="CZ83" i="1" s="1"/>
  <c r="Y83" i="1" s="1"/>
  <c r="AG83" i="1"/>
  <c r="CU83" i="1" s="1"/>
  <c r="T83" i="1" s="1"/>
  <c r="AH83" i="1"/>
  <c r="CV83" i="1" s="1"/>
  <c r="U83" i="1" s="1"/>
  <c r="AI83" i="1"/>
  <c r="AJ83" i="1"/>
  <c r="CX83" i="1" s="1"/>
  <c r="W83" i="1" s="1"/>
  <c r="CQ83" i="1"/>
  <c r="P83" i="1" s="1"/>
  <c r="CP83" i="1" s="1"/>
  <c r="O83" i="1" s="1"/>
  <c r="CR83" i="1"/>
  <c r="Q83" i="1" s="1"/>
  <c r="CS83" i="1"/>
  <c r="R83" i="1" s="1"/>
  <c r="GK83" i="1" s="1"/>
  <c r="CW83" i="1"/>
  <c r="V83" i="1" s="1"/>
  <c r="FR83" i="1"/>
  <c r="GL83" i="1"/>
  <c r="GN83" i="1"/>
  <c r="GO83" i="1"/>
  <c r="GV83" i="1"/>
  <c r="HC83" i="1"/>
  <c r="GX83" i="1" s="1"/>
  <c r="I84" i="1"/>
  <c r="AC84" i="1"/>
  <c r="AE84" i="1"/>
  <c r="AF84" i="1"/>
  <c r="CT84" i="1" s="1"/>
  <c r="AG84" i="1"/>
  <c r="CU84" i="1" s="1"/>
  <c r="AH84" i="1"/>
  <c r="CV84" i="1" s="1"/>
  <c r="AI84" i="1"/>
  <c r="CW84" i="1" s="1"/>
  <c r="AJ84" i="1"/>
  <c r="CX84" i="1" s="1"/>
  <c r="CQ84" i="1"/>
  <c r="FR84" i="1"/>
  <c r="GL84" i="1"/>
  <c r="GN84" i="1"/>
  <c r="GO84" i="1"/>
  <c r="GV84" i="1"/>
  <c r="HC84" i="1" s="1"/>
  <c r="I85" i="1"/>
  <c r="AC85" i="1"/>
  <c r="CQ85" i="1" s="1"/>
  <c r="P85" i="1" s="1"/>
  <c r="AE85" i="1"/>
  <c r="AD85" i="1" s="1"/>
  <c r="AF85" i="1"/>
  <c r="CT85" i="1" s="1"/>
  <c r="AG85" i="1"/>
  <c r="CU85" i="1" s="1"/>
  <c r="T85" i="1" s="1"/>
  <c r="AH85" i="1"/>
  <c r="CV85" i="1" s="1"/>
  <c r="AI85" i="1"/>
  <c r="AJ85" i="1"/>
  <c r="CX85" i="1" s="1"/>
  <c r="CS85" i="1"/>
  <c r="CW85" i="1"/>
  <c r="V85" i="1" s="1"/>
  <c r="FR85" i="1"/>
  <c r="GL85" i="1"/>
  <c r="GN85" i="1"/>
  <c r="GO85" i="1"/>
  <c r="GV85" i="1"/>
  <c r="HC85" i="1" s="1"/>
  <c r="AC86" i="1"/>
  <c r="AE86" i="1"/>
  <c r="AF86" i="1"/>
  <c r="AG86" i="1"/>
  <c r="CU86" i="1" s="1"/>
  <c r="T86" i="1" s="1"/>
  <c r="AH86" i="1"/>
  <c r="AI86" i="1"/>
  <c r="CW86" i="1" s="1"/>
  <c r="V86" i="1" s="1"/>
  <c r="AJ86" i="1"/>
  <c r="CT86" i="1"/>
  <c r="S86" i="1" s="1"/>
  <c r="CV86" i="1"/>
  <c r="U86" i="1" s="1"/>
  <c r="CX86" i="1"/>
  <c r="W86" i="1" s="1"/>
  <c r="FR86" i="1"/>
  <c r="GL86" i="1"/>
  <c r="GN86" i="1"/>
  <c r="GO86" i="1"/>
  <c r="GV86" i="1"/>
  <c r="HC86" i="1" s="1"/>
  <c r="GX86" i="1" s="1"/>
  <c r="P87" i="1"/>
  <c r="AC87" i="1"/>
  <c r="AE87" i="1"/>
  <c r="AD87" i="1" s="1"/>
  <c r="AF87" i="1"/>
  <c r="AG87" i="1"/>
  <c r="AH87" i="1"/>
  <c r="CV87" i="1" s="1"/>
  <c r="U87" i="1" s="1"/>
  <c r="AI87" i="1"/>
  <c r="CW87" i="1" s="1"/>
  <c r="V87" i="1" s="1"/>
  <c r="AJ87" i="1"/>
  <c r="CX87" i="1" s="1"/>
  <c r="W87" i="1" s="1"/>
  <c r="CQ87" i="1"/>
  <c r="CS87" i="1"/>
  <c r="CU87" i="1"/>
  <c r="T87" i="1" s="1"/>
  <c r="FR87" i="1"/>
  <c r="GL87" i="1"/>
  <c r="GO87" i="1"/>
  <c r="GP87" i="1"/>
  <c r="GV87" i="1"/>
  <c r="HC87" i="1" s="1"/>
  <c r="GX87" i="1" s="1"/>
  <c r="AC88" i="1"/>
  <c r="AE88" i="1"/>
  <c r="CR88" i="1" s="1"/>
  <c r="Q88" i="1" s="1"/>
  <c r="AF88" i="1"/>
  <c r="AG88" i="1"/>
  <c r="CU88" i="1" s="1"/>
  <c r="T88" i="1" s="1"/>
  <c r="AH88" i="1"/>
  <c r="AI88" i="1"/>
  <c r="CW88" i="1" s="1"/>
  <c r="V88" i="1" s="1"/>
  <c r="AJ88" i="1"/>
  <c r="CX88" i="1" s="1"/>
  <c r="W88" i="1" s="1"/>
  <c r="CV88" i="1"/>
  <c r="U88" i="1" s="1"/>
  <c r="FR88" i="1"/>
  <c r="GL88" i="1"/>
  <c r="GO88" i="1"/>
  <c r="GP88" i="1"/>
  <c r="GV88" i="1"/>
  <c r="HC88" i="1"/>
  <c r="GX88" i="1" s="1"/>
  <c r="AC89" i="1"/>
  <c r="AE89" i="1"/>
  <c r="AF89" i="1"/>
  <c r="AG89" i="1"/>
  <c r="CU89" i="1" s="1"/>
  <c r="T89" i="1" s="1"/>
  <c r="AH89" i="1"/>
  <c r="CV89" i="1" s="1"/>
  <c r="U89" i="1" s="1"/>
  <c r="AI89" i="1"/>
  <c r="AJ89" i="1"/>
  <c r="CX89" i="1" s="1"/>
  <c r="W89" i="1" s="1"/>
  <c r="CQ89" i="1"/>
  <c r="P89" i="1" s="1"/>
  <c r="J78" i="5" s="1"/>
  <c r="I79" i="5" s="1"/>
  <c r="CS89" i="1"/>
  <c r="CW89" i="1"/>
  <c r="V89" i="1" s="1"/>
  <c r="FR89" i="1"/>
  <c r="GL89" i="1"/>
  <c r="GO89" i="1"/>
  <c r="GP89" i="1"/>
  <c r="GV89" i="1"/>
  <c r="HC89" i="1"/>
  <c r="GX89" i="1" s="1"/>
  <c r="W90" i="1"/>
  <c r="AC90" i="1"/>
  <c r="AE90" i="1"/>
  <c r="AF90" i="1"/>
  <c r="AG90" i="1"/>
  <c r="CU90" i="1" s="1"/>
  <c r="T90" i="1" s="1"/>
  <c r="AH90" i="1"/>
  <c r="AI90" i="1"/>
  <c r="CW90" i="1" s="1"/>
  <c r="V90" i="1" s="1"/>
  <c r="AJ90" i="1"/>
  <c r="CT90" i="1"/>
  <c r="S90" i="1" s="1"/>
  <c r="CV90" i="1"/>
  <c r="U90" i="1" s="1"/>
  <c r="CX90" i="1"/>
  <c r="FR90" i="1"/>
  <c r="GL90" i="1"/>
  <c r="GO90" i="1"/>
  <c r="GP90" i="1"/>
  <c r="GV90" i="1"/>
  <c r="HC90" i="1"/>
  <c r="GX90" i="1" s="1"/>
  <c r="AC91" i="1"/>
  <c r="AE91" i="1"/>
  <c r="AF91" i="1"/>
  <c r="AG91" i="1"/>
  <c r="CU91" i="1" s="1"/>
  <c r="T91" i="1" s="1"/>
  <c r="AH91" i="1"/>
  <c r="CV91" i="1" s="1"/>
  <c r="U91" i="1" s="1"/>
  <c r="AI91" i="1"/>
  <c r="CW91" i="1" s="1"/>
  <c r="V91" i="1" s="1"/>
  <c r="AJ91" i="1"/>
  <c r="CX91" i="1" s="1"/>
  <c r="W91" i="1" s="1"/>
  <c r="CQ91" i="1"/>
  <c r="P91" i="1" s="1"/>
  <c r="FR91" i="1"/>
  <c r="GL91" i="1"/>
  <c r="GO91" i="1"/>
  <c r="GP91" i="1"/>
  <c r="GV91" i="1"/>
  <c r="HC91" i="1" s="1"/>
  <c r="GX91" i="1" s="1"/>
  <c r="AC92" i="1"/>
  <c r="AE92" i="1"/>
  <c r="AF92" i="1"/>
  <c r="AG92" i="1"/>
  <c r="CU92" i="1" s="1"/>
  <c r="T92" i="1" s="1"/>
  <c r="AH92" i="1"/>
  <c r="CV92" i="1" s="1"/>
  <c r="U92" i="1" s="1"/>
  <c r="AI92" i="1"/>
  <c r="CW92" i="1" s="1"/>
  <c r="V92" i="1" s="1"/>
  <c r="AJ92" i="1"/>
  <c r="CR92" i="1"/>
  <c r="Q92" i="1" s="1"/>
  <c r="CT92" i="1"/>
  <c r="S92" i="1" s="1"/>
  <c r="CZ92" i="1" s="1"/>
  <c r="Y92" i="1" s="1"/>
  <c r="T84" i="5" s="1"/>
  <c r="CX92" i="1"/>
  <c r="W92" i="1" s="1"/>
  <c r="FR92" i="1"/>
  <c r="GL92" i="1"/>
  <c r="GO92" i="1"/>
  <c r="GP92" i="1"/>
  <c r="GV92" i="1"/>
  <c r="HC92" i="1" s="1"/>
  <c r="GX92" i="1" s="1"/>
  <c r="B94" i="1"/>
  <c r="B72" i="1" s="1"/>
  <c r="C94" i="1"/>
  <c r="C72" i="1" s="1"/>
  <c r="D94" i="1"/>
  <c r="D72" i="1" s="1"/>
  <c r="F94" i="1"/>
  <c r="F72" i="1" s="1"/>
  <c r="G94" i="1"/>
  <c r="BX94" i="1"/>
  <c r="BX72" i="1" s="1"/>
  <c r="CK94" i="1"/>
  <c r="CL94" i="1"/>
  <c r="CL72" i="1" s="1"/>
  <c r="CM94" i="1"/>
  <c r="CM72" i="1" s="1"/>
  <c r="D124" i="1"/>
  <c r="E126" i="1"/>
  <c r="F126" i="1"/>
  <c r="Z126" i="1"/>
  <c r="AA126" i="1"/>
  <c r="AM126" i="1"/>
  <c r="AN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DP126" i="1"/>
  <c r="DQ126" i="1"/>
  <c r="DR126" i="1"/>
  <c r="DS126" i="1"/>
  <c r="DT126" i="1"/>
  <c r="DU126" i="1"/>
  <c r="DV126" i="1"/>
  <c r="DW126" i="1"/>
  <c r="DX126" i="1"/>
  <c r="DY126" i="1"/>
  <c r="DZ126" i="1"/>
  <c r="EA126" i="1"/>
  <c r="EB126" i="1"/>
  <c r="EC126" i="1"/>
  <c r="ED126" i="1"/>
  <c r="EE126" i="1"/>
  <c r="EF126" i="1"/>
  <c r="EG126" i="1"/>
  <c r="EH126" i="1"/>
  <c r="EI126" i="1"/>
  <c r="EJ126" i="1"/>
  <c r="EK126" i="1"/>
  <c r="EL126" i="1"/>
  <c r="EM126" i="1"/>
  <c r="EN126" i="1"/>
  <c r="EO126" i="1"/>
  <c r="EP126" i="1"/>
  <c r="EQ126" i="1"/>
  <c r="ER126" i="1"/>
  <c r="ES126" i="1"/>
  <c r="ET126" i="1"/>
  <c r="EU126" i="1"/>
  <c r="EV126" i="1"/>
  <c r="EW126" i="1"/>
  <c r="EX126" i="1"/>
  <c r="EY126" i="1"/>
  <c r="EZ126" i="1"/>
  <c r="FA126" i="1"/>
  <c r="FB126" i="1"/>
  <c r="FC126" i="1"/>
  <c r="FD126" i="1"/>
  <c r="FE126" i="1"/>
  <c r="FF126" i="1"/>
  <c r="FG126" i="1"/>
  <c r="FH126" i="1"/>
  <c r="FI126" i="1"/>
  <c r="FJ126" i="1"/>
  <c r="FK126" i="1"/>
  <c r="FL126" i="1"/>
  <c r="FM126" i="1"/>
  <c r="FN126" i="1"/>
  <c r="FO126" i="1"/>
  <c r="FP126" i="1"/>
  <c r="FQ126" i="1"/>
  <c r="FR126" i="1"/>
  <c r="FS126" i="1"/>
  <c r="FT126" i="1"/>
  <c r="FU126" i="1"/>
  <c r="FV126" i="1"/>
  <c r="FW126" i="1"/>
  <c r="FX126" i="1"/>
  <c r="FY126" i="1"/>
  <c r="FZ126" i="1"/>
  <c r="GA126" i="1"/>
  <c r="GB126" i="1"/>
  <c r="GC126" i="1"/>
  <c r="GD126" i="1"/>
  <c r="GE126" i="1"/>
  <c r="GF126" i="1"/>
  <c r="GG126" i="1"/>
  <c r="GH126" i="1"/>
  <c r="GI126" i="1"/>
  <c r="GJ126" i="1"/>
  <c r="GK126" i="1"/>
  <c r="GL126" i="1"/>
  <c r="GM126" i="1"/>
  <c r="GN126" i="1"/>
  <c r="GO126" i="1"/>
  <c r="GP126" i="1"/>
  <c r="GQ126" i="1"/>
  <c r="GR126" i="1"/>
  <c r="GS126" i="1"/>
  <c r="GT126" i="1"/>
  <c r="GU126" i="1"/>
  <c r="GV126" i="1"/>
  <c r="GW126" i="1"/>
  <c r="GX126" i="1"/>
  <c r="C128" i="1"/>
  <c r="D128" i="1"/>
  <c r="I128" i="1"/>
  <c r="AC128" i="1"/>
  <c r="AE128" i="1"/>
  <c r="AF128" i="1"/>
  <c r="AG128" i="1"/>
  <c r="CU128" i="1" s="1"/>
  <c r="T128" i="1" s="1"/>
  <c r="AH128" i="1"/>
  <c r="CV128" i="1" s="1"/>
  <c r="U128" i="1" s="1"/>
  <c r="AI128" i="1"/>
  <c r="AJ128" i="1"/>
  <c r="CX128" i="1" s="1"/>
  <c r="W128" i="1" s="1"/>
  <c r="CR128" i="1"/>
  <c r="Q128" i="1" s="1"/>
  <c r="J94" i="5" s="1"/>
  <c r="CS128" i="1"/>
  <c r="CW128" i="1"/>
  <c r="V128" i="1" s="1"/>
  <c r="FR128" i="1"/>
  <c r="GL128" i="1"/>
  <c r="GN128" i="1"/>
  <c r="GO128" i="1"/>
  <c r="GV128" i="1"/>
  <c r="HC128" i="1" s="1"/>
  <c r="GX128" i="1" s="1"/>
  <c r="CJ132" i="1" s="1"/>
  <c r="C129" i="1"/>
  <c r="D129" i="1"/>
  <c r="R129" i="1"/>
  <c r="AC129" i="1"/>
  <c r="AD129" i="1"/>
  <c r="AE129" i="1"/>
  <c r="U102" i="5" s="1"/>
  <c r="AF129" i="1"/>
  <c r="AG129" i="1"/>
  <c r="AH129" i="1"/>
  <c r="CV129" i="1" s="1"/>
  <c r="U129" i="1" s="1"/>
  <c r="K110" i="5" s="1"/>
  <c r="AI129" i="1"/>
  <c r="AJ129" i="1"/>
  <c r="CX129" i="1" s="1"/>
  <c r="W129" i="1" s="1"/>
  <c r="CQ129" i="1"/>
  <c r="P129" i="1" s="1"/>
  <c r="CR129" i="1"/>
  <c r="Q129" i="1" s="1"/>
  <c r="J104" i="5" s="1"/>
  <c r="CS129" i="1"/>
  <c r="V102" i="5" s="1"/>
  <c r="J109" i="5" s="1"/>
  <c r="CT129" i="1"/>
  <c r="S129" i="1" s="1"/>
  <c r="J103" i="5" s="1"/>
  <c r="CU129" i="1"/>
  <c r="T129" i="1" s="1"/>
  <c r="CW129" i="1"/>
  <c r="V129" i="1" s="1"/>
  <c r="FR129" i="1"/>
  <c r="GL129" i="1"/>
  <c r="BZ132" i="1" s="1"/>
  <c r="GN129" i="1"/>
  <c r="CB132" i="1" s="1"/>
  <c r="GO129" i="1"/>
  <c r="GV129" i="1"/>
  <c r="HC129" i="1"/>
  <c r="GX129" i="1" s="1"/>
  <c r="AC130" i="1"/>
  <c r="AE130" i="1"/>
  <c r="AF130" i="1"/>
  <c r="AG130" i="1"/>
  <c r="CU130" i="1" s="1"/>
  <c r="T130" i="1" s="1"/>
  <c r="AH130" i="1"/>
  <c r="AI130" i="1"/>
  <c r="CW130" i="1" s="1"/>
  <c r="V130" i="1" s="1"/>
  <c r="AJ130" i="1"/>
  <c r="CX130" i="1" s="1"/>
  <c r="W130" i="1" s="1"/>
  <c r="CS130" i="1"/>
  <c r="CV130" i="1"/>
  <c r="U130" i="1" s="1"/>
  <c r="FR130" i="1"/>
  <c r="GL130" i="1"/>
  <c r="GN130" i="1"/>
  <c r="GO130" i="1"/>
  <c r="GV130" i="1"/>
  <c r="HC130" i="1" s="1"/>
  <c r="GX130" i="1"/>
  <c r="B132" i="1"/>
  <c r="B126" i="1" s="1"/>
  <c r="C132" i="1"/>
  <c r="C126" i="1" s="1"/>
  <c r="D132" i="1"/>
  <c r="D126" i="1" s="1"/>
  <c r="F132" i="1"/>
  <c r="G132" i="1"/>
  <c r="A115" i="5" s="1"/>
  <c r="AO132" i="1"/>
  <c r="BX132" i="1"/>
  <c r="CK132" i="1"/>
  <c r="BB132" i="1" s="1"/>
  <c r="F145" i="1" s="1"/>
  <c r="CL132" i="1"/>
  <c r="BC132" i="1" s="1"/>
  <c r="CM132" i="1"/>
  <c r="D162" i="1"/>
  <c r="E164" i="1"/>
  <c r="Z164" i="1"/>
  <c r="AA164" i="1"/>
  <c r="AM164" i="1"/>
  <c r="AN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DN164" i="1"/>
  <c r="DO164" i="1"/>
  <c r="DP164" i="1"/>
  <c r="DQ164" i="1"/>
  <c r="DR164" i="1"/>
  <c r="DS164" i="1"/>
  <c r="DT164" i="1"/>
  <c r="DU164" i="1"/>
  <c r="DV164" i="1"/>
  <c r="DW164" i="1"/>
  <c r="DX164" i="1"/>
  <c r="DY164" i="1"/>
  <c r="DZ164" i="1"/>
  <c r="EA164" i="1"/>
  <c r="EB164" i="1"/>
  <c r="EC164" i="1"/>
  <c r="ED164" i="1"/>
  <c r="EE164" i="1"/>
  <c r="EF164" i="1"/>
  <c r="EG164" i="1"/>
  <c r="EH164" i="1"/>
  <c r="EI164" i="1"/>
  <c r="EJ164" i="1"/>
  <c r="EK164" i="1"/>
  <c r="EL164" i="1"/>
  <c r="EM164" i="1"/>
  <c r="EN164" i="1"/>
  <c r="EO164" i="1"/>
  <c r="EP164" i="1"/>
  <c r="EQ164" i="1"/>
  <c r="ER164" i="1"/>
  <c r="ES164" i="1"/>
  <c r="ET164" i="1"/>
  <c r="EU164" i="1"/>
  <c r="EV164" i="1"/>
  <c r="EW164" i="1"/>
  <c r="EX164" i="1"/>
  <c r="EY164" i="1"/>
  <c r="EZ164" i="1"/>
  <c r="FA164" i="1"/>
  <c r="FB164" i="1"/>
  <c r="FC164" i="1"/>
  <c r="FD164" i="1"/>
  <c r="FE164" i="1"/>
  <c r="FF164" i="1"/>
  <c r="FG164" i="1"/>
  <c r="FH164" i="1"/>
  <c r="FI164" i="1"/>
  <c r="FJ164" i="1"/>
  <c r="FK164" i="1"/>
  <c r="FL164" i="1"/>
  <c r="FM164" i="1"/>
  <c r="FN164" i="1"/>
  <c r="FO164" i="1"/>
  <c r="FP164" i="1"/>
  <c r="FQ164" i="1"/>
  <c r="FR164" i="1"/>
  <c r="FS164" i="1"/>
  <c r="FT164" i="1"/>
  <c r="FU164" i="1"/>
  <c r="FV164" i="1"/>
  <c r="FW164" i="1"/>
  <c r="FX164" i="1"/>
  <c r="FY164" i="1"/>
  <c r="FZ164" i="1"/>
  <c r="GA164" i="1"/>
  <c r="GB164" i="1"/>
  <c r="GC164" i="1"/>
  <c r="GD164" i="1"/>
  <c r="GE164" i="1"/>
  <c r="GF164" i="1"/>
  <c r="GG164" i="1"/>
  <c r="GH164" i="1"/>
  <c r="GI164" i="1"/>
  <c r="GJ164" i="1"/>
  <c r="GK164" i="1"/>
  <c r="GL164" i="1"/>
  <c r="GM164" i="1"/>
  <c r="GN164" i="1"/>
  <c r="GO164" i="1"/>
  <c r="GP164" i="1"/>
  <c r="GQ164" i="1"/>
  <c r="GR164" i="1"/>
  <c r="GS164" i="1"/>
  <c r="GT164" i="1"/>
  <c r="GU164" i="1"/>
  <c r="GV164" i="1"/>
  <c r="GW164" i="1"/>
  <c r="GX164" i="1"/>
  <c r="C166" i="1"/>
  <c r="D166" i="1"/>
  <c r="I166" i="1"/>
  <c r="AC166" i="1"/>
  <c r="CQ166" i="1" s="1"/>
  <c r="P166" i="1" s="1"/>
  <c r="AE166" i="1"/>
  <c r="AF166" i="1"/>
  <c r="AG166" i="1"/>
  <c r="CU166" i="1" s="1"/>
  <c r="T166" i="1" s="1"/>
  <c r="AH166" i="1"/>
  <c r="CV166" i="1" s="1"/>
  <c r="U166" i="1" s="1"/>
  <c r="K127" i="5" s="1"/>
  <c r="AI166" i="1"/>
  <c r="CW166" i="1" s="1"/>
  <c r="AJ166" i="1"/>
  <c r="CX166" i="1" s="1"/>
  <c r="W166" i="1" s="1"/>
  <c r="CS166" i="1"/>
  <c r="FR166" i="1"/>
  <c r="GL166" i="1"/>
  <c r="GN166" i="1"/>
  <c r="GO166" i="1"/>
  <c r="GV166" i="1"/>
  <c r="HC166" i="1" s="1"/>
  <c r="GX166" i="1"/>
  <c r="C167" i="1"/>
  <c r="D167" i="1"/>
  <c r="I167" i="1"/>
  <c r="GX167" i="1" s="1"/>
  <c r="AC167" i="1"/>
  <c r="CQ167" i="1" s="1"/>
  <c r="P167" i="1" s="1"/>
  <c r="AE167" i="1"/>
  <c r="CS167" i="1" s="1"/>
  <c r="AF167" i="1"/>
  <c r="AG167" i="1"/>
  <c r="AH167" i="1"/>
  <c r="CV167" i="1" s="1"/>
  <c r="U167" i="1" s="1"/>
  <c r="K134" i="5" s="1"/>
  <c r="AI167" i="1"/>
  <c r="CW167" i="1" s="1"/>
  <c r="V167" i="1" s="1"/>
  <c r="AJ167" i="1"/>
  <c r="CX167" i="1" s="1"/>
  <c r="W167" i="1" s="1"/>
  <c r="CU167" i="1"/>
  <c r="T167" i="1" s="1"/>
  <c r="FR167" i="1"/>
  <c r="GL167" i="1"/>
  <c r="GN167" i="1"/>
  <c r="GO167" i="1"/>
  <c r="GV167" i="1"/>
  <c r="HC167" i="1" s="1"/>
  <c r="C168" i="1"/>
  <c r="D168" i="1"/>
  <c r="AC168" i="1"/>
  <c r="AE168" i="1"/>
  <c r="AF168" i="1"/>
  <c r="AG168" i="1"/>
  <c r="CU168" i="1" s="1"/>
  <c r="AH168" i="1"/>
  <c r="CV168" i="1" s="1"/>
  <c r="AI168" i="1"/>
  <c r="CW168" i="1" s="1"/>
  <c r="AJ168" i="1"/>
  <c r="CX168" i="1" s="1"/>
  <c r="CQ168" i="1"/>
  <c r="FR168" i="1"/>
  <c r="GL168" i="1"/>
  <c r="GN168" i="1"/>
  <c r="GO168" i="1"/>
  <c r="GV168" i="1"/>
  <c r="HC168" i="1" s="1"/>
  <c r="C169" i="1"/>
  <c r="D169" i="1"/>
  <c r="I169" i="1"/>
  <c r="AC169" i="1"/>
  <c r="CQ169" i="1" s="1"/>
  <c r="AE169" i="1"/>
  <c r="CS169" i="1" s="1"/>
  <c r="AF169" i="1"/>
  <c r="AG169" i="1"/>
  <c r="AH169" i="1"/>
  <c r="CV169" i="1" s="1"/>
  <c r="AI169" i="1"/>
  <c r="CW169" i="1" s="1"/>
  <c r="AJ169" i="1"/>
  <c r="CX169" i="1" s="1"/>
  <c r="CU169" i="1"/>
  <c r="FR169" i="1"/>
  <c r="GL169" i="1"/>
  <c r="GN169" i="1"/>
  <c r="GO169" i="1"/>
  <c r="GV169" i="1"/>
  <c r="HC169" i="1" s="1"/>
  <c r="C170" i="1"/>
  <c r="D170" i="1"/>
  <c r="AC170" i="1"/>
  <c r="CQ170" i="1" s="1"/>
  <c r="AE170" i="1"/>
  <c r="CS170" i="1" s="1"/>
  <c r="AF170" i="1"/>
  <c r="AG170" i="1"/>
  <c r="CU170" i="1" s="1"/>
  <c r="AH170" i="1"/>
  <c r="CV170" i="1" s="1"/>
  <c r="AI170" i="1"/>
  <c r="CW170" i="1" s="1"/>
  <c r="AJ170" i="1"/>
  <c r="CX170" i="1" s="1"/>
  <c r="FR170" i="1"/>
  <c r="GL170" i="1"/>
  <c r="GN170" i="1"/>
  <c r="GO170" i="1"/>
  <c r="GV170" i="1"/>
  <c r="HC170" i="1" s="1"/>
  <c r="C171" i="1"/>
  <c r="D171" i="1"/>
  <c r="I171" i="1"/>
  <c r="AC171" i="1"/>
  <c r="AE171" i="1"/>
  <c r="CR171" i="1" s="1"/>
  <c r="Q171" i="1" s="1"/>
  <c r="J154" i="5" s="1"/>
  <c r="I156" i="5" s="1"/>
  <c r="P156" i="5" s="1"/>
  <c r="AF171" i="1"/>
  <c r="AG171" i="1"/>
  <c r="CU171" i="1" s="1"/>
  <c r="AH171" i="1"/>
  <c r="AI171" i="1"/>
  <c r="CW171" i="1" s="1"/>
  <c r="V171" i="1" s="1"/>
  <c r="AJ171" i="1"/>
  <c r="CX171" i="1" s="1"/>
  <c r="CV171" i="1"/>
  <c r="U171" i="1" s="1"/>
  <c r="FR171" i="1"/>
  <c r="GL171" i="1"/>
  <c r="BZ180" i="1" s="1"/>
  <c r="GN171" i="1"/>
  <c r="GO171" i="1"/>
  <c r="GV171" i="1"/>
  <c r="HC171" i="1"/>
  <c r="GX171" i="1" s="1"/>
  <c r="C172" i="1"/>
  <c r="D172" i="1"/>
  <c r="AC172" i="1"/>
  <c r="AD172" i="1"/>
  <c r="AE172" i="1"/>
  <c r="AF172" i="1"/>
  <c r="AG172" i="1"/>
  <c r="AH172" i="1"/>
  <c r="CV172" i="1" s="1"/>
  <c r="AI172" i="1"/>
  <c r="AJ172" i="1"/>
  <c r="CX172" i="1" s="1"/>
  <c r="CQ172" i="1"/>
  <c r="CR172" i="1"/>
  <c r="CS172" i="1"/>
  <c r="CT172" i="1"/>
  <c r="CU172" i="1"/>
  <c r="CW172" i="1"/>
  <c r="FR172" i="1"/>
  <c r="GL172" i="1"/>
  <c r="GN172" i="1"/>
  <c r="GO172" i="1"/>
  <c r="GV172" i="1"/>
  <c r="HC172" i="1" s="1"/>
  <c r="AC173" i="1"/>
  <c r="AE173" i="1"/>
  <c r="AF173" i="1"/>
  <c r="AG173" i="1"/>
  <c r="CU173" i="1" s="1"/>
  <c r="AH173" i="1"/>
  <c r="CV173" i="1" s="1"/>
  <c r="AI173" i="1"/>
  <c r="CW173" i="1" s="1"/>
  <c r="AJ173" i="1"/>
  <c r="CT173" i="1"/>
  <c r="CX173" i="1"/>
  <c r="FR173" i="1"/>
  <c r="GL173" i="1"/>
  <c r="GN173" i="1"/>
  <c r="GO173" i="1"/>
  <c r="GV173" i="1"/>
  <c r="HC173" i="1" s="1"/>
  <c r="AC174" i="1"/>
  <c r="CQ174" i="1" s="1"/>
  <c r="P174" i="1" s="1"/>
  <c r="AE174" i="1"/>
  <c r="AD174" i="1" s="1"/>
  <c r="AF174" i="1"/>
  <c r="CT174" i="1" s="1"/>
  <c r="S174" i="1" s="1"/>
  <c r="AG174" i="1"/>
  <c r="AH174" i="1"/>
  <c r="CV174" i="1" s="1"/>
  <c r="U174" i="1" s="1"/>
  <c r="AI174" i="1"/>
  <c r="CW174" i="1" s="1"/>
  <c r="V174" i="1" s="1"/>
  <c r="AJ174" i="1"/>
  <c r="CX174" i="1" s="1"/>
  <c r="W174" i="1" s="1"/>
  <c r="CS174" i="1"/>
  <c r="R174" i="1" s="1"/>
  <c r="CU174" i="1"/>
  <c r="T174" i="1" s="1"/>
  <c r="FR174" i="1"/>
  <c r="GL174" i="1"/>
  <c r="GN174" i="1"/>
  <c r="GO174" i="1"/>
  <c r="GV174" i="1"/>
  <c r="HC174" i="1"/>
  <c r="GX174" i="1" s="1"/>
  <c r="AC175" i="1"/>
  <c r="AE175" i="1"/>
  <c r="CS175" i="1" s="1"/>
  <c r="R175" i="1" s="1"/>
  <c r="GK175" i="1" s="1"/>
  <c r="AF175" i="1"/>
  <c r="CT175" i="1" s="1"/>
  <c r="S175" i="1" s="1"/>
  <c r="AG175" i="1"/>
  <c r="CU175" i="1" s="1"/>
  <c r="T175" i="1" s="1"/>
  <c r="AH175" i="1"/>
  <c r="CV175" i="1" s="1"/>
  <c r="U175" i="1" s="1"/>
  <c r="AI175" i="1"/>
  <c r="CW175" i="1" s="1"/>
  <c r="V175" i="1" s="1"/>
  <c r="AJ175" i="1"/>
  <c r="CX175" i="1" s="1"/>
  <c r="W175" i="1" s="1"/>
  <c r="FR175" i="1"/>
  <c r="GL175" i="1"/>
  <c r="GN175" i="1"/>
  <c r="GO175" i="1"/>
  <c r="GV175" i="1"/>
  <c r="HC175" i="1" s="1"/>
  <c r="GX175" i="1" s="1"/>
  <c r="I176" i="1"/>
  <c r="AC176" i="1"/>
  <c r="AE176" i="1"/>
  <c r="AF176" i="1"/>
  <c r="AG176" i="1"/>
  <c r="AH176" i="1"/>
  <c r="CV176" i="1" s="1"/>
  <c r="U176" i="1" s="1"/>
  <c r="AI176" i="1"/>
  <c r="CW176" i="1" s="1"/>
  <c r="V176" i="1" s="1"/>
  <c r="AJ176" i="1"/>
  <c r="CQ176" i="1"/>
  <c r="P176" i="1" s="1"/>
  <c r="CT176" i="1"/>
  <c r="S176" i="1" s="1"/>
  <c r="CZ176" i="1" s="1"/>
  <c r="Y176" i="1" s="1"/>
  <c r="CU176" i="1"/>
  <c r="T176" i="1" s="1"/>
  <c r="CX176" i="1"/>
  <c r="W176" i="1" s="1"/>
  <c r="CY176" i="1"/>
  <c r="X176" i="1" s="1"/>
  <c r="FR176" i="1"/>
  <c r="GL176" i="1"/>
  <c r="GN176" i="1"/>
  <c r="GO176" i="1"/>
  <c r="GV176" i="1"/>
  <c r="HC176" i="1" s="1"/>
  <c r="GX176" i="1" s="1"/>
  <c r="C177" i="1"/>
  <c r="D177" i="1"/>
  <c r="I177" i="1"/>
  <c r="AC177" i="1"/>
  <c r="CQ177" i="1" s="1"/>
  <c r="P177" i="1" s="1"/>
  <c r="J169" i="5" s="1"/>
  <c r="AE177" i="1"/>
  <c r="U164" i="5" s="1"/>
  <c r="AF177" i="1"/>
  <c r="AG177" i="1"/>
  <c r="CU177" i="1" s="1"/>
  <c r="T177" i="1" s="1"/>
  <c r="AH177" i="1"/>
  <c r="CV177" i="1" s="1"/>
  <c r="U177" i="1" s="1"/>
  <c r="K173" i="5" s="1"/>
  <c r="AI177" i="1"/>
  <c r="CW177" i="1" s="1"/>
  <c r="V177" i="1" s="1"/>
  <c r="AJ177" i="1"/>
  <c r="CR177" i="1"/>
  <c r="Q177" i="1" s="1"/>
  <c r="J167" i="5" s="1"/>
  <c r="CX177" i="1"/>
  <c r="W177" i="1" s="1"/>
  <c r="FR177" i="1"/>
  <c r="GL177" i="1"/>
  <c r="GN177" i="1"/>
  <c r="GO177" i="1"/>
  <c r="GV177" i="1"/>
  <c r="HC177" i="1" s="1"/>
  <c r="GX177" i="1" s="1"/>
  <c r="C178" i="1"/>
  <c r="D178" i="1"/>
  <c r="AC178" i="1"/>
  <c r="AE178" i="1"/>
  <c r="AF178" i="1"/>
  <c r="CT178" i="1" s="1"/>
  <c r="S178" i="1" s="1"/>
  <c r="AG178" i="1"/>
  <c r="CU178" i="1" s="1"/>
  <c r="T178" i="1" s="1"/>
  <c r="AH178" i="1"/>
  <c r="CV178" i="1" s="1"/>
  <c r="U178" i="1" s="1"/>
  <c r="AI178" i="1"/>
  <c r="CW178" i="1" s="1"/>
  <c r="V178" i="1" s="1"/>
  <c r="AJ178" i="1"/>
  <c r="CX178" i="1" s="1"/>
  <c r="W178" i="1" s="1"/>
  <c r="CS178" i="1"/>
  <c r="R178" i="1" s="1"/>
  <c r="GK178" i="1" s="1"/>
  <c r="FR178" i="1"/>
  <c r="GL178" i="1"/>
  <c r="GN178" i="1"/>
  <c r="GO178" i="1"/>
  <c r="GV178" i="1"/>
  <c r="HC178" i="1" s="1"/>
  <c r="GX178" i="1" s="1"/>
  <c r="B180" i="1"/>
  <c r="B164" i="1" s="1"/>
  <c r="C180" i="1"/>
  <c r="C164" i="1" s="1"/>
  <c r="D180" i="1"/>
  <c r="D164" i="1" s="1"/>
  <c r="F180" i="1"/>
  <c r="F164" i="1" s="1"/>
  <c r="G180" i="1"/>
  <c r="BX180" i="1"/>
  <c r="AO180" i="1" s="1"/>
  <c r="CK180" i="1"/>
  <c r="BB180" i="1" s="1"/>
  <c r="CL180" i="1"/>
  <c r="CL164" i="1" s="1"/>
  <c r="CM180" i="1"/>
  <c r="CM164" i="1" s="1"/>
  <c r="B210" i="1"/>
  <c r="B26" i="1" s="1"/>
  <c r="C210" i="1"/>
  <c r="C26" i="1" s="1"/>
  <c r="D210" i="1"/>
  <c r="D26" i="1" s="1"/>
  <c r="F210" i="1"/>
  <c r="F26" i="1" s="1"/>
  <c r="G210" i="1"/>
  <c r="D242" i="1"/>
  <c r="E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A244" i="1"/>
  <c r="DB244" i="1"/>
  <c r="DC244" i="1"/>
  <c r="DD244" i="1"/>
  <c r="DE244" i="1"/>
  <c r="DF244" i="1"/>
  <c r="DG244" i="1"/>
  <c r="DH244" i="1"/>
  <c r="DI244" i="1"/>
  <c r="DJ244" i="1"/>
  <c r="DK244" i="1"/>
  <c r="DL244" i="1"/>
  <c r="DM244" i="1"/>
  <c r="DN244" i="1"/>
  <c r="DO244" i="1"/>
  <c r="DP244" i="1"/>
  <c r="DQ244" i="1"/>
  <c r="DR244" i="1"/>
  <c r="DS244" i="1"/>
  <c r="DT244" i="1"/>
  <c r="DU244" i="1"/>
  <c r="DV244" i="1"/>
  <c r="DW244" i="1"/>
  <c r="DX244" i="1"/>
  <c r="DY244" i="1"/>
  <c r="DZ244" i="1"/>
  <c r="EA244" i="1"/>
  <c r="EB244" i="1"/>
  <c r="EC244" i="1"/>
  <c r="ED244" i="1"/>
  <c r="EE244" i="1"/>
  <c r="EF244" i="1"/>
  <c r="EG244" i="1"/>
  <c r="EH244" i="1"/>
  <c r="EI244" i="1"/>
  <c r="EJ244" i="1"/>
  <c r="EK244" i="1"/>
  <c r="EL244" i="1"/>
  <c r="EM244" i="1"/>
  <c r="EN244" i="1"/>
  <c r="EO244" i="1"/>
  <c r="EP244" i="1"/>
  <c r="EQ244" i="1"/>
  <c r="ER244" i="1"/>
  <c r="ES244" i="1"/>
  <c r="ET244" i="1"/>
  <c r="EU244" i="1"/>
  <c r="EV244" i="1"/>
  <c r="EW244" i="1"/>
  <c r="EX244" i="1"/>
  <c r="EY244" i="1"/>
  <c r="EZ244" i="1"/>
  <c r="FA244" i="1"/>
  <c r="FB244" i="1"/>
  <c r="FC244" i="1"/>
  <c r="FD244" i="1"/>
  <c r="FE244" i="1"/>
  <c r="FF244" i="1"/>
  <c r="FG244" i="1"/>
  <c r="FH244" i="1"/>
  <c r="FI244" i="1"/>
  <c r="FJ244" i="1"/>
  <c r="FK244" i="1"/>
  <c r="FL244" i="1"/>
  <c r="FM244" i="1"/>
  <c r="FN244" i="1"/>
  <c r="FO244" i="1"/>
  <c r="FP244" i="1"/>
  <c r="FQ244" i="1"/>
  <c r="FR244" i="1"/>
  <c r="FS244" i="1"/>
  <c r="FT244" i="1"/>
  <c r="FU244" i="1"/>
  <c r="FV244" i="1"/>
  <c r="FW244" i="1"/>
  <c r="FX244" i="1"/>
  <c r="FY244" i="1"/>
  <c r="FZ244" i="1"/>
  <c r="GA244" i="1"/>
  <c r="GB244" i="1"/>
  <c r="GC244" i="1"/>
  <c r="GD244" i="1"/>
  <c r="GE244" i="1"/>
  <c r="GF244" i="1"/>
  <c r="GG244" i="1"/>
  <c r="GH244" i="1"/>
  <c r="GI244" i="1"/>
  <c r="GJ244" i="1"/>
  <c r="GK244" i="1"/>
  <c r="GL244" i="1"/>
  <c r="GM244" i="1"/>
  <c r="GN244" i="1"/>
  <c r="GO244" i="1"/>
  <c r="GP244" i="1"/>
  <c r="GQ244" i="1"/>
  <c r="GR244" i="1"/>
  <c r="GS244" i="1"/>
  <c r="GT244" i="1"/>
  <c r="GU244" i="1"/>
  <c r="GV244" i="1"/>
  <c r="GW244" i="1"/>
  <c r="GX244" i="1"/>
  <c r="D246" i="1"/>
  <c r="E248" i="1"/>
  <c r="Z248" i="1"/>
  <c r="AA248" i="1"/>
  <c r="AM248" i="1"/>
  <c r="AN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DC248" i="1"/>
  <c r="DD248" i="1"/>
  <c r="DE248" i="1"/>
  <c r="DF248" i="1"/>
  <c r="DG248" i="1"/>
  <c r="DH248" i="1"/>
  <c r="DI248" i="1"/>
  <c r="DJ248" i="1"/>
  <c r="DK248" i="1"/>
  <c r="DL248" i="1"/>
  <c r="DM248" i="1"/>
  <c r="DN248" i="1"/>
  <c r="DO248" i="1"/>
  <c r="DP248" i="1"/>
  <c r="DQ248" i="1"/>
  <c r="DR248" i="1"/>
  <c r="DS248" i="1"/>
  <c r="DT248" i="1"/>
  <c r="DU248" i="1"/>
  <c r="DV248" i="1"/>
  <c r="DW248" i="1"/>
  <c r="DX248" i="1"/>
  <c r="DY248" i="1"/>
  <c r="DZ248" i="1"/>
  <c r="EA248" i="1"/>
  <c r="EB248" i="1"/>
  <c r="EC248" i="1"/>
  <c r="ED248" i="1"/>
  <c r="EE248" i="1"/>
  <c r="EF248" i="1"/>
  <c r="EG248" i="1"/>
  <c r="EH248" i="1"/>
  <c r="EI248" i="1"/>
  <c r="EJ248" i="1"/>
  <c r="EK248" i="1"/>
  <c r="EL248" i="1"/>
  <c r="EM248" i="1"/>
  <c r="EN248" i="1"/>
  <c r="EO248" i="1"/>
  <c r="EP248" i="1"/>
  <c r="EQ248" i="1"/>
  <c r="ER248" i="1"/>
  <c r="ES248" i="1"/>
  <c r="ET248" i="1"/>
  <c r="EU248" i="1"/>
  <c r="EV248" i="1"/>
  <c r="EW248" i="1"/>
  <c r="EX248" i="1"/>
  <c r="EY248" i="1"/>
  <c r="EZ248" i="1"/>
  <c r="FA248" i="1"/>
  <c r="FB248" i="1"/>
  <c r="FC248" i="1"/>
  <c r="FD248" i="1"/>
  <c r="FE248" i="1"/>
  <c r="FF248" i="1"/>
  <c r="FG248" i="1"/>
  <c r="FH248" i="1"/>
  <c r="FI248" i="1"/>
  <c r="FJ248" i="1"/>
  <c r="FK248" i="1"/>
  <c r="FL248" i="1"/>
  <c r="FM248" i="1"/>
  <c r="FN248" i="1"/>
  <c r="FO248" i="1"/>
  <c r="FP248" i="1"/>
  <c r="FQ248" i="1"/>
  <c r="FR248" i="1"/>
  <c r="FS248" i="1"/>
  <c r="FT248" i="1"/>
  <c r="FU248" i="1"/>
  <c r="FV248" i="1"/>
  <c r="FW248" i="1"/>
  <c r="FX248" i="1"/>
  <c r="FY248" i="1"/>
  <c r="FZ248" i="1"/>
  <c r="GA248" i="1"/>
  <c r="GB248" i="1"/>
  <c r="GC248" i="1"/>
  <c r="GD248" i="1"/>
  <c r="GE248" i="1"/>
  <c r="GF248" i="1"/>
  <c r="GG248" i="1"/>
  <c r="GH248" i="1"/>
  <c r="GI248" i="1"/>
  <c r="GJ248" i="1"/>
  <c r="GK248" i="1"/>
  <c r="GL248" i="1"/>
  <c r="GM248" i="1"/>
  <c r="GN248" i="1"/>
  <c r="GO248" i="1"/>
  <c r="GP248" i="1"/>
  <c r="GQ248" i="1"/>
  <c r="GR248" i="1"/>
  <c r="GS248" i="1"/>
  <c r="GT248" i="1"/>
  <c r="GU248" i="1"/>
  <c r="GV248" i="1"/>
  <c r="GW248" i="1"/>
  <c r="GX248" i="1"/>
  <c r="C250" i="1"/>
  <c r="D250" i="1"/>
  <c r="I250" i="1"/>
  <c r="AC250" i="1"/>
  <c r="AE250" i="1"/>
  <c r="AF250" i="1"/>
  <c r="CT250" i="1" s="1"/>
  <c r="S250" i="1" s="1"/>
  <c r="AG250" i="1"/>
  <c r="CU250" i="1" s="1"/>
  <c r="T250" i="1" s="1"/>
  <c r="AH250" i="1"/>
  <c r="CV250" i="1" s="1"/>
  <c r="AI250" i="1"/>
  <c r="CW250" i="1" s="1"/>
  <c r="V250" i="1" s="1"/>
  <c r="AJ250" i="1"/>
  <c r="CQ250" i="1"/>
  <c r="P250" i="1" s="1"/>
  <c r="CX250" i="1"/>
  <c r="W250" i="1" s="1"/>
  <c r="FR250" i="1"/>
  <c r="GL250" i="1"/>
  <c r="GN250" i="1"/>
  <c r="GO250" i="1"/>
  <c r="GV250" i="1"/>
  <c r="HC250" i="1" s="1"/>
  <c r="GX250" i="1" s="1"/>
  <c r="C251" i="1"/>
  <c r="D251" i="1"/>
  <c r="AC251" i="1"/>
  <c r="AD251" i="1"/>
  <c r="AE251" i="1"/>
  <c r="U195" i="5" s="1"/>
  <c r="AF251" i="1"/>
  <c r="AG251" i="1"/>
  <c r="CU251" i="1" s="1"/>
  <c r="T251" i="1" s="1"/>
  <c r="AH251" i="1"/>
  <c r="CV251" i="1" s="1"/>
  <c r="U251" i="1" s="1"/>
  <c r="K199" i="5" s="1"/>
  <c r="AI251" i="1"/>
  <c r="AJ251" i="1"/>
  <c r="CX251" i="1" s="1"/>
  <c r="W251" i="1" s="1"/>
  <c r="CQ251" i="1"/>
  <c r="P251" i="1" s="1"/>
  <c r="CR251" i="1"/>
  <c r="Q251" i="1" s="1"/>
  <c r="CS251" i="1"/>
  <c r="V195" i="5" s="1"/>
  <c r="CW251" i="1"/>
  <c r="V251" i="1" s="1"/>
  <c r="FR251" i="1"/>
  <c r="GL251" i="1"/>
  <c r="GN251" i="1"/>
  <c r="GO251" i="1"/>
  <c r="GV251" i="1"/>
  <c r="HC251" i="1" s="1"/>
  <c r="GX251" i="1"/>
  <c r="C252" i="1"/>
  <c r="D252" i="1"/>
  <c r="AC252" i="1"/>
  <c r="CQ252" i="1" s="1"/>
  <c r="P252" i="1" s="1"/>
  <c r="AE252" i="1"/>
  <c r="AF252" i="1"/>
  <c r="CT252" i="1" s="1"/>
  <c r="S252" i="1" s="1"/>
  <c r="AG252" i="1"/>
  <c r="CU252" i="1" s="1"/>
  <c r="T252" i="1" s="1"/>
  <c r="AH252" i="1"/>
  <c r="AI252" i="1"/>
  <c r="CW252" i="1" s="1"/>
  <c r="V252" i="1" s="1"/>
  <c r="AJ252" i="1"/>
  <c r="CX252" i="1" s="1"/>
  <c r="W252" i="1" s="1"/>
  <c r="CV252" i="1"/>
  <c r="U252" i="1" s="1"/>
  <c r="FR252" i="1"/>
  <c r="GL252" i="1"/>
  <c r="GN252" i="1"/>
  <c r="GO252" i="1"/>
  <c r="CC257" i="1" s="1"/>
  <c r="GV252" i="1"/>
  <c r="HC252" i="1" s="1"/>
  <c r="GX252" i="1" s="1"/>
  <c r="C253" i="1"/>
  <c r="D253" i="1"/>
  <c r="I253" i="1"/>
  <c r="AC253" i="1"/>
  <c r="AE253" i="1"/>
  <c r="AF253" i="1"/>
  <c r="AG253" i="1"/>
  <c r="CU253" i="1" s="1"/>
  <c r="AH253" i="1"/>
  <c r="CV253" i="1" s="1"/>
  <c r="AI253" i="1"/>
  <c r="CW253" i="1" s="1"/>
  <c r="AJ253" i="1"/>
  <c r="CQ253" i="1"/>
  <c r="CX253" i="1"/>
  <c r="FR253" i="1"/>
  <c r="GL253" i="1"/>
  <c r="GN253" i="1"/>
  <c r="GO253" i="1"/>
  <c r="GV253" i="1"/>
  <c r="HC253" i="1" s="1"/>
  <c r="C254" i="1"/>
  <c r="D254" i="1"/>
  <c r="I254" i="1"/>
  <c r="GX254" i="1" s="1"/>
  <c r="Q254" i="1"/>
  <c r="J206" i="5" s="1"/>
  <c r="I208" i="5" s="1"/>
  <c r="AC254" i="1"/>
  <c r="AD254" i="1"/>
  <c r="AE254" i="1"/>
  <c r="AF254" i="1"/>
  <c r="AG254" i="1"/>
  <c r="CU254" i="1" s="1"/>
  <c r="T254" i="1" s="1"/>
  <c r="AH254" i="1"/>
  <c r="CV254" i="1" s="1"/>
  <c r="U254" i="1" s="1"/>
  <c r="AI254" i="1"/>
  <c r="CW254" i="1" s="1"/>
  <c r="AJ254" i="1"/>
  <c r="CQ254" i="1"/>
  <c r="P254" i="1" s="1"/>
  <c r="CR254" i="1"/>
  <c r="CX254" i="1"/>
  <c r="W254" i="1" s="1"/>
  <c r="FR254" i="1"/>
  <c r="GL254" i="1"/>
  <c r="GN254" i="1"/>
  <c r="GO254" i="1"/>
  <c r="GV254" i="1"/>
  <c r="HC254" i="1" s="1"/>
  <c r="U255" i="1"/>
  <c r="AC255" i="1"/>
  <c r="AE255" i="1"/>
  <c r="AF255" i="1"/>
  <c r="CT255" i="1" s="1"/>
  <c r="S255" i="1" s="1"/>
  <c r="AG255" i="1"/>
  <c r="CU255" i="1" s="1"/>
  <c r="T255" i="1" s="1"/>
  <c r="AH255" i="1"/>
  <c r="AI255" i="1"/>
  <c r="CW255" i="1" s="1"/>
  <c r="V255" i="1" s="1"/>
  <c r="AJ255" i="1"/>
  <c r="CR255" i="1"/>
  <c r="Q255" i="1" s="1"/>
  <c r="CV255" i="1"/>
  <c r="CX255" i="1"/>
  <c r="W255" i="1" s="1"/>
  <c r="FR255" i="1"/>
  <c r="GL255" i="1"/>
  <c r="GN255" i="1"/>
  <c r="GO255" i="1"/>
  <c r="GV255" i="1"/>
  <c r="HC255" i="1"/>
  <c r="GX255" i="1" s="1"/>
  <c r="B257" i="1"/>
  <c r="B248" i="1" s="1"/>
  <c r="C257" i="1"/>
  <c r="C248" i="1" s="1"/>
  <c r="D257" i="1"/>
  <c r="D248" i="1" s="1"/>
  <c r="F257" i="1"/>
  <c r="F248" i="1" s="1"/>
  <c r="G257" i="1"/>
  <c r="BX257" i="1"/>
  <c r="BX248" i="1" s="1"/>
  <c r="CK257" i="1"/>
  <c r="CK248" i="1" s="1"/>
  <c r="CL257" i="1"/>
  <c r="CL248" i="1" s="1"/>
  <c r="CM257" i="1"/>
  <c r="CM248" i="1" s="1"/>
  <c r="D287" i="1"/>
  <c r="C289" i="1"/>
  <c r="E289" i="1"/>
  <c r="Z289" i="1"/>
  <c r="AA289" i="1"/>
  <c r="AM289" i="1"/>
  <c r="AN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CN289" i="1"/>
  <c r="CO289" i="1"/>
  <c r="CP289" i="1"/>
  <c r="CQ289" i="1"/>
  <c r="CR289" i="1"/>
  <c r="CS289" i="1"/>
  <c r="CT289" i="1"/>
  <c r="CU289" i="1"/>
  <c r="CV289" i="1"/>
  <c r="CW289" i="1"/>
  <c r="CX289" i="1"/>
  <c r="CY289" i="1"/>
  <c r="CZ289" i="1"/>
  <c r="DA289" i="1"/>
  <c r="DB289" i="1"/>
  <c r="DC289" i="1"/>
  <c r="DD289" i="1"/>
  <c r="DE289" i="1"/>
  <c r="DF289" i="1"/>
  <c r="DG289" i="1"/>
  <c r="DH289" i="1"/>
  <c r="DI289" i="1"/>
  <c r="DJ289" i="1"/>
  <c r="DK289" i="1"/>
  <c r="DL289" i="1"/>
  <c r="DM289" i="1"/>
  <c r="DN289" i="1"/>
  <c r="DO289" i="1"/>
  <c r="DP289" i="1"/>
  <c r="DQ289" i="1"/>
  <c r="DR289" i="1"/>
  <c r="DS289" i="1"/>
  <c r="DT289" i="1"/>
  <c r="DU289" i="1"/>
  <c r="DV289" i="1"/>
  <c r="DW289" i="1"/>
  <c r="DX289" i="1"/>
  <c r="DY289" i="1"/>
  <c r="DZ289" i="1"/>
  <c r="EA289" i="1"/>
  <c r="EB289" i="1"/>
  <c r="EC289" i="1"/>
  <c r="ED289" i="1"/>
  <c r="EE289" i="1"/>
  <c r="EF289" i="1"/>
  <c r="EG289" i="1"/>
  <c r="EH289" i="1"/>
  <c r="EI289" i="1"/>
  <c r="EJ289" i="1"/>
  <c r="EK289" i="1"/>
  <c r="EL289" i="1"/>
  <c r="EM289" i="1"/>
  <c r="EN289" i="1"/>
  <c r="EO289" i="1"/>
  <c r="EP289" i="1"/>
  <c r="EQ289" i="1"/>
  <c r="ER289" i="1"/>
  <c r="ES289" i="1"/>
  <c r="ET289" i="1"/>
  <c r="EU289" i="1"/>
  <c r="EV289" i="1"/>
  <c r="EW289" i="1"/>
  <c r="EX289" i="1"/>
  <c r="EY289" i="1"/>
  <c r="EZ289" i="1"/>
  <c r="FA289" i="1"/>
  <c r="FB289" i="1"/>
  <c r="FC289" i="1"/>
  <c r="FD289" i="1"/>
  <c r="FE289" i="1"/>
  <c r="FF289" i="1"/>
  <c r="FG289" i="1"/>
  <c r="FH289" i="1"/>
  <c r="FI289" i="1"/>
  <c r="FJ289" i="1"/>
  <c r="FK289" i="1"/>
  <c r="FL289" i="1"/>
  <c r="FM289" i="1"/>
  <c r="FN289" i="1"/>
  <c r="FO289" i="1"/>
  <c r="FP289" i="1"/>
  <c r="FQ289" i="1"/>
  <c r="FR289" i="1"/>
  <c r="FS289" i="1"/>
  <c r="FT289" i="1"/>
  <c r="FU289" i="1"/>
  <c r="FV289" i="1"/>
  <c r="FW289" i="1"/>
  <c r="FX289" i="1"/>
  <c r="FY289" i="1"/>
  <c r="FZ289" i="1"/>
  <c r="GA289" i="1"/>
  <c r="GB289" i="1"/>
  <c r="GC289" i="1"/>
  <c r="GD289" i="1"/>
  <c r="GE289" i="1"/>
  <c r="GF289" i="1"/>
  <c r="GG289" i="1"/>
  <c r="GH289" i="1"/>
  <c r="GI289" i="1"/>
  <c r="GJ289" i="1"/>
  <c r="GK289" i="1"/>
  <c r="GL289" i="1"/>
  <c r="GM289" i="1"/>
  <c r="GN289" i="1"/>
  <c r="GO289" i="1"/>
  <c r="GP289" i="1"/>
  <c r="GQ289" i="1"/>
  <c r="GR289" i="1"/>
  <c r="GS289" i="1"/>
  <c r="GT289" i="1"/>
  <c r="GU289" i="1"/>
  <c r="GV289" i="1"/>
  <c r="GW289" i="1"/>
  <c r="GX289" i="1"/>
  <c r="C291" i="1"/>
  <c r="D291" i="1"/>
  <c r="AC291" i="1"/>
  <c r="AD291" i="1"/>
  <c r="AE291" i="1"/>
  <c r="AF291" i="1"/>
  <c r="AG291" i="1"/>
  <c r="CU291" i="1" s="1"/>
  <c r="T291" i="1" s="1"/>
  <c r="AH291" i="1"/>
  <c r="CV291" i="1" s="1"/>
  <c r="U291" i="1" s="1"/>
  <c r="AI291" i="1"/>
  <c r="CW291" i="1" s="1"/>
  <c r="V291" i="1" s="1"/>
  <c r="AJ291" i="1"/>
  <c r="CQ291" i="1"/>
  <c r="P291" i="1" s="1"/>
  <c r="CR291" i="1"/>
  <c r="Q291" i="1" s="1"/>
  <c r="J218" i="5" s="1"/>
  <c r="CX291" i="1"/>
  <c r="W291" i="1" s="1"/>
  <c r="FR291" i="1"/>
  <c r="GL291" i="1"/>
  <c r="GN291" i="1"/>
  <c r="GO291" i="1"/>
  <c r="GV291" i="1"/>
  <c r="HC291" i="1"/>
  <c r="GX291" i="1" s="1"/>
  <c r="AC292" i="1"/>
  <c r="AE292" i="1"/>
  <c r="AF292" i="1"/>
  <c r="CT292" i="1" s="1"/>
  <c r="S292" i="1" s="1"/>
  <c r="AG292" i="1"/>
  <c r="CU292" i="1" s="1"/>
  <c r="T292" i="1" s="1"/>
  <c r="AH292" i="1"/>
  <c r="AI292" i="1"/>
  <c r="AJ292" i="1"/>
  <c r="CX292" i="1" s="1"/>
  <c r="W292" i="1" s="1"/>
  <c r="CR292" i="1"/>
  <c r="Q292" i="1" s="1"/>
  <c r="CV292" i="1"/>
  <c r="U292" i="1" s="1"/>
  <c r="CW292" i="1"/>
  <c r="V292" i="1" s="1"/>
  <c r="FR292" i="1"/>
  <c r="GL292" i="1"/>
  <c r="GO292" i="1"/>
  <c r="GP292" i="1"/>
  <c r="GV292" i="1"/>
  <c r="HC292" i="1"/>
  <c r="GX292" i="1" s="1"/>
  <c r="V293" i="1"/>
  <c r="AC293" i="1"/>
  <c r="AE293" i="1"/>
  <c r="AF293" i="1"/>
  <c r="AG293" i="1"/>
  <c r="CU293" i="1" s="1"/>
  <c r="T293" i="1" s="1"/>
  <c r="AH293" i="1"/>
  <c r="AI293" i="1"/>
  <c r="AJ293" i="1"/>
  <c r="CX293" i="1" s="1"/>
  <c r="W293" i="1" s="1"/>
  <c r="CR293" i="1"/>
  <c r="Q293" i="1" s="1"/>
  <c r="CV293" i="1"/>
  <c r="U293" i="1" s="1"/>
  <c r="CW293" i="1"/>
  <c r="FR293" i="1"/>
  <c r="GL293" i="1"/>
  <c r="GO293" i="1"/>
  <c r="GP293" i="1"/>
  <c r="GV293" i="1"/>
  <c r="HC293" i="1" s="1"/>
  <c r="GX293" i="1" s="1"/>
  <c r="AC294" i="1"/>
  <c r="AE294" i="1"/>
  <c r="AF294" i="1"/>
  <c r="CT294" i="1" s="1"/>
  <c r="S294" i="1" s="1"/>
  <c r="AG294" i="1"/>
  <c r="CU294" i="1" s="1"/>
  <c r="T294" i="1" s="1"/>
  <c r="AH294" i="1"/>
  <c r="AI294" i="1"/>
  <c r="CW294" i="1" s="1"/>
  <c r="V294" i="1" s="1"/>
  <c r="AJ294" i="1"/>
  <c r="CQ294" i="1"/>
  <c r="P294" i="1" s="1"/>
  <c r="J229" i="5" s="1"/>
  <c r="I230" i="5" s="1"/>
  <c r="CV294" i="1"/>
  <c r="U294" i="1" s="1"/>
  <c r="CX294" i="1"/>
  <c r="W294" i="1" s="1"/>
  <c r="FR294" i="1"/>
  <c r="GL294" i="1"/>
  <c r="GO294" i="1"/>
  <c r="GP294" i="1"/>
  <c r="GV294" i="1"/>
  <c r="HC294" i="1" s="1"/>
  <c r="GX294" i="1" s="1"/>
  <c r="AC295" i="1"/>
  <c r="AE295" i="1"/>
  <c r="AF295" i="1"/>
  <c r="AG295" i="1"/>
  <c r="CU295" i="1" s="1"/>
  <c r="T295" i="1" s="1"/>
  <c r="AH295" i="1"/>
  <c r="CV295" i="1" s="1"/>
  <c r="U295" i="1" s="1"/>
  <c r="AI295" i="1"/>
  <c r="CW295" i="1" s="1"/>
  <c r="V295" i="1" s="1"/>
  <c r="AJ295" i="1"/>
  <c r="CX295" i="1" s="1"/>
  <c r="W295" i="1" s="1"/>
  <c r="CQ295" i="1"/>
  <c r="P295" i="1" s="1"/>
  <c r="CS295" i="1"/>
  <c r="CT295" i="1"/>
  <c r="S295" i="1" s="1"/>
  <c r="CZ295" i="1" s="1"/>
  <c r="Y295" i="1" s="1"/>
  <c r="T231" i="5" s="1"/>
  <c r="CY295" i="1"/>
  <c r="X295" i="1" s="1"/>
  <c r="R231" i="5" s="1"/>
  <c r="FR295" i="1"/>
  <c r="GL295" i="1"/>
  <c r="GO295" i="1"/>
  <c r="GP295" i="1"/>
  <c r="GV295" i="1"/>
  <c r="HC295" i="1" s="1"/>
  <c r="GX295" i="1" s="1"/>
  <c r="AC296" i="1"/>
  <c r="AE296" i="1"/>
  <c r="CR296" i="1" s="1"/>
  <c r="Q296" i="1" s="1"/>
  <c r="AF296" i="1"/>
  <c r="AG296" i="1"/>
  <c r="CU296" i="1" s="1"/>
  <c r="T296" i="1" s="1"/>
  <c r="AH296" i="1"/>
  <c r="AI296" i="1"/>
  <c r="CW296" i="1" s="1"/>
  <c r="V296" i="1" s="1"/>
  <c r="AJ296" i="1"/>
  <c r="CX296" i="1" s="1"/>
  <c r="W296" i="1" s="1"/>
  <c r="CV296" i="1"/>
  <c r="U296" i="1" s="1"/>
  <c r="FR296" i="1"/>
  <c r="GL296" i="1"/>
  <c r="GO296" i="1"/>
  <c r="GP296" i="1"/>
  <c r="GV296" i="1"/>
  <c r="HC296" i="1"/>
  <c r="GX296" i="1" s="1"/>
  <c r="AC297" i="1"/>
  <c r="AE297" i="1"/>
  <c r="AF297" i="1"/>
  <c r="AG297" i="1"/>
  <c r="CU297" i="1" s="1"/>
  <c r="T297" i="1" s="1"/>
  <c r="AH297" i="1"/>
  <c r="AI297" i="1"/>
  <c r="CW297" i="1" s="1"/>
  <c r="V297" i="1" s="1"/>
  <c r="AJ297" i="1"/>
  <c r="CX297" i="1" s="1"/>
  <c r="W297" i="1" s="1"/>
  <c r="CQ297" i="1"/>
  <c r="P297" i="1" s="1"/>
  <c r="CS297" i="1"/>
  <c r="CV297" i="1"/>
  <c r="U297" i="1" s="1"/>
  <c r="FR297" i="1"/>
  <c r="GL297" i="1"/>
  <c r="GO297" i="1"/>
  <c r="GP297" i="1"/>
  <c r="GV297" i="1"/>
  <c r="HC297" i="1" s="1"/>
  <c r="GX297" i="1"/>
  <c r="B299" i="1"/>
  <c r="B289" i="1" s="1"/>
  <c r="C299" i="1"/>
  <c r="D299" i="1"/>
  <c r="D289" i="1" s="1"/>
  <c r="F299" i="1"/>
  <c r="F289" i="1" s="1"/>
  <c r="G299" i="1"/>
  <c r="BX299" i="1"/>
  <c r="AO299" i="1" s="1"/>
  <c r="CK299" i="1"/>
  <c r="BB299" i="1" s="1"/>
  <c r="F312" i="1" s="1"/>
  <c r="CL299" i="1"/>
  <c r="CM299" i="1"/>
  <c r="D329" i="1"/>
  <c r="E331" i="1"/>
  <c r="Z331" i="1"/>
  <c r="AA331" i="1"/>
  <c r="AM331" i="1"/>
  <c r="AN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CN331" i="1"/>
  <c r="CO331" i="1"/>
  <c r="CP331" i="1"/>
  <c r="CQ331" i="1"/>
  <c r="CR331" i="1"/>
  <c r="CS331" i="1"/>
  <c r="CT331" i="1"/>
  <c r="CU331" i="1"/>
  <c r="CV331" i="1"/>
  <c r="CW331" i="1"/>
  <c r="CX331" i="1"/>
  <c r="CY331" i="1"/>
  <c r="CZ331" i="1"/>
  <c r="DA331" i="1"/>
  <c r="DB331" i="1"/>
  <c r="DC331" i="1"/>
  <c r="DD331" i="1"/>
  <c r="DE331" i="1"/>
  <c r="DF331" i="1"/>
  <c r="DG331" i="1"/>
  <c r="DH331" i="1"/>
  <c r="DI331" i="1"/>
  <c r="DJ331" i="1"/>
  <c r="DK331" i="1"/>
  <c r="DL331" i="1"/>
  <c r="DM331" i="1"/>
  <c r="DN331" i="1"/>
  <c r="DO331" i="1"/>
  <c r="DP331" i="1"/>
  <c r="DQ331" i="1"/>
  <c r="DR331" i="1"/>
  <c r="DS331" i="1"/>
  <c r="DT331" i="1"/>
  <c r="DU331" i="1"/>
  <c r="DV331" i="1"/>
  <c r="DW331" i="1"/>
  <c r="DX331" i="1"/>
  <c r="DY331" i="1"/>
  <c r="DZ331" i="1"/>
  <c r="EA331" i="1"/>
  <c r="EB331" i="1"/>
  <c r="EC331" i="1"/>
  <c r="ED331" i="1"/>
  <c r="EE331" i="1"/>
  <c r="EF331" i="1"/>
  <c r="EG331" i="1"/>
  <c r="EH331" i="1"/>
  <c r="EI331" i="1"/>
  <c r="EJ331" i="1"/>
  <c r="EK331" i="1"/>
  <c r="EL331" i="1"/>
  <c r="EM331" i="1"/>
  <c r="EN331" i="1"/>
  <c r="EO331" i="1"/>
  <c r="EP331" i="1"/>
  <c r="EQ331" i="1"/>
  <c r="ER331" i="1"/>
  <c r="ES331" i="1"/>
  <c r="ET331" i="1"/>
  <c r="EU331" i="1"/>
  <c r="EV331" i="1"/>
  <c r="EW331" i="1"/>
  <c r="EX331" i="1"/>
  <c r="EY331" i="1"/>
  <c r="EZ331" i="1"/>
  <c r="FA331" i="1"/>
  <c r="FB331" i="1"/>
  <c r="FC331" i="1"/>
  <c r="FD331" i="1"/>
  <c r="FE331" i="1"/>
  <c r="FF331" i="1"/>
  <c r="FG331" i="1"/>
  <c r="FH331" i="1"/>
  <c r="FI331" i="1"/>
  <c r="FJ331" i="1"/>
  <c r="FK331" i="1"/>
  <c r="FL331" i="1"/>
  <c r="FM331" i="1"/>
  <c r="FN331" i="1"/>
  <c r="FO331" i="1"/>
  <c r="FP331" i="1"/>
  <c r="FQ331" i="1"/>
  <c r="FR331" i="1"/>
  <c r="FS331" i="1"/>
  <c r="FT331" i="1"/>
  <c r="FU331" i="1"/>
  <c r="FV331" i="1"/>
  <c r="FW331" i="1"/>
  <c r="FX331" i="1"/>
  <c r="FY331" i="1"/>
  <c r="FZ331" i="1"/>
  <c r="GA331" i="1"/>
  <c r="GB331" i="1"/>
  <c r="GC331" i="1"/>
  <c r="GD331" i="1"/>
  <c r="GE331" i="1"/>
  <c r="GF331" i="1"/>
  <c r="GG331" i="1"/>
  <c r="GH331" i="1"/>
  <c r="GI331" i="1"/>
  <c r="GJ331" i="1"/>
  <c r="GK331" i="1"/>
  <c r="GL331" i="1"/>
  <c r="GM331" i="1"/>
  <c r="GN331" i="1"/>
  <c r="GO331" i="1"/>
  <c r="GP331" i="1"/>
  <c r="GQ331" i="1"/>
  <c r="GR331" i="1"/>
  <c r="GS331" i="1"/>
  <c r="GT331" i="1"/>
  <c r="GU331" i="1"/>
  <c r="GV331" i="1"/>
  <c r="GW331" i="1"/>
  <c r="GX331" i="1"/>
  <c r="C333" i="1"/>
  <c r="D333" i="1"/>
  <c r="I333" i="1"/>
  <c r="AC333" i="1"/>
  <c r="CQ333" i="1" s="1"/>
  <c r="P333" i="1" s="1"/>
  <c r="J247" i="5" s="1"/>
  <c r="AE333" i="1"/>
  <c r="U242" i="5" s="1"/>
  <c r="AF333" i="1"/>
  <c r="AG333" i="1"/>
  <c r="AH333" i="1"/>
  <c r="AI333" i="1"/>
  <c r="CW333" i="1" s="1"/>
  <c r="V333" i="1" s="1"/>
  <c r="AJ333" i="1"/>
  <c r="CX333" i="1" s="1"/>
  <c r="W333" i="1" s="1"/>
  <c r="CU333" i="1"/>
  <c r="T333" i="1" s="1"/>
  <c r="CV333" i="1"/>
  <c r="U333" i="1" s="1"/>
  <c r="K251" i="5" s="1"/>
  <c r="FR333" i="1"/>
  <c r="GL333" i="1"/>
  <c r="GN333" i="1"/>
  <c r="GO333" i="1"/>
  <c r="GV333" i="1"/>
  <c r="HC333" i="1" s="1"/>
  <c r="GX333" i="1" s="1"/>
  <c r="C334" i="1"/>
  <c r="D334" i="1"/>
  <c r="AC334" i="1"/>
  <c r="CQ334" i="1" s="1"/>
  <c r="P334" i="1" s="1"/>
  <c r="J257" i="5" s="1"/>
  <c r="AE334" i="1"/>
  <c r="CR334" i="1" s="1"/>
  <c r="Q334" i="1" s="1"/>
  <c r="J255" i="5" s="1"/>
  <c r="AF334" i="1"/>
  <c r="AG334" i="1"/>
  <c r="AH334" i="1"/>
  <c r="CV334" i="1" s="1"/>
  <c r="U334" i="1" s="1"/>
  <c r="K261" i="5" s="1"/>
  <c r="AI334" i="1"/>
  <c r="CW334" i="1" s="1"/>
  <c r="V334" i="1" s="1"/>
  <c r="AJ334" i="1"/>
  <c r="CX334" i="1" s="1"/>
  <c r="W334" i="1" s="1"/>
  <c r="CS334" i="1"/>
  <c r="CU334" i="1"/>
  <c r="T334" i="1" s="1"/>
  <c r="FR334" i="1"/>
  <c r="GL334" i="1"/>
  <c r="GN334" i="1"/>
  <c r="GO334" i="1"/>
  <c r="GV334" i="1"/>
  <c r="HC334" i="1" s="1"/>
  <c r="GX334" i="1"/>
  <c r="AC335" i="1"/>
  <c r="AE335" i="1"/>
  <c r="CR335" i="1" s="1"/>
  <c r="Q335" i="1" s="1"/>
  <c r="AF335" i="1"/>
  <c r="AG335" i="1"/>
  <c r="AH335" i="1"/>
  <c r="CV335" i="1" s="1"/>
  <c r="U335" i="1" s="1"/>
  <c r="AI335" i="1"/>
  <c r="CW335" i="1" s="1"/>
  <c r="V335" i="1" s="1"/>
  <c r="AJ335" i="1"/>
  <c r="CX335" i="1" s="1"/>
  <c r="W335" i="1" s="1"/>
  <c r="CU335" i="1"/>
  <c r="T335" i="1" s="1"/>
  <c r="FR335" i="1"/>
  <c r="GL335" i="1"/>
  <c r="GN335" i="1"/>
  <c r="GO335" i="1"/>
  <c r="GV335" i="1"/>
  <c r="HC335" i="1" s="1"/>
  <c r="GX335" i="1" s="1"/>
  <c r="AC336" i="1"/>
  <c r="AD336" i="1"/>
  <c r="AE336" i="1"/>
  <c r="AF336" i="1"/>
  <c r="AG336" i="1"/>
  <c r="AH336" i="1"/>
  <c r="CV336" i="1" s="1"/>
  <c r="U336" i="1" s="1"/>
  <c r="AI336" i="1"/>
  <c r="AJ336" i="1"/>
  <c r="CX336" i="1" s="1"/>
  <c r="W336" i="1" s="1"/>
  <c r="CQ336" i="1"/>
  <c r="P336" i="1" s="1"/>
  <c r="CR336" i="1"/>
  <c r="Q336" i="1" s="1"/>
  <c r="CS336" i="1"/>
  <c r="R336" i="1" s="1"/>
  <c r="GK336" i="1" s="1"/>
  <c r="CT336" i="1"/>
  <c r="S336" i="1" s="1"/>
  <c r="CZ336" i="1" s="1"/>
  <c r="Y336" i="1" s="1"/>
  <c r="CU336" i="1"/>
  <c r="T336" i="1" s="1"/>
  <c r="CW336" i="1"/>
  <c r="V336" i="1" s="1"/>
  <c r="CY336" i="1"/>
  <c r="X336" i="1" s="1"/>
  <c r="FR336" i="1"/>
  <c r="GL336" i="1"/>
  <c r="GO336" i="1"/>
  <c r="GP336" i="1"/>
  <c r="GV336" i="1"/>
  <c r="HC336" i="1"/>
  <c r="GX336" i="1" s="1"/>
  <c r="AC337" i="1"/>
  <c r="AE337" i="1"/>
  <c r="AD337" i="1" s="1"/>
  <c r="AF337" i="1"/>
  <c r="CT337" i="1" s="1"/>
  <c r="S337" i="1" s="1"/>
  <c r="AG337" i="1"/>
  <c r="CU337" i="1" s="1"/>
  <c r="T337" i="1" s="1"/>
  <c r="AH337" i="1"/>
  <c r="AI337" i="1"/>
  <c r="CW337" i="1" s="1"/>
  <c r="V337" i="1" s="1"/>
  <c r="AJ337" i="1"/>
  <c r="CX337" i="1" s="1"/>
  <c r="W337" i="1" s="1"/>
  <c r="CV337" i="1"/>
  <c r="U337" i="1" s="1"/>
  <c r="FR337" i="1"/>
  <c r="GL337" i="1"/>
  <c r="GO337" i="1"/>
  <c r="GP337" i="1"/>
  <c r="GV337" i="1"/>
  <c r="HC337" i="1"/>
  <c r="GX337" i="1" s="1"/>
  <c r="B339" i="1"/>
  <c r="B331" i="1" s="1"/>
  <c r="C339" i="1"/>
  <c r="C331" i="1" s="1"/>
  <c r="D339" i="1"/>
  <c r="D331" i="1" s="1"/>
  <c r="F339" i="1"/>
  <c r="F331" i="1" s="1"/>
  <c r="G339" i="1"/>
  <c r="BX339" i="1"/>
  <c r="BX331" i="1" s="1"/>
  <c r="CK339" i="1"/>
  <c r="CK331" i="1" s="1"/>
  <c r="CL339" i="1"/>
  <c r="CL331" i="1" s="1"/>
  <c r="CM339" i="1"/>
  <c r="CM331" i="1" s="1"/>
  <c r="D369" i="1"/>
  <c r="B371" i="1"/>
  <c r="E371" i="1"/>
  <c r="F371" i="1"/>
  <c r="Z371" i="1"/>
  <c r="AA371" i="1"/>
  <c r="AM371" i="1"/>
  <c r="AN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CN371" i="1"/>
  <c r="CO371" i="1"/>
  <c r="CP371" i="1"/>
  <c r="CQ371" i="1"/>
  <c r="CR371" i="1"/>
  <c r="CS371" i="1"/>
  <c r="CT371" i="1"/>
  <c r="CU371" i="1"/>
  <c r="CV371" i="1"/>
  <c r="CW371" i="1"/>
  <c r="CX371" i="1"/>
  <c r="CY371" i="1"/>
  <c r="CZ371" i="1"/>
  <c r="DA371" i="1"/>
  <c r="DB371" i="1"/>
  <c r="DC371" i="1"/>
  <c r="DD371" i="1"/>
  <c r="DE371" i="1"/>
  <c r="DF371" i="1"/>
  <c r="DG371" i="1"/>
  <c r="DH371" i="1"/>
  <c r="DI371" i="1"/>
  <c r="DJ371" i="1"/>
  <c r="DK371" i="1"/>
  <c r="DL371" i="1"/>
  <c r="DM371" i="1"/>
  <c r="DN371" i="1"/>
  <c r="DO371" i="1"/>
  <c r="DP371" i="1"/>
  <c r="DQ371" i="1"/>
  <c r="DR371" i="1"/>
  <c r="DS371" i="1"/>
  <c r="DT371" i="1"/>
  <c r="DU371" i="1"/>
  <c r="DV371" i="1"/>
  <c r="DW371" i="1"/>
  <c r="DX371" i="1"/>
  <c r="DY371" i="1"/>
  <c r="DZ371" i="1"/>
  <c r="EA371" i="1"/>
  <c r="EB371" i="1"/>
  <c r="EC371" i="1"/>
  <c r="ED371" i="1"/>
  <c r="EE371" i="1"/>
  <c r="EF371" i="1"/>
  <c r="EG371" i="1"/>
  <c r="EH371" i="1"/>
  <c r="EI371" i="1"/>
  <c r="EJ371" i="1"/>
  <c r="EK371" i="1"/>
  <c r="EL371" i="1"/>
  <c r="EM371" i="1"/>
  <c r="EN371" i="1"/>
  <c r="EO371" i="1"/>
  <c r="EP371" i="1"/>
  <c r="EQ371" i="1"/>
  <c r="ER371" i="1"/>
  <c r="ES371" i="1"/>
  <c r="ET371" i="1"/>
  <c r="EU371" i="1"/>
  <c r="EV371" i="1"/>
  <c r="EW371" i="1"/>
  <c r="EX371" i="1"/>
  <c r="EY371" i="1"/>
  <c r="EZ371" i="1"/>
  <c r="FA371" i="1"/>
  <c r="FB371" i="1"/>
  <c r="FC371" i="1"/>
  <c r="FD371" i="1"/>
  <c r="FE371" i="1"/>
  <c r="FF371" i="1"/>
  <c r="FG371" i="1"/>
  <c r="FH371" i="1"/>
  <c r="FI371" i="1"/>
  <c r="FJ371" i="1"/>
  <c r="FK371" i="1"/>
  <c r="FL371" i="1"/>
  <c r="FM371" i="1"/>
  <c r="FN371" i="1"/>
  <c r="FO371" i="1"/>
  <c r="FP371" i="1"/>
  <c r="FQ371" i="1"/>
  <c r="FR371" i="1"/>
  <c r="FS371" i="1"/>
  <c r="FT371" i="1"/>
  <c r="FU371" i="1"/>
  <c r="FV371" i="1"/>
  <c r="FW371" i="1"/>
  <c r="FX371" i="1"/>
  <c r="FY371" i="1"/>
  <c r="FZ371" i="1"/>
  <c r="GA371" i="1"/>
  <c r="GB371" i="1"/>
  <c r="GC371" i="1"/>
  <c r="GD371" i="1"/>
  <c r="GE371" i="1"/>
  <c r="GF371" i="1"/>
  <c r="GG371" i="1"/>
  <c r="GH371" i="1"/>
  <c r="GI371" i="1"/>
  <c r="GJ371" i="1"/>
  <c r="GK371" i="1"/>
  <c r="GL371" i="1"/>
  <c r="GM371" i="1"/>
  <c r="GN371" i="1"/>
  <c r="GO371" i="1"/>
  <c r="GP371" i="1"/>
  <c r="GQ371" i="1"/>
  <c r="GR371" i="1"/>
  <c r="GS371" i="1"/>
  <c r="GT371" i="1"/>
  <c r="GU371" i="1"/>
  <c r="GV371" i="1"/>
  <c r="GW371" i="1"/>
  <c r="GX371" i="1"/>
  <c r="C373" i="1"/>
  <c r="D373" i="1"/>
  <c r="I373" i="1"/>
  <c r="AC373" i="1"/>
  <c r="AE373" i="1"/>
  <c r="AF373" i="1"/>
  <c r="AG373" i="1"/>
  <c r="CU373" i="1" s="1"/>
  <c r="AH373" i="1"/>
  <c r="CV373" i="1" s="1"/>
  <c r="U373" i="1" s="1"/>
  <c r="K278" i="5" s="1"/>
  <c r="AI373" i="1"/>
  <c r="CW373" i="1" s="1"/>
  <c r="V373" i="1" s="1"/>
  <c r="AJ373" i="1"/>
  <c r="CX373" i="1" s="1"/>
  <c r="CS373" i="1"/>
  <c r="FR373" i="1"/>
  <c r="GL373" i="1"/>
  <c r="GN373" i="1"/>
  <c r="GO373" i="1"/>
  <c r="GV373" i="1"/>
  <c r="HC373" i="1" s="1"/>
  <c r="GX373" i="1" s="1"/>
  <c r="C374" i="1"/>
  <c r="D374" i="1"/>
  <c r="I374" i="1"/>
  <c r="AC374" i="1"/>
  <c r="CQ374" i="1" s="1"/>
  <c r="P374" i="1" s="1"/>
  <c r="AE374" i="1"/>
  <c r="AF374" i="1"/>
  <c r="AG374" i="1"/>
  <c r="AH374" i="1"/>
  <c r="CV374" i="1" s="1"/>
  <c r="AI374" i="1"/>
  <c r="CW374" i="1" s="1"/>
  <c r="AJ374" i="1"/>
  <c r="CX374" i="1" s="1"/>
  <c r="CU374" i="1"/>
  <c r="FR374" i="1"/>
  <c r="GL374" i="1"/>
  <c r="GN374" i="1"/>
  <c r="GO374" i="1"/>
  <c r="GV374" i="1"/>
  <c r="HC374" i="1" s="1"/>
  <c r="GX374" i="1" s="1"/>
  <c r="C375" i="1"/>
  <c r="D375" i="1"/>
  <c r="AC375" i="1"/>
  <c r="CQ375" i="1" s="1"/>
  <c r="AE375" i="1"/>
  <c r="CS375" i="1" s="1"/>
  <c r="AF375" i="1"/>
  <c r="AG375" i="1"/>
  <c r="AH375" i="1"/>
  <c r="AI375" i="1"/>
  <c r="CW375" i="1" s="1"/>
  <c r="AJ375" i="1"/>
  <c r="CX375" i="1" s="1"/>
  <c r="CU375" i="1"/>
  <c r="CV375" i="1"/>
  <c r="FR375" i="1"/>
  <c r="GL375" i="1"/>
  <c r="GN375" i="1"/>
  <c r="GO375" i="1"/>
  <c r="GV375" i="1"/>
  <c r="HC375" i="1" s="1"/>
  <c r="C376" i="1"/>
  <c r="D376" i="1"/>
  <c r="AC376" i="1"/>
  <c r="CQ376" i="1" s="1"/>
  <c r="AE376" i="1"/>
  <c r="AF376" i="1"/>
  <c r="AG376" i="1"/>
  <c r="AH376" i="1"/>
  <c r="CV376" i="1" s="1"/>
  <c r="AI376" i="1"/>
  <c r="CW376" i="1" s="1"/>
  <c r="AJ376" i="1"/>
  <c r="CX376" i="1" s="1"/>
  <c r="CU376" i="1"/>
  <c r="FR376" i="1"/>
  <c r="GL376" i="1"/>
  <c r="GN376" i="1"/>
  <c r="GO376" i="1"/>
  <c r="GV376" i="1"/>
  <c r="HC376" i="1" s="1"/>
  <c r="C377" i="1"/>
  <c r="D377" i="1"/>
  <c r="AC377" i="1"/>
  <c r="AE377" i="1"/>
  <c r="AF377" i="1"/>
  <c r="AG377" i="1"/>
  <c r="CU377" i="1" s="1"/>
  <c r="AH377" i="1"/>
  <c r="AI377" i="1"/>
  <c r="CW377" i="1" s="1"/>
  <c r="AJ377" i="1"/>
  <c r="CX377" i="1" s="1"/>
  <c r="CQ377" i="1"/>
  <c r="CV377" i="1"/>
  <c r="FR377" i="1"/>
  <c r="GL377" i="1"/>
  <c r="GN377" i="1"/>
  <c r="GO377" i="1"/>
  <c r="GV377" i="1"/>
  <c r="HC377" i="1"/>
  <c r="C378" i="1"/>
  <c r="D378" i="1"/>
  <c r="AC378" i="1"/>
  <c r="CQ378" i="1" s="1"/>
  <c r="AE378" i="1"/>
  <c r="AF378" i="1"/>
  <c r="AG378" i="1"/>
  <c r="CU378" i="1" s="1"/>
  <c r="AH378" i="1"/>
  <c r="CV378" i="1" s="1"/>
  <c r="AI378" i="1"/>
  <c r="CW378" i="1" s="1"/>
  <c r="AJ378" i="1"/>
  <c r="CT378" i="1"/>
  <c r="CX378" i="1"/>
  <c r="FR378" i="1"/>
  <c r="GL378" i="1"/>
  <c r="GN378" i="1"/>
  <c r="GO378" i="1"/>
  <c r="GV378" i="1"/>
  <c r="HC378" i="1" s="1"/>
  <c r="C379" i="1"/>
  <c r="D379" i="1"/>
  <c r="AC379" i="1"/>
  <c r="AE379" i="1"/>
  <c r="AF379" i="1"/>
  <c r="CT379" i="1" s="1"/>
  <c r="AG379" i="1"/>
  <c r="CU379" i="1" s="1"/>
  <c r="AH379" i="1"/>
  <c r="CV379" i="1" s="1"/>
  <c r="AI379" i="1"/>
  <c r="AJ379" i="1"/>
  <c r="CR379" i="1"/>
  <c r="CW379" i="1"/>
  <c r="CX379" i="1"/>
  <c r="FR379" i="1"/>
  <c r="GL379" i="1"/>
  <c r="GN379" i="1"/>
  <c r="GO379" i="1"/>
  <c r="GV379" i="1"/>
  <c r="HC379" i="1" s="1"/>
  <c r="AC380" i="1"/>
  <c r="AE380" i="1"/>
  <c r="AF380" i="1"/>
  <c r="AG380" i="1"/>
  <c r="CU380" i="1" s="1"/>
  <c r="AH380" i="1"/>
  <c r="CV380" i="1" s="1"/>
  <c r="AI380" i="1"/>
  <c r="CW380" i="1" s="1"/>
  <c r="AJ380" i="1"/>
  <c r="CT380" i="1"/>
  <c r="CX380" i="1"/>
  <c r="FR380" i="1"/>
  <c r="GL380" i="1"/>
  <c r="GN380" i="1"/>
  <c r="GO380" i="1"/>
  <c r="GV380" i="1"/>
  <c r="HC380" i="1" s="1"/>
  <c r="V381" i="1"/>
  <c r="AC381" i="1"/>
  <c r="AE381" i="1"/>
  <c r="AF381" i="1"/>
  <c r="CT381" i="1" s="1"/>
  <c r="S381" i="1" s="1"/>
  <c r="AG381" i="1"/>
  <c r="CU381" i="1" s="1"/>
  <c r="T381" i="1" s="1"/>
  <c r="AH381" i="1"/>
  <c r="AI381" i="1"/>
  <c r="CW381" i="1" s="1"/>
  <c r="AJ381" i="1"/>
  <c r="CX381" i="1" s="1"/>
  <c r="W381" i="1" s="1"/>
  <c r="CQ381" i="1"/>
  <c r="P381" i="1" s="1"/>
  <c r="CV381" i="1"/>
  <c r="U381" i="1" s="1"/>
  <c r="CY381" i="1"/>
  <c r="X381" i="1" s="1"/>
  <c r="CZ381" i="1"/>
  <c r="Y381" i="1" s="1"/>
  <c r="FR381" i="1"/>
  <c r="GL381" i="1"/>
  <c r="GN381" i="1"/>
  <c r="GO381" i="1"/>
  <c r="GV381" i="1"/>
  <c r="HC381" i="1" s="1"/>
  <c r="GX381" i="1" s="1"/>
  <c r="P382" i="1"/>
  <c r="AC382" i="1"/>
  <c r="AE382" i="1"/>
  <c r="AD382" i="1" s="1"/>
  <c r="AF382" i="1"/>
  <c r="CT382" i="1" s="1"/>
  <c r="S382" i="1" s="1"/>
  <c r="AG382" i="1"/>
  <c r="AH382" i="1"/>
  <c r="CV382" i="1" s="1"/>
  <c r="U382" i="1" s="1"/>
  <c r="AI382" i="1"/>
  <c r="CW382" i="1" s="1"/>
  <c r="V382" i="1" s="1"/>
  <c r="AJ382" i="1"/>
  <c r="CX382" i="1" s="1"/>
  <c r="W382" i="1" s="1"/>
  <c r="CQ382" i="1"/>
  <c r="CS382" i="1"/>
  <c r="R382" i="1" s="1"/>
  <c r="GK382" i="1" s="1"/>
  <c r="CU382" i="1"/>
  <c r="T382" i="1" s="1"/>
  <c r="FR382" i="1"/>
  <c r="GL382" i="1"/>
  <c r="GN382" i="1"/>
  <c r="GO382" i="1"/>
  <c r="GV382" i="1"/>
  <c r="HC382" i="1" s="1"/>
  <c r="GX382" i="1"/>
  <c r="I383" i="1"/>
  <c r="AC383" i="1"/>
  <c r="AE383" i="1"/>
  <c r="AF383" i="1"/>
  <c r="CT383" i="1" s="1"/>
  <c r="S383" i="1" s="1"/>
  <c r="AG383" i="1"/>
  <c r="CU383" i="1" s="1"/>
  <c r="T383" i="1" s="1"/>
  <c r="AH383" i="1"/>
  <c r="CV383" i="1" s="1"/>
  <c r="U383" i="1" s="1"/>
  <c r="AI383" i="1"/>
  <c r="CW383" i="1" s="1"/>
  <c r="V383" i="1" s="1"/>
  <c r="AJ383" i="1"/>
  <c r="CX383" i="1" s="1"/>
  <c r="W383" i="1" s="1"/>
  <c r="CQ383" i="1"/>
  <c r="P383" i="1" s="1"/>
  <c r="FR383" i="1"/>
  <c r="GL383" i="1"/>
  <c r="GN383" i="1"/>
  <c r="GO383" i="1"/>
  <c r="GV383" i="1"/>
  <c r="HC383" i="1" s="1"/>
  <c r="GX383" i="1" s="1"/>
  <c r="C384" i="1"/>
  <c r="D384" i="1"/>
  <c r="I384" i="1"/>
  <c r="U384" i="1"/>
  <c r="K324" i="5" s="1"/>
  <c r="AC384" i="1"/>
  <c r="AE384" i="1"/>
  <c r="U315" i="5" s="1"/>
  <c r="AF384" i="1"/>
  <c r="AG384" i="1"/>
  <c r="CU384" i="1" s="1"/>
  <c r="AH384" i="1"/>
  <c r="AI384" i="1"/>
  <c r="CW384" i="1" s="1"/>
  <c r="V384" i="1" s="1"/>
  <c r="AJ384" i="1"/>
  <c r="CV384" i="1"/>
  <c r="CX384" i="1"/>
  <c r="W384" i="1" s="1"/>
  <c r="FR384" i="1"/>
  <c r="GL384" i="1"/>
  <c r="GN384" i="1"/>
  <c r="GO384" i="1"/>
  <c r="GV384" i="1"/>
  <c r="HC384" i="1" s="1"/>
  <c r="GX384" i="1" s="1"/>
  <c r="C385" i="1"/>
  <c r="D385" i="1"/>
  <c r="R385" i="1"/>
  <c r="GK385" i="1" s="1"/>
  <c r="AC385" i="1"/>
  <c r="AD385" i="1"/>
  <c r="AE385" i="1"/>
  <c r="AF385" i="1"/>
  <c r="CT385" i="1" s="1"/>
  <c r="S385" i="1" s="1"/>
  <c r="CY385" i="1" s="1"/>
  <c r="X385" i="1" s="1"/>
  <c r="AG385" i="1"/>
  <c r="CU385" i="1" s="1"/>
  <c r="T385" i="1" s="1"/>
  <c r="AH385" i="1"/>
  <c r="CV385" i="1" s="1"/>
  <c r="U385" i="1" s="1"/>
  <c r="AI385" i="1"/>
  <c r="AJ385" i="1"/>
  <c r="CX385" i="1" s="1"/>
  <c r="W385" i="1" s="1"/>
  <c r="CQ385" i="1"/>
  <c r="P385" i="1" s="1"/>
  <c r="CR385" i="1"/>
  <c r="Q385" i="1" s="1"/>
  <c r="CS385" i="1"/>
  <c r="CW385" i="1"/>
  <c r="V385" i="1" s="1"/>
  <c r="FR385" i="1"/>
  <c r="GL385" i="1"/>
  <c r="GN385" i="1"/>
  <c r="GO385" i="1"/>
  <c r="GV385" i="1"/>
  <c r="HC385" i="1" s="1"/>
  <c r="GX385" i="1" s="1"/>
  <c r="B387" i="1"/>
  <c r="C387" i="1"/>
  <c r="C371" i="1" s="1"/>
  <c r="D387" i="1"/>
  <c r="D371" i="1" s="1"/>
  <c r="F387" i="1"/>
  <c r="G387" i="1"/>
  <c r="BB387" i="1"/>
  <c r="BB371" i="1" s="1"/>
  <c r="BX387" i="1"/>
  <c r="AO387" i="1" s="1"/>
  <c r="AO371" i="1" s="1"/>
  <c r="CK387" i="1"/>
  <c r="CK371" i="1" s="1"/>
  <c r="CL387" i="1"/>
  <c r="CM387" i="1"/>
  <c r="CM371" i="1" s="1"/>
  <c r="F391" i="1"/>
  <c r="B417" i="1"/>
  <c r="B244" i="1" s="1"/>
  <c r="C417" i="1"/>
  <c r="C244" i="1" s="1"/>
  <c r="D417" i="1"/>
  <c r="D244" i="1" s="1"/>
  <c r="F417" i="1"/>
  <c r="F244" i="1" s="1"/>
  <c r="G417" i="1"/>
  <c r="D449" i="1"/>
  <c r="E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BE451" i="1"/>
  <c r="BF451" i="1"/>
  <c r="BG451" i="1"/>
  <c r="BH451" i="1"/>
  <c r="BI451" i="1"/>
  <c r="BJ451" i="1"/>
  <c r="BK451" i="1"/>
  <c r="BL451" i="1"/>
  <c r="BM451" i="1"/>
  <c r="BN451" i="1"/>
  <c r="BO451" i="1"/>
  <c r="BP451" i="1"/>
  <c r="BQ451" i="1"/>
  <c r="BR451" i="1"/>
  <c r="BS451" i="1"/>
  <c r="BT451" i="1"/>
  <c r="BU451" i="1"/>
  <c r="BV451" i="1"/>
  <c r="BW451" i="1"/>
  <c r="BX451" i="1"/>
  <c r="BY451" i="1"/>
  <c r="BZ451" i="1"/>
  <c r="CA451" i="1"/>
  <c r="CB451" i="1"/>
  <c r="CC451" i="1"/>
  <c r="CD451" i="1"/>
  <c r="CE451" i="1"/>
  <c r="CF451" i="1"/>
  <c r="CG451" i="1"/>
  <c r="CH451" i="1"/>
  <c r="CI451" i="1"/>
  <c r="CJ451" i="1"/>
  <c r="CK451" i="1"/>
  <c r="CL451" i="1"/>
  <c r="CM451" i="1"/>
  <c r="CN451" i="1"/>
  <c r="CO451" i="1"/>
  <c r="CP451" i="1"/>
  <c r="CQ451" i="1"/>
  <c r="CR451" i="1"/>
  <c r="CS451" i="1"/>
  <c r="CT451" i="1"/>
  <c r="CU451" i="1"/>
  <c r="CV451" i="1"/>
  <c r="CW451" i="1"/>
  <c r="CX451" i="1"/>
  <c r="CY451" i="1"/>
  <c r="CZ451" i="1"/>
  <c r="DA451" i="1"/>
  <c r="DB451" i="1"/>
  <c r="DC451" i="1"/>
  <c r="DD451" i="1"/>
  <c r="DE451" i="1"/>
  <c r="DF451" i="1"/>
  <c r="DG451" i="1"/>
  <c r="DH451" i="1"/>
  <c r="DI451" i="1"/>
  <c r="DJ451" i="1"/>
  <c r="DK451" i="1"/>
  <c r="DL451" i="1"/>
  <c r="DM451" i="1"/>
  <c r="DN451" i="1"/>
  <c r="DO451" i="1"/>
  <c r="DP451" i="1"/>
  <c r="DQ451" i="1"/>
  <c r="DR451" i="1"/>
  <c r="DS451" i="1"/>
  <c r="DT451" i="1"/>
  <c r="DU451" i="1"/>
  <c r="DV451" i="1"/>
  <c r="DW451" i="1"/>
  <c r="DX451" i="1"/>
  <c r="DY451" i="1"/>
  <c r="DZ451" i="1"/>
  <c r="EA451" i="1"/>
  <c r="EB451" i="1"/>
  <c r="EC451" i="1"/>
  <c r="ED451" i="1"/>
  <c r="EE451" i="1"/>
  <c r="EF451" i="1"/>
  <c r="EG451" i="1"/>
  <c r="EH451" i="1"/>
  <c r="EI451" i="1"/>
  <c r="EJ451" i="1"/>
  <c r="EK451" i="1"/>
  <c r="EL451" i="1"/>
  <c r="EM451" i="1"/>
  <c r="EN451" i="1"/>
  <c r="EO451" i="1"/>
  <c r="EP451" i="1"/>
  <c r="EQ451" i="1"/>
  <c r="ER451" i="1"/>
  <c r="ES451" i="1"/>
  <c r="ET451" i="1"/>
  <c r="EU451" i="1"/>
  <c r="EV451" i="1"/>
  <c r="EW451" i="1"/>
  <c r="EX451" i="1"/>
  <c r="EY451" i="1"/>
  <c r="EZ451" i="1"/>
  <c r="FA451" i="1"/>
  <c r="FB451" i="1"/>
  <c r="FC451" i="1"/>
  <c r="FD451" i="1"/>
  <c r="FE451" i="1"/>
  <c r="FF451" i="1"/>
  <c r="FG451" i="1"/>
  <c r="FH451" i="1"/>
  <c r="FI451" i="1"/>
  <c r="FJ451" i="1"/>
  <c r="FK451" i="1"/>
  <c r="FL451" i="1"/>
  <c r="FM451" i="1"/>
  <c r="FN451" i="1"/>
  <c r="FO451" i="1"/>
  <c r="FP451" i="1"/>
  <c r="FQ451" i="1"/>
  <c r="FR451" i="1"/>
  <c r="FS451" i="1"/>
  <c r="FT451" i="1"/>
  <c r="FU451" i="1"/>
  <c r="FV451" i="1"/>
  <c r="FW451" i="1"/>
  <c r="FX451" i="1"/>
  <c r="FY451" i="1"/>
  <c r="FZ451" i="1"/>
  <c r="GA451" i="1"/>
  <c r="GB451" i="1"/>
  <c r="GC451" i="1"/>
  <c r="GD451" i="1"/>
  <c r="GE451" i="1"/>
  <c r="GF451" i="1"/>
  <c r="GG451" i="1"/>
  <c r="GH451" i="1"/>
  <c r="GI451" i="1"/>
  <c r="GJ451" i="1"/>
  <c r="GK451" i="1"/>
  <c r="GL451" i="1"/>
  <c r="GM451" i="1"/>
  <c r="GN451" i="1"/>
  <c r="GO451" i="1"/>
  <c r="GP451" i="1"/>
  <c r="GQ451" i="1"/>
  <c r="GR451" i="1"/>
  <c r="GS451" i="1"/>
  <c r="GT451" i="1"/>
  <c r="GU451" i="1"/>
  <c r="GV451" i="1"/>
  <c r="GW451" i="1"/>
  <c r="GX451" i="1"/>
  <c r="D453" i="1"/>
  <c r="E455" i="1"/>
  <c r="Z455" i="1"/>
  <c r="AA455" i="1"/>
  <c r="AM455" i="1"/>
  <c r="AN455" i="1"/>
  <c r="BE455" i="1"/>
  <c r="BF455" i="1"/>
  <c r="BG455" i="1"/>
  <c r="BH455" i="1"/>
  <c r="BI455" i="1"/>
  <c r="BJ455" i="1"/>
  <c r="BK455" i="1"/>
  <c r="BL455" i="1"/>
  <c r="BM455" i="1"/>
  <c r="BN455" i="1"/>
  <c r="BO455" i="1"/>
  <c r="BP455" i="1"/>
  <c r="BQ455" i="1"/>
  <c r="BR455" i="1"/>
  <c r="BS455" i="1"/>
  <c r="BT455" i="1"/>
  <c r="BU455" i="1"/>
  <c r="BV455" i="1"/>
  <c r="BW455" i="1"/>
  <c r="CN455" i="1"/>
  <c r="CO455" i="1"/>
  <c r="CP455" i="1"/>
  <c r="CQ455" i="1"/>
  <c r="CR455" i="1"/>
  <c r="CS455" i="1"/>
  <c r="CT455" i="1"/>
  <c r="CU455" i="1"/>
  <c r="CV455" i="1"/>
  <c r="CW455" i="1"/>
  <c r="CX455" i="1"/>
  <c r="CY455" i="1"/>
  <c r="CZ455" i="1"/>
  <c r="DA455" i="1"/>
  <c r="DB455" i="1"/>
  <c r="DC455" i="1"/>
  <c r="DD455" i="1"/>
  <c r="DE455" i="1"/>
  <c r="DF455" i="1"/>
  <c r="DG455" i="1"/>
  <c r="DH455" i="1"/>
  <c r="DI455" i="1"/>
  <c r="DJ455" i="1"/>
  <c r="DK455" i="1"/>
  <c r="DL455" i="1"/>
  <c r="DM455" i="1"/>
  <c r="DN455" i="1"/>
  <c r="DO455" i="1"/>
  <c r="DP455" i="1"/>
  <c r="DQ455" i="1"/>
  <c r="DR455" i="1"/>
  <c r="DS455" i="1"/>
  <c r="DT455" i="1"/>
  <c r="DU455" i="1"/>
  <c r="DV455" i="1"/>
  <c r="DW455" i="1"/>
  <c r="DX455" i="1"/>
  <c r="DY455" i="1"/>
  <c r="DZ455" i="1"/>
  <c r="EA455" i="1"/>
  <c r="EB455" i="1"/>
  <c r="EC455" i="1"/>
  <c r="ED455" i="1"/>
  <c r="EE455" i="1"/>
  <c r="EF455" i="1"/>
  <c r="EG455" i="1"/>
  <c r="EH455" i="1"/>
  <c r="EI455" i="1"/>
  <c r="EJ455" i="1"/>
  <c r="EK455" i="1"/>
  <c r="EL455" i="1"/>
  <c r="EM455" i="1"/>
  <c r="EN455" i="1"/>
  <c r="EO455" i="1"/>
  <c r="EP455" i="1"/>
  <c r="EQ455" i="1"/>
  <c r="ER455" i="1"/>
  <c r="ES455" i="1"/>
  <c r="ET455" i="1"/>
  <c r="EU455" i="1"/>
  <c r="EV455" i="1"/>
  <c r="EW455" i="1"/>
  <c r="EX455" i="1"/>
  <c r="EY455" i="1"/>
  <c r="EZ455" i="1"/>
  <c r="FA455" i="1"/>
  <c r="FB455" i="1"/>
  <c r="FC455" i="1"/>
  <c r="FD455" i="1"/>
  <c r="FE455" i="1"/>
  <c r="FF455" i="1"/>
  <c r="FG455" i="1"/>
  <c r="FH455" i="1"/>
  <c r="FI455" i="1"/>
  <c r="FJ455" i="1"/>
  <c r="FK455" i="1"/>
  <c r="FL455" i="1"/>
  <c r="FM455" i="1"/>
  <c r="FN455" i="1"/>
  <c r="FO455" i="1"/>
  <c r="FP455" i="1"/>
  <c r="FQ455" i="1"/>
  <c r="FR455" i="1"/>
  <c r="FS455" i="1"/>
  <c r="FT455" i="1"/>
  <c r="FU455" i="1"/>
  <c r="FV455" i="1"/>
  <c r="FW455" i="1"/>
  <c r="FX455" i="1"/>
  <c r="FY455" i="1"/>
  <c r="FZ455" i="1"/>
  <c r="GA455" i="1"/>
  <c r="GB455" i="1"/>
  <c r="GC455" i="1"/>
  <c r="GD455" i="1"/>
  <c r="GE455" i="1"/>
  <c r="GF455" i="1"/>
  <c r="GG455" i="1"/>
  <c r="GH455" i="1"/>
  <c r="GI455" i="1"/>
  <c r="GJ455" i="1"/>
  <c r="GK455" i="1"/>
  <c r="GL455" i="1"/>
  <c r="GM455" i="1"/>
  <c r="GN455" i="1"/>
  <c r="GO455" i="1"/>
  <c r="GP455" i="1"/>
  <c r="GQ455" i="1"/>
  <c r="GR455" i="1"/>
  <c r="GS455" i="1"/>
  <c r="GT455" i="1"/>
  <c r="GU455" i="1"/>
  <c r="GV455" i="1"/>
  <c r="GW455" i="1"/>
  <c r="GX455" i="1"/>
  <c r="C457" i="1"/>
  <c r="D457" i="1"/>
  <c r="I457" i="1"/>
  <c r="AC457" i="1"/>
  <c r="CQ457" i="1" s="1"/>
  <c r="P457" i="1" s="1"/>
  <c r="AE457" i="1"/>
  <c r="CR457" i="1" s="1"/>
  <c r="Q457" i="1" s="1"/>
  <c r="J341" i="5" s="1"/>
  <c r="AF457" i="1"/>
  <c r="AG457" i="1"/>
  <c r="CU457" i="1" s="1"/>
  <c r="T457" i="1" s="1"/>
  <c r="AH457" i="1"/>
  <c r="AI457" i="1"/>
  <c r="CW457" i="1" s="1"/>
  <c r="V457" i="1" s="1"/>
  <c r="AJ457" i="1"/>
  <c r="CX457" i="1" s="1"/>
  <c r="W457" i="1" s="1"/>
  <c r="CV457" i="1"/>
  <c r="U457" i="1" s="1"/>
  <c r="K344" i="5" s="1"/>
  <c r="FR457" i="1"/>
  <c r="BY465" i="1" s="1"/>
  <c r="BY455" i="1" s="1"/>
  <c r="GL457" i="1"/>
  <c r="GN457" i="1"/>
  <c r="GO457" i="1"/>
  <c r="GV457" i="1"/>
  <c r="HC457" i="1" s="1"/>
  <c r="GX457" i="1" s="1"/>
  <c r="AC458" i="1"/>
  <c r="CQ458" i="1" s="1"/>
  <c r="P458" i="1" s="1"/>
  <c r="AE458" i="1"/>
  <c r="CS458" i="1" s="1"/>
  <c r="R458" i="1" s="1"/>
  <c r="GK458" i="1" s="1"/>
  <c r="AF458" i="1"/>
  <c r="CT458" i="1" s="1"/>
  <c r="S458" i="1" s="1"/>
  <c r="AG458" i="1"/>
  <c r="CU458" i="1" s="1"/>
  <c r="T458" i="1" s="1"/>
  <c r="AH458" i="1"/>
  <c r="CV458" i="1" s="1"/>
  <c r="U458" i="1" s="1"/>
  <c r="AI458" i="1"/>
  <c r="CW458" i="1" s="1"/>
  <c r="V458" i="1" s="1"/>
  <c r="AJ458" i="1"/>
  <c r="CX458" i="1" s="1"/>
  <c r="W458" i="1" s="1"/>
  <c r="CR458" i="1"/>
  <c r="Q458" i="1" s="1"/>
  <c r="FR458" i="1"/>
  <c r="GL458" i="1"/>
  <c r="GN458" i="1"/>
  <c r="GO458" i="1"/>
  <c r="GV458" i="1"/>
  <c r="HC458" i="1" s="1"/>
  <c r="GX458" i="1" s="1"/>
  <c r="C459" i="1"/>
  <c r="D459" i="1"/>
  <c r="AC459" i="1"/>
  <c r="CQ459" i="1" s="1"/>
  <c r="P459" i="1" s="1"/>
  <c r="AE459" i="1"/>
  <c r="CR459" i="1" s="1"/>
  <c r="Q459" i="1" s="1"/>
  <c r="AF459" i="1"/>
  <c r="AG459" i="1"/>
  <c r="CU459" i="1" s="1"/>
  <c r="T459" i="1" s="1"/>
  <c r="AH459" i="1"/>
  <c r="AI459" i="1"/>
  <c r="AJ459" i="1"/>
  <c r="CX459" i="1" s="1"/>
  <c r="W459" i="1" s="1"/>
  <c r="CV459" i="1"/>
  <c r="U459" i="1" s="1"/>
  <c r="K350" i="5" s="1"/>
  <c r="CW459" i="1"/>
  <c r="V459" i="1" s="1"/>
  <c r="FR459" i="1"/>
  <c r="GL459" i="1"/>
  <c r="GN459" i="1"/>
  <c r="GO459" i="1"/>
  <c r="CC465" i="1" s="1"/>
  <c r="CC455" i="1" s="1"/>
  <c r="GV459" i="1"/>
  <c r="HC459" i="1" s="1"/>
  <c r="GX459" i="1" s="1"/>
  <c r="C460" i="1"/>
  <c r="D460" i="1"/>
  <c r="AC460" i="1"/>
  <c r="CQ460" i="1" s="1"/>
  <c r="P460" i="1" s="1"/>
  <c r="AE460" i="1"/>
  <c r="AD460" i="1" s="1"/>
  <c r="AF460" i="1"/>
  <c r="CT460" i="1" s="1"/>
  <c r="S460" i="1" s="1"/>
  <c r="AG460" i="1"/>
  <c r="CU460" i="1" s="1"/>
  <c r="T460" i="1" s="1"/>
  <c r="AH460" i="1"/>
  <c r="CV460" i="1" s="1"/>
  <c r="U460" i="1" s="1"/>
  <c r="AI460" i="1"/>
  <c r="AJ460" i="1"/>
  <c r="CR460" i="1"/>
  <c r="Q460" i="1" s="1"/>
  <c r="CW460" i="1"/>
  <c r="V460" i="1" s="1"/>
  <c r="CX460" i="1"/>
  <c r="W460" i="1" s="1"/>
  <c r="FR460" i="1"/>
  <c r="GL460" i="1"/>
  <c r="GN460" i="1"/>
  <c r="GO460" i="1"/>
  <c r="GV460" i="1"/>
  <c r="HC460" i="1"/>
  <c r="GX460" i="1" s="1"/>
  <c r="C461" i="1"/>
  <c r="D461" i="1"/>
  <c r="I461" i="1"/>
  <c r="AC461" i="1"/>
  <c r="AE461" i="1"/>
  <c r="AF461" i="1"/>
  <c r="AG461" i="1"/>
  <c r="CU461" i="1" s="1"/>
  <c r="T461" i="1" s="1"/>
  <c r="AH461" i="1"/>
  <c r="CV461" i="1" s="1"/>
  <c r="U461" i="1" s="1"/>
  <c r="AI461" i="1"/>
  <c r="CW461" i="1" s="1"/>
  <c r="V461" i="1" s="1"/>
  <c r="AJ461" i="1"/>
  <c r="CQ461" i="1"/>
  <c r="P461" i="1" s="1"/>
  <c r="CT461" i="1"/>
  <c r="S461" i="1" s="1"/>
  <c r="CX461" i="1"/>
  <c r="W461" i="1" s="1"/>
  <c r="FR461" i="1"/>
  <c r="GL461" i="1"/>
  <c r="GN461" i="1"/>
  <c r="GO461" i="1"/>
  <c r="GV461" i="1"/>
  <c r="HC461" i="1" s="1"/>
  <c r="GX461" i="1" s="1"/>
  <c r="C462" i="1"/>
  <c r="D462" i="1"/>
  <c r="I462" i="1"/>
  <c r="AC462" i="1"/>
  <c r="CQ462" i="1" s="1"/>
  <c r="P462" i="1" s="1"/>
  <c r="AE462" i="1"/>
  <c r="AF462" i="1"/>
  <c r="AG462" i="1"/>
  <c r="AH462" i="1"/>
  <c r="CV462" i="1" s="1"/>
  <c r="U462" i="1" s="1"/>
  <c r="AI462" i="1"/>
  <c r="CW462" i="1" s="1"/>
  <c r="V462" i="1" s="1"/>
  <c r="AJ462" i="1"/>
  <c r="CX462" i="1" s="1"/>
  <c r="CU462" i="1"/>
  <c r="T462" i="1" s="1"/>
  <c r="FR462" i="1"/>
  <c r="GL462" i="1"/>
  <c r="GN462" i="1"/>
  <c r="GO462" i="1"/>
  <c r="GV462" i="1"/>
  <c r="HC462" i="1" s="1"/>
  <c r="GX462" i="1" s="1"/>
  <c r="AC463" i="1"/>
  <c r="CQ463" i="1" s="1"/>
  <c r="P463" i="1" s="1"/>
  <c r="AE463" i="1"/>
  <c r="AF463" i="1"/>
  <c r="AG463" i="1"/>
  <c r="AH463" i="1"/>
  <c r="CV463" i="1" s="1"/>
  <c r="U463" i="1" s="1"/>
  <c r="AI463" i="1"/>
  <c r="CW463" i="1" s="1"/>
  <c r="V463" i="1" s="1"/>
  <c r="AJ463" i="1"/>
  <c r="CX463" i="1" s="1"/>
  <c r="W463" i="1" s="1"/>
  <c r="CU463" i="1"/>
  <c r="T463" i="1" s="1"/>
  <c r="FR463" i="1"/>
  <c r="GL463" i="1"/>
  <c r="GN463" i="1"/>
  <c r="GO463" i="1"/>
  <c r="GV463" i="1"/>
  <c r="HC463" i="1" s="1"/>
  <c r="GX463" i="1" s="1"/>
  <c r="B465" i="1"/>
  <c r="B455" i="1" s="1"/>
  <c r="C465" i="1"/>
  <c r="C455" i="1" s="1"/>
  <c r="D465" i="1"/>
  <c r="D455" i="1" s="1"/>
  <c r="F465" i="1"/>
  <c r="F455" i="1" s="1"/>
  <c r="G465" i="1"/>
  <c r="BX465" i="1"/>
  <c r="BX455" i="1" s="1"/>
  <c r="CK465" i="1"/>
  <c r="CK455" i="1" s="1"/>
  <c r="CL465" i="1"/>
  <c r="CL455" i="1" s="1"/>
  <c r="CM465" i="1"/>
  <c r="CM455" i="1" s="1"/>
  <c r="D495" i="1"/>
  <c r="E497" i="1"/>
  <c r="Z497" i="1"/>
  <c r="AA497" i="1"/>
  <c r="AM497" i="1"/>
  <c r="AN497" i="1"/>
  <c r="BE497" i="1"/>
  <c r="BF497" i="1"/>
  <c r="BG497" i="1"/>
  <c r="BH497" i="1"/>
  <c r="BI497" i="1"/>
  <c r="BJ497" i="1"/>
  <c r="BK497" i="1"/>
  <c r="BL497" i="1"/>
  <c r="BM497" i="1"/>
  <c r="BN497" i="1"/>
  <c r="BO497" i="1"/>
  <c r="BP497" i="1"/>
  <c r="BQ497" i="1"/>
  <c r="BR497" i="1"/>
  <c r="BS497" i="1"/>
  <c r="BT497" i="1"/>
  <c r="BU497" i="1"/>
  <c r="BV497" i="1"/>
  <c r="BW497" i="1"/>
  <c r="CN497" i="1"/>
  <c r="CO497" i="1"/>
  <c r="CP497" i="1"/>
  <c r="CQ497" i="1"/>
  <c r="CR497" i="1"/>
  <c r="CS497" i="1"/>
  <c r="CT497" i="1"/>
  <c r="CU497" i="1"/>
  <c r="CV497" i="1"/>
  <c r="CW497" i="1"/>
  <c r="CX497" i="1"/>
  <c r="CY497" i="1"/>
  <c r="CZ497" i="1"/>
  <c r="DA497" i="1"/>
  <c r="DB497" i="1"/>
  <c r="DC497" i="1"/>
  <c r="DD497" i="1"/>
  <c r="DE497" i="1"/>
  <c r="DF497" i="1"/>
  <c r="DG497" i="1"/>
  <c r="DH497" i="1"/>
  <c r="DI497" i="1"/>
  <c r="DJ497" i="1"/>
  <c r="DK497" i="1"/>
  <c r="DL497" i="1"/>
  <c r="DM497" i="1"/>
  <c r="DN497" i="1"/>
  <c r="DO497" i="1"/>
  <c r="DP497" i="1"/>
  <c r="DQ497" i="1"/>
  <c r="DR497" i="1"/>
  <c r="DS497" i="1"/>
  <c r="DT497" i="1"/>
  <c r="DU497" i="1"/>
  <c r="DV497" i="1"/>
  <c r="DW497" i="1"/>
  <c r="DX497" i="1"/>
  <c r="DY497" i="1"/>
  <c r="DZ497" i="1"/>
  <c r="EA497" i="1"/>
  <c r="EB497" i="1"/>
  <c r="EC497" i="1"/>
  <c r="ED497" i="1"/>
  <c r="EE497" i="1"/>
  <c r="EF497" i="1"/>
  <c r="EG497" i="1"/>
  <c r="EH497" i="1"/>
  <c r="EI497" i="1"/>
  <c r="EJ497" i="1"/>
  <c r="EK497" i="1"/>
  <c r="EL497" i="1"/>
  <c r="EM497" i="1"/>
  <c r="EN497" i="1"/>
  <c r="EO497" i="1"/>
  <c r="EP497" i="1"/>
  <c r="EQ497" i="1"/>
  <c r="ER497" i="1"/>
  <c r="ES497" i="1"/>
  <c r="ET497" i="1"/>
  <c r="EU497" i="1"/>
  <c r="EV497" i="1"/>
  <c r="EW497" i="1"/>
  <c r="EX497" i="1"/>
  <c r="EY497" i="1"/>
  <c r="EZ497" i="1"/>
  <c r="FA497" i="1"/>
  <c r="FB497" i="1"/>
  <c r="FC497" i="1"/>
  <c r="FD497" i="1"/>
  <c r="FE497" i="1"/>
  <c r="FF497" i="1"/>
  <c r="FG497" i="1"/>
  <c r="FH497" i="1"/>
  <c r="FI497" i="1"/>
  <c r="FJ497" i="1"/>
  <c r="FK497" i="1"/>
  <c r="FL497" i="1"/>
  <c r="FM497" i="1"/>
  <c r="FN497" i="1"/>
  <c r="FO497" i="1"/>
  <c r="FP497" i="1"/>
  <c r="FQ497" i="1"/>
  <c r="FR497" i="1"/>
  <c r="FS497" i="1"/>
  <c r="FT497" i="1"/>
  <c r="FU497" i="1"/>
  <c r="FV497" i="1"/>
  <c r="FW497" i="1"/>
  <c r="FX497" i="1"/>
  <c r="FY497" i="1"/>
  <c r="FZ497" i="1"/>
  <c r="GA497" i="1"/>
  <c r="GB497" i="1"/>
  <c r="GC497" i="1"/>
  <c r="GD497" i="1"/>
  <c r="GE497" i="1"/>
  <c r="GF497" i="1"/>
  <c r="GG497" i="1"/>
  <c r="GH497" i="1"/>
  <c r="GI497" i="1"/>
  <c r="GJ497" i="1"/>
  <c r="GK497" i="1"/>
  <c r="GL497" i="1"/>
  <c r="GM497" i="1"/>
  <c r="GN497" i="1"/>
  <c r="GO497" i="1"/>
  <c r="GP497" i="1"/>
  <c r="GQ497" i="1"/>
  <c r="GR497" i="1"/>
  <c r="GS497" i="1"/>
  <c r="GT497" i="1"/>
  <c r="GU497" i="1"/>
  <c r="GV497" i="1"/>
  <c r="GW497" i="1"/>
  <c r="GX497" i="1"/>
  <c r="C499" i="1"/>
  <c r="D499" i="1"/>
  <c r="AC499" i="1"/>
  <c r="AE499" i="1"/>
  <c r="AF499" i="1"/>
  <c r="AG499" i="1"/>
  <c r="AH499" i="1"/>
  <c r="CV499" i="1" s="1"/>
  <c r="U499" i="1" s="1"/>
  <c r="K371" i="5" s="1"/>
  <c r="AI499" i="1"/>
  <c r="CW499" i="1" s="1"/>
  <c r="V499" i="1" s="1"/>
  <c r="AJ499" i="1"/>
  <c r="CX499" i="1" s="1"/>
  <c r="W499" i="1" s="1"/>
  <c r="CQ499" i="1"/>
  <c r="P499" i="1" s="1"/>
  <c r="CU499" i="1"/>
  <c r="T499" i="1" s="1"/>
  <c r="FR499" i="1"/>
  <c r="GL499" i="1"/>
  <c r="GN499" i="1"/>
  <c r="GO499" i="1"/>
  <c r="GV499" i="1"/>
  <c r="HC499" i="1" s="1"/>
  <c r="GX499" i="1" s="1"/>
  <c r="AC500" i="1"/>
  <c r="AE500" i="1"/>
  <c r="AF500" i="1"/>
  <c r="AG500" i="1"/>
  <c r="CU500" i="1" s="1"/>
  <c r="T500" i="1" s="1"/>
  <c r="AH500" i="1"/>
  <c r="CV500" i="1" s="1"/>
  <c r="U500" i="1" s="1"/>
  <c r="AI500" i="1"/>
  <c r="CW500" i="1" s="1"/>
  <c r="V500" i="1" s="1"/>
  <c r="AJ500" i="1"/>
  <c r="CT500" i="1"/>
  <c r="S500" i="1" s="1"/>
  <c r="CX500" i="1"/>
  <c r="W500" i="1" s="1"/>
  <c r="FR500" i="1"/>
  <c r="GL500" i="1"/>
  <c r="GO500" i="1"/>
  <c r="GP500" i="1"/>
  <c r="GV500" i="1"/>
  <c r="HC500" i="1"/>
  <c r="GX500" i="1" s="1"/>
  <c r="AC501" i="1"/>
  <c r="AD501" i="1"/>
  <c r="AE501" i="1"/>
  <c r="AF501" i="1"/>
  <c r="AG501" i="1"/>
  <c r="CU501" i="1" s="1"/>
  <c r="T501" i="1" s="1"/>
  <c r="AH501" i="1"/>
  <c r="CV501" i="1" s="1"/>
  <c r="U501" i="1" s="1"/>
  <c r="AI501" i="1"/>
  <c r="AJ501" i="1"/>
  <c r="CX501" i="1" s="1"/>
  <c r="W501" i="1" s="1"/>
  <c r="CR501" i="1"/>
  <c r="Q501" i="1" s="1"/>
  <c r="CS501" i="1"/>
  <c r="CW501" i="1"/>
  <c r="V501" i="1" s="1"/>
  <c r="FR501" i="1"/>
  <c r="GL501" i="1"/>
  <c r="GO501" i="1"/>
  <c r="GP501" i="1"/>
  <c r="GV501" i="1"/>
  <c r="HC501" i="1"/>
  <c r="GX501" i="1" s="1"/>
  <c r="AC502" i="1"/>
  <c r="AE502" i="1"/>
  <c r="AF502" i="1"/>
  <c r="AG502" i="1"/>
  <c r="CU502" i="1" s="1"/>
  <c r="T502" i="1" s="1"/>
  <c r="AH502" i="1"/>
  <c r="AI502" i="1"/>
  <c r="CW502" i="1" s="1"/>
  <c r="V502" i="1" s="1"/>
  <c r="AJ502" i="1"/>
  <c r="CX502" i="1" s="1"/>
  <c r="W502" i="1" s="1"/>
  <c r="CR502" i="1"/>
  <c r="Q502" i="1" s="1"/>
  <c r="CV502" i="1"/>
  <c r="U502" i="1" s="1"/>
  <c r="FR502" i="1"/>
  <c r="GL502" i="1"/>
  <c r="GO502" i="1"/>
  <c r="GP502" i="1"/>
  <c r="GV502" i="1"/>
  <c r="HC502" i="1" s="1"/>
  <c r="GX502" i="1" s="1"/>
  <c r="AC503" i="1"/>
  <c r="AD503" i="1"/>
  <c r="AE503" i="1"/>
  <c r="AF503" i="1"/>
  <c r="AG503" i="1"/>
  <c r="AH503" i="1"/>
  <c r="CV503" i="1" s="1"/>
  <c r="U503" i="1" s="1"/>
  <c r="AI503" i="1"/>
  <c r="CW503" i="1" s="1"/>
  <c r="V503" i="1" s="1"/>
  <c r="AJ503" i="1"/>
  <c r="CQ503" i="1"/>
  <c r="P503" i="1" s="1"/>
  <c r="CR503" i="1"/>
  <c r="Q503" i="1" s="1"/>
  <c r="CU503" i="1"/>
  <c r="T503" i="1" s="1"/>
  <c r="CX503" i="1"/>
  <c r="W503" i="1" s="1"/>
  <c r="FR503" i="1"/>
  <c r="GL503" i="1"/>
  <c r="GO503" i="1"/>
  <c r="GP503" i="1"/>
  <c r="GV503" i="1"/>
  <c r="HC503" i="1" s="1"/>
  <c r="GX503" i="1" s="1"/>
  <c r="AC504" i="1"/>
  <c r="AE504" i="1"/>
  <c r="CR504" i="1" s="1"/>
  <c r="Q504" i="1" s="1"/>
  <c r="AF504" i="1"/>
  <c r="AG504" i="1"/>
  <c r="CU504" i="1" s="1"/>
  <c r="T504" i="1" s="1"/>
  <c r="AH504" i="1"/>
  <c r="CV504" i="1" s="1"/>
  <c r="U504" i="1" s="1"/>
  <c r="AI504" i="1"/>
  <c r="AJ504" i="1"/>
  <c r="CX504" i="1" s="1"/>
  <c r="W504" i="1" s="1"/>
  <c r="CS504" i="1"/>
  <c r="CW504" i="1"/>
  <c r="V504" i="1" s="1"/>
  <c r="FR504" i="1"/>
  <c r="GL504" i="1"/>
  <c r="GO504" i="1"/>
  <c r="GP504" i="1"/>
  <c r="GV504" i="1"/>
  <c r="HC504" i="1" s="1"/>
  <c r="GX504" i="1" s="1"/>
  <c r="AC505" i="1"/>
  <c r="AE505" i="1"/>
  <c r="AF505" i="1"/>
  <c r="AG505" i="1"/>
  <c r="CU505" i="1" s="1"/>
  <c r="T505" i="1" s="1"/>
  <c r="AH505" i="1"/>
  <c r="CV505" i="1" s="1"/>
  <c r="U505" i="1" s="1"/>
  <c r="AI505" i="1"/>
  <c r="AJ505" i="1"/>
  <c r="CX505" i="1" s="1"/>
  <c r="W505" i="1" s="1"/>
  <c r="CR505" i="1"/>
  <c r="Q505" i="1" s="1"/>
  <c r="CS505" i="1"/>
  <c r="CW505" i="1"/>
  <c r="V505" i="1" s="1"/>
  <c r="FR505" i="1"/>
  <c r="GL505" i="1"/>
  <c r="GO505" i="1"/>
  <c r="GP505" i="1"/>
  <c r="GV505" i="1"/>
  <c r="HC505" i="1" s="1"/>
  <c r="GX505" i="1" s="1"/>
  <c r="B507" i="1"/>
  <c r="B497" i="1" s="1"/>
  <c r="C507" i="1"/>
  <c r="C497" i="1" s="1"/>
  <c r="D507" i="1"/>
  <c r="D497" i="1" s="1"/>
  <c r="F507" i="1"/>
  <c r="F497" i="1" s="1"/>
  <c r="G507" i="1"/>
  <c r="BX507" i="1"/>
  <c r="BX497" i="1" s="1"/>
  <c r="CK507" i="1"/>
  <c r="BB507" i="1" s="1"/>
  <c r="CL507" i="1"/>
  <c r="BC507" i="1" s="1"/>
  <c r="CM507" i="1"/>
  <c r="BD507" i="1" s="1"/>
  <c r="D537" i="1"/>
  <c r="E539" i="1"/>
  <c r="Z539" i="1"/>
  <c r="AA539" i="1"/>
  <c r="AM539" i="1"/>
  <c r="AN539" i="1"/>
  <c r="BE539" i="1"/>
  <c r="BF539" i="1"/>
  <c r="BG539" i="1"/>
  <c r="BH539" i="1"/>
  <c r="BI539" i="1"/>
  <c r="BJ539" i="1"/>
  <c r="BK539" i="1"/>
  <c r="BL539" i="1"/>
  <c r="BM539" i="1"/>
  <c r="BN539" i="1"/>
  <c r="BO539" i="1"/>
  <c r="BP539" i="1"/>
  <c r="BQ539" i="1"/>
  <c r="BR539" i="1"/>
  <c r="BS539" i="1"/>
  <c r="BT539" i="1"/>
  <c r="BU539" i="1"/>
  <c r="BV539" i="1"/>
  <c r="BW539" i="1"/>
  <c r="CN539" i="1"/>
  <c r="CO539" i="1"/>
  <c r="CP539" i="1"/>
  <c r="CQ539" i="1"/>
  <c r="CR539" i="1"/>
  <c r="CS539" i="1"/>
  <c r="CT539" i="1"/>
  <c r="CU539" i="1"/>
  <c r="CV539" i="1"/>
  <c r="CW539" i="1"/>
  <c r="CX539" i="1"/>
  <c r="CY539" i="1"/>
  <c r="CZ539" i="1"/>
  <c r="DA539" i="1"/>
  <c r="DB539" i="1"/>
  <c r="DC539" i="1"/>
  <c r="DD539" i="1"/>
  <c r="DE539" i="1"/>
  <c r="DF539" i="1"/>
  <c r="DG539" i="1"/>
  <c r="DH539" i="1"/>
  <c r="DI539" i="1"/>
  <c r="DJ539" i="1"/>
  <c r="DK539" i="1"/>
  <c r="DL539" i="1"/>
  <c r="DM539" i="1"/>
  <c r="DN539" i="1"/>
  <c r="DO539" i="1"/>
  <c r="DP539" i="1"/>
  <c r="DQ539" i="1"/>
  <c r="DR539" i="1"/>
  <c r="DS539" i="1"/>
  <c r="DT539" i="1"/>
  <c r="DU539" i="1"/>
  <c r="DV539" i="1"/>
  <c r="DW539" i="1"/>
  <c r="DX539" i="1"/>
  <c r="DY539" i="1"/>
  <c r="DZ539" i="1"/>
  <c r="EA539" i="1"/>
  <c r="EB539" i="1"/>
  <c r="EC539" i="1"/>
  <c r="ED539" i="1"/>
  <c r="EE539" i="1"/>
  <c r="EF539" i="1"/>
  <c r="EG539" i="1"/>
  <c r="EH539" i="1"/>
  <c r="EI539" i="1"/>
  <c r="EJ539" i="1"/>
  <c r="EK539" i="1"/>
  <c r="EL539" i="1"/>
  <c r="EM539" i="1"/>
  <c r="EN539" i="1"/>
  <c r="EO539" i="1"/>
  <c r="EP539" i="1"/>
  <c r="EQ539" i="1"/>
  <c r="ER539" i="1"/>
  <c r="ES539" i="1"/>
  <c r="ET539" i="1"/>
  <c r="EU539" i="1"/>
  <c r="EV539" i="1"/>
  <c r="EW539" i="1"/>
  <c r="EX539" i="1"/>
  <c r="EY539" i="1"/>
  <c r="EZ539" i="1"/>
  <c r="FA539" i="1"/>
  <c r="FB539" i="1"/>
  <c r="FC539" i="1"/>
  <c r="FD539" i="1"/>
  <c r="FE539" i="1"/>
  <c r="FF539" i="1"/>
  <c r="FG539" i="1"/>
  <c r="FH539" i="1"/>
  <c r="FI539" i="1"/>
  <c r="FJ539" i="1"/>
  <c r="FK539" i="1"/>
  <c r="FL539" i="1"/>
  <c r="FM539" i="1"/>
  <c r="FN539" i="1"/>
  <c r="FO539" i="1"/>
  <c r="FP539" i="1"/>
  <c r="FQ539" i="1"/>
  <c r="FR539" i="1"/>
  <c r="FS539" i="1"/>
  <c r="FT539" i="1"/>
  <c r="FU539" i="1"/>
  <c r="FV539" i="1"/>
  <c r="FW539" i="1"/>
  <c r="FX539" i="1"/>
  <c r="FY539" i="1"/>
  <c r="FZ539" i="1"/>
  <c r="GA539" i="1"/>
  <c r="GB539" i="1"/>
  <c r="GC539" i="1"/>
  <c r="GD539" i="1"/>
  <c r="GE539" i="1"/>
  <c r="GF539" i="1"/>
  <c r="GG539" i="1"/>
  <c r="GH539" i="1"/>
  <c r="GI539" i="1"/>
  <c r="GJ539" i="1"/>
  <c r="GK539" i="1"/>
  <c r="GL539" i="1"/>
  <c r="GM539" i="1"/>
  <c r="GN539" i="1"/>
  <c r="GO539" i="1"/>
  <c r="GP539" i="1"/>
  <c r="GQ539" i="1"/>
  <c r="GR539" i="1"/>
  <c r="GS539" i="1"/>
  <c r="GT539" i="1"/>
  <c r="GU539" i="1"/>
  <c r="GV539" i="1"/>
  <c r="GW539" i="1"/>
  <c r="GX539" i="1"/>
  <c r="C541" i="1"/>
  <c r="D541" i="1"/>
  <c r="I541" i="1"/>
  <c r="AC541" i="1"/>
  <c r="CQ541" i="1" s="1"/>
  <c r="P541" i="1" s="1"/>
  <c r="J395" i="5" s="1"/>
  <c r="AE541" i="1"/>
  <c r="AF541" i="1"/>
  <c r="AG541" i="1"/>
  <c r="AH541" i="1"/>
  <c r="AI541" i="1"/>
  <c r="CW541" i="1" s="1"/>
  <c r="V541" i="1" s="1"/>
  <c r="AJ541" i="1"/>
  <c r="CX541" i="1" s="1"/>
  <c r="W541" i="1" s="1"/>
  <c r="CR541" i="1"/>
  <c r="Q541" i="1" s="1"/>
  <c r="J393" i="5" s="1"/>
  <c r="CU541" i="1"/>
  <c r="T541" i="1" s="1"/>
  <c r="CV541" i="1"/>
  <c r="U541" i="1" s="1"/>
  <c r="K399" i="5" s="1"/>
  <c r="FR541" i="1"/>
  <c r="GL541" i="1"/>
  <c r="GN541" i="1"/>
  <c r="GO541" i="1"/>
  <c r="GV541" i="1"/>
  <c r="HC541" i="1" s="1"/>
  <c r="GX541" i="1" s="1"/>
  <c r="C542" i="1"/>
  <c r="D542" i="1"/>
  <c r="AC542" i="1"/>
  <c r="CQ542" i="1" s="1"/>
  <c r="P542" i="1" s="1"/>
  <c r="J405" i="5" s="1"/>
  <c r="AE542" i="1"/>
  <c r="AF542" i="1"/>
  <c r="AG542" i="1"/>
  <c r="CU542" i="1" s="1"/>
  <c r="T542" i="1" s="1"/>
  <c r="AH542" i="1"/>
  <c r="CV542" i="1" s="1"/>
  <c r="U542" i="1" s="1"/>
  <c r="K409" i="5" s="1"/>
  <c r="AI542" i="1"/>
  <c r="AJ542" i="1"/>
  <c r="CX542" i="1" s="1"/>
  <c r="W542" i="1" s="1"/>
  <c r="CR542" i="1"/>
  <c r="Q542" i="1" s="1"/>
  <c r="J403" i="5" s="1"/>
  <c r="CS542" i="1"/>
  <c r="CW542" i="1"/>
  <c r="V542" i="1" s="1"/>
  <c r="FR542" i="1"/>
  <c r="GL542" i="1"/>
  <c r="GN542" i="1"/>
  <c r="GO542" i="1"/>
  <c r="GV542" i="1"/>
  <c r="HC542" i="1" s="1"/>
  <c r="GX542" i="1"/>
  <c r="AC543" i="1"/>
  <c r="AE543" i="1"/>
  <c r="AF543" i="1"/>
  <c r="AG543" i="1"/>
  <c r="AH543" i="1"/>
  <c r="AI543" i="1"/>
  <c r="CW543" i="1" s="1"/>
  <c r="V543" i="1" s="1"/>
  <c r="AJ543" i="1"/>
  <c r="CX543" i="1" s="1"/>
  <c r="W543" i="1" s="1"/>
  <c r="CR543" i="1"/>
  <c r="Q543" i="1" s="1"/>
  <c r="CU543" i="1"/>
  <c r="T543" i="1" s="1"/>
  <c r="CV543" i="1"/>
  <c r="U543" i="1" s="1"/>
  <c r="FR543" i="1"/>
  <c r="GL543" i="1"/>
  <c r="GN543" i="1"/>
  <c r="GO543" i="1"/>
  <c r="GV543" i="1"/>
  <c r="HC543" i="1" s="1"/>
  <c r="GX543" i="1" s="1"/>
  <c r="C544" i="1"/>
  <c r="D544" i="1"/>
  <c r="AC544" i="1"/>
  <c r="CQ544" i="1" s="1"/>
  <c r="P544" i="1" s="1"/>
  <c r="AE544" i="1"/>
  <c r="AD544" i="1" s="1"/>
  <c r="AF544" i="1"/>
  <c r="CT544" i="1" s="1"/>
  <c r="S544" i="1" s="1"/>
  <c r="AG544" i="1"/>
  <c r="CU544" i="1" s="1"/>
  <c r="T544" i="1" s="1"/>
  <c r="AH544" i="1"/>
  <c r="CV544" i="1" s="1"/>
  <c r="U544" i="1" s="1"/>
  <c r="AI544" i="1"/>
  <c r="AJ544" i="1"/>
  <c r="CX544" i="1" s="1"/>
  <c r="W544" i="1" s="1"/>
  <c r="CR544" i="1"/>
  <c r="Q544" i="1" s="1"/>
  <c r="CS544" i="1"/>
  <c r="R544" i="1" s="1"/>
  <c r="GK544" i="1" s="1"/>
  <c r="CW544" i="1"/>
  <c r="V544" i="1" s="1"/>
  <c r="FR544" i="1"/>
  <c r="GL544" i="1"/>
  <c r="GN544" i="1"/>
  <c r="GO544" i="1"/>
  <c r="GV544" i="1"/>
  <c r="HC544" i="1" s="1"/>
  <c r="GX544" i="1" s="1"/>
  <c r="AC545" i="1"/>
  <c r="CQ545" i="1" s="1"/>
  <c r="P545" i="1" s="1"/>
  <c r="AE545" i="1"/>
  <c r="AD545" i="1" s="1"/>
  <c r="AF545" i="1"/>
  <c r="CT545" i="1" s="1"/>
  <c r="S545" i="1" s="1"/>
  <c r="AG545" i="1"/>
  <c r="AH545" i="1"/>
  <c r="AI545" i="1"/>
  <c r="CW545" i="1" s="1"/>
  <c r="V545" i="1" s="1"/>
  <c r="AJ545" i="1"/>
  <c r="CX545" i="1" s="1"/>
  <c r="W545" i="1" s="1"/>
  <c r="CR545" i="1"/>
  <c r="Q545" i="1" s="1"/>
  <c r="CU545" i="1"/>
  <c r="T545" i="1" s="1"/>
  <c r="CV545" i="1"/>
  <c r="U545" i="1" s="1"/>
  <c r="FR545" i="1"/>
  <c r="GL545" i="1"/>
  <c r="GO545" i="1"/>
  <c r="GP545" i="1"/>
  <c r="GV545" i="1"/>
  <c r="HC545" i="1" s="1"/>
  <c r="GX545" i="1" s="1"/>
  <c r="AC546" i="1"/>
  <c r="AE546" i="1"/>
  <c r="AF546" i="1"/>
  <c r="AG546" i="1"/>
  <c r="CU546" i="1" s="1"/>
  <c r="T546" i="1" s="1"/>
  <c r="AH546" i="1"/>
  <c r="CV546" i="1" s="1"/>
  <c r="U546" i="1" s="1"/>
  <c r="AI546" i="1"/>
  <c r="CW546" i="1" s="1"/>
  <c r="V546" i="1" s="1"/>
  <c r="AJ546" i="1"/>
  <c r="CQ546" i="1"/>
  <c r="P546" i="1" s="1"/>
  <c r="CT546" i="1"/>
  <c r="S546" i="1" s="1"/>
  <c r="CX546" i="1"/>
  <c r="W546" i="1" s="1"/>
  <c r="FR546" i="1"/>
  <c r="GL546" i="1"/>
  <c r="BZ548" i="1" s="1"/>
  <c r="GO546" i="1"/>
  <c r="GP546" i="1"/>
  <c r="GV546" i="1"/>
  <c r="HC546" i="1" s="1"/>
  <c r="GX546" i="1" s="1"/>
  <c r="B548" i="1"/>
  <c r="B539" i="1" s="1"/>
  <c r="C548" i="1"/>
  <c r="C539" i="1" s="1"/>
  <c r="D548" i="1"/>
  <c r="D539" i="1" s="1"/>
  <c r="F548" i="1"/>
  <c r="F539" i="1" s="1"/>
  <c r="G548" i="1"/>
  <c r="BX548" i="1"/>
  <c r="AO548" i="1" s="1"/>
  <c r="BY548" i="1"/>
  <c r="CK548" i="1"/>
  <c r="BB548" i="1" s="1"/>
  <c r="CL548" i="1"/>
  <c r="CL539" i="1" s="1"/>
  <c r="CM548" i="1"/>
  <c r="BD548" i="1" s="1"/>
  <c r="D578" i="1"/>
  <c r="E580" i="1"/>
  <c r="Z580" i="1"/>
  <c r="AA580" i="1"/>
  <c r="AM580" i="1"/>
  <c r="AN580" i="1"/>
  <c r="BE580" i="1"/>
  <c r="BF580" i="1"/>
  <c r="BG580" i="1"/>
  <c r="BH580" i="1"/>
  <c r="BI580" i="1"/>
  <c r="BJ580" i="1"/>
  <c r="BK580" i="1"/>
  <c r="BL580" i="1"/>
  <c r="BM580" i="1"/>
  <c r="BN580" i="1"/>
  <c r="BO580" i="1"/>
  <c r="BP580" i="1"/>
  <c r="BQ580" i="1"/>
  <c r="BR580" i="1"/>
  <c r="BS580" i="1"/>
  <c r="BT580" i="1"/>
  <c r="BU580" i="1"/>
  <c r="BV580" i="1"/>
  <c r="BW580" i="1"/>
  <c r="CN580" i="1"/>
  <c r="CO580" i="1"/>
  <c r="CP580" i="1"/>
  <c r="CQ580" i="1"/>
  <c r="CR580" i="1"/>
  <c r="CS580" i="1"/>
  <c r="CT580" i="1"/>
  <c r="CU580" i="1"/>
  <c r="CV580" i="1"/>
  <c r="CW580" i="1"/>
  <c r="CX580" i="1"/>
  <c r="CY580" i="1"/>
  <c r="CZ580" i="1"/>
  <c r="DA580" i="1"/>
  <c r="DB580" i="1"/>
  <c r="DC580" i="1"/>
  <c r="DD580" i="1"/>
  <c r="DE580" i="1"/>
  <c r="DF580" i="1"/>
  <c r="DG580" i="1"/>
  <c r="DH580" i="1"/>
  <c r="DI580" i="1"/>
  <c r="DJ580" i="1"/>
  <c r="DK580" i="1"/>
  <c r="DL580" i="1"/>
  <c r="DM580" i="1"/>
  <c r="DN580" i="1"/>
  <c r="DO580" i="1"/>
  <c r="DP580" i="1"/>
  <c r="DQ580" i="1"/>
  <c r="DR580" i="1"/>
  <c r="DS580" i="1"/>
  <c r="DT580" i="1"/>
  <c r="DU580" i="1"/>
  <c r="DV580" i="1"/>
  <c r="DW580" i="1"/>
  <c r="DX580" i="1"/>
  <c r="DY580" i="1"/>
  <c r="DZ580" i="1"/>
  <c r="EA580" i="1"/>
  <c r="EB580" i="1"/>
  <c r="EC580" i="1"/>
  <c r="ED580" i="1"/>
  <c r="EE580" i="1"/>
  <c r="EF580" i="1"/>
  <c r="EG580" i="1"/>
  <c r="EH580" i="1"/>
  <c r="EI580" i="1"/>
  <c r="EJ580" i="1"/>
  <c r="EK580" i="1"/>
  <c r="EL580" i="1"/>
  <c r="EM580" i="1"/>
  <c r="EN580" i="1"/>
  <c r="EO580" i="1"/>
  <c r="EP580" i="1"/>
  <c r="EQ580" i="1"/>
  <c r="ER580" i="1"/>
  <c r="ES580" i="1"/>
  <c r="ET580" i="1"/>
  <c r="EU580" i="1"/>
  <c r="EV580" i="1"/>
  <c r="EW580" i="1"/>
  <c r="EX580" i="1"/>
  <c r="EY580" i="1"/>
  <c r="EZ580" i="1"/>
  <c r="FA580" i="1"/>
  <c r="FB580" i="1"/>
  <c r="FC580" i="1"/>
  <c r="FD580" i="1"/>
  <c r="FE580" i="1"/>
  <c r="FF580" i="1"/>
  <c r="FG580" i="1"/>
  <c r="FH580" i="1"/>
  <c r="FI580" i="1"/>
  <c r="FJ580" i="1"/>
  <c r="FK580" i="1"/>
  <c r="FL580" i="1"/>
  <c r="FM580" i="1"/>
  <c r="FN580" i="1"/>
  <c r="FO580" i="1"/>
  <c r="FP580" i="1"/>
  <c r="FQ580" i="1"/>
  <c r="FR580" i="1"/>
  <c r="FS580" i="1"/>
  <c r="FT580" i="1"/>
  <c r="FU580" i="1"/>
  <c r="FV580" i="1"/>
  <c r="FW580" i="1"/>
  <c r="FX580" i="1"/>
  <c r="FY580" i="1"/>
  <c r="FZ580" i="1"/>
  <c r="GA580" i="1"/>
  <c r="GB580" i="1"/>
  <c r="GC580" i="1"/>
  <c r="GD580" i="1"/>
  <c r="GE580" i="1"/>
  <c r="GF580" i="1"/>
  <c r="GG580" i="1"/>
  <c r="GH580" i="1"/>
  <c r="GI580" i="1"/>
  <c r="GJ580" i="1"/>
  <c r="GK580" i="1"/>
  <c r="GL580" i="1"/>
  <c r="GM580" i="1"/>
  <c r="GN580" i="1"/>
  <c r="GO580" i="1"/>
  <c r="GP580" i="1"/>
  <c r="GQ580" i="1"/>
  <c r="GR580" i="1"/>
  <c r="GS580" i="1"/>
  <c r="GT580" i="1"/>
  <c r="GU580" i="1"/>
  <c r="GV580" i="1"/>
  <c r="GW580" i="1"/>
  <c r="GX580" i="1"/>
  <c r="C582" i="1"/>
  <c r="D582" i="1"/>
  <c r="I582" i="1"/>
  <c r="AC582" i="1"/>
  <c r="AE582" i="1"/>
  <c r="AF582" i="1"/>
  <c r="AG582" i="1"/>
  <c r="CU582" i="1" s="1"/>
  <c r="T582" i="1" s="1"/>
  <c r="AH582" i="1"/>
  <c r="CV582" i="1" s="1"/>
  <c r="U582" i="1" s="1"/>
  <c r="K426" i="5" s="1"/>
  <c r="AI582" i="1"/>
  <c r="CW582" i="1" s="1"/>
  <c r="V582" i="1" s="1"/>
  <c r="AJ582" i="1"/>
  <c r="CT582" i="1"/>
  <c r="S582" i="1" s="1"/>
  <c r="J420" i="5" s="1"/>
  <c r="CX582" i="1"/>
  <c r="W582" i="1" s="1"/>
  <c r="FR582" i="1"/>
  <c r="GL582" i="1"/>
  <c r="GN582" i="1"/>
  <c r="GO582" i="1"/>
  <c r="GV582" i="1"/>
  <c r="HC582" i="1"/>
  <c r="GX582" i="1" s="1"/>
  <c r="C583" i="1"/>
  <c r="D583" i="1"/>
  <c r="I583" i="1"/>
  <c r="AC583" i="1"/>
  <c r="AE583" i="1"/>
  <c r="U428" i="5" s="1"/>
  <c r="AF583" i="1"/>
  <c r="AG583" i="1"/>
  <c r="CU583" i="1" s="1"/>
  <c r="T583" i="1" s="1"/>
  <c r="AH583" i="1"/>
  <c r="CV583" i="1" s="1"/>
  <c r="AI583" i="1"/>
  <c r="CW583" i="1" s="1"/>
  <c r="V583" i="1" s="1"/>
  <c r="AJ583" i="1"/>
  <c r="CR583" i="1"/>
  <c r="Q583" i="1" s="1"/>
  <c r="CT583" i="1"/>
  <c r="S583" i="1" s="1"/>
  <c r="J430" i="5" s="1"/>
  <c r="CX583" i="1"/>
  <c r="W583" i="1" s="1"/>
  <c r="FR583" i="1"/>
  <c r="GL583" i="1"/>
  <c r="GN583" i="1"/>
  <c r="GO583" i="1"/>
  <c r="GV583" i="1"/>
  <c r="HC583" i="1"/>
  <c r="GX583" i="1" s="1"/>
  <c r="C584" i="1"/>
  <c r="D584" i="1"/>
  <c r="I584" i="1"/>
  <c r="AC584" i="1"/>
  <c r="AE584" i="1"/>
  <c r="AF584" i="1"/>
  <c r="AG584" i="1"/>
  <c r="CU584" i="1" s="1"/>
  <c r="T584" i="1" s="1"/>
  <c r="AH584" i="1"/>
  <c r="CV584" i="1" s="1"/>
  <c r="U584" i="1" s="1"/>
  <c r="AI584" i="1"/>
  <c r="CW584" i="1" s="1"/>
  <c r="V584" i="1" s="1"/>
  <c r="AJ584" i="1"/>
  <c r="CT584" i="1"/>
  <c r="S584" i="1" s="1"/>
  <c r="CX584" i="1"/>
  <c r="W584" i="1" s="1"/>
  <c r="FR584" i="1"/>
  <c r="GL584" i="1"/>
  <c r="GN584" i="1"/>
  <c r="GO584" i="1"/>
  <c r="GV584" i="1"/>
  <c r="HC584" i="1"/>
  <c r="GX584" i="1" s="1"/>
  <c r="C585" i="1"/>
  <c r="D585" i="1"/>
  <c r="I585" i="1"/>
  <c r="AC585" i="1"/>
  <c r="AE585" i="1"/>
  <c r="U441" i="5" s="1"/>
  <c r="AF585" i="1"/>
  <c r="AG585" i="1"/>
  <c r="CU585" i="1" s="1"/>
  <c r="T585" i="1" s="1"/>
  <c r="AH585" i="1"/>
  <c r="CV585" i="1" s="1"/>
  <c r="AI585" i="1"/>
  <c r="CW585" i="1" s="1"/>
  <c r="V585" i="1" s="1"/>
  <c r="AJ585" i="1"/>
  <c r="CR585" i="1"/>
  <c r="Q585" i="1" s="1"/>
  <c r="CT585" i="1"/>
  <c r="S585" i="1" s="1"/>
  <c r="J443" i="5" s="1"/>
  <c r="CX585" i="1"/>
  <c r="W585" i="1" s="1"/>
  <c r="FR585" i="1"/>
  <c r="GL585" i="1"/>
  <c r="GN585" i="1"/>
  <c r="GO585" i="1"/>
  <c r="GV585" i="1"/>
  <c r="HC585" i="1"/>
  <c r="GX585" i="1" s="1"/>
  <c r="C586" i="1"/>
  <c r="D586" i="1"/>
  <c r="I586" i="1"/>
  <c r="AC586" i="1"/>
  <c r="AD586" i="1"/>
  <c r="AE586" i="1"/>
  <c r="U448" i="5" s="1"/>
  <c r="AF586" i="1"/>
  <c r="AG586" i="1"/>
  <c r="CU586" i="1" s="1"/>
  <c r="T586" i="1" s="1"/>
  <c r="AH586" i="1"/>
  <c r="CV586" i="1" s="1"/>
  <c r="U586" i="1" s="1"/>
  <c r="AI586" i="1"/>
  <c r="AJ586" i="1"/>
  <c r="CX586" i="1" s="1"/>
  <c r="W586" i="1" s="1"/>
  <c r="CR586" i="1"/>
  <c r="Q586" i="1" s="1"/>
  <c r="J449" i="5" s="1"/>
  <c r="I451" i="5" s="1"/>
  <c r="P451" i="5" s="1"/>
  <c r="CS586" i="1"/>
  <c r="CW586" i="1"/>
  <c r="V586" i="1" s="1"/>
  <c r="FR586" i="1"/>
  <c r="GL586" i="1"/>
  <c r="GN586" i="1"/>
  <c r="GO586" i="1"/>
  <c r="GV586" i="1"/>
  <c r="HC586" i="1" s="1"/>
  <c r="GX586" i="1" s="1"/>
  <c r="C587" i="1"/>
  <c r="D587" i="1"/>
  <c r="AC587" i="1"/>
  <c r="AE587" i="1"/>
  <c r="AF587" i="1"/>
  <c r="AG587" i="1"/>
  <c r="CU587" i="1" s="1"/>
  <c r="AH587" i="1"/>
  <c r="CV587" i="1" s="1"/>
  <c r="AI587" i="1"/>
  <c r="CW587" i="1" s="1"/>
  <c r="AJ587" i="1"/>
  <c r="CQ587" i="1"/>
  <c r="CT587" i="1"/>
  <c r="CX587" i="1"/>
  <c r="FR587" i="1"/>
  <c r="GL587" i="1"/>
  <c r="GN587" i="1"/>
  <c r="GO587" i="1"/>
  <c r="GV587" i="1"/>
  <c r="HC587" i="1" s="1"/>
  <c r="C588" i="1"/>
  <c r="D588" i="1"/>
  <c r="AC588" i="1"/>
  <c r="CQ588" i="1" s="1"/>
  <c r="AE588" i="1"/>
  <c r="AF588" i="1"/>
  <c r="AG588" i="1"/>
  <c r="AH588" i="1"/>
  <c r="CV588" i="1" s="1"/>
  <c r="AI588" i="1"/>
  <c r="CW588" i="1" s="1"/>
  <c r="AJ588" i="1"/>
  <c r="CX588" i="1" s="1"/>
  <c r="CU588" i="1"/>
  <c r="FR588" i="1"/>
  <c r="GL588" i="1"/>
  <c r="GN588" i="1"/>
  <c r="GO588" i="1"/>
  <c r="GV588" i="1"/>
  <c r="HC588" i="1" s="1"/>
  <c r="AC589" i="1"/>
  <c r="AD589" i="1"/>
  <c r="AE589" i="1"/>
  <c r="AF589" i="1"/>
  <c r="AG589" i="1"/>
  <c r="AH589" i="1"/>
  <c r="CV589" i="1" s="1"/>
  <c r="AI589" i="1"/>
  <c r="CW589" i="1" s="1"/>
  <c r="AJ589" i="1"/>
  <c r="CX589" i="1" s="1"/>
  <c r="CQ589" i="1"/>
  <c r="CR589" i="1"/>
  <c r="CU589" i="1"/>
  <c r="FR589" i="1"/>
  <c r="GL589" i="1"/>
  <c r="GN589" i="1"/>
  <c r="GO589" i="1"/>
  <c r="GV589" i="1"/>
  <c r="HC589" i="1" s="1"/>
  <c r="AC590" i="1"/>
  <c r="CQ590" i="1" s="1"/>
  <c r="P590" i="1" s="1"/>
  <c r="AE590" i="1"/>
  <c r="AD590" i="1" s="1"/>
  <c r="AF590" i="1"/>
  <c r="AG590" i="1"/>
  <c r="CU590" i="1" s="1"/>
  <c r="T590" i="1" s="1"/>
  <c r="AH590" i="1"/>
  <c r="CV590" i="1" s="1"/>
  <c r="U590" i="1" s="1"/>
  <c r="AI590" i="1"/>
  <c r="AJ590" i="1"/>
  <c r="CX590" i="1" s="1"/>
  <c r="W590" i="1" s="1"/>
  <c r="CS590" i="1"/>
  <c r="R590" i="1" s="1"/>
  <c r="CT590" i="1"/>
  <c r="S590" i="1" s="1"/>
  <c r="CW590" i="1"/>
  <c r="V590" i="1" s="1"/>
  <c r="FR590" i="1"/>
  <c r="GL590" i="1"/>
  <c r="GN590" i="1"/>
  <c r="GO590" i="1"/>
  <c r="GV590" i="1"/>
  <c r="HC590" i="1" s="1"/>
  <c r="GX590" i="1" s="1"/>
  <c r="AC591" i="1"/>
  <c r="CQ591" i="1" s="1"/>
  <c r="P591" i="1" s="1"/>
  <c r="AE591" i="1"/>
  <c r="AF591" i="1"/>
  <c r="AG591" i="1"/>
  <c r="CU591" i="1" s="1"/>
  <c r="T591" i="1" s="1"/>
  <c r="AH591" i="1"/>
  <c r="CV591" i="1" s="1"/>
  <c r="U591" i="1" s="1"/>
  <c r="AI591" i="1"/>
  <c r="CW591" i="1" s="1"/>
  <c r="V591" i="1" s="1"/>
  <c r="AJ591" i="1"/>
  <c r="CT591" i="1"/>
  <c r="S591" i="1" s="1"/>
  <c r="CX591" i="1"/>
  <c r="W591" i="1" s="1"/>
  <c r="FR591" i="1"/>
  <c r="GL591" i="1"/>
  <c r="GN591" i="1"/>
  <c r="GO591" i="1"/>
  <c r="GV591" i="1"/>
  <c r="HC591" i="1" s="1"/>
  <c r="GX591" i="1"/>
  <c r="I592" i="1"/>
  <c r="AC592" i="1"/>
  <c r="AE592" i="1"/>
  <c r="AF592" i="1"/>
  <c r="CT592" i="1" s="1"/>
  <c r="AG592" i="1"/>
  <c r="CU592" i="1" s="1"/>
  <c r="T592" i="1" s="1"/>
  <c r="AH592" i="1"/>
  <c r="AI592" i="1"/>
  <c r="CW592" i="1" s="1"/>
  <c r="V592" i="1" s="1"/>
  <c r="AJ592" i="1"/>
  <c r="CX592" i="1" s="1"/>
  <c r="CQ592" i="1"/>
  <c r="P592" i="1" s="1"/>
  <c r="CV592" i="1"/>
  <c r="U592" i="1" s="1"/>
  <c r="FR592" i="1"/>
  <c r="GL592" i="1"/>
  <c r="GN592" i="1"/>
  <c r="GO592" i="1"/>
  <c r="GV592" i="1"/>
  <c r="HC592" i="1" s="1"/>
  <c r="C593" i="1"/>
  <c r="D593" i="1"/>
  <c r="I593" i="1"/>
  <c r="AC593" i="1"/>
  <c r="CQ593" i="1" s="1"/>
  <c r="AE593" i="1"/>
  <c r="AF593" i="1"/>
  <c r="AG593" i="1"/>
  <c r="CU593" i="1" s="1"/>
  <c r="T593" i="1" s="1"/>
  <c r="AH593" i="1"/>
  <c r="AI593" i="1"/>
  <c r="AJ593" i="1"/>
  <c r="CX593" i="1" s="1"/>
  <c r="W593" i="1" s="1"/>
  <c r="CR593" i="1"/>
  <c r="Q593" i="1" s="1"/>
  <c r="J466" i="5" s="1"/>
  <c r="CT593" i="1"/>
  <c r="CV593" i="1"/>
  <c r="CW593" i="1"/>
  <c r="V593" i="1" s="1"/>
  <c r="FR593" i="1"/>
  <c r="GL593" i="1"/>
  <c r="GN593" i="1"/>
  <c r="GO593" i="1"/>
  <c r="GV593" i="1"/>
  <c r="HC593" i="1" s="1"/>
  <c r="C594" i="1"/>
  <c r="D594" i="1"/>
  <c r="S594" i="1"/>
  <c r="CZ594" i="1" s="1"/>
  <c r="Y594" i="1" s="1"/>
  <c r="AC594" i="1"/>
  <c r="AE594" i="1"/>
  <c r="AD594" i="1" s="1"/>
  <c r="AF594" i="1"/>
  <c r="AG594" i="1"/>
  <c r="CU594" i="1" s="1"/>
  <c r="T594" i="1" s="1"/>
  <c r="AH594" i="1"/>
  <c r="CV594" i="1" s="1"/>
  <c r="U594" i="1" s="1"/>
  <c r="AI594" i="1"/>
  <c r="CW594" i="1" s="1"/>
  <c r="V594" i="1" s="1"/>
  <c r="AJ594" i="1"/>
  <c r="CQ594" i="1"/>
  <c r="P594" i="1" s="1"/>
  <c r="CS594" i="1"/>
  <c r="R594" i="1" s="1"/>
  <c r="GK594" i="1" s="1"/>
  <c r="CT594" i="1"/>
  <c r="CX594" i="1"/>
  <c r="W594" i="1" s="1"/>
  <c r="FR594" i="1"/>
  <c r="GL594" i="1"/>
  <c r="GN594" i="1"/>
  <c r="GO594" i="1"/>
  <c r="GV594" i="1"/>
  <c r="HC594" i="1"/>
  <c r="GX594" i="1" s="1"/>
  <c r="B596" i="1"/>
  <c r="B580" i="1" s="1"/>
  <c r="C596" i="1"/>
  <c r="C580" i="1" s="1"/>
  <c r="D596" i="1"/>
  <c r="D580" i="1" s="1"/>
  <c r="F596" i="1"/>
  <c r="F580" i="1" s="1"/>
  <c r="G596" i="1"/>
  <c r="BX596" i="1"/>
  <c r="CK596" i="1"/>
  <c r="CL596" i="1"/>
  <c r="CL580" i="1" s="1"/>
  <c r="CM596" i="1"/>
  <c r="CM580" i="1" s="1"/>
  <c r="B626" i="1"/>
  <c r="B451" i="1" s="1"/>
  <c r="C626" i="1"/>
  <c r="C451" i="1" s="1"/>
  <c r="D626" i="1"/>
  <c r="D451" i="1" s="1"/>
  <c r="F626" i="1"/>
  <c r="F451" i="1" s="1"/>
  <c r="G626" i="1"/>
  <c r="D658" i="1"/>
  <c r="E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BE660" i="1"/>
  <c r="BF660" i="1"/>
  <c r="BG660" i="1"/>
  <c r="BH660" i="1"/>
  <c r="BI660" i="1"/>
  <c r="BJ660" i="1"/>
  <c r="BK660" i="1"/>
  <c r="BL660" i="1"/>
  <c r="BM660" i="1"/>
  <c r="BN660" i="1"/>
  <c r="BO660" i="1"/>
  <c r="BP660" i="1"/>
  <c r="BQ660" i="1"/>
  <c r="BR660" i="1"/>
  <c r="BS660" i="1"/>
  <c r="BT660" i="1"/>
  <c r="BU660" i="1"/>
  <c r="BV660" i="1"/>
  <c r="BW660" i="1"/>
  <c r="BX660" i="1"/>
  <c r="BY660" i="1"/>
  <c r="BZ660" i="1"/>
  <c r="CA660" i="1"/>
  <c r="CB660" i="1"/>
  <c r="CC660" i="1"/>
  <c r="CD660" i="1"/>
  <c r="CE660" i="1"/>
  <c r="CF660" i="1"/>
  <c r="CG660" i="1"/>
  <c r="CH660" i="1"/>
  <c r="CI660" i="1"/>
  <c r="CJ660" i="1"/>
  <c r="CK660" i="1"/>
  <c r="CL660" i="1"/>
  <c r="CM660" i="1"/>
  <c r="CN660" i="1"/>
  <c r="CO660" i="1"/>
  <c r="CP660" i="1"/>
  <c r="CQ660" i="1"/>
  <c r="CR660" i="1"/>
  <c r="CS660" i="1"/>
  <c r="CT660" i="1"/>
  <c r="CU660" i="1"/>
  <c r="CV660" i="1"/>
  <c r="CW660" i="1"/>
  <c r="CX660" i="1"/>
  <c r="CY660" i="1"/>
  <c r="CZ660" i="1"/>
  <c r="DA660" i="1"/>
  <c r="DB660" i="1"/>
  <c r="DC660" i="1"/>
  <c r="DD660" i="1"/>
  <c r="DE660" i="1"/>
  <c r="DF660" i="1"/>
  <c r="DG660" i="1"/>
  <c r="DH660" i="1"/>
  <c r="DI660" i="1"/>
  <c r="DJ660" i="1"/>
  <c r="DK660" i="1"/>
  <c r="DL660" i="1"/>
  <c r="DM660" i="1"/>
  <c r="DN660" i="1"/>
  <c r="DO660" i="1"/>
  <c r="DP660" i="1"/>
  <c r="DQ660" i="1"/>
  <c r="DR660" i="1"/>
  <c r="DS660" i="1"/>
  <c r="DT660" i="1"/>
  <c r="DU660" i="1"/>
  <c r="DV660" i="1"/>
  <c r="DW660" i="1"/>
  <c r="DX660" i="1"/>
  <c r="DY660" i="1"/>
  <c r="DZ660" i="1"/>
  <c r="EA660" i="1"/>
  <c r="EB660" i="1"/>
  <c r="EC660" i="1"/>
  <c r="ED660" i="1"/>
  <c r="EE660" i="1"/>
  <c r="EF660" i="1"/>
  <c r="EG660" i="1"/>
  <c r="EH660" i="1"/>
  <c r="EI660" i="1"/>
  <c r="EJ660" i="1"/>
  <c r="EK660" i="1"/>
  <c r="EL660" i="1"/>
  <c r="EM660" i="1"/>
  <c r="EN660" i="1"/>
  <c r="EO660" i="1"/>
  <c r="EP660" i="1"/>
  <c r="EQ660" i="1"/>
  <c r="ER660" i="1"/>
  <c r="ES660" i="1"/>
  <c r="ET660" i="1"/>
  <c r="EU660" i="1"/>
  <c r="EV660" i="1"/>
  <c r="EW660" i="1"/>
  <c r="EX660" i="1"/>
  <c r="EY660" i="1"/>
  <c r="EZ660" i="1"/>
  <c r="FA660" i="1"/>
  <c r="FB660" i="1"/>
  <c r="FC660" i="1"/>
  <c r="FD660" i="1"/>
  <c r="FE660" i="1"/>
  <c r="FF660" i="1"/>
  <c r="FG660" i="1"/>
  <c r="FH660" i="1"/>
  <c r="FI660" i="1"/>
  <c r="FJ660" i="1"/>
  <c r="FK660" i="1"/>
  <c r="FL660" i="1"/>
  <c r="FM660" i="1"/>
  <c r="FN660" i="1"/>
  <c r="FO660" i="1"/>
  <c r="FP660" i="1"/>
  <c r="FQ660" i="1"/>
  <c r="FR660" i="1"/>
  <c r="FS660" i="1"/>
  <c r="FT660" i="1"/>
  <c r="FU660" i="1"/>
  <c r="FV660" i="1"/>
  <c r="FW660" i="1"/>
  <c r="FX660" i="1"/>
  <c r="FY660" i="1"/>
  <c r="FZ660" i="1"/>
  <c r="GA660" i="1"/>
  <c r="GB660" i="1"/>
  <c r="GC660" i="1"/>
  <c r="GD660" i="1"/>
  <c r="GE660" i="1"/>
  <c r="GF660" i="1"/>
  <c r="GG660" i="1"/>
  <c r="GH660" i="1"/>
  <c r="GI660" i="1"/>
  <c r="GJ660" i="1"/>
  <c r="GK660" i="1"/>
  <c r="GL660" i="1"/>
  <c r="GM660" i="1"/>
  <c r="GN660" i="1"/>
  <c r="GO660" i="1"/>
  <c r="GP660" i="1"/>
  <c r="GQ660" i="1"/>
  <c r="GR660" i="1"/>
  <c r="GS660" i="1"/>
  <c r="GT660" i="1"/>
  <c r="GU660" i="1"/>
  <c r="GV660" i="1"/>
  <c r="GW660" i="1"/>
  <c r="GX660" i="1"/>
  <c r="D662" i="1"/>
  <c r="D664" i="1"/>
  <c r="E664" i="1"/>
  <c r="G664" i="1"/>
  <c r="A181" i="7" s="1"/>
  <c r="V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Q664" i="1"/>
  <c r="AU664" i="1"/>
  <c r="AY664" i="1"/>
  <c r="BC664" i="1"/>
  <c r="BE664" i="1"/>
  <c r="BF664" i="1"/>
  <c r="BG664" i="1"/>
  <c r="BH664" i="1"/>
  <c r="BI664" i="1"/>
  <c r="BJ664" i="1"/>
  <c r="BK664" i="1"/>
  <c r="BL664" i="1"/>
  <c r="BM664" i="1"/>
  <c r="BN664" i="1"/>
  <c r="BO664" i="1"/>
  <c r="BP664" i="1"/>
  <c r="BQ664" i="1"/>
  <c r="BR664" i="1"/>
  <c r="BS664" i="1"/>
  <c r="BT664" i="1"/>
  <c r="BU664" i="1"/>
  <c r="BV664" i="1"/>
  <c r="BW664" i="1"/>
  <c r="BX664" i="1"/>
  <c r="BY664" i="1"/>
  <c r="BZ664" i="1"/>
  <c r="CA664" i="1"/>
  <c r="CB664" i="1"/>
  <c r="CC664" i="1"/>
  <c r="CD664" i="1"/>
  <c r="CE664" i="1"/>
  <c r="CF664" i="1"/>
  <c r="CG664" i="1"/>
  <c r="CH664" i="1"/>
  <c r="CI664" i="1"/>
  <c r="CJ664" i="1"/>
  <c r="CK664" i="1"/>
  <c r="CL664" i="1"/>
  <c r="CM664" i="1"/>
  <c r="CN664" i="1"/>
  <c r="CO664" i="1"/>
  <c r="CP664" i="1"/>
  <c r="CQ664" i="1"/>
  <c r="CR664" i="1"/>
  <c r="CS664" i="1"/>
  <c r="CT664" i="1"/>
  <c r="CU664" i="1"/>
  <c r="CV664" i="1"/>
  <c r="CW664" i="1"/>
  <c r="CX664" i="1"/>
  <c r="CY664" i="1"/>
  <c r="CZ664" i="1"/>
  <c r="DA664" i="1"/>
  <c r="DB664" i="1"/>
  <c r="DC664" i="1"/>
  <c r="DD664" i="1"/>
  <c r="DE664" i="1"/>
  <c r="DF664" i="1"/>
  <c r="DG664" i="1"/>
  <c r="DH664" i="1"/>
  <c r="DI664" i="1"/>
  <c r="DJ664" i="1"/>
  <c r="DK664" i="1"/>
  <c r="DL664" i="1"/>
  <c r="DM664" i="1"/>
  <c r="DN664" i="1"/>
  <c r="DO664" i="1"/>
  <c r="DP664" i="1"/>
  <c r="DQ664" i="1"/>
  <c r="DR664" i="1"/>
  <c r="DS664" i="1"/>
  <c r="DT664" i="1"/>
  <c r="DU664" i="1"/>
  <c r="DV664" i="1"/>
  <c r="DW664" i="1"/>
  <c r="DX664" i="1"/>
  <c r="DY664" i="1"/>
  <c r="DZ664" i="1"/>
  <c r="EA664" i="1"/>
  <c r="EB664" i="1"/>
  <c r="EC664" i="1"/>
  <c r="ED664" i="1"/>
  <c r="EE664" i="1"/>
  <c r="EF664" i="1"/>
  <c r="EG664" i="1"/>
  <c r="EH664" i="1"/>
  <c r="EI664" i="1"/>
  <c r="EJ664" i="1"/>
  <c r="EK664" i="1"/>
  <c r="EL664" i="1"/>
  <c r="EM664" i="1"/>
  <c r="EN664" i="1"/>
  <c r="EO664" i="1"/>
  <c r="EP664" i="1"/>
  <c r="EQ664" i="1"/>
  <c r="ER664" i="1"/>
  <c r="ES664" i="1"/>
  <c r="ET664" i="1"/>
  <c r="EU664" i="1"/>
  <c r="EV664" i="1"/>
  <c r="EW664" i="1"/>
  <c r="EX664" i="1"/>
  <c r="EY664" i="1"/>
  <c r="EZ664" i="1"/>
  <c r="FA664" i="1"/>
  <c r="FB664" i="1"/>
  <c r="FC664" i="1"/>
  <c r="FD664" i="1"/>
  <c r="FE664" i="1"/>
  <c r="FF664" i="1"/>
  <c r="FG664" i="1"/>
  <c r="FH664" i="1"/>
  <c r="FI664" i="1"/>
  <c r="FJ664" i="1"/>
  <c r="FK664" i="1"/>
  <c r="FL664" i="1"/>
  <c r="FM664" i="1"/>
  <c r="FN664" i="1"/>
  <c r="FO664" i="1"/>
  <c r="FP664" i="1"/>
  <c r="FQ664" i="1"/>
  <c r="FR664" i="1"/>
  <c r="FS664" i="1"/>
  <c r="FT664" i="1"/>
  <c r="FU664" i="1"/>
  <c r="FV664" i="1"/>
  <c r="FW664" i="1"/>
  <c r="FX664" i="1"/>
  <c r="FY664" i="1"/>
  <c r="FZ664" i="1"/>
  <c r="GA664" i="1"/>
  <c r="GB664" i="1"/>
  <c r="GC664" i="1"/>
  <c r="GD664" i="1"/>
  <c r="GE664" i="1"/>
  <c r="GF664" i="1"/>
  <c r="GG664" i="1"/>
  <c r="GH664" i="1"/>
  <c r="GI664" i="1"/>
  <c r="GJ664" i="1"/>
  <c r="GK664" i="1"/>
  <c r="GL664" i="1"/>
  <c r="GM664" i="1"/>
  <c r="GN664" i="1"/>
  <c r="GO664" i="1"/>
  <c r="GP664" i="1"/>
  <c r="GQ664" i="1"/>
  <c r="GR664" i="1"/>
  <c r="GS664" i="1"/>
  <c r="GT664" i="1"/>
  <c r="GU664" i="1"/>
  <c r="GV664" i="1"/>
  <c r="GW664" i="1"/>
  <c r="GX664" i="1"/>
  <c r="B666" i="1"/>
  <c r="B664" i="1" s="1"/>
  <c r="C666" i="1"/>
  <c r="C664" i="1" s="1"/>
  <c r="D666" i="1"/>
  <c r="F666" i="1"/>
  <c r="F664" i="1" s="1"/>
  <c r="G666" i="1"/>
  <c r="A487" i="5" s="1"/>
  <c r="O666" i="1"/>
  <c r="P666" i="1"/>
  <c r="P664" i="1" s="1"/>
  <c r="Q666" i="1"/>
  <c r="R666" i="1"/>
  <c r="R664" i="1" s="1"/>
  <c r="S666" i="1"/>
  <c r="T666" i="1"/>
  <c r="T664" i="1" s="1"/>
  <c r="U666" i="1"/>
  <c r="V666" i="1"/>
  <c r="F689" i="1" s="1"/>
  <c r="W666" i="1"/>
  <c r="W664" i="1" s="1"/>
  <c r="X666" i="1"/>
  <c r="X664" i="1" s="1"/>
  <c r="Y666" i="1"/>
  <c r="AO666" i="1"/>
  <c r="AO664" i="1" s="1"/>
  <c r="AP666" i="1"/>
  <c r="AQ666" i="1"/>
  <c r="AR666" i="1"/>
  <c r="AS666" i="1"/>
  <c r="AS664" i="1" s="1"/>
  <c r="AT666" i="1"/>
  <c r="AU666" i="1"/>
  <c r="F685" i="1" s="1"/>
  <c r="AV666" i="1"/>
  <c r="AW666" i="1"/>
  <c r="AW664" i="1" s="1"/>
  <c r="AX666" i="1"/>
  <c r="AY666" i="1"/>
  <c r="AZ666" i="1"/>
  <c r="BA666" i="1"/>
  <c r="BA664" i="1" s="1"/>
  <c r="BB666" i="1"/>
  <c r="BC666" i="1"/>
  <c r="BD666" i="1"/>
  <c r="F691" i="1" s="1"/>
  <c r="F672" i="1"/>
  <c r="F674" i="1"/>
  <c r="F676" i="1"/>
  <c r="F680" i="1"/>
  <c r="F682" i="1"/>
  <c r="F687" i="1"/>
  <c r="F690" i="1"/>
  <c r="F692" i="1"/>
  <c r="D696" i="1"/>
  <c r="B698" i="1"/>
  <c r="E698" i="1"/>
  <c r="F698" i="1"/>
  <c r="Q698" i="1"/>
  <c r="U698" i="1"/>
  <c r="Y698" i="1"/>
  <c r="Z698" i="1"/>
  <c r="AA698" i="1"/>
  <c r="AB698" i="1"/>
  <c r="AC698" i="1"/>
  <c r="AD698" i="1"/>
  <c r="AE698" i="1"/>
  <c r="AF698" i="1"/>
  <c r="AG698" i="1"/>
  <c r="AH698" i="1"/>
  <c r="AI698" i="1"/>
  <c r="AJ698" i="1"/>
  <c r="AK698" i="1"/>
  <c r="AL698" i="1"/>
  <c r="AM698" i="1"/>
  <c r="AN698" i="1"/>
  <c r="AO698" i="1"/>
  <c r="AV698" i="1"/>
  <c r="AW698" i="1"/>
  <c r="BD698" i="1"/>
  <c r="BE698" i="1"/>
  <c r="BF698" i="1"/>
  <c r="BG698" i="1"/>
  <c r="BH698" i="1"/>
  <c r="BI698" i="1"/>
  <c r="BJ698" i="1"/>
  <c r="BK698" i="1"/>
  <c r="BL698" i="1"/>
  <c r="BM698" i="1"/>
  <c r="BN698" i="1"/>
  <c r="BO698" i="1"/>
  <c r="BP698" i="1"/>
  <c r="BQ698" i="1"/>
  <c r="BR698" i="1"/>
  <c r="BS698" i="1"/>
  <c r="BT698" i="1"/>
  <c r="BU698" i="1"/>
  <c r="BV698" i="1"/>
  <c r="BW698" i="1"/>
  <c r="BX698" i="1"/>
  <c r="BY698" i="1"/>
  <c r="BZ698" i="1"/>
  <c r="CA698" i="1"/>
  <c r="CB698" i="1"/>
  <c r="CC698" i="1"/>
  <c r="CD698" i="1"/>
  <c r="CE698" i="1"/>
  <c r="CF698" i="1"/>
  <c r="CG698" i="1"/>
  <c r="CH698" i="1"/>
  <c r="CI698" i="1"/>
  <c r="CJ698" i="1"/>
  <c r="CK698" i="1"/>
  <c r="CL698" i="1"/>
  <c r="CM698" i="1"/>
  <c r="CN698" i="1"/>
  <c r="CO698" i="1"/>
  <c r="CP698" i="1"/>
  <c r="CQ698" i="1"/>
  <c r="CR698" i="1"/>
  <c r="CS698" i="1"/>
  <c r="CT698" i="1"/>
  <c r="CU698" i="1"/>
  <c r="CV698" i="1"/>
  <c r="CW698" i="1"/>
  <c r="CX698" i="1"/>
  <c r="CY698" i="1"/>
  <c r="CZ698" i="1"/>
  <c r="DA698" i="1"/>
  <c r="DB698" i="1"/>
  <c r="DC698" i="1"/>
  <c r="DD698" i="1"/>
  <c r="DE698" i="1"/>
  <c r="DF698" i="1"/>
  <c r="DG698" i="1"/>
  <c r="DH698" i="1"/>
  <c r="DI698" i="1"/>
  <c r="DJ698" i="1"/>
  <c r="DK698" i="1"/>
  <c r="DL698" i="1"/>
  <c r="DM698" i="1"/>
  <c r="DN698" i="1"/>
  <c r="DO698" i="1"/>
  <c r="DP698" i="1"/>
  <c r="DQ698" i="1"/>
  <c r="DR698" i="1"/>
  <c r="DS698" i="1"/>
  <c r="DT698" i="1"/>
  <c r="DU698" i="1"/>
  <c r="DV698" i="1"/>
  <c r="DW698" i="1"/>
  <c r="DX698" i="1"/>
  <c r="DY698" i="1"/>
  <c r="DZ698" i="1"/>
  <c r="EA698" i="1"/>
  <c r="EB698" i="1"/>
  <c r="EC698" i="1"/>
  <c r="ED698" i="1"/>
  <c r="EE698" i="1"/>
  <c r="EF698" i="1"/>
  <c r="EG698" i="1"/>
  <c r="EH698" i="1"/>
  <c r="EI698" i="1"/>
  <c r="EJ698" i="1"/>
  <c r="EK698" i="1"/>
  <c r="EL698" i="1"/>
  <c r="EM698" i="1"/>
  <c r="EN698" i="1"/>
  <c r="EO698" i="1"/>
  <c r="EP698" i="1"/>
  <c r="EQ698" i="1"/>
  <c r="ER698" i="1"/>
  <c r="ES698" i="1"/>
  <c r="ET698" i="1"/>
  <c r="EU698" i="1"/>
  <c r="EV698" i="1"/>
  <c r="EW698" i="1"/>
  <c r="EX698" i="1"/>
  <c r="EY698" i="1"/>
  <c r="EZ698" i="1"/>
  <c r="FA698" i="1"/>
  <c r="FB698" i="1"/>
  <c r="FC698" i="1"/>
  <c r="FD698" i="1"/>
  <c r="FE698" i="1"/>
  <c r="FF698" i="1"/>
  <c r="FG698" i="1"/>
  <c r="FH698" i="1"/>
  <c r="FI698" i="1"/>
  <c r="FJ698" i="1"/>
  <c r="FK698" i="1"/>
  <c r="FL698" i="1"/>
  <c r="FM698" i="1"/>
  <c r="FN698" i="1"/>
  <c r="FO698" i="1"/>
  <c r="FP698" i="1"/>
  <c r="FQ698" i="1"/>
  <c r="FR698" i="1"/>
  <c r="FS698" i="1"/>
  <c r="FT698" i="1"/>
  <c r="FU698" i="1"/>
  <c r="FV698" i="1"/>
  <c r="FW698" i="1"/>
  <c r="FX698" i="1"/>
  <c r="FY698" i="1"/>
  <c r="FZ698" i="1"/>
  <c r="GA698" i="1"/>
  <c r="GB698" i="1"/>
  <c r="GC698" i="1"/>
  <c r="GD698" i="1"/>
  <c r="GE698" i="1"/>
  <c r="GF698" i="1"/>
  <c r="GG698" i="1"/>
  <c r="GH698" i="1"/>
  <c r="GI698" i="1"/>
  <c r="GJ698" i="1"/>
  <c r="GK698" i="1"/>
  <c r="GL698" i="1"/>
  <c r="GM698" i="1"/>
  <c r="GN698" i="1"/>
  <c r="GO698" i="1"/>
  <c r="GP698" i="1"/>
  <c r="GQ698" i="1"/>
  <c r="GR698" i="1"/>
  <c r="GS698" i="1"/>
  <c r="GT698" i="1"/>
  <c r="GU698" i="1"/>
  <c r="GV698" i="1"/>
  <c r="GW698" i="1"/>
  <c r="GX698" i="1"/>
  <c r="B700" i="1"/>
  <c r="C700" i="1"/>
  <c r="C698" i="1" s="1"/>
  <c r="D700" i="1"/>
  <c r="D698" i="1" s="1"/>
  <c r="F700" i="1"/>
  <c r="G700" i="1"/>
  <c r="O700" i="1"/>
  <c r="P700" i="1"/>
  <c r="Q700" i="1"/>
  <c r="R700" i="1"/>
  <c r="R698" i="1" s="1"/>
  <c r="S700" i="1"/>
  <c r="S698" i="1" s="1"/>
  <c r="T700" i="1"/>
  <c r="U700" i="1"/>
  <c r="V700" i="1"/>
  <c r="V698" i="1" s="1"/>
  <c r="W700" i="1"/>
  <c r="X700" i="1"/>
  <c r="Y700" i="1"/>
  <c r="AO700" i="1"/>
  <c r="F704" i="1" s="1"/>
  <c r="AP700" i="1"/>
  <c r="AQ700" i="1"/>
  <c r="AQ698" i="1" s="1"/>
  <c r="AR700" i="1"/>
  <c r="AR698" i="1" s="1"/>
  <c r="AS700" i="1"/>
  <c r="F717" i="1" s="1"/>
  <c r="AT700" i="1"/>
  <c r="AU700" i="1"/>
  <c r="AV700" i="1"/>
  <c r="AW700" i="1"/>
  <c r="F706" i="1" s="1"/>
  <c r="AX700" i="1"/>
  <c r="AX698" i="1" s="1"/>
  <c r="AY700" i="1"/>
  <c r="AZ700" i="1"/>
  <c r="AZ698" i="1" s="1"/>
  <c r="BA700" i="1"/>
  <c r="BA698" i="1" s="1"/>
  <c r="BB700" i="1"/>
  <c r="BC700" i="1"/>
  <c r="BC698" i="1" s="1"/>
  <c r="BD700" i="1"/>
  <c r="F705" i="1"/>
  <c r="F707" i="1"/>
  <c r="F711" i="1"/>
  <c r="F712" i="1"/>
  <c r="F714" i="1"/>
  <c r="F715" i="1"/>
  <c r="F716" i="1"/>
  <c r="F720" i="1"/>
  <c r="F722" i="1"/>
  <c r="F723" i="1"/>
  <c r="F725" i="1"/>
  <c r="F727" i="1"/>
  <c r="F728" i="1"/>
  <c r="D730" i="1"/>
  <c r="D732" i="1"/>
  <c r="E732" i="1"/>
  <c r="G732" i="1"/>
  <c r="A183" i="7" s="1"/>
  <c r="Z732" i="1"/>
  <c r="AA732" i="1"/>
  <c r="AB732" i="1"/>
  <c r="AC732" i="1"/>
  <c r="AD732" i="1"/>
  <c r="AE732" i="1"/>
  <c r="AF732" i="1"/>
  <c r="AG732" i="1"/>
  <c r="AH732" i="1"/>
  <c r="AI732" i="1"/>
  <c r="AJ732" i="1"/>
  <c r="AK732" i="1"/>
  <c r="AL732" i="1"/>
  <c r="AM732" i="1"/>
  <c r="AN732" i="1"/>
  <c r="AQ732" i="1"/>
  <c r="AU732" i="1"/>
  <c r="AY732" i="1"/>
  <c r="BC732" i="1"/>
  <c r="BE732" i="1"/>
  <c r="BF732" i="1"/>
  <c r="BG732" i="1"/>
  <c r="BH732" i="1"/>
  <c r="BI732" i="1"/>
  <c r="BJ732" i="1"/>
  <c r="BK732" i="1"/>
  <c r="BL732" i="1"/>
  <c r="BM732" i="1"/>
  <c r="BN732" i="1"/>
  <c r="BO732" i="1"/>
  <c r="BP732" i="1"/>
  <c r="BQ732" i="1"/>
  <c r="BR732" i="1"/>
  <c r="BS732" i="1"/>
  <c r="BT732" i="1"/>
  <c r="BU732" i="1"/>
  <c r="BV732" i="1"/>
  <c r="BW732" i="1"/>
  <c r="BX732" i="1"/>
  <c r="BY732" i="1"/>
  <c r="BZ732" i="1"/>
  <c r="CA732" i="1"/>
  <c r="CB732" i="1"/>
  <c r="CC732" i="1"/>
  <c r="CD732" i="1"/>
  <c r="CE732" i="1"/>
  <c r="CF732" i="1"/>
  <c r="CG732" i="1"/>
  <c r="CH732" i="1"/>
  <c r="CI732" i="1"/>
  <c r="CJ732" i="1"/>
  <c r="CK732" i="1"/>
  <c r="CL732" i="1"/>
  <c r="CM732" i="1"/>
  <c r="CN732" i="1"/>
  <c r="CO732" i="1"/>
  <c r="CP732" i="1"/>
  <c r="CQ732" i="1"/>
  <c r="CR732" i="1"/>
  <c r="CS732" i="1"/>
  <c r="CT732" i="1"/>
  <c r="CU732" i="1"/>
  <c r="CV732" i="1"/>
  <c r="CW732" i="1"/>
  <c r="CX732" i="1"/>
  <c r="CY732" i="1"/>
  <c r="CZ732" i="1"/>
  <c r="DA732" i="1"/>
  <c r="DB732" i="1"/>
  <c r="DC732" i="1"/>
  <c r="DD732" i="1"/>
  <c r="DE732" i="1"/>
  <c r="DF732" i="1"/>
  <c r="DG732" i="1"/>
  <c r="DH732" i="1"/>
  <c r="DI732" i="1"/>
  <c r="DJ732" i="1"/>
  <c r="DK732" i="1"/>
  <c r="DL732" i="1"/>
  <c r="DM732" i="1"/>
  <c r="DN732" i="1"/>
  <c r="DO732" i="1"/>
  <c r="DP732" i="1"/>
  <c r="DQ732" i="1"/>
  <c r="DR732" i="1"/>
  <c r="DS732" i="1"/>
  <c r="DT732" i="1"/>
  <c r="DU732" i="1"/>
  <c r="DV732" i="1"/>
  <c r="DW732" i="1"/>
  <c r="DX732" i="1"/>
  <c r="DY732" i="1"/>
  <c r="DZ732" i="1"/>
  <c r="EA732" i="1"/>
  <c r="EB732" i="1"/>
  <c r="EC732" i="1"/>
  <c r="ED732" i="1"/>
  <c r="EE732" i="1"/>
  <c r="EF732" i="1"/>
  <c r="EG732" i="1"/>
  <c r="EH732" i="1"/>
  <c r="EI732" i="1"/>
  <c r="EJ732" i="1"/>
  <c r="EK732" i="1"/>
  <c r="EL732" i="1"/>
  <c r="EM732" i="1"/>
  <c r="EN732" i="1"/>
  <c r="EO732" i="1"/>
  <c r="EP732" i="1"/>
  <c r="EQ732" i="1"/>
  <c r="ER732" i="1"/>
  <c r="ES732" i="1"/>
  <c r="ET732" i="1"/>
  <c r="EU732" i="1"/>
  <c r="EV732" i="1"/>
  <c r="EW732" i="1"/>
  <c r="EX732" i="1"/>
  <c r="EY732" i="1"/>
  <c r="EZ732" i="1"/>
  <c r="FA732" i="1"/>
  <c r="FB732" i="1"/>
  <c r="FC732" i="1"/>
  <c r="FD732" i="1"/>
  <c r="FE732" i="1"/>
  <c r="FF732" i="1"/>
  <c r="FG732" i="1"/>
  <c r="FH732" i="1"/>
  <c r="FI732" i="1"/>
  <c r="FJ732" i="1"/>
  <c r="FK732" i="1"/>
  <c r="FL732" i="1"/>
  <c r="FM732" i="1"/>
  <c r="FN732" i="1"/>
  <c r="FO732" i="1"/>
  <c r="FP732" i="1"/>
  <c r="FQ732" i="1"/>
  <c r="FR732" i="1"/>
  <c r="FS732" i="1"/>
  <c r="FT732" i="1"/>
  <c r="FU732" i="1"/>
  <c r="FV732" i="1"/>
  <c r="FW732" i="1"/>
  <c r="FX732" i="1"/>
  <c r="FY732" i="1"/>
  <c r="FZ732" i="1"/>
  <c r="GA732" i="1"/>
  <c r="GB732" i="1"/>
  <c r="GC732" i="1"/>
  <c r="GD732" i="1"/>
  <c r="GE732" i="1"/>
  <c r="GF732" i="1"/>
  <c r="GG732" i="1"/>
  <c r="GH732" i="1"/>
  <c r="GI732" i="1"/>
  <c r="GJ732" i="1"/>
  <c r="GK732" i="1"/>
  <c r="GL732" i="1"/>
  <c r="GM732" i="1"/>
  <c r="GN732" i="1"/>
  <c r="GO732" i="1"/>
  <c r="GP732" i="1"/>
  <c r="GQ732" i="1"/>
  <c r="GR732" i="1"/>
  <c r="GS732" i="1"/>
  <c r="GT732" i="1"/>
  <c r="GU732" i="1"/>
  <c r="GV732" i="1"/>
  <c r="GW732" i="1"/>
  <c r="GX732" i="1"/>
  <c r="B734" i="1"/>
  <c r="B732" i="1" s="1"/>
  <c r="C734" i="1"/>
  <c r="C732" i="1" s="1"/>
  <c r="D734" i="1"/>
  <c r="F734" i="1"/>
  <c r="F732" i="1" s="1"/>
  <c r="G734" i="1"/>
  <c r="A497" i="5" s="1"/>
  <c r="O734" i="1"/>
  <c r="O732" i="1" s="1"/>
  <c r="P734" i="1"/>
  <c r="P732" i="1" s="1"/>
  <c r="Q734" i="1"/>
  <c r="R734" i="1"/>
  <c r="R732" i="1" s="1"/>
  <c r="S734" i="1"/>
  <c r="S732" i="1" s="1"/>
  <c r="T734" i="1"/>
  <c r="T732" i="1" s="1"/>
  <c r="U734" i="1"/>
  <c r="V734" i="1"/>
  <c r="F757" i="1" s="1"/>
  <c r="W734" i="1"/>
  <c r="W732" i="1" s="1"/>
  <c r="X734" i="1"/>
  <c r="X732" i="1" s="1"/>
  <c r="Y734" i="1"/>
  <c r="AO734" i="1"/>
  <c r="AO732" i="1" s="1"/>
  <c r="AP734" i="1"/>
  <c r="AP732" i="1" s="1"/>
  <c r="AQ734" i="1"/>
  <c r="AR734" i="1"/>
  <c r="AS734" i="1"/>
  <c r="AT734" i="1"/>
  <c r="AT732" i="1" s="1"/>
  <c r="AU734" i="1"/>
  <c r="F753" i="1" s="1"/>
  <c r="AV734" i="1"/>
  <c r="AW734" i="1"/>
  <c r="AW732" i="1" s="1"/>
  <c r="AX734" i="1"/>
  <c r="AY734" i="1"/>
  <c r="AZ734" i="1"/>
  <c r="BA734" i="1"/>
  <c r="BA732" i="1" s="1"/>
  <c r="BB734" i="1"/>
  <c r="BC734" i="1"/>
  <c r="BD734" i="1"/>
  <c r="F736" i="1"/>
  <c r="F742" i="1"/>
  <c r="F743" i="1"/>
  <c r="F744" i="1"/>
  <c r="F749" i="1"/>
  <c r="F750" i="1"/>
  <c r="F752" i="1"/>
  <c r="F755" i="1"/>
  <c r="F758" i="1"/>
  <c r="F760" i="1"/>
  <c r="D764" i="1"/>
  <c r="E766" i="1"/>
  <c r="Z766" i="1"/>
  <c r="AA766" i="1"/>
  <c r="AM766" i="1"/>
  <c r="AN766" i="1"/>
  <c r="BE766" i="1"/>
  <c r="BF766" i="1"/>
  <c r="BG766" i="1"/>
  <c r="BH766" i="1"/>
  <c r="BI766" i="1"/>
  <c r="BJ766" i="1"/>
  <c r="BK766" i="1"/>
  <c r="BL766" i="1"/>
  <c r="BM766" i="1"/>
  <c r="BN766" i="1"/>
  <c r="BO766" i="1"/>
  <c r="BP766" i="1"/>
  <c r="BQ766" i="1"/>
  <c r="BR766" i="1"/>
  <c r="BS766" i="1"/>
  <c r="BT766" i="1"/>
  <c r="BU766" i="1"/>
  <c r="BV766" i="1"/>
  <c r="BW766" i="1"/>
  <c r="CN766" i="1"/>
  <c r="CO766" i="1"/>
  <c r="CP766" i="1"/>
  <c r="CQ766" i="1"/>
  <c r="CR766" i="1"/>
  <c r="CS766" i="1"/>
  <c r="CT766" i="1"/>
  <c r="CU766" i="1"/>
  <c r="CV766" i="1"/>
  <c r="CW766" i="1"/>
  <c r="CX766" i="1"/>
  <c r="CY766" i="1"/>
  <c r="CZ766" i="1"/>
  <c r="DA766" i="1"/>
  <c r="DB766" i="1"/>
  <c r="DC766" i="1"/>
  <c r="DD766" i="1"/>
  <c r="DE766" i="1"/>
  <c r="DF766" i="1"/>
  <c r="DG766" i="1"/>
  <c r="DH766" i="1"/>
  <c r="DI766" i="1"/>
  <c r="DJ766" i="1"/>
  <c r="DK766" i="1"/>
  <c r="DL766" i="1"/>
  <c r="DM766" i="1"/>
  <c r="DN766" i="1"/>
  <c r="DO766" i="1"/>
  <c r="DP766" i="1"/>
  <c r="DQ766" i="1"/>
  <c r="DR766" i="1"/>
  <c r="DS766" i="1"/>
  <c r="DT766" i="1"/>
  <c r="DU766" i="1"/>
  <c r="DV766" i="1"/>
  <c r="DW766" i="1"/>
  <c r="DX766" i="1"/>
  <c r="DY766" i="1"/>
  <c r="DZ766" i="1"/>
  <c r="EA766" i="1"/>
  <c r="EB766" i="1"/>
  <c r="EC766" i="1"/>
  <c r="ED766" i="1"/>
  <c r="EE766" i="1"/>
  <c r="EF766" i="1"/>
  <c r="EG766" i="1"/>
  <c r="EH766" i="1"/>
  <c r="EI766" i="1"/>
  <c r="EJ766" i="1"/>
  <c r="EK766" i="1"/>
  <c r="EL766" i="1"/>
  <c r="EM766" i="1"/>
  <c r="EN766" i="1"/>
  <c r="EO766" i="1"/>
  <c r="EP766" i="1"/>
  <c r="EQ766" i="1"/>
  <c r="ER766" i="1"/>
  <c r="ES766" i="1"/>
  <c r="ET766" i="1"/>
  <c r="EU766" i="1"/>
  <c r="EV766" i="1"/>
  <c r="EW766" i="1"/>
  <c r="EX766" i="1"/>
  <c r="EY766" i="1"/>
  <c r="EZ766" i="1"/>
  <c r="FA766" i="1"/>
  <c r="FB766" i="1"/>
  <c r="FC766" i="1"/>
  <c r="FD766" i="1"/>
  <c r="FE766" i="1"/>
  <c r="FF766" i="1"/>
  <c r="FG766" i="1"/>
  <c r="FH766" i="1"/>
  <c r="FI766" i="1"/>
  <c r="FJ766" i="1"/>
  <c r="FK766" i="1"/>
  <c r="FL766" i="1"/>
  <c r="FM766" i="1"/>
  <c r="FN766" i="1"/>
  <c r="FO766" i="1"/>
  <c r="FP766" i="1"/>
  <c r="FQ766" i="1"/>
  <c r="FR766" i="1"/>
  <c r="FS766" i="1"/>
  <c r="FT766" i="1"/>
  <c r="FU766" i="1"/>
  <c r="FV766" i="1"/>
  <c r="FW766" i="1"/>
  <c r="FX766" i="1"/>
  <c r="FY766" i="1"/>
  <c r="FZ766" i="1"/>
  <c r="GA766" i="1"/>
  <c r="GB766" i="1"/>
  <c r="GC766" i="1"/>
  <c r="GD766" i="1"/>
  <c r="GE766" i="1"/>
  <c r="GF766" i="1"/>
  <c r="GG766" i="1"/>
  <c r="GH766" i="1"/>
  <c r="GI766" i="1"/>
  <c r="GJ766" i="1"/>
  <c r="GK766" i="1"/>
  <c r="GL766" i="1"/>
  <c r="GM766" i="1"/>
  <c r="GN766" i="1"/>
  <c r="GO766" i="1"/>
  <c r="GP766" i="1"/>
  <c r="GQ766" i="1"/>
  <c r="GR766" i="1"/>
  <c r="GS766" i="1"/>
  <c r="GT766" i="1"/>
  <c r="GU766" i="1"/>
  <c r="GV766" i="1"/>
  <c r="GW766" i="1"/>
  <c r="GX766" i="1"/>
  <c r="C768" i="1"/>
  <c r="D768" i="1"/>
  <c r="I768" i="1"/>
  <c r="M162" i="8" s="1"/>
  <c r="F186" i="7" s="1"/>
  <c r="AC768" i="1"/>
  <c r="CQ768" i="1" s="1"/>
  <c r="P768" i="1" s="1"/>
  <c r="AE768" i="1"/>
  <c r="U501" i="5" s="1"/>
  <c r="AF768" i="1"/>
  <c r="AG768" i="1"/>
  <c r="CU768" i="1" s="1"/>
  <c r="T768" i="1" s="1"/>
  <c r="AH768" i="1"/>
  <c r="CV768" i="1" s="1"/>
  <c r="U768" i="1" s="1"/>
  <c r="K509" i="5" s="1"/>
  <c r="AI768" i="1"/>
  <c r="CW768" i="1" s="1"/>
  <c r="V768" i="1" s="1"/>
  <c r="AJ768" i="1"/>
  <c r="CX768" i="1" s="1"/>
  <c r="W768" i="1" s="1"/>
  <c r="CR768" i="1"/>
  <c r="Q768" i="1" s="1"/>
  <c r="J504" i="5" s="1"/>
  <c r="FR768" i="1"/>
  <c r="GL768" i="1"/>
  <c r="GN768" i="1"/>
  <c r="CB783" i="1" s="1"/>
  <c r="CB766" i="1" s="1"/>
  <c r="GO768" i="1"/>
  <c r="GV768" i="1"/>
  <c r="HC768" i="1" s="1"/>
  <c r="GX768" i="1" s="1"/>
  <c r="C769" i="1"/>
  <c r="D769" i="1"/>
  <c r="I769" i="1"/>
  <c r="AC769" i="1"/>
  <c r="CQ769" i="1" s="1"/>
  <c r="P769" i="1" s="1"/>
  <c r="AE769" i="1"/>
  <c r="U511" i="5" s="1"/>
  <c r="AF769" i="1"/>
  <c r="AG769" i="1"/>
  <c r="AH769" i="1"/>
  <c r="CV769" i="1" s="1"/>
  <c r="U769" i="1" s="1"/>
  <c r="K516" i="5" s="1"/>
  <c r="AI769" i="1"/>
  <c r="CW769" i="1" s="1"/>
  <c r="V769" i="1" s="1"/>
  <c r="AJ769" i="1"/>
  <c r="CX769" i="1" s="1"/>
  <c r="W769" i="1" s="1"/>
  <c r="CU769" i="1"/>
  <c r="T769" i="1" s="1"/>
  <c r="FR769" i="1"/>
  <c r="GL769" i="1"/>
  <c r="GN769" i="1"/>
  <c r="GO769" i="1"/>
  <c r="GV769" i="1"/>
  <c r="HC769" i="1" s="1"/>
  <c r="GX769" i="1" s="1"/>
  <c r="C770" i="1"/>
  <c r="D770" i="1"/>
  <c r="I770" i="1"/>
  <c r="AC770" i="1"/>
  <c r="CQ770" i="1" s="1"/>
  <c r="P770" i="1" s="1"/>
  <c r="AE770" i="1"/>
  <c r="AF770" i="1"/>
  <c r="AG770" i="1"/>
  <c r="AH770" i="1"/>
  <c r="CV770" i="1" s="1"/>
  <c r="U770" i="1" s="1"/>
  <c r="AI770" i="1"/>
  <c r="CW770" i="1" s="1"/>
  <c r="AJ770" i="1"/>
  <c r="CX770" i="1" s="1"/>
  <c r="W770" i="1" s="1"/>
  <c r="CR770" i="1"/>
  <c r="Q770" i="1" s="1"/>
  <c r="J520" i="5" s="1"/>
  <c r="CU770" i="1"/>
  <c r="T770" i="1" s="1"/>
  <c r="FR770" i="1"/>
  <c r="GL770" i="1"/>
  <c r="GN770" i="1"/>
  <c r="GO770" i="1"/>
  <c r="GV770" i="1"/>
  <c r="HC770" i="1" s="1"/>
  <c r="C771" i="1"/>
  <c r="D771" i="1"/>
  <c r="I771" i="1"/>
  <c r="AC771" i="1"/>
  <c r="AE771" i="1"/>
  <c r="AF771" i="1"/>
  <c r="AG771" i="1"/>
  <c r="AH771" i="1"/>
  <c r="AI771" i="1"/>
  <c r="CW771" i="1" s="1"/>
  <c r="V771" i="1" s="1"/>
  <c r="AJ771" i="1"/>
  <c r="CX771" i="1" s="1"/>
  <c r="W771" i="1" s="1"/>
  <c r="CQ771" i="1"/>
  <c r="P771" i="1" s="1"/>
  <c r="CU771" i="1"/>
  <c r="T771" i="1" s="1"/>
  <c r="CV771" i="1"/>
  <c r="U771" i="1" s="1"/>
  <c r="K529" i="5" s="1"/>
  <c r="FR771" i="1"/>
  <c r="GL771" i="1"/>
  <c r="GN771" i="1"/>
  <c r="GO771" i="1"/>
  <c r="GV771" i="1"/>
  <c r="HC771" i="1" s="1"/>
  <c r="GX771" i="1" s="1"/>
  <c r="C772" i="1"/>
  <c r="D772" i="1"/>
  <c r="I772" i="1"/>
  <c r="U772" i="1"/>
  <c r="AC772" i="1"/>
  <c r="AE772" i="1"/>
  <c r="AF772" i="1"/>
  <c r="AG772" i="1"/>
  <c r="CU772" i="1" s="1"/>
  <c r="T772" i="1" s="1"/>
  <c r="AH772" i="1"/>
  <c r="AI772" i="1"/>
  <c r="CW772" i="1" s="1"/>
  <c r="V772" i="1" s="1"/>
  <c r="AJ772" i="1"/>
  <c r="CX772" i="1" s="1"/>
  <c r="W772" i="1" s="1"/>
  <c r="CQ772" i="1"/>
  <c r="P772" i="1" s="1"/>
  <c r="CV772" i="1"/>
  <c r="FR772" i="1"/>
  <c r="GL772" i="1"/>
  <c r="GN772" i="1"/>
  <c r="GO772" i="1"/>
  <c r="GV772" i="1"/>
  <c r="HC772" i="1"/>
  <c r="GX772" i="1" s="1"/>
  <c r="C773" i="1"/>
  <c r="D773" i="1"/>
  <c r="AC773" i="1"/>
  <c r="CQ773" i="1" s="1"/>
  <c r="AE773" i="1"/>
  <c r="AF773" i="1"/>
  <c r="AG773" i="1"/>
  <c r="CU773" i="1" s="1"/>
  <c r="AH773" i="1"/>
  <c r="CV773" i="1" s="1"/>
  <c r="AI773" i="1"/>
  <c r="CW773" i="1" s="1"/>
  <c r="AJ773" i="1"/>
  <c r="CX773" i="1" s="1"/>
  <c r="CR773" i="1"/>
  <c r="CS773" i="1"/>
  <c r="FR773" i="1"/>
  <c r="GL773" i="1"/>
  <c r="GN773" i="1"/>
  <c r="GO773" i="1"/>
  <c r="GV773" i="1"/>
  <c r="HC773" i="1" s="1"/>
  <c r="C774" i="1"/>
  <c r="D774" i="1"/>
  <c r="AC774" i="1"/>
  <c r="AD774" i="1"/>
  <c r="AE774" i="1"/>
  <c r="AF774" i="1"/>
  <c r="AG774" i="1"/>
  <c r="CU774" i="1" s="1"/>
  <c r="AH774" i="1"/>
  <c r="CV774" i="1" s="1"/>
  <c r="AI774" i="1"/>
  <c r="AJ774" i="1"/>
  <c r="CR774" i="1"/>
  <c r="CS774" i="1"/>
  <c r="CW774" i="1"/>
  <c r="CX774" i="1"/>
  <c r="FR774" i="1"/>
  <c r="GL774" i="1"/>
  <c r="GN774" i="1"/>
  <c r="GO774" i="1"/>
  <c r="GV774" i="1"/>
  <c r="HC774" i="1" s="1"/>
  <c r="AC775" i="1"/>
  <c r="AE775" i="1"/>
  <c r="AF775" i="1"/>
  <c r="AG775" i="1"/>
  <c r="CU775" i="1" s="1"/>
  <c r="AH775" i="1"/>
  <c r="AI775" i="1"/>
  <c r="AJ775" i="1"/>
  <c r="CX775" i="1" s="1"/>
  <c r="CS775" i="1"/>
  <c r="CV775" i="1"/>
  <c r="CW775" i="1"/>
  <c r="FR775" i="1"/>
  <c r="GL775" i="1"/>
  <c r="GN775" i="1"/>
  <c r="GO775" i="1"/>
  <c r="GV775" i="1"/>
  <c r="HC775" i="1"/>
  <c r="AC776" i="1"/>
  <c r="CQ776" i="1" s="1"/>
  <c r="P776" i="1" s="1"/>
  <c r="AE776" i="1"/>
  <c r="AF776" i="1"/>
  <c r="CT776" i="1" s="1"/>
  <c r="S776" i="1" s="1"/>
  <c r="AG776" i="1"/>
  <c r="CU776" i="1" s="1"/>
  <c r="T776" i="1" s="1"/>
  <c r="AH776" i="1"/>
  <c r="CV776" i="1" s="1"/>
  <c r="U776" i="1" s="1"/>
  <c r="AI776" i="1"/>
  <c r="CW776" i="1" s="1"/>
  <c r="V776" i="1" s="1"/>
  <c r="AJ776" i="1"/>
  <c r="CX776" i="1" s="1"/>
  <c r="W776" i="1" s="1"/>
  <c r="CR776" i="1"/>
  <c r="Q776" i="1" s="1"/>
  <c r="FR776" i="1"/>
  <c r="GL776" i="1"/>
  <c r="GN776" i="1"/>
  <c r="GO776" i="1"/>
  <c r="GV776" i="1"/>
  <c r="HC776" i="1"/>
  <c r="GX776" i="1" s="1"/>
  <c r="AC777" i="1"/>
  <c r="AE777" i="1"/>
  <c r="CR777" i="1" s="1"/>
  <c r="Q777" i="1" s="1"/>
  <c r="AF777" i="1"/>
  <c r="CT777" i="1" s="1"/>
  <c r="S777" i="1" s="1"/>
  <c r="CY777" i="1" s="1"/>
  <c r="X777" i="1" s="1"/>
  <c r="AG777" i="1"/>
  <c r="CU777" i="1" s="1"/>
  <c r="T777" i="1" s="1"/>
  <c r="AH777" i="1"/>
  <c r="AI777" i="1"/>
  <c r="CW777" i="1" s="1"/>
  <c r="V777" i="1" s="1"/>
  <c r="AJ777" i="1"/>
  <c r="CX777" i="1" s="1"/>
  <c r="W777" i="1" s="1"/>
  <c r="CQ777" i="1"/>
  <c r="P777" i="1" s="1"/>
  <c r="CV777" i="1"/>
  <c r="U777" i="1" s="1"/>
  <c r="FR777" i="1"/>
  <c r="GL777" i="1"/>
  <c r="GN777" i="1"/>
  <c r="GO777" i="1"/>
  <c r="GV777" i="1"/>
  <c r="HC777" i="1" s="1"/>
  <c r="GX777" i="1" s="1"/>
  <c r="I778" i="1"/>
  <c r="AC778" i="1"/>
  <c r="AD778" i="1"/>
  <c r="AE778" i="1"/>
  <c r="AF778" i="1"/>
  <c r="CT778" i="1" s="1"/>
  <c r="S778" i="1" s="1"/>
  <c r="AG778" i="1"/>
  <c r="CU778" i="1" s="1"/>
  <c r="T778" i="1" s="1"/>
  <c r="AH778" i="1"/>
  <c r="CV778" i="1" s="1"/>
  <c r="U778" i="1" s="1"/>
  <c r="AI778" i="1"/>
  <c r="AJ778" i="1"/>
  <c r="CR778" i="1"/>
  <c r="Q778" i="1" s="1"/>
  <c r="CS778" i="1"/>
  <c r="R778" i="1" s="1"/>
  <c r="CW778" i="1"/>
  <c r="V778" i="1" s="1"/>
  <c r="CX778" i="1"/>
  <c r="W778" i="1" s="1"/>
  <c r="FR778" i="1"/>
  <c r="GL778" i="1"/>
  <c r="GN778" i="1"/>
  <c r="GO778" i="1"/>
  <c r="GV778" i="1"/>
  <c r="HC778" i="1" s="1"/>
  <c r="GX778" i="1" s="1"/>
  <c r="C779" i="1"/>
  <c r="D779" i="1"/>
  <c r="I779" i="1"/>
  <c r="AC779" i="1"/>
  <c r="AD779" i="1"/>
  <c r="AE779" i="1"/>
  <c r="AF779" i="1"/>
  <c r="AG779" i="1"/>
  <c r="AH779" i="1"/>
  <c r="CV779" i="1" s="1"/>
  <c r="U779" i="1" s="1"/>
  <c r="K555" i="5" s="1"/>
  <c r="AI779" i="1"/>
  <c r="CW779" i="1" s="1"/>
  <c r="V779" i="1" s="1"/>
  <c r="AJ779" i="1"/>
  <c r="CX779" i="1" s="1"/>
  <c r="W779" i="1" s="1"/>
  <c r="CQ779" i="1"/>
  <c r="CR779" i="1"/>
  <c r="Q779" i="1" s="1"/>
  <c r="J549" i="5" s="1"/>
  <c r="CU779" i="1"/>
  <c r="T779" i="1" s="1"/>
  <c r="FR779" i="1"/>
  <c r="GL779" i="1"/>
  <c r="GN779" i="1"/>
  <c r="GO779" i="1"/>
  <c r="GV779" i="1"/>
  <c r="HC779" i="1" s="1"/>
  <c r="GX779" i="1" s="1"/>
  <c r="C780" i="1"/>
  <c r="D780" i="1"/>
  <c r="V780" i="1"/>
  <c r="AC780" i="1"/>
  <c r="AE780" i="1"/>
  <c r="AF780" i="1"/>
  <c r="CT780" i="1" s="1"/>
  <c r="S780" i="1" s="1"/>
  <c r="CY780" i="1" s="1"/>
  <c r="X780" i="1" s="1"/>
  <c r="AG780" i="1"/>
  <c r="CU780" i="1" s="1"/>
  <c r="T780" i="1" s="1"/>
  <c r="AH780" i="1"/>
  <c r="AI780" i="1"/>
  <c r="CW780" i="1" s="1"/>
  <c r="AJ780" i="1"/>
  <c r="CX780" i="1" s="1"/>
  <c r="W780" i="1" s="1"/>
  <c r="CQ780" i="1"/>
  <c r="P780" i="1" s="1"/>
  <c r="CS780" i="1"/>
  <c r="R780" i="1" s="1"/>
  <c r="GK780" i="1" s="1"/>
  <c r="CV780" i="1"/>
  <c r="U780" i="1" s="1"/>
  <c r="CZ780" i="1"/>
  <c r="Y780" i="1" s="1"/>
  <c r="FR780" i="1"/>
  <c r="GL780" i="1"/>
  <c r="GN780" i="1"/>
  <c r="GO780" i="1"/>
  <c r="GV780" i="1"/>
  <c r="HC780" i="1" s="1"/>
  <c r="GX780" i="1" s="1"/>
  <c r="C781" i="1"/>
  <c r="D781" i="1"/>
  <c r="AC781" i="1"/>
  <c r="AE781" i="1"/>
  <c r="AF781" i="1"/>
  <c r="CT781" i="1" s="1"/>
  <c r="S781" i="1" s="1"/>
  <c r="AG781" i="1"/>
  <c r="CU781" i="1" s="1"/>
  <c r="T781" i="1" s="1"/>
  <c r="AH781" i="1"/>
  <c r="AI781" i="1"/>
  <c r="CW781" i="1" s="1"/>
  <c r="V781" i="1" s="1"/>
  <c r="AJ781" i="1"/>
  <c r="CX781" i="1" s="1"/>
  <c r="W781" i="1" s="1"/>
  <c r="CR781" i="1"/>
  <c r="Q781" i="1" s="1"/>
  <c r="CV781" i="1"/>
  <c r="U781" i="1" s="1"/>
  <c r="FR781" i="1"/>
  <c r="GL781" i="1"/>
  <c r="GN781" i="1"/>
  <c r="GO781" i="1"/>
  <c r="GV781" i="1"/>
  <c r="GX781" i="1"/>
  <c r="HC781" i="1"/>
  <c r="B783" i="1"/>
  <c r="B766" i="1" s="1"/>
  <c r="C783" i="1"/>
  <c r="C766" i="1" s="1"/>
  <c r="D783" i="1"/>
  <c r="D766" i="1" s="1"/>
  <c r="F783" i="1"/>
  <c r="F766" i="1" s="1"/>
  <c r="G783" i="1"/>
  <c r="BX783" i="1"/>
  <c r="CK783" i="1"/>
  <c r="CK766" i="1" s="1"/>
  <c r="CL783" i="1"/>
  <c r="CL766" i="1" s="1"/>
  <c r="CM783" i="1"/>
  <c r="CM766" i="1" s="1"/>
  <c r="B813" i="1"/>
  <c r="B660" i="1" s="1"/>
  <c r="C813" i="1"/>
  <c r="C660" i="1" s="1"/>
  <c r="D813" i="1"/>
  <c r="D660" i="1" s="1"/>
  <c r="F813" i="1"/>
  <c r="F660" i="1" s="1"/>
  <c r="G813" i="1"/>
  <c r="B845" i="1"/>
  <c r="B22" i="1" s="1"/>
  <c r="C845" i="1"/>
  <c r="C22" i="1" s="1"/>
  <c r="D845" i="1"/>
  <c r="D22" i="1" s="1"/>
  <c r="F845" i="1"/>
  <c r="F22" i="1" s="1"/>
  <c r="G845" i="1"/>
  <c r="D877" i="1"/>
  <c r="E879" i="1"/>
  <c r="Z879" i="1"/>
  <c r="AA879" i="1"/>
  <c r="AB879" i="1"/>
  <c r="AC879" i="1"/>
  <c r="AD879" i="1"/>
  <c r="AE879" i="1"/>
  <c r="AF879" i="1"/>
  <c r="AG879" i="1"/>
  <c r="AH879" i="1"/>
  <c r="AI879" i="1"/>
  <c r="AJ879" i="1"/>
  <c r="AK879" i="1"/>
  <c r="AL879" i="1"/>
  <c r="AM879" i="1"/>
  <c r="AN879" i="1"/>
  <c r="BE879" i="1"/>
  <c r="BF879" i="1"/>
  <c r="BG879" i="1"/>
  <c r="BH879" i="1"/>
  <c r="BI879" i="1"/>
  <c r="BJ879" i="1"/>
  <c r="BK879" i="1"/>
  <c r="BL879" i="1"/>
  <c r="BM879" i="1"/>
  <c r="BN879" i="1"/>
  <c r="BO879" i="1"/>
  <c r="BP879" i="1"/>
  <c r="BQ879" i="1"/>
  <c r="BR879" i="1"/>
  <c r="BS879" i="1"/>
  <c r="BT879" i="1"/>
  <c r="BU879" i="1"/>
  <c r="BV879" i="1"/>
  <c r="BW879" i="1"/>
  <c r="BX879" i="1"/>
  <c r="BY879" i="1"/>
  <c r="BZ879" i="1"/>
  <c r="CA879" i="1"/>
  <c r="CB879" i="1"/>
  <c r="CC879" i="1"/>
  <c r="CD879" i="1"/>
  <c r="CE879" i="1"/>
  <c r="CF879" i="1"/>
  <c r="CG879" i="1"/>
  <c r="CH879" i="1"/>
  <c r="CI879" i="1"/>
  <c r="CJ879" i="1"/>
  <c r="CK879" i="1"/>
  <c r="CL879" i="1"/>
  <c r="CM879" i="1"/>
  <c r="CN879" i="1"/>
  <c r="CO879" i="1"/>
  <c r="CP879" i="1"/>
  <c r="CQ879" i="1"/>
  <c r="CR879" i="1"/>
  <c r="CS879" i="1"/>
  <c r="CT879" i="1"/>
  <c r="CU879" i="1"/>
  <c r="CV879" i="1"/>
  <c r="CW879" i="1"/>
  <c r="CX879" i="1"/>
  <c r="CY879" i="1"/>
  <c r="CZ879" i="1"/>
  <c r="DA879" i="1"/>
  <c r="DB879" i="1"/>
  <c r="DC879" i="1"/>
  <c r="DD879" i="1"/>
  <c r="DE879" i="1"/>
  <c r="DF879" i="1"/>
  <c r="DG879" i="1"/>
  <c r="DH879" i="1"/>
  <c r="DI879" i="1"/>
  <c r="DJ879" i="1"/>
  <c r="DK879" i="1"/>
  <c r="DL879" i="1"/>
  <c r="DM879" i="1"/>
  <c r="DN879" i="1"/>
  <c r="DO879" i="1"/>
  <c r="DP879" i="1"/>
  <c r="DQ879" i="1"/>
  <c r="DR879" i="1"/>
  <c r="DS879" i="1"/>
  <c r="DT879" i="1"/>
  <c r="DU879" i="1"/>
  <c r="DV879" i="1"/>
  <c r="DW879" i="1"/>
  <c r="DX879" i="1"/>
  <c r="DY879" i="1"/>
  <c r="DZ879" i="1"/>
  <c r="EA879" i="1"/>
  <c r="EB879" i="1"/>
  <c r="EC879" i="1"/>
  <c r="ED879" i="1"/>
  <c r="EE879" i="1"/>
  <c r="EF879" i="1"/>
  <c r="EG879" i="1"/>
  <c r="EH879" i="1"/>
  <c r="EI879" i="1"/>
  <c r="EJ879" i="1"/>
  <c r="EK879" i="1"/>
  <c r="EL879" i="1"/>
  <c r="EM879" i="1"/>
  <c r="EN879" i="1"/>
  <c r="EO879" i="1"/>
  <c r="EP879" i="1"/>
  <c r="EQ879" i="1"/>
  <c r="ER879" i="1"/>
  <c r="ES879" i="1"/>
  <c r="ET879" i="1"/>
  <c r="EU879" i="1"/>
  <c r="EV879" i="1"/>
  <c r="EW879" i="1"/>
  <c r="EX879" i="1"/>
  <c r="EY879" i="1"/>
  <c r="EZ879" i="1"/>
  <c r="FA879" i="1"/>
  <c r="FB879" i="1"/>
  <c r="FC879" i="1"/>
  <c r="FD879" i="1"/>
  <c r="FE879" i="1"/>
  <c r="FF879" i="1"/>
  <c r="FG879" i="1"/>
  <c r="FH879" i="1"/>
  <c r="FI879" i="1"/>
  <c r="FJ879" i="1"/>
  <c r="FK879" i="1"/>
  <c r="FL879" i="1"/>
  <c r="FM879" i="1"/>
  <c r="FN879" i="1"/>
  <c r="FO879" i="1"/>
  <c r="FP879" i="1"/>
  <c r="FQ879" i="1"/>
  <c r="FR879" i="1"/>
  <c r="FS879" i="1"/>
  <c r="FT879" i="1"/>
  <c r="FU879" i="1"/>
  <c r="FV879" i="1"/>
  <c r="FW879" i="1"/>
  <c r="FX879" i="1"/>
  <c r="FY879" i="1"/>
  <c r="FZ879" i="1"/>
  <c r="GA879" i="1"/>
  <c r="GB879" i="1"/>
  <c r="GC879" i="1"/>
  <c r="GD879" i="1"/>
  <c r="GE879" i="1"/>
  <c r="GF879" i="1"/>
  <c r="GG879" i="1"/>
  <c r="GH879" i="1"/>
  <c r="GI879" i="1"/>
  <c r="GJ879" i="1"/>
  <c r="GK879" i="1"/>
  <c r="GL879" i="1"/>
  <c r="GM879" i="1"/>
  <c r="GN879" i="1"/>
  <c r="GO879" i="1"/>
  <c r="GP879" i="1"/>
  <c r="GQ879" i="1"/>
  <c r="GR879" i="1"/>
  <c r="GS879" i="1"/>
  <c r="GT879" i="1"/>
  <c r="GU879" i="1"/>
  <c r="GV879" i="1"/>
  <c r="GW879" i="1"/>
  <c r="GX879" i="1"/>
  <c r="D881" i="1"/>
  <c r="E883" i="1"/>
  <c r="Z883" i="1"/>
  <c r="AA883" i="1"/>
  <c r="AB883" i="1"/>
  <c r="AC883" i="1"/>
  <c r="AD883" i="1"/>
  <c r="AE883" i="1"/>
  <c r="AF883" i="1"/>
  <c r="AG883" i="1"/>
  <c r="AH883" i="1"/>
  <c r="AI883" i="1"/>
  <c r="AJ883" i="1"/>
  <c r="AK883" i="1"/>
  <c r="AL883" i="1"/>
  <c r="AM883" i="1"/>
  <c r="AN883" i="1"/>
  <c r="BE883" i="1"/>
  <c r="BF883" i="1"/>
  <c r="BG883" i="1"/>
  <c r="BH883" i="1"/>
  <c r="BI883" i="1"/>
  <c r="BJ883" i="1"/>
  <c r="BK883" i="1"/>
  <c r="BL883" i="1"/>
  <c r="BM883" i="1"/>
  <c r="BN883" i="1"/>
  <c r="BO883" i="1"/>
  <c r="BP883" i="1"/>
  <c r="BQ883" i="1"/>
  <c r="BR883" i="1"/>
  <c r="BS883" i="1"/>
  <c r="BT883" i="1"/>
  <c r="BU883" i="1"/>
  <c r="BV883" i="1"/>
  <c r="BW883" i="1"/>
  <c r="BX883" i="1"/>
  <c r="BY883" i="1"/>
  <c r="BZ883" i="1"/>
  <c r="CA883" i="1"/>
  <c r="CB883" i="1"/>
  <c r="CC883" i="1"/>
  <c r="CD883" i="1"/>
  <c r="CE883" i="1"/>
  <c r="CF883" i="1"/>
  <c r="CG883" i="1"/>
  <c r="CH883" i="1"/>
  <c r="CI883" i="1"/>
  <c r="CJ883" i="1"/>
  <c r="CK883" i="1"/>
  <c r="CL883" i="1"/>
  <c r="CM883" i="1"/>
  <c r="CN883" i="1"/>
  <c r="CO883" i="1"/>
  <c r="CP883" i="1"/>
  <c r="CQ883" i="1"/>
  <c r="CR883" i="1"/>
  <c r="CS883" i="1"/>
  <c r="CT883" i="1"/>
  <c r="CU883" i="1"/>
  <c r="CV883" i="1"/>
  <c r="CW883" i="1"/>
  <c r="CX883" i="1"/>
  <c r="CY883" i="1"/>
  <c r="CZ883" i="1"/>
  <c r="DA883" i="1"/>
  <c r="DB883" i="1"/>
  <c r="DC883" i="1"/>
  <c r="DD883" i="1"/>
  <c r="DE883" i="1"/>
  <c r="DF883" i="1"/>
  <c r="DG883" i="1"/>
  <c r="DH883" i="1"/>
  <c r="DI883" i="1"/>
  <c r="DJ883" i="1"/>
  <c r="DK883" i="1"/>
  <c r="DL883" i="1"/>
  <c r="DM883" i="1"/>
  <c r="DN883" i="1"/>
  <c r="DO883" i="1"/>
  <c r="DP883" i="1"/>
  <c r="DQ883" i="1"/>
  <c r="DR883" i="1"/>
  <c r="DS883" i="1"/>
  <c r="DT883" i="1"/>
  <c r="DU883" i="1"/>
  <c r="DV883" i="1"/>
  <c r="DW883" i="1"/>
  <c r="DX883" i="1"/>
  <c r="DY883" i="1"/>
  <c r="DZ883" i="1"/>
  <c r="EA883" i="1"/>
  <c r="EB883" i="1"/>
  <c r="EC883" i="1"/>
  <c r="ED883" i="1"/>
  <c r="EE883" i="1"/>
  <c r="EF883" i="1"/>
  <c r="EG883" i="1"/>
  <c r="EH883" i="1"/>
  <c r="EI883" i="1"/>
  <c r="EJ883" i="1"/>
  <c r="EK883" i="1"/>
  <c r="EL883" i="1"/>
  <c r="EM883" i="1"/>
  <c r="EN883" i="1"/>
  <c r="EO883" i="1"/>
  <c r="EP883" i="1"/>
  <c r="EQ883" i="1"/>
  <c r="ER883" i="1"/>
  <c r="ES883" i="1"/>
  <c r="ET883" i="1"/>
  <c r="EU883" i="1"/>
  <c r="EV883" i="1"/>
  <c r="EW883" i="1"/>
  <c r="EX883" i="1"/>
  <c r="EY883" i="1"/>
  <c r="EZ883" i="1"/>
  <c r="FA883" i="1"/>
  <c r="FB883" i="1"/>
  <c r="FC883" i="1"/>
  <c r="FD883" i="1"/>
  <c r="FE883" i="1"/>
  <c r="FF883" i="1"/>
  <c r="FG883" i="1"/>
  <c r="FH883" i="1"/>
  <c r="FI883" i="1"/>
  <c r="FJ883" i="1"/>
  <c r="FK883" i="1"/>
  <c r="FL883" i="1"/>
  <c r="FM883" i="1"/>
  <c r="FN883" i="1"/>
  <c r="FO883" i="1"/>
  <c r="FP883" i="1"/>
  <c r="FQ883" i="1"/>
  <c r="FR883" i="1"/>
  <c r="FS883" i="1"/>
  <c r="FT883" i="1"/>
  <c r="FU883" i="1"/>
  <c r="FV883" i="1"/>
  <c r="FW883" i="1"/>
  <c r="FX883" i="1"/>
  <c r="FY883" i="1"/>
  <c r="FZ883" i="1"/>
  <c r="GA883" i="1"/>
  <c r="GB883" i="1"/>
  <c r="GC883" i="1"/>
  <c r="GD883" i="1"/>
  <c r="GE883" i="1"/>
  <c r="GF883" i="1"/>
  <c r="GG883" i="1"/>
  <c r="GH883" i="1"/>
  <c r="GI883" i="1"/>
  <c r="GJ883" i="1"/>
  <c r="GK883" i="1"/>
  <c r="GL883" i="1"/>
  <c r="GM883" i="1"/>
  <c r="GN883" i="1"/>
  <c r="GO883" i="1"/>
  <c r="GP883" i="1"/>
  <c r="GQ883" i="1"/>
  <c r="GR883" i="1"/>
  <c r="GS883" i="1"/>
  <c r="GT883" i="1"/>
  <c r="GU883" i="1"/>
  <c r="GV883" i="1"/>
  <c r="GW883" i="1"/>
  <c r="GX883" i="1"/>
  <c r="D885" i="1"/>
  <c r="E887" i="1"/>
  <c r="Z887" i="1"/>
  <c r="AA887" i="1"/>
  <c r="AM887" i="1"/>
  <c r="AN887" i="1"/>
  <c r="BE887" i="1"/>
  <c r="BF887" i="1"/>
  <c r="BG887" i="1"/>
  <c r="BH887" i="1"/>
  <c r="BI887" i="1"/>
  <c r="BJ887" i="1"/>
  <c r="BK887" i="1"/>
  <c r="BL887" i="1"/>
  <c r="BM887" i="1"/>
  <c r="BN887" i="1"/>
  <c r="BO887" i="1"/>
  <c r="BP887" i="1"/>
  <c r="BQ887" i="1"/>
  <c r="BR887" i="1"/>
  <c r="BS887" i="1"/>
  <c r="BT887" i="1"/>
  <c r="BU887" i="1"/>
  <c r="BV887" i="1"/>
  <c r="BW887" i="1"/>
  <c r="CN887" i="1"/>
  <c r="CO887" i="1"/>
  <c r="CP887" i="1"/>
  <c r="CQ887" i="1"/>
  <c r="CR887" i="1"/>
  <c r="CS887" i="1"/>
  <c r="CT887" i="1"/>
  <c r="CU887" i="1"/>
  <c r="CV887" i="1"/>
  <c r="CW887" i="1"/>
  <c r="CX887" i="1"/>
  <c r="CY887" i="1"/>
  <c r="CZ887" i="1"/>
  <c r="DA887" i="1"/>
  <c r="DB887" i="1"/>
  <c r="DC887" i="1"/>
  <c r="DD887" i="1"/>
  <c r="DE887" i="1"/>
  <c r="DF887" i="1"/>
  <c r="DG887" i="1"/>
  <c r="DH887" i="1"/>
  <c r="DI887" i="1"/>
  <c r="DJ887" i="1"/>
  <c r="DK887" i="1"/>
  <c r="DL887" i="1"/>
  <c r="DM887" i="1"/>
  <c r="DN887" i="1"/>
  <c r="DO887" i="1"/>
  <c r="DP887" i="1"/>
  <c r="DQ887" i="1"/>
  <c r="DR887" i="1"/>
  <c r="DS887" i="1"/>
  <c r="DT887" i="1"/>
  <c r="DU887" i="1"/>
  <c r="DV887" i="1"/>
  <c r="DW887" i="1"/>
  <c r="DX887" i="1"/>
  <c r="DY887" i="1"/>
  <c r="DZ887" i="1"/>
  <c r="EA887" i="1"/>
  <c r="EB887" i="1"/>
  <c r="EC887" i="1"/>
  <c r="ED887" i="1"/>
  <c r="EE887" i="1"/>
  <c r="EF887" i="1"/>
  <c r="EG887" i="1"/>
  <c r="EH887" i="1"/>
  <c r="EI887" i="1"/>
  <c r="EJ887" i="1"/>
  <c r="EK887" i="1"/>
  <c r="EL887" i="1"/>
  <c r="EM887" i="1"/>
  <c r="EN887" i="1"/>
  <c r="EO887" i="1"/>
  <c r="EP887" i="1"/>
  <c r="EQ887" i="1"/>
  <c r="ER887" i="1"/>
  <c r="ES887" i="1"/>
  <c r="ET887" i="1"/>
  <c r="EU887" i="1"/>
  <c r="EV887" i="1"/>
  <c r="EW887" i="1"/>
  <c r="EX887" i="1"/>
  <c r="EY887" i="1"/>
  <c r="EZ887" i="1"/>
  <c r="FA887" i="1"/>
  <c r="FB887" i="1"/>
  <c r="FC887" i="1"/>
  <c r="FD887" i="1"/>
  <c r="FE887" i="1"/>
  <c r="FF887" i="1"/>
  <c r="FG887" i="1"/>
  <c r="FH887" i="1"/>
  <c r="FI887" i="1"/>
  <c r="FJ887" i="1"/>
  <c r="FK887" i="1"/>
  <c r="FL887" i="1"/>
  <c r="FM887" i="1"/>
  <c r="FN887" i="1"/>
  <c r="FO887" i="1"/>
  <c r="FP887" i="1"/>
  <c r="FQ887" i="1"/>
  <c r="FR887" i="1"/>
  <c r="FS887" i="1"/>
  <c r="FT887" i="1"/>
  <c r="FU887" i="1"/>
  <c r="FV887" i="1"/>
  <c r="FW887" i="1"/>
  <c r="FX887" i="1"/>
  <c r="FY887" i="1"/>
  <c r="FZ887" i="1"/>
  <c r="GA887" i="1"/>
  <c r="GB887" i="1"/>
  <c r="GC887" i="1"/>
  <c r="GD887" i="1"/>
  <c r="GE887" i="1"/>
  <c r="GF887" i="1"/>
  <c r="GG887" i="1"/>
  <c r="GH887" i="1"/>
  <c r="GI887" i="1"/>
  <c r="GJ887" i="1"/>
  <c r="GK887" i="1"/>
  <c r="GL887" i="1"/>
  <c r="GM887" i="1"/>
  <c r="GN887" i="1"/>
  <c r="GO887" i="1"/>
  <c r="GP887" i="1"/>
  <c r="GQ887" i="1"/>
  <c r="GR887" i="1"/>
  <c r="GS887" i="1"/>
  <c r="GT887" i="1"/>
  <c r="GU887" i="1"/>
  <c r="GV887" i="1"/>
  <c r="GW887" i="1"/>
  <c r="GX887" i="1"/>
  <c r="C889" i="1"/>
  <c r="D889" i="1"/>
  <c r="I889" i="1"/>
  <c r="AC889" i="1"/>
  <c r="CQ889" i="1" s="1"/>
  <c r="P889" i="1" s="1"/>
  <c r="AE889" i="1"/>
  <c r="AF889" i="1"/>
  <c r="AG889" i="1"/>
  <c r="AH889" i="1"/>
  <c r="CV889" i="1" s="1"/>
  <c r="U889" i="1" s="1"/>
  <c r="K577" i="5" s="1"/>
  <c r="AI889" i="1"/>
  <c r="CW889" i="1" s="1"/>
  <c r="V889" i="1" s="1"/>
  <c r="AJ889" i="1"/>
  <c r="CX889" i="1" s="1"/>
  <c r="CS889" i="1"/>
  <c r="CU889" i="1"/>
  <c r="T889" i="1" s="1"/>
  <c r="FR889" i="1"/>
  <c r="GL889" i="1"/>
  <c r="GN889" i="1"/>
  <c r="GO889" i="1"/>
  <c r="GV889" i="1"/>
  <c r="HC889" i="1" s="1"/>
  <c r="GX889" i="1" s="1"/>
  <c r="C890" i="1"/>
  <c r="D890" i="1"/>
  <c r="I890" i="1"/>
  <c r="T890" i="1"/>
  <c r="V890" i="1"/>
  <c r="AC890" i="1"/>
  <c r="CQ890" i="1" s="1"/>
  <c r="P890" i="1" s="1"/>
  <c r="AE890" i="1"/>
  <c r="AF890" i="1"/>
  <c r="AG890" i="1"/>
  <c r="CU890" i="1" s="1"/>
  <c r="AH890" i="1"/>
  <c r="CV890" i="1" s="1"/>
  <c r="U890" i="1" s="1"/>
  <c r="K585" i="5" s="1"/>
  <c r="AI890" i="1"/>
  <c r="CW890" i="1" s="1"/>
  <c r="AJ890" i="1"/>
  <c r="CX890" i="1" s="1"/>
  <c r="CS890" i="1"/>
  <c r="FR890" i="1"/>
  <c r="GL890" i="1"/>
  <c r="GN890" i="1"/>
  <c r="GO890" i="1"/>
  <c r="GV890" i="1"/>
  <c r="HC890" i="1" s="1"/>
  <c r="GX890" i="1" s="1"/>
  <c r="C891" i="1"/>
  <c r="D891" i="1"/>
  <c r="I891" i="1"/>
  <c r="AC891" i="1"/>
  <c r="CQ891" i="1" s="1"/>
  <c r="AE891" i="1"/>
  <c r="AD891" i="1" s="1"/>
  <c r="AF891" i="1"/>
  <c r="CT891" i="1" s="1"/>
  <c r="AG891" i="1"/>
  <c r="CU891" i="1" s="1"/>
  <c r="AH891" i="1"/>
  <c r="CV891" i="1" s="1"/>
  <c r="AI891" i="1"/>
  <c r="CW891" i="1" s="1"/>
  <c r="AJ891" i="1"/>
  <c r="CX891" i="1" s="1"/>
  <c r="CS891" i="1"/>
  <c r="FR891" i="1"/>
  <c r="GL891" i="1"/>
  <c r="GN891" i="1"/>
  <c r="GO891" i="1"/>
  <c r="GV891" i="1"/>
  <c r="HC891" i="1" s="1"/>
  <c r="GX891" i="1" s="1"/>
  <c r="C892" i="1"/>
  <c r="D892" i="1"/>
  <c r="I892" i="1"/>
  <c r="AC892" i="1"/>
  <c r="CQ892" i="1" s="1"/>
  <c r="P892" i="1" s="1"/>
  <c r="AE892" i="1"/>
  <c r="AF892" i="1"/>
  <c r="AG892" i="1"/>
  <c r="CU892" i="1" s="1"/>
  <c r="T892" i="1" s="1"/>
  <c r="AH892" i="1"/>
  <c r="CV892" i="1" s="1"/>
  <c r="U892" i="1" s="1"/>
  <c r="AI892" i="1"/>
  <c r="AJ892" i="1"/>
  <c r="CX892" i="1" s="1"/>
  <c r="W892" i="1" s="1"/>
  <c r="CS892" i="1"/>
  <c r="CW892" i="1"/>
  <c r="V892" i="1" s="1"/>
  <c r="FR892" i="1"/>
  <c r="GL892" i="1"/>
  <c r="GN892" i="1"/>
  <c r="GO892" i="1"/>
  <c r="GV892" i="1"/>
  <c r="GX892" i="1"/>
  <c r="HC892" i="1"/>
  <c r="C893" i="1"/>
  <c r="D893" i="1"/>
  <c r="I893" i="1"/>
  <c r="AC893" i="1"/>
  <c r="CQ893" i="1" s="1"/>
  <c r="P893" i="1" s="1"/>
  <c r="AE893" i="1"/>
  <c r="AF893" i="1"/>
  <c r="AG893" i="1"/>
  <c r="AH893" i="1"/>
  <c r="CV893" i="1" s="1"/>
  <c r="AI893" i="1"/>
  <c r="AJ893" i="1"/>
  <c r="CX893" i="1" s="1"/>
  <c r="W893" i="1" s="1"/>
  <c r="CS893" i="1"/>
  <c r="CU893" i="1"/>
  <c r="CW893" i="1"/>
  <c r="V893" i="1" s="1"/>
  <c r="FR893" i="1"/>
  <c r="GL893" i="1"/>
  <c r="GN893" i="1"/>
  <c r="GO893" i="1"/>
  <c r="GV893" i="1"/>
  <c r="HC893" i="1"/>
  <c r="C894" i="1"/>
  <c r="D894" i="1"/>
  <c r="I894" i="1"/>
  <c r="AC894" i="1"/>
  <c r="CQ894" i="1" s="1"/>
  <c r="P894" i="1" s="1"/>
  <c r="AE894" i="1"/>
  <c r="AF894" i="1"/>
  <c r="AG894" i="1"/>
  <c r="CU894" i="1" s="1"/>
  <c r="T894" i="1" s="1"/>
  <c r="AH894" i="1"/>
  <c r="CV894" i="1" s="1"/>
  <c r="U894" i="1" s="1"/>
  <c r="AI894" i="1"/>
  <c r="AJ894" i="1"/>
  <c r="CX894" i="1" s="1"/>
  <c r="W894" i="1" s="1"/>
  <c r="CS894" i="1"/>
  <c r="V606" i="5" s="1"/>
  <c r="CW894" i="1"/>
  <c r="V894" i="1" s="1"/>
  <c r="FR894" i="1"/>
  <c r="GL894" i="1"/>
  <c r="GN894" i="1"/>
  <c r="GO894" i="1"/>
  <c r="GV894" i="1"/>
  <c r="HC894" i="1"/>
  <c r="GX894" i="1" s="1"/>
  <c r="C895" i="1"/>
  <c r="D895" i="1"/>
  <c r="AC895" i="1"/>
  <c r="AE895" i="1"/>
  <c r="AF895" i="1"/>
  <c r="AG895" i="1"/>
  <c r="CU895" i="1" s="1"/>
  <c r="AH895" i="1"/>
  <c r="AI895" i="1"/>
  <c r="CW895" i="1" s="1"/>
  <c r="AJ895" i="1"/>
  <c r="CV895" i="1"/>
  <c r="CX895" i="1"/>
  <c r="FR895" i="1"/>
  <c r="GL895" i="1"/>
  <c r="GN895" i="1"/>
  <c r="GO895" i="1"/>
  <c r="GV895" i="1"/>
  <c r="HC895" i="1" s="1"/>
  <c r="C896" i="1"/>
  <c r="D896" i="1"/>
  <c r="AC896" i="1"/>
  <c r="AD896" i="1"/>
  <c r="AE896" i="1"/>
  <c r="AF896" i="1"/>
  <c r="AG896" i="1"/>
  <c r="CU896" i="1" s="1"/>
  <c r="AH896" i="1"/>
  <c r="CV896" i="1" s="1"/>
  <c r="AI896" i="1"/>
  <c r="AJ896" i="1"/>
  <c r="CX896" i="1" s="1"/>
  <c r="CQ896" i="1"/>
  <c r="CR896" i="1"/>
  <c r="CS896" i="1"/>
  <c r="CW896" i="1"/>
  <c r="FR896" i="1"/>
  <c r="GL896" i="1"/>
  <c r="GN896" i="1"/>
  <c r="GO896" i="1"/>
  <c r="GV896" i="1"/>
  <c r="HC896" i="1" s="1"/>
  <c r="AC897" i="1"/>
  <c r="AE897" i="1"/>
  <c r="CR897" i="1" s="1"/>
  <c r="AF897" i="1"/>
  <c r="AG897" i="1"/>
  <c r="CU897" i="1" s="1"/>
  <c r="AH897" i="1"/>
  <c r="AI897" i="1"/>
  <c r="CW897" i="1" s="1"/>
  <c r="AJ897" i="1"/>
  <c r="CX897" i="1" s="1"/>
  <c r="CV897" i="1"/>
  <c r="FR897" i="1"/>
  <c r="GL897" i="1"/>
  <c r="GN897" i="1"/>
  <c r="GO897" i="1"/>
  <c r="GV897" i="1"/>
  <c r="HC897" i="1" s="1"/>
  <c r="AC898" i="1"/>
  <c r="AE898" i="1"/>
  <c r="AF898" i="1"/>
  <c r="CT898" i="1" s="1"/>
  <c r="S898" i="1" s="1"/>
  <c r="AG898" i="1"/>
  <c r="AH898" i="1"/>
  <c r="CV898" i="1" s="1"/>
  <c r="U898" i="1" s="1"/>
  <c r="AI898" i="1"/>
  <c r="CW898" i="1" s="1"/>
  <c r="V898" i="1" s="1"/>
  <c r="AJ898" i="1"/>
  <c r="CX898" i="1" s="1"/>
  <c r="W898" i="1" s="1"/>
  <c r="CQ898" i="1"/>
  <c r="P898" i="1" s="1"/>
  <c r="CU898" i="1"/>
  <c r="T898" i="1" s="1"/>
  <c r="FR898" i="1"/>
  <c r="GL898" i="1"/>
  <c r="GN898" i="1"/>
  <c r="GO898" i="1"/>
  <c r="GV898" i="1"/>
  <c r="HC898" i="1" s="1"/>
  <c r="GX898" i="1" s="1"/>
  <c r="B900" i="1"/>
  <c r="B887" i="1" s="1"/>
  <c r="C900" i="1"/>
  <c r="C887" i="1" s="1"/>
  <c r="D900" i="1"/>
  <c r="D887" i="1" s="1"/>
  <c r="F900" i="1"/>
  <c r="F887" i="1" s="1"/>
  <c r="G900" i="1"/>
  <c r="BX900" i="1"/>
  <c r="BX887" i="1" s="1"/>
  <c r="CK900" i="1"/>
  <c r="BB900" i="1" s="1"/>
  <c r="CL900" i="1"/>
  <c r="CL887" i="1" s="1"/>
  <c r="CM900" i="1"/>
  <c r="CM887" i="1" s="1"/>
  <c r="F913" i="1"/>
  <c r="D930" i="1"/>
  <c r="E932" i="1"/>
  <c r="Z932" i="1"/>
  <c r="AA932" i="1"/>
  <c r="AM932" i="1"/>
  <c r="AN932" i="1"/>
  <c r="BE932" i="1"/>
  <c r="BF932" i="1"/>
  <c r="BG932" i="1"/>
  <c r="BH932" i="1"/>
  <c r="BI932" i="1"/>
  <c r="BJ932" i="1"/>
  <c r="BK932" i="1"/>
  <c r="BL932" i="1"/>
  <c r="BM932" i="1"/>
  <c r="BN932" i="1"/>
  <c r="BO932" i="1"/>
  <c r="BP932" i="1"/>
  <c r="BQ932" i="1"/>
  <c r="BR932" i="1"/>
  <c r="BS932" i="1"/>
  <c r="BT932" i="1"/>
  <c r="BU932" i="1"/>
  <c r="BV932" i="1"/>
  <c r="BW932" i="1"/>
  <c r="CN932" i="1"/>
  <c r="CO932" i="1"/>
  <c r="CP932" i="1"/>
  <c r="CQ932" i="1"/>
  <c r="CR932" i="1"/>
  <c r="CS932" i="1"/>
  <c r="CT932" i="1"/>
  <c r="CU932" i="1"/>
  <c r="CV932" i="1"/>
  <c r="CW932" i="1"/>
  <c r="CX932" i="1"/>
  <c r="CY932" i="1"/>
  <c r="CZ932" i="1"/>
  <c r="DA932" i="1"/>
  <c r="DB932" i="1"/>
  <c r="DC932" i="1"/>
  <c r="DD932" i="1"/>
  <c r="DE932" i="1"/>
  <c r="DF932" i="1"/>
  <c r="DG932" i="1"/>
  <c r="DH932" i="1"/>
  <c r="DI932" i="1"/>
  <c r="DJ932" i="1"/>
  <c r="DK932" i="1"/>
  <c r="DL932" i="1"/>
  <c r="DM932" i="1"/>
  <c r="DN932" i="1"/>
  <c r="DO932" i="1"/>
  <c r="DP932" i="1"/>
  <c r="DQ932" i="1"/>
  <c r="DR932" i="1"/>
  <c r="DS932" i="1"/>
  <c r="DT932" i="1"/>
  <c r="DU932" i="1"/>
  <c r="DV932" i="1"/>
  <c r="DW932" i="1"/>
  <c r="DX932" i="1"/>
  <c r="DY932" i="1"/>
  <c r="DZ932" i="1"/>
  <c r="EA932" i="1"/>
  <c r="EB932" i="1"/>
  <c r="EC932" i="1"/>
  <c r="ED932" i="1"/>
  <c r="EE932" i="1"/>
  <c r="EF932" i="1"/>
  <c r="EG932" i="1"/>
  <c r="EH932" i="1"/>
  <c r="EI932" i="1"/>
  <c r="EJ932" i="1"/>
  <c r="EK932" i="1"/>
  <c r="EL932" i="1"/>
  <c r="EM932" i="1"/>
  <c r="EN932" i="1"/>
  <c r="EO932" i="1"/>
  <c r="EP932" i="1"/>
  <c r="EQ932" i="1"/>
  <c r="ER932" i="1"/>
  <c r="ES932" i="1"/>
  <c r="ET932" i="1"/>
  <c r="EU932" i="1"/>
  <c r="EV932" i="1"/>
  <c r="EW932" i="1"/>
  <c r="EX932" i="1"/>
  <c r="EY932" i="1"/>
  <c r="EZ932" i="1"/>
  <c r="FA932" i="1"/>
  <c r="FB932" i="1"/>
  <c r="FC932" i="1"/>
  <c r="FD932" i="1"/>
  <c r="FE932" i="1"/>
  <c r="FF932" i="1"/>
  <c r="FG932" i="1"/>
  <c r="FH932" i="1"/>
  <c r="FI932" i="1"/>
  <c r="FJ932" i="1"/>
  <c r="FK932" i="1"/>
  <c r="FL932" i="1"/>
  <c r="FM932" i="1"/>
  <c r="FN932" i="1"/>
  <c r="FO932" i="1"/>
  <c r="FP932" i="1"/>
  <c r="FQ932" i="1"/>
  <c r="FR932" i="1"/>
  <c r="FS932" i="1"/>
  <c r="FT932" i="1"/>
  <c r="FU932" i="1"/>
  <c r="FV932" i="1"/>
  <c r="FW932" i="1"/>
  <c r="FX932" i="1"/>
  <c r="FY932" i="1"/>
  <c r="FZ932" i="1"/>
  <c r="GA932" i="1"/>
  <c r="GB932" i="1"/>
  <c r="GC932" i="1"/>
  <c r="GD932" i="1"/>
  <c r="GE932" i="1"/>
  <c r="GF932" i="1"/>
  <c r="GG932" i="1"/>
  <c r="GH932" i="1"/>
  <c r="GI932" i="1"/>
  <c r="GJ932" i="1"/>
  <c r="GK932" i="1"/>
  <c r="GL932" i="1"/>
  <c r="GM932" i="1"/>
  <c r="GN932" i="1"/>
  <c r="GO932" i="1"/>
  <c r="GP932" i="1"/>
  <c r="GQ932" i="1"/>
  <c r="GR932" i="1"/>
  <c r="GS932" i="1"/>
  <c r="GT932" i="1"/>
  <c r="GU932" i="1"/>
  <c r="GV932" i="1"/>
  <c r="GW932" i="1"/>
  <c r="GX932" i="1"/>
  <c r="C934" i="1"/>
  <c r="D934" i="1"/>
  <c r="I934" i="1"/>
  <c r="AC934" i="1"/>
  <c r="AE934" i="1"/>
  <c r="AF934" i="1"/>
  <c r="AG934" i="1"/>
  <c r="CU934" i="1" s="1"/>
  <c r="AH934" i="1"/>
  <c r="AI934" i="1"/>
  <c r="CW934" i="1" s="1"/>
  <c r="V934" i="1" s="1"/>
  <c r="AJ934" i="1"/>
  <c r="CX934" i="1" s="1"/>
  <c r="W934" i="1" s="1"/>
  <c r="CV934" i="1"/>
  <c r="U934" i="1" s="1"/>
  <c r="K632" i="5" s="1"/>
  <c r="FR934" i="1"/>
  <c r="GL934" i="1"/>
  <c r="GN934" i="1"/>
  <c r="GO934" i="1"/>
  <c r="GV934" i="1"/>
  <c r="HC934" i="1" s="1"/>
  <c r="C935" i="1"/>
  <c r="D935" i="1"/>
  <c r="I935" i="1"/>
  <c r="AC935" i="1"/>
  <c r="AE935" i="1"/>
  <c r="AF935" i="1"/>
  <c r="AG935" i="1"/>
  <c r="CU935" i="1" s="1"/>
  <c r="AH935" i="1"/>
  <c r="CV935" i="1" s="1"/>
  <c r="U935" i="1" s="1"/>
  <c r="K639" i="5" s="1"/>
  <c r="AI935" i="1"/>
  <c r="CW935" i="1" s="1"/>
  <c r="AJ935" i="1"/>
  <c r="CX935" i="1"/>
  <c r="W935" i="1" s="1"/>
  <c r="FR935" i="1"/>
  <c r="GL935" i="1"/>
  <c r="GN935" i="1"/>
  <c r="GO935" i="1"/>
  <c r="GV935" i="1"/>
  <c r="HC935" i="1" s="1"/>
  <c r="C936" i="1"/>
  <c r="D936" i="1"/>
  <c r="U936" i="1"/>
  <c r="K649" i="5" s="1"/>
  <c r="AC936" i="1"/>
  <c r="AE936" i="1"/>
  <c r="AF936" i="1"/>
  <c r="AG936" i="1"/>
  <c r="CU936" i="1" s="1"/>
  <c r="T936" i="1" s="1"/>
  <c r="AH936" i="1"/>
  <c r="AI936" i="1"/>
  <c r="CW936" i="1" s="1"/>
  <c r="V936" i="1" s="1"/>
  <c r="AJ936" i="1"/>
  <c r="CX936" i="1" s="1"/>
  <c r="W936" i="1" s="1"/>
  <c r="CT936" i="1"/>
  <c r="S936" i="1" s="1"/>
  <c r="J643" i="5" s="1"/>
  <c r="CV936" i="1"/>
  <c r="FR936" i="1"/>
  <c r="GL936" i="1"/>
  <c r="GN936" i="1"/>
  <c r="GO936" i="1"/>
  <c r="GV936" i="1"/>
  <c r="HC936" i="1" s="1"/>
  <c r="GX936" i="1" s="1"/>
  <c r="I937" i="1"/>
  <c r="AC937" i="1"/>
  <c r="AE937" i="1"/>
  <c r="CR937" i="1" s="1"/>
  <c r="AF937" i="1"/>
  <c r="CT937" i="1" s="1"/>
  <c r="AG937" i="1"/>
  <c r="CU937" i="1" s="1"/>
  <c r="AH937" i="1"/>
  <c r="AI937" i="1"/>
  <c r="CW937" i="1" s="1"/>
  <c r="AJ937" i="1"/>
  <c r="CX937" i="1" s="1"/>
  <c r="CV937" i="1"/>
  <c r="FR937" i="1"/>
  <c r="GL937" i="1"/>
  <c r="GN937" i="1"/>
  <c r="GO937" i="1"/>
  <c r="GV937" i="1"/>
  <c r="HC937" i="1" s="1"/>
  <c r="P938" i="1"/>
  <c r="AC938" i="1"/>
  <c r="AE938" i="1"/>
  <c r="AF938" i="1"/>
  <c r="AG938" i="1"/>
  <c r="AH938" i="1"/>
  <c r="CV938" i="1" s="1"/>
  <c r="U938" i="1" s="1"/>
  <c r="AI938" i="1"/>
  <c r="CW938" i="1" s="1"/>
  <c r="V938" i="1" s="1"/>
  <c r="AJ938" i="1"/>
  <c r="CX938" i="1" s="1"/>
  <c r="W938" i="1" s="1"/>
  <c r="CQ938" i="1"/>
  <c r="CS938" i="1"/>
  <c r="CU938" i="1"/>
  <c r="T938" i="1" s="1"/>
  <c r="FR938" i="1"/>
  <c r="GL938" i="1"/>
  <c r="GN938" i="1"/>
  <c r="GO938" i="1"/>
  <c r="GV938" i="1"/>
  <c r="HC938" i="1" s="1"/>
  <c r="GX938" i="1" s="1"/>
  <c r="U939" i="1"/>
  <c r="AC939" i="1"/>
  <c r="AE939" i="1"/>
  <c r="AF939" i="1"/>
  <c r="AG939" i="1"/>
  <c r="CU939" i="1" s="1"/>
  <c r="T939" i="1" s="1"/>
  <c r="AH939" i="1"/>
  <c r="AI939" i="1"/>
  <c r="CW939" i="1" s="1"/>
  <c r="V939" i="1" s="1"/>
  <c r="AJ939" i="1"/>
  <c r="CT939" i="1"/>
  <c r="S939" i="1" s="1"/>
  <c r="CV939" i="1"/>
  <c r="CX939" i="1"/>
  <c r="W939" i="1" s="1"/>
  <c r="FR939" i="1"/>
  <c r="GL939" i="1"/>
  <c r="GN939" i="1"/>
  <c r="GO939" i="1"/>
  <c r="GV939" i="1"/>
  <c r="HC939" i="1" s="1"/>
  <c r="GX939" i="1" s="1"/>
  <c r="C940" i="1"/>
  <c r="D940" i="1"/>
  <c r="I940" i="1"/>
  <c r="I942" i="1" s="1"/>
  <c r="AC940" i="1"/>
  <c r="AE940" i="1"/>
  <c r="AF940" i="1"/>
  <c r="AG940" i="1"/>
  <c r="CU940" i="1" s="1"/>
  <c r="AH940" i="1"/>
  <c r="AI940" i="1"/>
  <c r="CW940" i="1" s="1"/>
  <c r="AJ940" i="1"/>
  <c r="CX940" i="1" s="1"/>
  <c r="W940" i="1" s="1"/>
  <c r="CV940" i="1"/>
  <c r="U940" i="1" s="1"/>
  <c r="K661" i="5" s="1"/>
  <c r="FR940" i="1"/>
  <c r="GL940" i="1"/>
  <c r="GN940" i="1"/>
  <c r="GO940" i="1"/>
  <c r="GV940" i="1"/>
  <c r="HC940" i="1" s="1"/>
  <c r="I941" i="1"/>
  <c r="AC941" i="1"/>
  <c r="AE941" i="1"/>
  <c r="AF941" i="1"/>
  <c r="AG941" i="1"/>
  <c r="CU941" i="1" s="1"/>
  <c r="AH941" i="1"/>
  <c r="AI941" i="1"/>
  <c r="CW941" i="1" s="1"/>
  <c r="AJ941" i="1"/>
  <c r="CX941" i="1" s="1"/>
  <c r="W941" i="1" s="1"/>
  <c r="CV941" i="1"/>
  <c r="FR941" i="1"/>
  <c r="GL941" i="1"/>
  <c r="GN941" i="1"/>
  <c r="GO941" i="1"/>
  <c r="GV941" i="1"/>
  <c r="HC941" i="1" s="1"/>
  <c r="GX941" i="1" s="1"/>
  <c r="AC942" i="1"/>
  <c r="AE942" i="1"/>
  <c r="AF942" i="1"/>
  <c r="CT942" i="1" s="1"/>
  <c r="AG942" i="1"/>
  <c r="CU942" i="1" s="1"/>
  <c r="AH942" i="1"/>
  <c r="CV942" i="1" s="1"/>
  <c r="U942" i="1" s="1"/>
  <c r="AI942" i="1"/>
  <c r="CW942" i="1" s="1"/>
  <c r="AJ942" i="1"/>
  <c r="CX942" i="1" s="1"/>
  <c r="FR942" i="1"/>
  <c r="GL942" i="1"/>
  <c r="GN942" i="1"/>
  <c r="GO942" i="1"/>
  <c r="GV942" i="1"/>
  <c r="HC942" i="1" s="1"/>
  <c r="AC943" i="1"/>
  <c r="AD943" i="1"/>
  <c r="AE943" i="1"/>
  <c r="AF943" i="1"/>
  <c r="AG943" i="1"/>
  <c r="AH943" i="1"/>
  <c r="CV943" i="1" s="1"/>
  <c r="U943" i="1" s="1"/>
  <c r="AI943" i="1"/>
  <c r="CW943" i="1" s="1"/>
  <c r="V943" i="1" s="1"/>
  <c r="AJ943" i="1"/>
  <c r="CX943" i="1" s="1"/>
  <c r="W943" i="1" s="1"/>
  <c r="CQ943" i="1"/>
  <c r="P943" i="1" s="1"/>
  <c r="CR943" i="1"/>
  <c r="Q943" i="1" s="1"/>
  <c r="CS943" i="1"/>
  <c r="CU943" i="1"/>
  <c r="T943" i="1" s="1"/>
  <c r="FR943" i="1"/>
  <c r="GL943" i="1"/>
  <c r="GO943" i="1"/>
  <c r="GP943" i="1"/>
  <c r="GV943" i="1"/>
  <c r="HC943" i="1" s="1"/>
  <c r="GX943" i="1" s="1"/>
  <c r="C944" i="1"/>
  <c r="D944" i="1"/>
  <c r="I944" i="1"/>
  <c r="V944" i="1" s="1"/>
  <c r="AC944" i="1"/>
  <c r="AD944" i="1"/>
  <c r="AE944" i="1"/>
  <c r="AF944" i="1"/>
  <c r="AG944" i="1"/>
  <c r="AH944" i="1"/>
  <c r="CV944" i="1" s="1"/>
  <c r="U944" i="1" s="1"/>
  <c r="K673" i="5" s="1"/>
  <c r="AI944" i="1"/>
  <c r="AJ944" i="1"/>
  <c r="CX944" i="1" s="1"/>
  <c r="CQ944" i="1"/>
  <c r="CR944" i="1"/>
  <c r="Q944" i="1" s="1"/>
  <c r="J667" i="5" s="1"/>
  <c r="CS944" i="1"/>
  <c r="CU944" i="1"/>
  <c r="CW944" i="1"/>
  <c r="FR944" i="1"/>
  <c r="GL944" i="1"/>
  <c r="GN944" i="1"/>
  <c r="GO944" i="1"/>
  <c r="GV944" i="1"/>
  <c r="HC944" i="1" s="1"/>
  <c r="C945" i="1"/>
  <c r="D945" i="1"/>
  <c r="AC945" i="1"/>
  <c r="AE945" i="1"/>
  <c r="AF945" i="1"/>
  <c r="AG945" i="1"/>
  <c r="CU945" i="1" s="1"/>
  <c r="AH945" i="1"/>
  <c r="CV945" i="1" s="1"/>
  <c r="AI945" i="1"/>
  <c r="AJ945" i="1"/>
  <c r="CX945" i="1" s="1"/>
  <c r="CQ945" i="1"/>
  <c r="CS945" i="1"/>
  <c r="CW945" i="1"/>
  <c r="FR945" i="1"/>
  <c r="GL945" i="1"/>
  <c r="GN945" i="1"/>
  <c r="GO945" i="1"/>
  <c r="GV945" i="1"/>
  <c r="HC945" i="1"/>
  <c r="C946" i="1"/>
  <c r="P946" i="1"/>
  <c r="V946" i="1"/>
  <c r="AC946" i="1"/>
  <c r="AD946" i="1"/>
  <c r="AE946" i="1"/>
  <c r="AF946" i="1"/>
  <c r="CT946" i="1" s="1"/>
  <c r="S946" i="1" s="1"/>
  <c r="CZ946" i="1" s="1"/>
  <c r="Y946" i="1" s="1"/>
  <c r="AG946" i="1"/>
  <c r="AH946" i="1"/>
  <c r="CV946" i="1" s="1"/>
  <c r="U946" i="1" s="1"/>
  <c r="AI946" i="1"/>
  <c r="AJ946" i="1"/>
  <c r="CX946" i="1" s="1"/>
  <c r="W946" i="1" s="1"/>
  <c r="CQ946" i="1"/>
  <c r="CR946" i="1"/>
  <c r="Q946" i="1" s="1"/>
  <c r="CS946" i="1"/>
  <c r="R946" i="1" s="1"/>
  <c r="GK946" i="1" s="1"/>
  <c r="CU946" i="1"/>
  <c r="T946" i="1" s="1"/>
  <c r="CW946" i="1"/>
  <c r="FR946" i="1"/>
  <c r="GL946" i="1"/>
  <c r="GN946" i="1"/>
  <c r="GO946" i="1"/>
  <c r="GV946" i="1"/>
  <c r="HC946" i="1" s="1"/>
  <c r="GX946" i="1" s="1"/>
  <c r="I947" i="1"/>
  <c r="AC947" i="1"/>
  <c r="CQ947" i="1" s="1"/>
  <c r="AE947" i="1"/>
  <c r="AD947" i="1" s="1"/>
  <c r="AF947" i="1"/>
  <c r="CT947" i="1" s="1"/>
  <c r="S947" i="1" s="1"/>
  <c r="CZ947" i="1" s="1"/>
  <c r="Y947" i="1" s="1"/>
  <c r="AG947" i="1"/>
  <c r="CU947" i="1" s="1"/>
  <c r="T947" i="1" s="1"/>
  <c r="AH947" i="1"/>
  <c r="CV947" i="1" s="1"/>
  <c r="U947" i="1" s="1"/>
  <c r="AI947" i="1"/>
  <c r="AJ947" i="1"/>
  <c r="CX947" i="1" s="1"/>
  <c r="W947" i="1" s="1"/>
  <c r="CS947" i="1"/>
  <c r="R947" i="1" s="1"/>
  <c r="GK947" i="1" s="1"/>
  <c r="CW947" i="1"/>
  <c r="V947" i="1" s="1"/>
  <c r="FR947" i="1"/>
  <c r="GL947" i="1"/>
  <c r="GN947" i="1"/>
  <c r="GO947" i="1"/>
  <c r="GV947" i="1"/>
  <c r="HC947" i="1"/>
  <c r="I948" i="1"/>
  <c r="P948" i="1"/>
  <c r="AC948" i="1"/>
  <c r="AE948" i="1"/>
  <c r="AD948" i="1" s="1"/>
  <c r="AB948" i="1" s="1"/>
  <c r="AF948" i="1"/>
  <c r="CT948" i="1" s="1"/>
  <c r="AG948" i="1"/>
  <c r="CU948" i="1" s="1"/>
  <c r="T948" i="1" s="1"/>
  <c r="AH948" i="1"/>
  <c r="CV948" i="1" s="1"/>
  <c r="U948" i="1" s="1"/>
  <c r="AI948" i="1"/>
  <c r="CW948" i="1" s="1"/>
  <c r="V948" i="1" s="1"/>
  <c r="AJ948" i="1"/>
  <c r="CX948" i="1" s="1"/>
  <c r="CQ948" i="1"/>
  <c r="CS948" i="1"/>
  <c r="R948" i="1" s="1"/>
  <c r="GK948" i="1" s="1"/>
  <c r="FR948" i="1"/>
  <c r="GL948" i="1"/>
  <c r="GN948" i="1"/>
  <c r="GO948" i="1"/>
  <c r="GV948" i="1"/>
  <c r="HC948" i="1" s="1"/>
  <c r="GX948" i="1"/>
  <c r="C949" i="1"/>
  <c r="P949" i="1"/>
  <c r="AC949" i="1"/>
  <c r="AD949" i="1"/>
  <c r="AE949" i="1"/>
  <c r="AF949" i="1"/>
  <c r="CT949" i="1" s="1"/>
  <c r="S949" i="1" s="1"/>
  <c r="CZ949" i="1" s="1"/>
  <c r="Y949" i="1" s="1"/>
  <c r="AG949" i="1"/>
  <c r="AH949" i="1"/>
  <c r="CV949" i="1" s="1"/>
  <c r="U949" i="1" s="1"/>
  <c r="AI949" i="1"/>
  <c r="CW949" i="1" s="1"/>
  <c r="V949" i="1" s="1"/>
  <c r="AJ949" i="1"/>
  <c r="CX949" i="1" s="1"/>
  <c r="W949" i="1" s="1"/>
  <c r="CQ949" i="1"/>
  <c r="CR949" i="1"/>
  <c r="Q949" i="1" s="1"/>
  <c r="CS949" i="1"/>
  <c r="R949" i="1" s="1"/>
  <c r="GK949" i="1" s="1"/>
  <c r="CU949" i="1"/>
  <c r="T949" i="1" s="1"/>
  <c r="FR949" i="1"/>
  <c r="GL949" i="1"/>
  <c r="GN949" i="1"/>
  <c r="GO949" i="1"/>
  <c r="GV949" i="1"/>
  <c r="HC949" i="1" s="1"/>
  <c r="GX949" i="1" s="1"/>
  <c r="I950" i="1"/>
  <c r="AC950" i="1"/>
  <c r="AE950" i="1"/>
  <c r="AD950" i="1" s="1"/>
  <c r="AB950" i="1" s="1"/>
  <c r="AF950" i="1"/>
  <c r="CT950" i="1" s="1"/>
  <c r="AG950" i="1"/>
  <c r="CU950" i="1" s="1"/>
  <c r="T950" i="1" s="1"/>
  <c r="AH950" i="1"/>
  <c r="CV950" i="1" s="1"/>
  <c r="AI950" i="1"/>
  <c r="AJ950" i="1"/>
  <c r="CX950" i="1" s="1"/>
  <c r="CQ950" i="1"/>
  <c r="P950" i="1" s="1"/>
  <c r="CS950" i="1"/>
  <c r="CW950" i="1"/>
  <c r="V950" i="1" s="1"/>
  <c r="FR950" i="1"/>
  <c r="GL950" i="1"/>
  <c r="GN950" i="1"/>
  <c r="GO950" i="1"/>
  <c r="GV950" i="1"/>
  <c r="HC950" i="1" s="1"/>
  <c r="I951" i="1"/>
  <c r="R951" i="1" s="1"/>
  <c r="GK951" i="1" s="1"/>
  <c r="AC951" i="1"/>
  <c r="AD951" i="1"/>
  <c r="AB951" i="1" s="1"/>
  <c r="AE951" i="1"/>
  <c r="AF951" i="1"/>
  <c r="CT951" i="1" s="1"/>
  <c r="AG951" i="1"/>
  <c r="AH951" i="1"/>
  <c r="CV951" i="1" s="1"/>
  <c r="U951" i="1" s="1"/>
  <c r="AI951" i="1"/>
  <c r="AJ951" i="1"/>
  <c r="CX951" i="1" s="1"/>
  <c r="CQ951" i="1"/>
  <c r="CR951" i="1"/>
  <c r="Q951" i="1" s="1"/>
  <c r="CS951" i="1"/>
  <c r="CU951" i="1"/>
  <c r="T951" i="1" s="1"/>
  <c r="CW951" i="1"/>
  <c r="FR951" i="1"/>
  <c r="GL951" i="1"/>
  <c r="GN951" i="1"/>
  <c r="GO951" i="1"/>
  <c r="GV951" i="1"/>
  <c r="HC951" i="1" s="1"/>
  <c r="U952" i="1"/>
  <c r="AC952" i="1"/>
  <c r="AE952" i="1"/>
  <c r="AF952" i="1"/>
  <c r="AG952" i="1"/>
  <c r="CU952" i="1" s="1"/>
  <c r="T952" i="1" s="1"/>
  <c r="AH952" i="1"/>
  <c r="AI952" i="1"/>
  <c r="CW952" i="1" s="1"/>
  <c r="V952" i="1" s="1"/>
  <c r="AJ952" i="1"/>
  <c r="CT952" i="1"/>
  <c r="S952" i="1" s="1"/>
  <c r="CV952" i="1"/>
  <c r="CX952" i="1"/>
  <c r="W952" i="1" s="1"/>
  <c r="FR952" i="1"/>
  <c r="GL952" i="1"/>
  <c r="GN952" i="1"/>
  <c r="GO952" i="1"/>
  <c r="GV952" i="1"/>
  <c r="HC952" i="1" s="1"/>
  <c r="GX952" i="1" s="1"/>
  <c r="P953" i="1"/>
  <c r="AC953" i="1"/>
  <c r="AD953" i="1"/>
  <c r="AE953" i="1"/>
  <c r="AF953" i="1"/>
  <c r="CT953" i="1" s="1"/>
  <c r="S953" i="1" s="1"/>
  <c r="CZ953" i="1" s="1"/>
  <c r="Y953" i="1" s="1"/>
  <c r="AG953" i="1"/>
  <c r="AH953" i="1"/>
  <c r="CV953" i="1" s="1"/>
  <c r="U953" i="1" s="1"/>
  <c r="AI953" i="1"/>
  <c r="CW953" i="1" s="1"/>
  <c r="V953" i="1" s="1"/>
  <c r="AJ953" i="1"/>
  <c r="CX953" i="1" s="1"/>
  <c r="W953" i="1" s="1"/>
  <c r="CQ953" i="1"/>
  <c r="CR953" i="1"/>
  <c r="Q953" i="1" s="1"/>
  <c r="CS953" i="1"/>
  <c r="R953" i="1" s="1"/>
  <c r="GK953" i="1" s="1"/>
  <c r="CU953" i="1"/>
  <c r="T953" i="1" s="1"/>
  <c r="FR953" i="1"/>
  <c r="GL953" i="1"/>
  <c r="GN953" i="1"/>
  <c r="GO953" i="1"/>
  <c r="GV953" i="1"/>
  <c r="HC953" i="1" s="1"/>
  <c r="GX953" i="1"/>
  <c r="B955" i="1"/>
  <c r="B932" i="1" s="1"/>
  <c r="C955" i="1"/>
  <c r="C932" i="1" s="1"/>
  <c r="D955" i="1"/>
  <c r="D932" i="1" s="1"/>
  <c r="F955" i="1"/>
  <c r="F932" i="1" s="1"/>
  <c r="G955" i="1"/>
  <c r="BX955" i="1"/>
  <c r="AO955" i="1" s="1"/>
  <c r="CK955" i="1"/>
  <c r="CK932" i="1" s="1"/>
  <c r="CL955" i="1"/>
  <c r="CL932" i="1" s="1"/>
  <c r="CM955" i="1"/>
  <c r="CM932" i="1" s="1"/>
  <c r="B985" i="1"/>
  <c r="B883" i="1" s="1"/>
  <c r="C985" i="1"/>
  <c r="C883" i="1" s="1"/>
  <c r="D985" i="1"/>
  <c r="D883" i="1" s="1"/>
  <c r="F985" i="1"/>
  <c r="F883" i="1" s="1"/>
  <c r="G985" i="1"/>
  <c r="B1015" i="1"/>
  <c r="B879" i="1" s="1"/>
  <c r="C1015" i="1"/>
  <c r="C879" i="1" s="1"/>
  <c r="D1015" i="1"/>
  <c r="D879" i="1" s="1"/>
  <c r="F1015" i="1"/>
  <c r="F879" i="1" s="1"/>
  <c r="G1015" i="1"/>
  <c r="B1047" i="1"/>
  <c r="B18" i="1" s="1"/>
  <c r="C1047" i="1"/>
  <c r="C18" i="1" s="1"/>
  <c r="D1047" i="1"/>
  <c r="D18" i="1" s="1"/>
  <c r="F1047" i="1"/>
  <c r="F18" i="1" s="1"/>
  <c r="G1047" i="1"/>
  <c r="AT72" i="1" l="1"/>
  <c r="F112" i="1"/>
  <c r="W942" i="1"/>
  <c r="G18" i="1"/>
  <c r="A3" i="7"/>
  <c r="S942" i="1"/>
  <c r="S658" i="5"/>
  <c r="Q658" i="5"/>
  <c r="E658" i="5"/>
  <c r="D136" i="6"/>
  <c r="Q655" i="5"/>
  <c r="S655" i="5"/>
  <c r="S197" i="8"/>
  <c r="T197" i="8" s="1"/>
  <c r="P197" i="8"/>
  <c r="R197" i="8" s="1"/>
  <c r="U653" i="5"/>
  <c r="Q626" i="5"/>
  <c r="S626" i="5"/>
  <c r="BD900" i="1"/>
  <c r="BD887" i="1" s="1"/>
  <c r="AD898" i="1"/>
  <c r="CR898" i="1"/>
  <c r="Q898" i="1" s="1"/>
  <c r="AD895" i="1"/>
  <c r="CT893" i="1"/>
  <c r="S893" i="1" s="1"/>
  <c r="J601" i="5" s="1"/>
  <c r="S599" i="5"/>
  <c r="Q599" i="5"/>
  <c r="D123" i="6"/>
  <c r="E599" i="5"/>
  <c r="C600" i="5"/>
  <c r="R892" i="1"/>
  <c r="V593" i="5"/>
  <c r="J597" i="5" s="1"/>
  <c r="CT890" i="1"/>
  <c r="S579" i="5"/>
  <c r="Q579" i="5"/>
  <c r="CQ775" i="1"/>
  <c r="K170" i="8"/>
  <c r="N170" i="8"/>
  <c r="CT771" i="1"/>
  <c r="S771" i="1" s="1"/>
  <c r="J526" i="5" s="1"/>
  <c r="S524" i="5"/>
  <c r="Q524" i="5"/>
  <c r="AS732" i="1"/>
  <c r="F751" i="1"/>
  <c r="CB596" i="1"/>
  <c r="R586" i="1"/>
  <c r="J450" i="5" s="1"/>
  <c r="V448" i="5"/>
  <c r="R505" i="1"/>
  <c r="GK505" i="1" s="1"/>
  <c r="V383" i="5"/>
  <c r="CQ505" i="1"/>
  <c r="P505" i="1" s="1"/>
  <c r="J383" i="5" s="1"/>
  <c r="I384" i="5" s="1"/>
  <c r="K121" i="8"/>
  <c r="N121" i="8"/>
  <c r="O121" i="8" s="1"/>
  <c r="Q381" i="5"/>
  <c r="S381" i="5"/>
  <c r="CT504" i="1"/>
  <c r="S504" i="1" s="1"/>
  <c r="CS500" i="1"/>
  <c r="P116" i="8"/>
  <c r="R116" i="8" s="1"/>
  <c r="U373" i="5"/>
  <c r="S116" i="8"/>
  <c r="T116" i="8" s="1"/>
  <c r="AD500" i="1"/>
  <c r="CR500" i="1"/>
  <c r="Q500" i="1" s="1"/>
  <c r="CP463" i="1"/>
  <c r="O463" i="1" s="1"/>
  <c r="J360" i="5"/>
  <c r="I361" i="5" s="1"/>
  <c r="CS462" i="1"/>
  <c r="U356" i="5"/>
  <c r="CR462" i="1"/>
  <c r="Q462" i="1" s="1"/>
  <c r="J357" i="5" s="1"/>
  <c r="I359" i="5" s="1"/>
  <c r="P359" i="5" s="1"/>
  <c r="G883" i="1"/>
  <c r="A203" i="7" s="1"/>
  <c r="A690" i="5"/>
  <c r="CY953" i="1"/>
  <c r="X953" i="1" s="1"/>
  <c r="AB953" i="1"/>
  <c r="CP953" i="1"/>
  <c r="O953" i="1" s="1"/>
  <c r="R950" i="1"/>
  <c r="GK950" i="1" s="1"/>
  <c r="CY949" i="1"/>
  <c r="X949" i="1" s="1"/>
  <c r="AB949" i="1"/>
  <c r="CP949" i="1"/>
  <c r="O949" i="1" s="1"/>
  <c r="GP949" i="1" s="1"/>
  <c r="T944" i="1"/>
  <c r="W944" i="1"/>
  <c r="CT944" i="1"/>
  <c r="S944" i="1" s="1"/>
  <c r="S665" i="5"/>
  <c r="Q665" i="5"/>
  <c r="AB943" i="1"/>
  <c r="R938" i="1"/>
  <c r="GK938" i="1" s="1"/>
  <c r="V651" i="5"/>
  <c r="S196" i="8"/>
  <c r="T196" i="8" s="1"/>
  <c r="P196" i="8"/>
  <c r="R196" i="8" s="1"/>
  <c r="U651" i="5"/>
  <c r="S634" i="5"/>
  <c r="Q634" i="5"/>
  <c r="CT935" i="1"/>
  <c r="S935" i="1" s="1"/>
  <c r="J636" i="5" s="1"/>
  <c r="CR895" i="1"/>
  <c r="CT894" i="1"/>
  <c r="S894" i="1" s="1"/>
  <c r="Q606" i="5"/>
  <c r="S606" i="5"/>
  <c r="R894" i="1"/>
  <c r="J608" i="5" s="1"/>
  <c r="V599" i="5"/>
  <c r="CT892" i="1"/>
  <c r="S892" i="1" s="1"/>
  <c r="CZ892" i="1" s="1"/>
  <c r="Y892" i="1" s="1"/>
  <c r="T593" i="5" s="1"/>
  <c r="S593" i="5"/>
  <c r="Q593" i="5"/>
  <c r="R890" i="1"/>
  <c r="GK890" i="1" s="1"/>
  <c r="V579" i="5"/>
  <c r="R889" i="1"/>
  <c r="V572" i="5"/>
  <c r="G660" i="1"/>
  <c r="A180" i="7" s="1"/>
  <c r="A561" i="5"/>
  <c r="AD781" i="1"/>
  <c r="CS781" i="1"/>
  <c r="R781" i="1" s="1"/>
  <c r="GK781" i="1" s="1"/>
  <c r="Q546" i="5"/>
  <c r="S546" i="5"/>
  <c r="CT775" i="1"/>
  <c r="CT774" i="1"/>
  <c r="U531" i="5"/>
  <c r="CR772" i="1"/>
  <c r="Q772" i="1" s="1"/>
  <c r="J532" i="5" s="1"/>
  <c r="I534" i="5" s="1"/>
  <c r="CT770" i="1"/>
  <c r="S770" i="1" s="1"/>
  <c r="S518" i="5"/>
  <c r="Q518" i="5"/>
  <c r="V732" i="1"/>
  <c r="AY698" i="1"/>
  <c r="F708" i="1"/>
  <c r="AU698" i="1"/>
  <c r="F719" i="1"/>
  <c r="F726" i="1"/>
  <c r="X698" i="1"/>
  <c r="F721" i="1"/>
  <c r="T698" i="1"/>
  <c r="P698" i="1"/>
  <c r="F703" i="1"/>
  <c r="BX580" i="1"/>
  <c r="CG596" i="1"/>
  <c r="AD592" i="1"/>
  <c r="AB592" i="1" s="1"/>
  <c r="CR592" i="1"/>
  <c r="Q592" i="1" s="1"/>
  <c r="BY596" i="1"/>
  <c r="AP596" i="1" s="1"/>
  <c r="F605" i="1" s="1"/>
  <c r="U418" i="5"/>
  <c r="AD582" i="1"/>
  <c r="CS582" i="1"/>
  <c r="CR582" i="1"/>
  <c r="Q582" i="1" s="1"/>
  <c r="J421" i="5" s="1"/>
  <c r="CS546" i="1"/>
  <c r="R546" i="1" s="1"/>
  <c r="GK546" i="1" s="1"/>
  <c r="AD546" i="1"/>
  <c r="CR546" i="1"/>
  <c r="Q546" i="1" s="1"/>
  <c r="CT541" i="1"/>
  <c r="S541" i="1" s="1"/>
  <c r="J392" i="5" s="1"/>
  <c r="S390" i="5"/>
  <c r="Q390" i="5"/>
  <c r="CS499" i="1"/>
  <c r="U367" i="5"/>
  <c r="AD499" i="1"/>
  <c r="AB499" i="1" s="1"/>
  <c r="CR499" i="1"/>
  <c r="Q499" i="1" s="1"/>
  <c r="CS461" i="1"/>
  <c r="U352" i="5"/>
  <c r="AD461" i="1"/>
  <c r="CR461" i="1"/>
  <c r="Q461" i="1" s="1"/>
  <c r="J353" i="5" s="1"/>
  <c r="I355" i="5" s="1"/>
  <c r="P355" i="5" s="1"/>
  <c r="AD378" i="1"/>
  <c r="AB378" i="1" s="1"/>
  <c r="CS378" i="1"/>
  <c r="CR378" i="1"/>
  <c r="CQ373" i="1"/>
  <c r="P373" i="1" s="1"/>
  <c r="CJ339" i="1"/>
  <c r="CJ331" i="1" s="1"/>
  <c r="CT334" i="1"/>
  <c r="S334" i="1" s="1"/>
  <c r="J254" i="5" s="1"/>
  <c r="Q253" i="5"/>
  <c r="S253" i="5"/>
  <c r="Q242" i="5"/>
  <c r="S242" i="5"/>
  <c r="CT333" i="1"/>
  <c r="S333" i="1" s="1"/>
  <c r="K67" i="8"/>
  <c r="N67" i="8"/>
  <c r="O67" i="8" s="1"/>
  <c r="CZ255" i="1"/>
  <c r="Y255" i="1" s="1"/>
  <c r="T209" i="5" s="1"/>
  <c r="CY255" i="1"/>
  <c r="X255" i="1" s="1"/>
  <c r="R209" i="5" s="1"/>
  <c r="CC248" i="1"/>
  <c r="AT257" i="1"/>
  <c r="AB178" i="1"/>
  <c r="AD176" i="1"/>
  <c r="CR176" i="1"/>
  <c r="Q176" i="1" s="1"/>
  <c r="D40" i="6"/>
  <c r="I46" i="8"/>
  <c r="I45" i="8"/>
  <c r="E153" i="5"/>
  <c r="K156" i="5"/>
  <c r="CX50" i="3"/>
  <c r="D38" i="6"/>
  <c r="C143" i="5"/>
  <c r="E142" i="5"/>
  <c r="GX169" i="1"/>
  <c r="GK129" i="1"/>
  <c r="J105" i="5"/>
  <c r="CL126" i="1"/>
  <c r="CS32" i="1"/>
  <c r="U36" i="5"/>
  <c r="AD32" i="1"/>
  <c r="CR32" i="1"/>
  <c r="Q32" i="1" s="1"/>
  <c r="J39" i="5" s="1"/>
  <c r="T209" i="8"/>
  <c r="O202" i="8"/>
  <c r="M202" i="8"/>
  <c r="F231" i="7" s="1"/>
  <c r="T149" i="8"/>
  <c r="R149" i="8"/>
  <c r="R152" i="8"/>
  <c r="T152" i="8"/>
  <c r="O145" i="8"/>
  <c r="O133" i="8"/>
  <c r="M133" i="8"/>
  <c r="R134" i="8"/>
  <c r="T134" i="8"/>
  <c r="M135" i="8"/>
  <c r="F148" i="7" s="1"/>
  <c r="O135" i="8"/>
  <c r="T136" i="8"/>
  <c r="R136" i="8"/>
  <c r="O130" i="8"/>
  <c r="M130" i="8"/>
  <c r="M109" i="8"/>
  <c r="F130" i="7" s="1"/>
  <c r="O109" i="8"/>
  <c r="O105" i="8"/>
  <c r="M105" i="8"/>
  <c r="F115" i="7" s="1"/>
  <c r="R75" i="8"/>
  <c r="T75" i="8"/>
  <c r="R78" i="8"/>
  <c r="T78" i="8"/>
  <c r="R42" i="8"/>
  <c r="O35" i="8"/>
  <c r="M35" i="8"/>
  <c r="M26" i="8"/>
  <c r="F43" i="7" s="1"/>
  <c r="O26" i="8"/>
  <c r="R28" i="8"/>
  <c r="T28" i="8"/>
  <c r="G932" i="1"/>
  <c r="A214" i="7" s="1"/>
  <c r="A687" i="5"/>
  <c r="GX950" i="1"/>
  <c r="CR950" i="1"/>
  <c r="Q950" i="1" s="1"/>
  <c r="U950" i="1"/>
  <c r="CR947" i="1"/>
  <c r="Q947" i="1" s="1"/>
  <c r="GX947" i="1"/>
  <c r="CR945" i="1"/>
  <c r="AD945" i="1"/>
  <c r="V665" i="5"/>
  <c r="J672" i="5" s="1"/>
  <c r="U665" i="5"/>
  <c r="R944" i="1"/>
  <c r="K200" i="8"/>
  <c r="N200" i="8"/>
  <c r="O200" i="8" s="1"/>
  <c r="CT941" i="1"/>
  <c r="S941" i="1" s="1"/>
  <c r="T941" i="1"/>
  <c r="U941" i="1"/>
  <c r="CT940" i="1"/>
  <c r="S940" i="1" s="1"/>
  <c r="J656" i="5" s="1"/>
  <c r="T940" i="1"/>
  <c r="S653" i="5"/>
  <c r="Q653" i="5"/>
  <c r="CR938" i="1"/>
  <c r="Q938" i="1" s="1"/>
  <c r="CP938" i="1" s="1"/>
  <c r="O938" i="1" s="1"/>
  <c r="AD938" i="1"/>
  <c r="AB938" i="1" s="1"/>
  <c r="GX935" i="1"/>
  <c r="V935" i="1"/>
  <c r="U634" i="5"/>
  <c r="CT934" i="1"/>
  <c r="S934" i="1" s="1"/>
  <c r="C627" i="5"/>
  <c r="I191" i="8"/>
  <c r="E626" i="5"/>
  <c r="AB896" i="1"/>
  <c r="Q610" i="5"/>
  <c r="CT895" i="1"/>
  <c r="U606" i="5"/>
  <c r="AD894" i="1"/>
  <c r="CR894" i="1"/>
  <c r="Q894" i="1" s="1"/>
  <c r="J607" i="5" s="1"/>
  <c r="I609" i="5" s="1"/>
  <c r="R893" i="1"/>
  <c r="GK893" i="1" s="1"/>
  <c r="U593" i="5"/>
  <c r="AD892" i="1"/>
  <c r="CR892" i="1"/>
  <c r="Q892" i="1" s="1"/>
  <c r="J595" i="5" s="1"/>
  <c r="I598" i="5" s="1"/>
  <c r="P598" i="5" s="1"/>
  <c r="AB891" i="1"/>
  <c r="CT779" i="1"/>
  <c r="S779" i="1" s="1"/>
  <c r="CS779" i="1"/>
  <c r="U546" i="5"/>
  <c r="I174" i="8"/>
  <c r="D194" i="7" s="1"/>
  <c r="I176" i="8"/>
  <c r="D192" i="7" s="1"/>
  <c r="I173" i="8"/>
  <c r="D195" i="7" s="1"/>
  <c r="I171" i="8"/>
  <c r="D199" i="7" s="1"/>
  <c r="I177" i="8"/>
  <c r="D191" i="7" s="1"/>
  <c r="I172" i="8"/>
  <c r="D198" i="7" s="1"/>
  <c r="I175" i="8"/>
  <c r="D193" i="7" s="1"/>
  <c r="E546" i="5"/>
  <c r="D115" i="6"/>
  <c r="C547" i="5"/>
  <c r="AD775" i="1"/>
  <c r="AB775" i="1" s="1"/>
  <c r="S170" i="8"/>
  <c r="P170" i="8"/>
  <c r="CR775" i="1"/>
  <c r="AD773" i="1"/>
  <c r="AB773" i="1" s="1"/>
  <c r="CX194" i="3"/>
  <c r="E524" i="5"/>
  <c r="D110" i="6"/>
  <c r="C525" i="5"/>
  <c r="I773" i="1"/>
  <c r="U773" i="1" s="1"/>
  <c r="V770" i="1"/>
  <c r="U518" i="5"/>
  <c r="CR769" i="1"/>
  <c r="Q769" i="1" s="1"/>
  <c r="F748" i="1"/>
  <c r="F740" i="1"/>
  <c r="BB732" i="1"/>
  <c r="F747" i="1"/>
  <c r="AX732" i="1"/>
  <c r="F741" i="1"/>
  <c r="BB664" i="1"/>
  <c r="F679" i="1"/>
  <c r="AX664" i="1"/>
  <c r="F673" i="1"/>
  <c r="AT664" i="1"/>
  <c r="F684" i="1"/>
  <c r="F675" i="1"/>
  <c r="AP664" i="1"/>
  <c r="S664" i="1"/>
  <c r="F681" i="1"/>
  <c r="F668" i="1"/>
  <c r="O664" i="1"/>
  <c r="CS592" i="1"/>
  <c r="R592" i="1" s="1"/>
  <c r="AD591" i="1"/>
  <c r="CS591" i="1"/>
  <c r="R591" i="1" s="1"/>
  <c r="GK591" i="1" s="1"/>
  <c r="CR591" i="1"/>
  <c r="Q591" i="1" s="1"/>
  <c r="CP591" i="1" s="1"/>
  <c r="O591" i="1" s="1"/>
  <c r="R542" i="1"/>
  <c r="V401" i="5"/>
  <c r="J408" i="5" s="1"/>
  <c r="CC548" i="1"/>
  <c r="AT548" i="1" s="1"/>
  <c r="CC507" i="1"/>
  <c r="CS463" i="1"/>
  <c r="S114" i="8"/>
  <c r="T114" i="8" s="1"/>
  <c r="P114" i="8"/>
  <c r="R114" i="8" s="1"/>
  <c r="U360" i="5"/>
  <c r="CR463" i="1"/>
  <c r="Q463" i="1" s="1"/>
  <c r="CB465" i="1"/>
  <c r="AS465" i="1" s="1"/>
  <c r="BD387" i="1"/>
  <c r="AD380" i="1"/>
  <c r="P99" i="8"/>
  <c r="S99" i="8"/>
  <c r="CS380" i="1"/>
  <c r="CR380" i="1"/>
  <c r="V270" i="5"/>
  <c r="J277" i="5" s="1"/>
  <c r="R373" i="1"/>
  <c r="J274" i="5" s="1"/>
  <c r="S263" i="5"/>
  <c r="Q263" i="5"/>
  <c r="CT335" i="1"/>
  <c r="S335" i="1" s="1"/>
  <c r="N70" i="8"/>
  <c r="O70" i="8" s="1"/>
  <c r="K70" i="8"/>
  <c r="P230" i="5"/>
  <c r="K230" i="5"/>
  <c r="K223" i="5"/>
  <c r="AH299" i="1"/>
  <c r="K208" i="5"/>
  <c r="P208" i="5"/>
  <c r="CY250" i="1"/>
  <c r="X250" i="1" s="1"/>
  <c r="R187" i="5" s="1"/>
  <c r="J191" i="5" s="1"/>
  <c r="J189" i="5"/>
  <c r="BB164" i="1"/>
  <c r="F193" i="1"/>
  <c r="CS176" i="1"/>
  <c r="R176" i="1" s="1"/>
  <c r="W171" i="1"/>
  <c r="S153" i="5"/>
  <c r="Q153" i="5"/>
  <c r="CT171" i="1"/>
  <c r="S171" i="1" s="1"/>
  <c r="W169" i="1"/>
  <c r="CT169" i="1"/>
  <c r="S169" i="1" s="1"/>
  <c r="S142" i="5"/>
  <c r="Q142" i="5"/>
  <c r="CK164" i="1"/>
  <c r="R128" i="1"/>
  <c r="V91" i="5"/>
  <c r="J99" i="5" s="1"/>
  <c r="AH132" i="1"/>
  <c r="K100" i="5"/>
  <c r="CQ92" i="1"/>
  <c r="P92" i="1" s="1"/>
  <c r="J84" i="5" s="1"/>
  <c r="I85" i="5" s="1"/>
  <c r="N22" i="8"/>
  <c r="O22" i="8" s="1"/>
  <c r="K22" i="8"/>
  <c r="K19" i="8"/>
  <c r="N19" i="8"/>
  <c r="O19" i="8" s="1"/>
  <c r="AD77" i="1"/>
  <c r="AB77" i="1" s="1"/>
  <c r="CR77" i="1"/>
  <c r="Q77" i="1" s="1"/>
  <c r="J38" i="5"/>
  <c r="CY32" i="1"/>
  <c r="X32" i="1" s="1"/>
  <c r="R36" i="5" s="1"/>
  <c r="J40" i="5" s="1"/>
  <c r="M175" i="8"/>
  <c r="F193" i="7" s="1"/>
  <c r="O175" i="8"/>
  <c r="T177" i="8"/>
  <c r="R177" i="8"/>
  <c r="T164" i="8"/>
  <c r="R164" i="8"/>
  <c r="P944" i="1"/>
  <c r="I207" i="8"/>
  <c r="D217" i="7" s="1"/>
  <c r="I206" i="8"/>
  <c r="I205" i="8"/>
  <c r="D222" i="7" s="1"/>
  <c r="I203" i="8"/>
  <c r="D230" i="7" s="1"/>
  <c r="I202" i="8"/>
  <c r="D231" i="7" s="1"/>
  <c r="I201" i="8"/>
  <c r="D232" i="7" s="1"/>
  <c r="I204" i="8"/>
  <c r="D138" i="6"/>
  <c r="E665" i="5"/>
  <c r="CT943" i="1"/>
  <c r="S943" i="1" s="1"/>
  <c r="Q663" i="5"/>
  <c r="S663" i="5"/>
  <c r="I199" i="8"/>
  <c r="D224" i="7" s="1"/>
  <c r="I198" i="8"/>
  <c r="D233" i="7" s="1"/>
  <c r="D135" i="6"/>
  <c r="E655" i="5"/>
  <c r="CT897" i="1"/>
  <c r="P773" i="1"/>
  <c r="CT769" i="1"/>
  <c r="S769" i="1" s="1"/>
  <c r="J513" i="5" s="1"/>
  <c r="Q511" i="5"/>
  <c r="S511" i="5"/>
  <c r="G539" i="1"/>
  <c r="A144" i="7" s="1"/>
  <c r="A414" i="5"/>
  <c r="CT459" i="1"/>
  <c r="S459" i="1" s="1"/>
  <c r="J347" i="5" s="1"/>
  <c r="Q346" i="5"/>
  <c r="S346" i="5"/>
  <c r="S338" i="5"/>
  <c r="Q338" i="5"/>
  <c r="CT457" i="1"/>
  <c r="S457" i="1" s="1"/>
  <c r="J340" i="5" s="1"/>
  <c r="AD383" i="1"/>
  <c r="CR383" i="1"/>
  <c r="Q383" i="1" s="1"/>
  <c r="CY382" i="1"/>
  <c r="X382" i="1" s="1"/>
  <c r="CZ382" i="1"/>
  <c r="Y382" i="1" s="1"/>
  <c r="AB380" i="1"/>
  <c r="A238" i="5"/>
  <c r="G289" i="1"/>
  <c r="A77" i="7" s="1"/>
  <c r="S233" i="5"/>
  <c r="Q233" i="5"/>
  <c r="CT296" i="1"/>
  <c r="S296" i="1" s="1"/>
  <c r="J231" i="5"/>
  <c r="I232" i="5" s="1"/>
  <c r="CY294" i="1"/>
  <c r="X294" i="1" s="1"/>
  <c r="R229" i="5" s="1"/>
  <c r="CZ294" i="1"/>
  <c r="Y294" i="1" s="1"/>
  <c r="T229" i="5" s="1"/>
  <c r="U201" i="5"/>
  <c r="AD253" i="1"/>
  <c r="AB253" i="1" s="1"/>
  <c r="CR253" i="1"/>
  <c r="Q253" i="1" s="1"/>
  <c r="J202" i="5" s="1"/>
  <c r="I204" i="5" s="1"/>
  <c r="P204" i="5" s="1"/>
  <c r="G26" i="1"/>
  <c r="A9" i="7" s="1"/>
  <c r="A179" i="5"/>
  <c r="AD175" i="1"/>
  <c r="CR175" i="1"/>
  <c r="Q175" i="1" s="1"/>
  <c r="AD170" i="1"/>
  <c r="AB170" i="1" s="1"/>
  <c r="CR170" i="1"/>
  <c r="R169" i="1"/>
  <c r="GK169" i="1" s="1"/>
  <c r="V142" i="5"/>
  <c r="CT167" i="1"/>
  <c r="S167" i="1" s="1"/>
  <c r="Q129" i="5"/>
  <c r="S129" i="5"/>
  <c r="S21" i="8"/>
  <c r="T21" i="8" s="1"/>
  <c r="P21" i="8"/>
  <c r="R21" i="8" s="1"/>
  <c r="U82" i="5"/>
  <c r="AD91" i="1"/>
  <c r="CR91" i="1"/>
  <c r="Q91" i="1" s="1"/>
  <c r="P79" i="5"/>
  <c r="K79" i="5"/>
  <c r="S76" i="5"/>
  <c r="Q76" i="5"/>
  <c r="CT88" i="1"/>
  <c r="S88" i="1" s="1"/>
  <c r="CY88" i="1" s="1"/>
  <c r="X88" i="1" s="1"/>
  <c r="R76" i="5" s="1"/>
  <c r="CT87" i="1"/>
  <c r="S87" i="1" s="1"/>
  <c r="Q74" i="5"/>
  <c r="S74" i="5"/>
  <c r="AD84" i="1"/>
  <c r="AB84" i="1" s="1"/>
  <c r="CR84" i="1"/>
  <c r="M198" i="8"/>
  <c r="F233" i="7" s="1"/>
  <c r="O198" i="8"/>
  <c r="R191" i="8"/>
  <c r="T191" i="8"/>
  <c r="G879" i="1"/>
  <c r="A202" i="7" s="1"/>
  <c r="AF693" i="5"/>
  <c r="GP953" i="1"/>
  <c r="P951" i="1"/>
  <c r="CR948" i="1"/>
  <c r="Q948" i="1" s="1"/>
  <c r="CT945" i="1"/>
  <c r="S675" i="5"/>
  <c r="R943" i="1"/>
  <c r="GK943" i="1" s="1"/>
  <c r="V663" i="5"/>
  <c r="P200" i="8"/>
  <c r="R200" i="8" s="1"/>
  <c r="U663" i="5"/>
  <c r="S200" i="8"/>
  <c r="T200" i="8" s="1"/>
  <c r="GX942" i="1"/>
  <c r="V942" i="1"/>
  <c r="V941" i="1"/>
  <c r="U658" i="5"/>
  <c r="GX940" i="1"/>
  <c r="CT938" i="1"/>
  <c r="S938" i="1" s="1"/>
  <c r="CZ938" i="1" s="1"/>
  <c r="Y938" i="1" s="1"/>
  <c r="T651" i="5" s="1"/>
  <c r="Q651" i="5"/>
  <c r="S651" i="5"/>
  <c r="U937" i="1"/>
  <c r="S641" i="5"/>
  <c r="Q641" i="5"/>
  <c r="E634" i="5"/>
  <c r="D130" i="6"/>
  <c r="C635" i="5"/>
  <c r="U626" i="5"/>
  <c r="CR934" i="1"/>
  <c r="Q934" i="1" s="1"/>
  <c r="J629" i="5" s="1"/>
  <c r="BX932" i="1"/>
  <c r="G887" i="1"/>
  <c r="A204" i="7" s="1"/>
  <c r="A622" i="5"/>
  <c r="CS898" i="1"/>
  <c r="R898" i="1" s="1"/>
  <c r="GK898" i="1" s="1"/>
  <c r="AD897" i="1"/>
  <c r="P189" i="8"/>
  <c r="S189" i="8"/>
  <c r="CT896" i="1"/>
  <c r="T893" i="1"/>
  <c r="U599" i="5"/>
  <c r="AD893" i="1"/>
  <c r="CR893" i="1"/>
  <c r="Q893" i="1" s="1"/>
  <c r="CP893" i="1" s="1"/>
  <c r="O893" i="1" s="1"/>
  <c r="T891" i="1"/>
  <c r="AD889" i="1"/>
  <c r="AB889" i="1" s="1"/>
  <c r="U572" i="5"/>
  <c r="G22" i="1"/>
  <c r="A8" i="7" s="1"/>
  <c r="CT772" i="1"/>
  <c r="S772" i="1" s="1"/>
  <c r="CZ772" i="1" s="1"/>
  <c r="Y772" i="1" s="1"/>
  <c r="T531" i="5" s="1"/>
  <c r="S531" i="5"/>
  <c r="Q531" i="5"/>
  <c r="I164" i="8"/>
  <c r="I165" i="8"/>
  <c r="E531" i="5"/>
  <c r="D111" i="6"/>
  <c r="R165" i="8"/>
  <c r="U524" i="5"/>
  <c r="CR771" i="1"/>
  <c r="Q771" i="1" s="1"/>
  <c r="CX193" i="3"/>
  <c r="I163" i="8"/>
  <c r="D188" i="7" s="1"/>
  <c r="E518" i="5"/>
  <c r="D109" i="6"/>
  <c r="C519" i="5"/>
  <c r="BD732" i="1"/>
  <c r="F759" i="1"/>
  <c r="AB594" i="1"/>
  <c r="I154" i="8"/>
  <c r="D170" i="7" s="1"/>
  <c r="I153" i="8"/>
  <c r="D171" i="7" s="1"/>
  <c r="I151" i="8"/>
  <c r="D173" i="7" s="1"/>
  <c r="I149" i="8"/>
  <c r="D177" i="7" s="1"/>
  <c r="I155" i="8"/>
  <c r="D169" i="7" s="1"/>
  <c r="I150" i="8"/>
  <c r="D176" i="7" s="1"/>
  <c r="I152" i="8"/>
  <c r="D172" i="7" s="1"/>
  <c r="D101" i="6"/>
  <c r="E463" i="5"/>
  <c r="C464" i="5"/>
  <c r="T154" i="8"/>
  <c r="R150" i="8"/>
  <c r="U435" i="5"/>
  <c r="AD584" i="1"/>
  <c r="CS584" i="1"/>
  <c r="CR584" i="1"/>
  <c r="Q584" i="1" s="1"/>
  <c r="J437" i="5" s="1"/>
  <c r="CT543" i="1"/>
  <c r="S543" i="1" s="1"/>
  <c r="S411" i="5"/>
  <c r="Q411" i="5"/>
  <c r="R501" i="1"/>
  <c r="GK501" i="1" s="1"/>
  <c r="V375" i="5"/>
  <c r="CG465" i="1"/>
  <c r="CG455" i="1" s="1"/>
  <c r="CP462" i="1"/>
  <c r="O462" i="1" s="1"/>
  <c r="GP462" i="1" s="1"/>
  <c r="BZ465" i="1"/>
  <c r="BZ455" i="1" s="1"/>
  <c r="S315" i="5"/>
  <c r="Q315" i="5"/>
  <c r="CT384" i="1"/>
  <c r="S384" i="1" s="1"/>
  <c r="CS383" i="1"/>
  <c r="R383" i="1" s="1"/>
  <c r="AB382" i="1"/>
  <c r="CT375" i="1"/>
  <c r="U280" i="5"/>
  <c r="CS374" i="1"/>
  <c r="BC299" i="1"/>
  <c r="BC289" i="1" s="1"/>
  <c r="CL289" i="1"/>
  <c r="J235" i="5"/>
  <c r="I236" i="5" s="1"/>
  <c r="CS253" i="1"/>
  <c r="V201" i="5" s="1"/>
  <c r="BY257" i="1"/>
  <c r="AP257" i="1" s="1"/>
  <c r="AD178" i="1"/>
  <c r="CR178" i="1"/>
  <c r="Q178" i="1" s="1"/>
  <c r="AB175" i="1"/>
  <c r="AD173" i="1"/>
  <c r="S49" i="8"/>
  <c r="P49" i="8"/>
  <c r="CS173" i="1"/>
  <c r="CR173" i="1"/>
  <c r="P169" i="1"/>
  <c r="R167" i="1"/>
  <c r="GK167" i="1" s="1"/>
  <c r="V129" i="5"/>
  <c r="R166" i="1"/>
  <c r="J123" i="5" s="1"/>
  <c r="V119" i="5"/>
  <c r="J126" i="5" s="1"/>
  <c r="CQ130" i="1"/>
  <c r="P130" i="1" s="1"/>
  <c r="J112" i="5" s="1"/>
  <c r="I113" i="5" s="1"/>
  <c r="K38" i="8"/>
  <c r="N38" i="8"/>
  <c r="O38" i="8" s="1"/>
  <c r="AS132" i="1"/>
  <c r="CB126" i="1"/>
  <c r="CY92" i="1"/>
  <c r="X92" i="1" s="1"/>
  <c r="R84" i="5" s="1"/>
  <c r="CS91" i="1"/>
  <c r="P20" i="8"/>
  <c r="R20" i="8" s="1"/>
  <c r="S20" i="8"/>
  <c r="T20" i="8" s="1"/>
  <c r="U80" i="5"/>
  <c r="CR90" i="1"/>
  <c r="Q90" i="1" s="1"/>
  <c r="AB87" i="1"/>
  <c r="AB85" i="1"/>
  <c r="CS84" i="1"/>
  <c r="R84" i="1" s="1"/>
  <c r="GK84" i="1" s="1"/>
  <c r="S58" i="5"/>
  <c r="Q58" i="5"/>
  <c r="CT38" i="1"/>
  <c r="S38" i="1" s="1"/>
  <c r="T203" i="8"/>
  <c r="T207" i="8"/>
  <c r="R207" i="8"/>
  <c r="G698" i="1"/>
  <c r="A182" i="7" s="1"/>
  <c r="A492" i="5"/>
  <c r="AS698" i="1"/>
  <c r="CC596" i="1"/>
  <c r="GX593" i="1"/>
  <c r="S593" i="1"/>
  <c r="J465" i="5" s="1"/>
  <c r="AD593" i="1"/>
  <c r="U463" i="5"/>
  <c r="CP592" i="1"/>
  <c r="O592" i="1" s="1"/>
  <c r="CT588" i="1"/>
  <c r="CS587" i="1"/>
  <c r="Q448" i="5"/>
  <c r="S448" i="5"/>
  <c r="AB584" i="1"/>
  <c r="AB582" i="1"/>
  <c r="CI548" i="1"/>
  <c r="AZ548" i="1" s="1"/>
  <c r="CP546" i="1"/>
  <c r="O546" i="1" s="1"/>
  <c r="AB546" i="1"/>
  <c r="K137" i="8"/>
  <c r="N137" i="8"/>
  <c r="O137" i="8" s="1"/>
  <c r="CT542" i="1"/>
  <c r="S542" i="1" s="1"/>
  <c r="J402" i="5" s="1"/>
  <c r="S401" i="5"/>
  <c r="Q401" i="5"/>
  <c r="G497" i="1"/>
  <c r="A135" i="7" s="1"/>
  <c r="A386" i="5"/>
  <c r="CT505" i="1"/>
  <c r="S505" i="1" s="1"/>
  <c r="S383" i="5"/>
  <c r="Q383" i="5"/>
  <c r="R504" i="1"/>
  <c r="GK504" i="1" s="1"/>
  <c r="V381" i="5"/>
  <c r="AD504" i="1"/>
  <c r="S379" i="5"/>
  <c r="Q379" i="5"/>
  <c r="AD502" i="1"/>
  <c r="AB502" i="1" s="1"/>
  <c r="P118" i="8"/>
  <c r="R118" i="8" s="1"/>
  <c r="S118" i="8"/>
  <c r="T118" i="8" s="1"/>
  <c r="U377" i="5"/>
  <c r="AB501" i="1"/>
  <c r="S375" i="5"/>
  <c r="Q375" i="5"/>
  <c r="AB500" i="1"/>
  <c r="N116" i="8"/>
  <c r="O116" i="8" s="1"/>
  <c r="K116" i="8"/>
  <c r="I113" i="8"/>
  <c r="D78" i="6"/>
  <c r="E356" i="5"/>
  <c r="I112" i="8"/>
  <c r="O113" i="8"/>
  <c r="CP461" i="1"/>
  <c r="O461" i="1" s="1"/>
  <c r="AB461" i="1"/>
  <c r="CS459" i="1"/>
  <c r="CP459" i="1"/>
  <c r="O459" i="1" s="1"/>
  <c r="CS457" i="1"/>
  <c r="CP457" i="1"/>
  <c r="O457" i="1" s="1"/>
  <c r="F400" i="1"/>
  <c r="G371" i="1"/>
  <c r="A107" i="7" s="1"/>
  <c r="A327" i="5"/>
  <c r="I105" i="8"/>
  <c r="D115" i="7" s="1"/>
  <c r="I103" i="8"/>
  <c r="D117" i="7" s="1"/>
  <c r="I104" i="8"/>
  <c r="D116" i="7" s="1"/>
  <c r="I101" i="8"/>
  <c r="D121" i="7" s="1"/>
  <c r="I100" i="8"/>
  <c r="D122" i="7" s="1"/>
  <c r="I102" i="8"/>
  <c r="D118" i="7" s="1"/>
  <c r="D72" i="6"/>
  <c r="E315" i="5"/>
  <c r="C316" i="5"/>
  <c r="I106" i="8"/>
  <c r="D114" i="7" s="1"/>
  <c r="CR382" i="1"/>
  <c r="Q382" i="1" s="1"/>
  <c r="CT376" i="1"/>
  <c r="Q293" i="5"/>
  <c r="CX103" i="3"/>
  <c r="D65" i="6"/>
  <c r="E280" i="5"/>
  <c r="C281" i="5"/>
  <c r="CT373" i="1"/>
  <c r="S270" i="5"/>
  <c r="Q270" i="5"/>
  <c r="CS337" i="1"/>
  <c r="R337" i="1" s="1"/>
  <c r="GK337" i="1" s="1"/>
  <c r="K88" i="8"/>
  <c r="N88" i="8"/>
  <c r="O88" i="8" s="1"/>
  <c r="R297" i="1"/>
  <c r="GK297" i="1" s="1"/>
  <c r="V235" i="5"/>
  <c r="AD297" i="1"/>
  <c r="AB297" i="1" s="1"/>
  <c r="P72" i="8"/>
  <c r="R72" i="8" s="1"/>
  <c r="S72" i="8"/>
  <c r="T72" i="8" s="1"/>
  <c r="U235" i="5"/>
  <c r="CS296" i="1"/>
  <c r="K71" i="8"/>
  <c r="N71" i="8"/>
  <c r="O71" i="8" s="1"/>
  <c r="R295" i="1"/>
  <c r="GK295" i="1" s="1"/>
  <c r="V231" i="5"/>
  <c r="P70" i="8"/>
  <c r="R70" i="8" s="1"/>
  <c r="S70" i="8"/>
  <c r="T70" i="8" s="1"/>
  <c r="U231" i="5"/>
  <c r="P69" i="8"/>
  <c r="R69" i="8" s="1"/>
  <c r="S69" i="8"/>
  <c r="T69" i="8" s="1"/>
  <c r="U229" i="5"/>
  <c r="AD293" i="1"/>
  <c r="AB293" i="1" s="1"/>
  <c r="S68" i="8"/>
  <c r="T68" i="8" s="1"/>
  <c r="U227" i="5"/>
  <c r="P68" i="8"/>
  <c r="R68" i="8" s="1"/>
  <c r="S67" i="8"/>
  <c r="T67" i="8" s="1"/>
  <c r="P67" i="8"/>
  <c r="R67" i="8" s="1"/>
  <c r="U225" i="5"/>
  <c r="BZ299" i="1"/>
  <c r="S216" i="5"/>
  <c r="Q216" i="5"/>
  <c r="CS255" i="1"/>
  <c r="P64" i="8"/>
  <c r="R64" i="8" s="1"/>
  <c r="S64" i="8"/>
  <c r="T64" i="8" s="1"/>
  <c r="U209" i="5"/>
  <c r="S205" i="5"/>
  <c r="Q205" i="5"/>
  <c r="CB257" i="1"/>
  <c r="CT251" i="1"/>
  <c r="S251" i="1" s="1"/>
  <c r="S195" i="5"/>
  <c r="Q195" i="5"/>
  <c r="CS250" i="1"/>
  <c r="U187" i="5"/>
  <c r="I59" i="8"/>
  <c r="D72" i="7" s="1"/>
  <c r="D46" i="6"/>
  <c r="C188" i="5"/>
  <c r="E187" i="5"/>
  <c r="BD180" i="1"/>
  <c r="BD164" i="1" s="1"/>
  <c r="CQ178" i="1"/>
  <c r="P178" i="1" s="1"/>
  <c r="CP178" i="1" s="1"/>
  <c r="O178" i="1" s="1"/>
  <c r="S164" i="5"/>
  <c r="Q164" i="5"/>
  <c r="CP176" i="1"/>
  <c r="O176" i="1" s="1"/>
  <c r="GP176" i="1" s="1"/>
  <c r="AB176" i="1"/>
  <c r="CQ175" i="1"/>
  <c r="P175" i="1" s="1"/>
  <c r="CR174" i="1"/>
  <c r="Q174" i="1" s="1"/>
  <c r="CP174" i="1" s="1"/>
  <c r="O174" i="1" s="1"/>
  <c r="GP174" i="1" s="1"/>
  <c r="CS171" i="1"/>
  <c r="U169" i="1"/>
  <c r="K147" i="5" s="1"/>
  <c r="V168" i="1"/>
  <c r="AD168" i="1"/>
  <c r="AB168" i="1" s="1"/>
  <c r="CT166" i="1"/>
  <c r="S166" i="1" s="1"/>
  <c r="S119" i="5"/>
  <c r="Q119" i="5"/>
  <c r="D35" i="6"/>
  <c r="I40" i="8"/>
  <c r="D52" i="7" s="1"/>
  <c r="I41" i="8"/>
  <c r="D51" i="7" s="1"/>
  <c r="E119" i="5"/>
  <c r="C120" i="5"/>
  <c r="CT130" i="1"/>
  <c r="S130" i="1" s="1"/>
  <c r="S112" i="5"/>
  <c r="Q112" i="5"/>
  <c r="S102" i="5"/>
  <c r="Q102" i="5"/>
  <c r="AJ132" i="1"/>
  <c r="S91" i="5"/>
  <c r="Q91" i="5"/>
  <c r="I31" i="8"/>
  <c r="D36" i="7" s="1"/>
  <c r="I27" i="8"/>
  <c r="D42" i="7" s="1"/>
  <c r="I30" i="8"/>
  <c r="D37" i="7" s="1"/>
  <c r="I26" i="8"/>
  <c r="D43" i="7" s="1"/>
  <c r="I28" i="8"/>
  <c r="D41" i="7" s="1"/>
  <c r="I25" i="8"/>
  <c r="D45" i="7" s="1"/>
  <c r="D31" i="6"/>
  <c r="I24" i="8"/>
  <c r="D46" i="7" s="1"/>
  <c r="E91" i="5"/>
  <c r="I32" i="8"/>
  <c r="D34" i="7" s="1"/>
  <c r="I29" i="8"/>
  <c r="D38" i="7" s="1"/>
  <c r="C92" i="5"/>
  <c r="BB126" i="1"/>
  <c r="G72" i="1"/>
  <c r="A19" i="7" s="1"/>
  <c r="A87" i="5"/>
  <c r="S84" i="5"/>
  <c r="Q84" i="5"/>
  <c r="J82" i="5"/>
  <c r="I83" i="5" s="1"/>
  <c r="K21" i="8"/>
  <c r="N21" i="8"/>
  <c r="O21" i="8" s="1"/>
  <c r="R89" i="1"/>
  <c r="GK89" i="1" s="1"/>
  <c r="V78" i="5"/>
  <c r="S19" i="8"/>
  <c r="T19" i="8" s="1"/>
  <c r="P19" i="8"/>
  <c r="R19" i="8" s="1"/>
  <c r="U78" i="5"/>
  <c r="N18" i="8"/>
  <c r="O18" i="8" s="1"/>
  <c r="K18" i="8"/>
  <c r="CR87" i="1"/>
  <c r="Q87" i="1" s="1"/>
  <c r="CP87" i="1"/>
  <c r="O87" i="1" s="1"/>
  <c r="J74" i="5"/>
  <c r="I75" i="5" s="1"/>
  <c r="CP77" i="1"/>
  <c r="O77" i="1" s="1"/>
  <c r="R76" i="1"/>
  <c r="GK76" i="1" s="1"/>
  <c r="BC40" i="1"/>
  <c r="N14" i="8"/>
  <c r="O14" i="8" s="1"/>
  <c r="K14" i="8"/>
  <c r="S54" i="5"/>
  <c r="Q54" i="5"/>
  <c r="CT37" i="1"/>
  <c r="S37" i="1" s="1"/>
  <c r="BZ40" i="1"/>
  <c r="AQ40" i="1" s="1"/>
  <c r="AQ30" i="1" s="1"/>
  <c r="O210" i="8"/>
  <c r="M203" i="8"/>
  <c r="F230" i="7" s="1"/>
  <c r="M191" i="8"/>
  <c r="O191" i="8"/>
  <c r="M186" i="8"/>
  <c r="T175" i="8"/>
  <c r="R175" i="8"/>
  <c r="M177" i="8"/>
  <c r="F191" i="7" s="1"/>
  <c r="O177" i="8"/>
  <c r="M164" i="8"/>
  <c r="O164" i="8"/>
  <c r="T161" i="8"/>
  <c r="O149" i="8"/>
  <c r="M149" i="8"/>
  <c r="F177" i="7" s="1"/>
  <c r="R151" i="8"/>
  <c r="T151" i="8"/>
  <c r="M152" i="8"/>
  <c r="F172" i="7" s="1"/>
  <c r="O152" i="8"/>
  <c r="R154" i="8"/>
  <c r="T141" i="8"/>
  <c r="O136" i="8"/>
  <c r="M136" i="8"/>
  <c r="F146" i="7" s="1"/>
  <c r="R124" i="8"/>
  <c r="R127" i="8"/>
  <c r="T127" i="8"/>
  <c r="T130" i="8"/>
  <c r="R130" i="8"/>
  <c r="O111" i="8"/>
  <c r="M111" i="8"/>
  <c r="T109" i="8"/>
  <c r="R109" i="8"/>
  <c r="M103" i="8"/>
  <c r="F117" i="7" s="1"/>
  <c r="O103" i="8"/>
  <c r="T105" i="8"/>
  <c r="R105" i="8"/>
  <c r="M78" i="8"/>
  <c r="F99" i="7" s="1"/>
  <c r="O78" i="8"/>
  <c r="R54" i="8"/>
  <c r="T54" i="8"/>
  <c r="R33" i="8"/>
  <c r="T33" i="8"/>
  <c r="M34" i="8"/>
  <c r="O34" i="8"/>
  <c r="R35" i="8"/>
  <c r="T35" i="8"/>
  <c r="M28" i="8"/>
  <c r="F41" i="7" s="1"/>
  <c r="O28" i="8"/>
  <c r="O16" i="8"/>
  <c r="M16" i="8"/>
  <c r="F21" i="7" s="1"/>
  <c r="E22" i="7" s="1"/>
  <c r="T13" i="8"/>
  <c r="R13" i="8"/>
  <c r="M85" i="8"/>
  <c r="T29" i="8"/>
  <c r="T942" i="1"/>
  <c r="V940" i="1"/>
  <c r="CR940" i="1"/>
  <c r="Q940" i="1" s="1"/>
  <c r="U655" i="5"/>
  <c r="K197" i="8"/>
  <c r="N197" i="8"/>
  <c r="O197" i="8" s="1"/>
  <c r="N196" i="8"/>
  <c r="O196" i="8" s="1"/>
  <c r="K196" i="8"/>
  <c r="CR936" i="1"/>
  <c r="Q936" i="1" s="1"/>
  <c r="J644" i="5" s="1"/>
  <c r="U641" i="5"/>
  <c r="T935" i="1"/>
  <c r="GX934" i="1"/>
  <c r="T934" i="1"/>
  <c r="N189" i="8"/>
  <c r="K189" i="8"/>
  <c r="I184" i="8"/>
  <c r="I183" i="8"/>
  <c r="D124" i="6"/>
  <c r="E606" i="5"/>
  <c r="U893" i="1"/>
  <c r="K604" i="5" s="1"/>
  <c r="CX227" i="3"/>
  <c r="I182" i="8"/>
  <c r="D206" i="7" s="1"/>
  <c r="D122" i="6"/>
  <c r="E593" i="5"/>
  <c r="C594" i="5"/>
  <c r="AD890" i="1"/>
  <c r="AB890" i="1" s="1"/>
  <c r="U579" i="5"/>
  <c r="I181" i="8"/>
  <c r="D209" i="7" s="1"/>
  <c r="D120" i="6"/>
  <c r="C580" i="5"/>
  <c r="E579" i="5"/>
  <c r="CT889" i="1"/>
  <c r="Q572" i="5"/>
  <c r="S572" i="5"/>
  <c r="E572" i="5"/>
  <c r="D119" i="6"/>
  <c r="C573" i="5"/>
  <c r="G766" i="1"/>
  <c r="A184" i="7" s="1"/>
  <c r="A558" i="5"/>
  <c r="P779" i="1"/>
  <c r="AB779" i="1"/>
  <c r="CT773" i="1"/>
  <c r="GX770" i="1"/>
  <c r="CX192" i="3"/>
  <c r="D108" i="6"/>
  <c r="C512" i="5"/>
  <c r="E511" i="5"/>
  <c r="CT768" i="1"/>
  <c r="S768" i="1" s="1"/>
  <c r="J503" i="5" s="1"/>
  <c r="Q501" i="5"/>
  <c r="S501" i="5"/>
  <c r="I162" i="8"/>
  <c r="D186" i="7" s="1"/>
  <c r="I161" i="8"/>
  <c r="D187" i="7" s="1"/>
  <c r="C502" i="5"/>
  <c r="D107" i="6"/>
  <c r="E501" i="5"/>
  <c r="F683" i="1"/>
  <c r="G580" i="1"/>
  <c r="A162" i="7" s="1"/>
  <c r="A475" i="5"/>
  <c r="CR594" i="1"/>
  <c r="Q594" i="1" s="1"/>
  <c r="CP594" i="1" s="1"/>
  <c r="O594" i="1" s="1"/>
  <c r="CS593" i="1"/>
  <c r="P593" i="1"/>
  <c r="J468" i="5" s="1"/>
  <c r="GX592" i="1"/>
  <c r="W592" i="1"/>
  <c r="S592" i="1"/>
  <c r="CR590" i="1"/>
  <c r="Q590" i="1" s="1"/>
  <c r="CP590" i="1" s="1"/>
  <c r="O590" i="1" s="1"/>
  <c r="GP590" i="1" s="1"/>
  <c r="BZ596" i="1"/>
  <c r="CT589" i="1"/>
  <c r="CS589" i="1"/>
  <c r="S148" i="8"/>
  <c r="P148" i="8"/>
  <c r="CR587" i="1"/>
  <c r="Q587" i="1" s="1"/>
  <c r="J453" i="5" s="1"/>
  <c r="I455" i="5" s="1"/>
  <c r="P455" i="5" s="1"/>
  <c r="AD587" i="1"/>
  <c r="AB587" i="1" s="1"/>
  <c r="CT586" i="1"/>
  <c r="S586" i="1" s="1"/>
  <c r="I142" i="8"/>
  <c r="I143" i="8"/>
  <c r="D97" i="6"/>
  <c r="E448" i="5"/>
  <c r="K451" i="5"/>
  <c r="CS585" i="1"/>
  <c r="U585" i="1"/>
  <c r="K446" i="5" s="1"/>
  <c r="AD585" i="1"/>
  <c r="AB585" i="1" s="1"/>
  <c r="S435" i="5"/>
  <c r="Q435" i="5"/>
  <c r="CX169" i="3"/>
  <c r="I141" i="8"/>
  <c r="D166" i="7" s="1"/>
  <c r="D95" i="6"/>
  <c r="E435" i="5"/>
  <c r="C436" i="5"/>
  <c r="CS583" i="1"/>
  <c r="U583" i="1"/>
  <c r="K433" i="5" s="1"/>
  <c r="AD583" i="1"/>
  <c r="AB583" i="1" s="1"/>
  <c r="Q418" i="5"/>
  <c r="S418" i="5"/>
  <c r="I139" i="8"/>
  <c r="D165" i="7" s="1"/>
  <c r="I140" i="8"/>
  <c r="D164" i="7" s="1"/>
  <c r="D93" i="6"/>
  <c r="C419" i="5"/>
  <c r="E418" i="5"/>
  <c r="AB544" i="1"/>
  <c r="CQ543" i="1"/>
  <c r="P543" i="1" s="1"/>
  <c r="J411" i="5" s="1"/>
  <c r="I412" i="5" s="1"/>
  <c r="AD542" i="1"/>
  <c r="AB542" i="1" s="1"/>
  <c r="U401" i="5"/>
  <c r="I127" i="8"/>
  <c r="D154" i="7" s="1"/>
  <c r="I124" i="8"/>
  <c r="D158" i="7" s="1"/>
  <c r="I123" i="8"/>
  <c r="D159" i="7" s="1"/>
  <c r="I129" i="8"/>
  <c r="D150" i="7" s="1"/>
  <c r="I128" i="8"/>
  <c r="D151" i="7" s="1"/>
  <c r="I126" i="8"/>
  <c r="D155" i="7" s="1"/>
  <c r="I130" i="8"/>
  <c r="D149" i="7" s="1"/>
  <c r="I131" i="8"/>
  <c r="D147" i="7" s="1"/>
  <c r="I125" i="8"/>
  <c r="D156" i="7" s="1"/>
  <c r="D89" i="6"/>
  <c r="E390" i="5"/>
  <c r="C391" i="5"/>
  <c r="AD505" i="1"/>
  <c r="AB505" i="1" s="1"/>
  <c r="S121" i="8"/>
  <c r="T121" i="8" s="1"/>
  <c r="P121" i="8"/>
  <c r="R121" i="8" s="1"/>
  <c r="U383" i="5"/>
  <c r="AB504" i="1"/>
  <c r="N120" i="8"/>
  <c r="O120" i="8" s="1"/>
  <c r="K120" i="8"/>
  <c r="BZ507" i="1"/>
  <c r="CT503" i="1"/>
  <c r="S503" i="1" s="1"/>
  <c r="CS503" i="1"/>
  <c r="P119" i="8"/>
  <c r="R119" i="8" s="1"/>
  <c r="S119" i="8"/>
  <c r="T119" i="8" s="1"/>
  <c r="U379" i="5"/>
  <c r="CQ502" i="1"/>
  <c r="P502" i="1" s="1"/>
  <c r="J377" i="5" s="1"/>
  <c r="I378" i="5" s="1"/>
  <c r="K118" i="8"/>
  <c r="N118" i="8"/>
  <c r="O118" i="8" s="1"/>
  <c r="S117" i="8"/>
  <c r="T117" i="8" s="1"/>
  <c r="P117" i="8"/>
  <c r="R117" i="8" s="1"/>
  <c r="U375" i="5"/>
  <c r="Q373" i="5"/>
  <c r="S373" i="5"/>
  <c r="CT499" i="1"/>
  <c r="S499" i="1" s="1"/>
  <c r="J368" i="5" s="1"/>
  <c r="S367" i="5"/>
  <c r="Q367" i="5"/>
  <c r="CT463" i="1"/>
  <c r="S463" i="1" s="1"/>
  <c r="S360" i="5"/>
  <c r="Q360" i="5"/>
  <c r="W462" i="1"/>
  <c r="CT462" i="1"/>
  <c r="S462" i="1" s="1"/>
  <c r="S356" i="5"/>
  <c r="Q356" i="5"/>
  <c r="Q352" i="5"/>
  <c r="S352" i="5"/>
  <c r="I111" i="8"/>
  <c r="I110" i="8"/>
  <c r="D129" i="7" s="1"/>
  <c r="D77" i="6"/>
  <c r="E352" i="5"/>
  <c r="K355" i="5"/>
  <c r="R111" i="8"/>
  <c r="CS460" i="1"/>
  <c r="R460" i="1" s="1"/>
  <c r="I109" i="8"/>
  <c r="D130" i="7" s="1"/>
  <c r="D75" i="6"/>
  <c r="E338" i="5"/>
  <c r="C339" i="5"/>
  <c r="CR384" i="1"/>
  <c r="Q384" i="1" s="1"/>
  <c r="J318" i="5" s="1"/>
  <c r="T384" i="1"/>
  <c r="CS379" i="1"/>
  <c r="AD379" i="1"/>
  <c r="I375" i="1"/>
  <c r="CT374" i="1"/>
  <c r="S280" i="5"/>
  <c r="Q280" i="5"/>
  <c r="AD373" i="1"/>
  <c r="AB373" i="1" s="1"/>
  <c r="U270" i="5"/>
  <c r="I90" i="8"/>
  <c r="D110" i="7" s="1"/>
  <c r="I91" i="8"/>
  <c r="D109" i="7" s="1"/>
  <c r="D64" i="6"/>
  <c r="E270" i="5"/>
  <c r="C271" i="5"/>
  <c r="G331" i="1"/>
  <c r="A89" i="7" s="1"/>
  <c r="A266" i="5"/>
  <c r="CR337" i="1"/>
  <c r="Q337" i="1" s="1"/>
  <c r="CQ335" i="1"/>
  <c r="P335" i="1" s="1"/>
  <c r="J263" i="5" s="1"/>
  <c r="I264" i="5" s="1"/>
  <c r="I80" i="8"/>
  <c r="D95" i="7" s="1"/>
  <c r="I77" i="8"/>
  <c r="D100" i="7" s="1"/>
  <c r="D60" i="6"/>
  <c r="I82" i="8"/>
  <c r="D92" i="7" s="1"/>
  <c r="I76" i="8"/>
  <c r="D101" i="7" s="1"/>
  <c r="I81" i="8"/>
  <c r="D94" i="7" s="1"/>
  <c r="I75" i="8"/>
  <c r="D103" i="7" s="1"/>
  <c r="C243" i="5"/>
  <c r="I79" i="8"/>
  <c r="D96" i="7" s="1"/>
  <c r="I74" i="8"/>
  <c r="D104" i="7" s="1"/>
  <c r="I78" i="8"/>
  <c r="D99" i="7" s="1"/>
  <c r="E242" i="5"/>
  <c r="CR297" i="1"/>
  <c r="Q297" i="1" s="1"/>
  <c r="CP297" i="1" s="1"/>
  <c r="O297" i="1" s="1"/>
  <c r="GM297" i="1" s="1"/>
  <c r="N72" i="8"/>
  <c r="O72" i="8" s="1"/>
  <c r="K72" i="8"/>
  <c r="CR295" i="1"/>
  <c r="Q295" i="1" s="1"/>
  <c r="CP295" i="1" s="1"/>
  <c r="O295" i="1" s="1"/>
  <c r="AD295" i="1"/>
  <c r="AB295" i="1" s="1"/>
  <c r="K69" i="8"/>
  <c r="N69" i="8"/>
  <c r="O69" i="8" s="1"/>
  <c r="CS293" i="1"/>
  <c r="CQ293" i="1"/>
  <c r="P293" i="1" s="1"/>
  <c r="J227" i="5" s="1"/>
  <c r="I228" i="5" s="1"/>
  <c r="N68" i="8"/>
  <c r="O68" i="8" s="1"/>
  <c r="K68" i="8"/>
  <c r="CS292" i="1"/>
  <c r="AD292" i="1"/>
  <c r="CT291" i="1"/>
  <c r="S291" i="1" s="1"/>
  <c r="CS291" i="1"/>
  <c r="U216" i="5"/>
  <c r="G248" i="1"/>
  <c r="A68" i="7" s="1"/>
  <c r="A212" i="5"/>
  <c r="CQ255" i="1"/>
  <c r="P255" i="1" s="1"/>
  <c r="J209" i="5" s="1"/>
  <c r="I210" i="5" s="1"/>
  <c r="N64" i="8"/>
  <c r="O64" i="8" s="1"/>
  <c r="K64" i="8"/>
  <c r="CT254" i="1"/>
  <c r="S254" i="1" s="1"/>
  <c r="V254" i="1"/>
  <c r="CS254" i="1"/>
  <c r="U205" i="5"/>
  <c r="CT253" i="1"/>
  <c r="S253" i="1" s="1"/>
  <c r="CZ253" i="1" s="1"/>
  <c r="Y253" i="1" s="1"/>
  <c r="T201" i="5" s="1"/>
  <c r="S201" i="5"/>
  <c r="Q201" i="5"/>
  <c r="I60" i="8"/>
  <c r="D71" i="7" s="1"/>
  <c r="D48" i="6"/>
  <c r="I61" i="8"/>
  <c r="E201" i="5"/>
  <c r="BZ257" i="1"/>
  <c r="CG257" i="1" s="1"/>
  <c r="CG248" i="1" s="1"/>
  <c r="R251" i="1"/>
  <c r="GK251" i="1" s="1"/>
  <c r="CR250" i="1"/>
  <c r="Q250" i="1" s="1"/>
  <c r="J190" i="5" s="1"/>
  <c r="U250" i="1"/>
  <c r="K193" i="5" s="1"/>
  <c r="AD250" i="1"/>
  <c r="AB250" i="1" s="1"/>
  <c r="G164" i="1"/>
  <c r="A49" i="7" s="1"/>
  <c r="A176" i="5"/>
  <c r="CT177" i="1"/>
  <c r="S177" i="1" s="1"/>
  <c r="I54" i="8"/>
  <c r="D58" i="7" s="1"/>
  <c r="D43" i="6"/>
  <c r="I53" i="8"/>
  <c r="D59" i="7" s="1"/>
  <c r="I50" i="8"/>
  <c r="D64" i="7" s="1"/>
  <c r="I56" i="8"/>
  <c r="D56" i="7" s="1"/>
  <c r="I55" i="8"/>
  <c r="D57" i="7" s="1"/>
  <c r="I52" i="8"/>
  <c r="D60" i="7" s="1"/>
  <c r="I51" i="8"/>
  <c r="D63" i="7" s="1"/>
  <c r="E164" i="5"/>
  <c r="C165" i="5"/>
  <c r="T171" i="1"/>
  <c r="CT170" i="1"/>
  <c r="CS168" i="1"/>
  <c r="I168" i="1"/>
  <c r="Q136" i="5" s="1"/>
  <c r="V166" i="1"/>
  <c r="AD166" i="1"/>
  <c r="AB166" i="1" s="1"/>
  <c r="U119" i="5"/>
  <c r="AD130" i="1"/>
  <c r="P38" i="8"/>
  <c r="R38" i="8" s="1"/>
  <c r="S38" i="8"/>
  <c r="T38" i="8" s="1"/>
  <c r="U112" i="5"/>
  <c r="CT128" i="1"/>
  <c r="S128" i="1" s="1"/>
  <c r="J93" i="5" s="1"/>
  <c r="AD128" i="1"/>
  <c r="AB128" i="1" s="1"/>
  <c r="U91" i="5"/>
  <c r="G126" i="1"/>
  <c r="A31" i="7" s="1"/>
  <c r="P22" i="8"/>
  <c r="R22" i="8" s="1"/>
  <c r="S22" i="8"/>
  <c r="T22" i="8" s="1"/>
  <c r="U84" i="5"/>
  <c r="BZ94" i="1"/>
  <c r="CT91" i="1"/>
  <c r="S91" i="1" s="1"/>
  <c r="CY91" i="1" s="1"/>
  <c r="X91" i="1" s="1"/>
  <c r="R82" i="5" s="1"/>
  <c r="Q82" i="5"/>
  <c r="S82" i="5"/>
  <c r="Q80" i="5"/>
  <c r="S80" i="5"/>
  <c r="CR89" i="1"/>
  <c r="Q89" i="1" s="1"/>
  <c r="AD89" i="1"/>
  <c r="AB89" i="1" s="1"/>
  <c r="K17" i="8"/>
  <c r="N17" i="8"/>
  <c r="O17" i="8" s="1"/>
  <c r="CR85" i="1"/>
  <c r="Q85" i="1" s="1"/>
  <c r="U85" i="1"/>
  <c r="CY83" i="1"/>
  <c r="X83" i="1" s="1"/>
  <c r="GP83" i="1" s="1"/>
  <c r="AB83" i="1"/>
  <c r="CR76" i="1"/>
  <c r="Q76" i="1" s="1"/>
  <c r="U76" i="1"/>
  <c r="G30" i="1"/>
  <c r="A10" i="7" s="1"/>
  <c r="A61" i="5"/>
  <c r="V37" i="1"/>
  <c r="AI40" i="1" s="1"/>
  <c r="U54" i="5"/>
  <c r="CT36" i="1"/>
  <c r="S36" i="1" s="1"/>
  <c r="S50" i="5"/>
  <c r="Q50" i="5"/>
  <c r="CR35" i="1"/>
  <c r="Q35" i="1" s="1"/>
  <c r="CT34" i="1"/>
  <c r="S34" i="1" s="1"/>
  <c r="J45" i="5" s="1"/>
  <c r="S44" i="5"/>
  <c r="Q44" i="5"/>
  <c r="S36" i="5"/>
  <c r="Q36" i="5"/>
  <c r="T208" i="8"/>
  <c r="M201" i="8"/>
  <c r="F232" i="7" s="1"/>
  <c r="O201" i="8"/>
  <c r="O204" i="8"/>
  <c r="M204" i="8"/>
  <c r="T206" i="8"/>
  <c r="R206" i="8"/>
  <c r="M199" i="8"/>
  <c r="T194" i="8"/>
  <c r="R194" i="8"/>
  <c r="R184" i="8"/>
  <c r="M182" i="8"/>
  <c r="F206" i="7" s="1"/>
  <c r="O182" i="8"/>
  <c r="O171" i="8"/>
  <c r="T173" i="8"/>
  <c r="R173" i="8"/>
  <c r="O174" i="8"/>
  <c r="M174" i="8"/>
  <c r="F194" i="7" s="1"/>
  <c r="R163" i="8"/>
  <c r="T163" i="8"/>
  <c r="R162" i="8"/>
  <c r="T162" i="8"/>
  <c r="M151" i="8"/>
  <c r="F173" i="7" s="1"/>
  <c r="M153" i="8"/>
  <c r="F171" i="7" s="1"/>
  <c r="O153" i="8"/>
  <c r="T155" i="8"/>
  <c r="R155" i="8"/>
  <c r="M123" i="8"/>
  <c r="F159" i="7" s="1"/>
  <c r="O123" i="8"/>
  <c r="T125" i="8"/>
  <c r="R125" i="8"/>
  <c r="O112" i="8"/>
  <c r="M112" i="8"/>
  <c r="T110" i="8"/>
  <c r="R110" i="8"/>
  <c r="R102" i="8"/>
  <c r="T102" i="8"/>
  <c r="T91" i="8"/>
  <c r="R91" i="8"/>
  <c r="M79" i="8"/>
  <c r="F96" i="7" s="1"/>
  <c r="O79" i="8"/>
  <c r="R81" i="8"/>
  <c r="T81" i="8"/>
  <c r="M59" i="8"/>
  <c r="F72" i="7" s="1"/>
  <c r="O59" i="8"/>
  <c r="O50" i="8"/>
  <c r="M50" i="8"/>
  <c r="F64" i="7" s="1"/>
  <c r="R52" i="8"/>
  <c r="T52" i="8"/>
  <c r="O45" i="8"/>
  <c r="R41" i="8"/>
  <c r="T41" i="8"/>
  <c r="M25" i="8"/>
  <c r="F45" i="7" s="1"/>
  <c r="O25" i="8"/>
  <c r="T30" i="8"/>
  <c r="R30" i="8"/>
  <c r="M9" i="8"/>
  <c r="F14" i="7" s="1"/>
  <c r="O9" i="8"/>
  <c r="M126" i="8"/>
  <c r="F155" i="7" s="1"/>
  <c r="M77" i="8"/>
  <c r="R101" i="8"/>
  <c r="G451" i="1"/>
  <c r="A125" i="7" s="1"/>
  <c r="A478" i="5"/>
  <c r="U593" i="1"/>
  <c r="K472" i="5" s="1"/>
  <c r="S463" i="5"/>
  <c r="Q463" i="5"/>
  <c r="K148" i="8"/>
  <c r="N148" i="8"/>
  <c r="S452" i="5"/>
  <c r="Q441" i="5"/>
  <c r="S441" i="5"/>
  <c r="CX170" i="3"/>
  <c r="D96" i="6"/>
  <c r="C442" i="5"/>
  <c r="E441" i="5"/>
  <c r="S428" i="5"/>
  <c r="Q428" i="5"/>
  <c r="CX168" i="3"/>
  <c r="D94" i="6"/>
  <c r="E428" i="5"/>
  <c r="C429" i="5"/>
  <c r="AB545" i="1"/>
  <c r="AD543" i="1"/>
  <c r="AB543" i="1" s="1"/>
  <c r="S137" i="8"/>
  <c r="T137" i="8" s="1"/>
  <c r="P137" i="8"/>
  <c r="R137" i="8" s="1"/>
  <c r="U411" i="5"/>
  <c r="AD541" i="1"/>
  <c r="AB541" i="1" s="1"/>
  <c r="U390" i="5"/>
  <c r="BY507" i="1"/>
  <c r="P120" i="8"/>
  <c r="R120" i="8" s="1"/>
  <c r="S120" i="8"/>
  <c r="T120" i="8" s="1"/>
  <c r="U381" i="5"/>
  <c r="CP503" i="1"/>
  <c r="O503" i="1" s="1"/>
  <c r="J379" i="5"/>
  <c r="I380" i="5" s="1"/>
  <c r="AB503" i="1"/>
  <c r="N119" i="8"/>
  <c r="O119" i="8" s="1"/>
  <c r="K119" i="8"/>
  <c r="CT502" i="1"/>
  <c r="S502" i="1" s="1"/>
  <c r="Q377" i="5"/>
  <c r="S377" i="5"/>
  <c r="CQ501" i="1"/>
  <c r="P501" i="1" s="1"/>
  <c r="J375" i="5" s="1"/>
  <c r="I376" i="5" s="1"/>
  <c r="K117" i="8"/>
  <c r="N117" i="8"/>
  <c r="O117" i="8" s="1"/>
  <c r="G455" i="1"/>
  <c r="A126" i="7" s="1"/>
  <c r="A363" i="5"/>
  <c r="K114" i="8"/>
  <c r="N114" i="8"/>
  <c r="O114" i="8" s="1"/>
  <c r="AD459" i="1"/>
  <c r="AB459" i="1" s="1"/>
  <c r="U346" i="5"/>
  <c r="AD457" i="1"/>
  <c r="U338" i="5"/>
  <c r="G244" i="1"/>
  <c r="A67" i="7" s="1"/>
  <c r="A330" i="5"/>
  <c r="BY387" i="1"/>
  <c r="CQ380" i="1"/>
  <c r="K99" i="8"/>
  <c r="N99" i="8"/>
  <c r="CT377" i="1"/>
  <c r="V375" i="1"/>
  <c r="P88" i="8"/>
  <c r="R88" i="8" s="1"/>
  <c r="S88" i="8"/>
  <c r="T88" i="8" s="1"/>
  <c r="U263" i="5"/>
  <c r="BY339" i="1"/>
  <c r="R334" i="1"/>
  <c r="V253" i="5"/>
  <c r="J260" i="5" s="1"/>
  <c r="AD334" i="1"/>
  <c r="U253" i="5"/>
  <c r="AI339" i="1"/>
  <c r="CT297" i="1"/>
  <c r="S297" i="1" s="1"/>
  <c r="Q235" i="5"/>
  <c r="S235" i="5"/>
  <c r="AD296" i="1"/>
  <c r="S71" i="8"/>
  <c r="T71" i="8" s="1"/>
  <c r="P71" i="8"/>
  <c r="R71" i="8" s="1"/>
  <c r="U233" i="5"/>
  <c r="S231" i="5"/>
  <c r="Q231" i="5"/>
  <c r="S229" i="5"/>
  <c r="Q229" i="5"/>
  <c r="CT293" i="1"/>
  <c r="S293" i="1" s="1"/>
  <c r="S227" i="5"/>
  <c r="Q227" i="5"/>
  <c r="S225" i="5"/>
  <c r="Q225" i="5"/>
  <c r="BB257" i="1"/>
  <c r="S209" i="5"/>
  <c r="Q209" i="5"/>
  <c r="I63" i="8"/>
  <c r="D49" i="6"/>
  <c r="E205" i="5"/>
  <c r="I62" i="8"/>
  <c r="T62" i="8"/>
  <c r="Q187" i="5"/>
  <c r="S187" i="5"/>
  <c r="AB174" i="1"/>
  <c r="K49" i="8"/>
  <c r="N49" i="8"/>
  <c r="AB172" i="1"/>
  <c r="AD171" i="1"/>
  <c r="U153" i="5"/>
  <c r="T169" i="1"/>
  <c r="V169" i="1"/>
  <c r="AD169" i="1"/>
  <c r="U142" i="5"/>
  <c r="W168" i="1"/>
  <c r="CT168" i="1"/>
  <c r="S168" i="1" s="1"/>
  <c r="S136" i="5"/>
  <c r="AD167" i="1"/>
  <c r="AB167" i="1" s="1"/>
  <c r="U129" i="5"/>
  <c r="CX48" i="3"/>
  <c r="D36" i="6"/>
  <c r="C130" i="5"/>
  <c r="E129" i="5"/>
  <c r="R130" i="1"/>
  <c r="GK130" i="1" s="1"/>
  <c r="V112" i="5"/>
  <c r="AG132" i="1"/>
  <c r="CP129" i="1"/>
  <c r="O129" i="1" s="1"/>
  <c r="J106" i="5"/>
  <c r="AB129" i="1"/>
  <c r="AI132" i="1"/>
  <c r="CK126" i="1"/>
  <c r="N20" i="8"/>
  <c r="O20" i="8" s="1"/>
  <c r="K20" i="8"/>
  <c r="CT89" i="1"/>
  <c r="S89" i="1" s="1"/>
  <c r="Q78" i="5"/>
  <c r="S78" i="5"/>
  <c r="P18" i="8"/>
  <c r="R18" i="8" s="1"/>
  <c r="S18" i="8"/>
  <c r="T18" i="8" s="1"/>
  <c r="U76" i="5"/>
  <c r="R87" i="1"/>
  <c r="GK87" i="1" s="1"/>
  <c r="V74" i="5"/>
  <c r="S17" i="8"/>
  <c r="T17" i="8" s="1"/>
  <c r="P17" i="8"/>
  <c r="R17" i="8" s="1"/>
  <c r="U74" i="5"/>
  <c r="AD74" i="1"/>
  <c r="U65" i="5"/>
  <c r="I12" i="8"/>
  <c r="D20" i="6"/>
  <c r="I13" i="8"/>
  <c r="E54" i="5"/>
  <c r="K57" i="5"/>
  <c r="K53" i="5"/>
  <c r="P53" i="5"/>
  <c r="R34" i="1"/>
  <c r="GK34" i="1" s="1"/>
  <c r="V44" i="5"/>
  <c r="CC40" i="1"/>
  <c r="R210" i="8"/>
  <c r="T201" i="8"/>
  <c r="R201" i="8"/>
  <c r="R204" i="8"/>
  <c r="T204" i="8"/>
  <c r="M206" i="8"/>
  <c r="O206" i="8"/>
  <c r="R198" i="8"/>
  <c r="T192" i="8"/>
  <c r="R192" i="8"/>
  <c r="M194" i="8"/>
  <c r="F223" i="7" s="1"/>
  <c r="O194" i="8"/>
  <c r="M195" i="8"/>
  <c r="F218" i="7" s="1"/>
  <c r="O195" i="8"/>
  <c r="T183" i="8"/>
  <c r="R183" i="8"/>
  <c r="O184" i="8"/>
  <c r="M184" i="8"/>
  <c r="T182" i="8"/>
  <c r="R182" i="8"/>
  <c r="T171" i="8"/>
  <c r="R171" i="8"/>
  <c r="T174" i="8"/>
  <c r="T166" i="8"/>
  <c r="T165" i="8"/>
  <c r="T150" i="8"/>
  <c r="T153" i="8"/>
  <c r="R153" i="8"/>
  <c r="O155" i="8"/>
  <c r="M155" i="8"/>
  <c r="F169" i="7" s="1"/>
  <c r="O142" i="8"/>
  <c r="M142" i="8"/>
  <c r="O125" i="8"/>
  <c r="M125" i="8"/>
  <c r="F156" i="7" s="1"/>
  <c r="O126" i="8"/>
  <c r="O131" i="8"/>
  <c r="M131" i="8"/>
  <c r="F147" i="7" s="1"/>
  <c r="O102" i="8"/>
  <c r="M102" i="8"/>
  <c r="F118" i="7" s="1"/>
  <c r="M91" i="8"/>
  <c r="F109" i="7" s="1"/>
  <c r="O91" i="8"/>
  <c r="M84" i="8"/>
  <c r="O84" i="8"/>
  <c r="R85" i="8"/>
  <c r="T85" i="8"/>
  <c r="O81" i="8"/>
  <c r="M81" i="8"/>
  <c r="F94" i="7" s="1"/>
  <c r="M62" i="8"/>
  <c r="F71" i="7" s="1"/>
  <c r="O62" i="8"/>
  <c r="M63" i="8"/>
  <c r="O63" i="8"/>
  <c r="M61" i="8"/>
  <c r="F70" i="7" s="1"/>
  <c r="O61" i="8"/>
  <c r="T59" i="8"/>
  <c r="R59" i="8"/>
  <c r="M52" i="8"/>
  <c r="F60" i="7" s="1"/>
  <c r="O52" i="8"/>
  <c r="R45" i="8"/>
  <c r="T45" i="8"/>
  <c r="O41" i="8"/>
  <c r="M41" i="8"/>
  <c r="F51" i="7" s="1"/>
  <c r="M36" i="8"/>
  <c r="F35" i="7" s="1"/>
  <c r="O36" i="8"/>
  <c r="M37" i="8"/>
  <c r="F33" i="7" s="1"/>
  <c r="O37" i="8"/>
  <c r="R25" i="8"/>
  <c r="T25" i="8"/>
  <c r="R174" i="8"/>
  <c r="M45" i="8"/>
  <c r="M192" i="8"/>
  <c r="F229" i="7" s="1"/>
  <c r="R142" i="8"/>
  <c r="T142" i="8"/>
  <c r="T140" i="8"/>
  <c r="R140" i="8"/>
  <c r="T132" i="8"/>
  <c r="R132" i="8"/>
  <c r="R135" i="8"/>
  <c r="T135" i="8"/>
  <c r="T123" i="8"/>
  <c r="R123" i="8"/>
  <c r="R126" i="8"/>
  <c r="T126" i="8"/>
  <c r="M127" i="8"/>
  <c r="F154" i="7" s="1"/>
  <c r="O127" i="8"/>
  <c r="R131" i="8"/>
  <c r="T131" i="8"/>
  <c r="O110" i="8"/>
  <c r="M110" i="8"/>
  <c r="T101" i="8"/>
  <c r="R103" i="8"/>
  <c r="T103" i="8"/>
  <c r="R106" i="8"/>
  <c r="T106" i="8"/>
  <c r="R90" i="8"/>
  <c r="T90" i="8"/>
  <c r="R74" i="8"/>
  <c r="T74" i="8"/>
  <c r="M75" i="8"/>
  <c r="F103" i="7" s="1"/>
  <c r="O75" i="8"/>
  <c r="R77" i="8"/>
  <c r="R79" i="8"/>
  <c r="R82" i="8"/>
  <c r="T82" i="8"/>
  <c r="R61" i="8"/>
  <c r="T61" i="8"/>
  <c r="R50" i="8"/>
  <c r="T53" i="8"/>
  <c r="R53" i="8"/>
  <c r="O54" i="8"/>
  <c r="R56" i="8"/>
  <c r="T46" i="8"/>
  <c r="R46" i="8"/>
  <c r="M33" i="8"/>
  <c r="F47" i="7" s="1"/>
  <c r="O33" i="8"/>
  <c r="T34" i="8"/>
  <c r="R34" i="8"/>
  <c r="R24" i="8"/>
  <c r="T24" i="8"/>
  <c r="T26" i="8"/>
  <c r="R26" i="8"/>
  <c r="R29" i="8"/>
  <c r="M30" i="8"/>
  <c r="F37" i="7" s="1"/>
  <c r="R32" i="8"/>
  <c r="T32" i="8"/>
  <c r="R12" i="8"/>
  <c r="R10" i="8"/>
  <c r="T10" i="8"/>
  <c r="R203" i="8"/>
  <c r="O199" i="8"/>
  <c r="T198" i="8"/>
  <c r="R161" i="8"/>
  <c r="R129" i="8"/>
  <c r="O151" i="8"/>
  <c r="R141" i="8"/>
  <c r="T79" i="8"/>
  <c r="R195" i="8"/>
  <c r="T202" i="8"/>
  <c r="R202" i="8"/>
  <c r="O203" i="8"/>
  <c r="R205" i="8"/>
  <c r="T205" i="8"/>
  <c r="O207" i="8"/>
  <c r="R199" i="8"/>
  <c r="T199" i="8"/>
  <c r="R185" i="8"/>
  <c r="O183" i="8"/>
  <c r="M183" i="8"/>
  <c r="R181" i="8"/>
  <c r="T181" i="8"/>
  <c r="O172" i="8"/>
  <c r="M172" i="8"/>
  <c r="F198" i="7" s="1"/>
  <c r="M173" i="8"/>
  <c r="F195" i="7" s="1"/>
  <c r="O173" i="8"/>
  <c r="R176" i="8"/>
  <c r="T176" i="8"/>
  <c r="M163" i="8"/>
  <c r="F188" i="7" s="1"/>
  <c r="O163" i="8"/>
  <c r="O161" i="8"/>
  <c r="M161" i="8"/>
  <c r="F187" i="7" s="1"/>
  <c r="O150" i="8"/>
  <c r="M150" i="8"/>
  <c r="F176" i="7" s="1"/>
  <c r="R143" i="8"/>
  <c r="T143" i="8"/>
  <c r="O141" i="8"/>
  <c r="M141" i="8"/>
  <c r="F166" i="7" s="1"/>
  <c r="O139" i="8"/>
  <c r="M139" i="8"/>
  <c r="F165" i="7" s="1"/>
  <c r="O140" i="8"/>
  <c r="M140" i="8"/>
  <c r="F164" i="7" s="1"/>
  <c r="M132" i="8"/>
  <c r="F160" i="7" s="1"/>
  <c r="O132" i="8"/>
  <c r="T124" i="8"/>
  <c r="M128" i="8"/>
  <c r="F151" i="7" s="1"/>
  <c r="O128" i="8"/>
  <c r="O129" i="8"/>
  <c r="M129" i="8"/>
  <c r="F150" i="7" s="1"/>
  <c r="T113" i="8"/>
  <c r="R113" i="8"/>
  <c r="M100" i="8"/>
  <c r="F122" i="7" s="1"/>
  <c r="O100" i="8"/>
  <c r="O101" i="8"/>
  <c r="M101" i="8"/>
  <c r="F121" i="7" s="1"/>
  <c r="T104" i="8"/>
  <c r="R104" i="8"/>
  <c r="O106" i="8"/>
  <c r="M106" i="8"/>
  <c r="F114" i="7" s="1"/>
  <c r="M90" i="8"/>
  <c r="F110" i="7" s="1"/>
  <c r="R86" i="8"/>
  <c r="T86" i="8"/>
  <c r="M87" i="8"/>
  <c r="F91" i="7" s="1"/>
  <c r="O87" i="8"/>
  <c r="M74" i="8"/>
  <c r="F104" i="7" s="1"/>
  <c r="O74" i="8"/>
  <c r="M76" i="8"/>
  <c r="F101" i="7" s="1"/>
  <c r="O77" i="8"/>
  <c r="T80" i="8"/>
  <c r="R80" i="8"/>
  <c r="M82" i="8"/>
  <c r="F92" i="7" s="1"/>
  <c r="O82" i="8"/>
  <c r="O66" i="8"/>
  <c r="M66" i="8"/>
  <c r="F79" i="7" s="1"/>
  <c r="E80" i="7" s="1"/>
  <c r="T63" i="8"/>
  <c r="R63" i="8"/>
  <c r="O60" i="8"/>
  <c r="R51" i="8"/>
  <c r="T51" i="8"/>
  <c r="M53" i="8"/>
  <c r="F59" i="7" s="1"/>
  <c r="M55" i="8"/>
  <c r="F57" i="7" s="1"/>
  <c r="O55" i="8"/>
  <c r="M56" i="8"/>
  <c r="F56" i="7" s="1"/>
  <c r="O56" i="8"/>
  <c r="M46" i="8"/>
  <c r="O46" i="8"/>
  <c r="T40" i="8"/>
  <c r="R40" i="8"/>
  <c r="R36" i="8"/>
  <c r="T36" i="8"/>
  <c r="M24" i="8"/>
  <c r="F46" i="7" s="1"/>
  <c r="O24" i="8"/>
  <c r="R27" i="8"/>
  <c r="T27" i="8"/>
  <c r="M29" i="8"/>
  <c r="F38" i="7" s="1"/>
  <c r="O29" i="8"/>
  <c r="O31" i="8"/>
  <c r="M31" i="8"/>
  <c r="F36" i="7" s="1"/>
  <c r="M32" i="8"/>
  <c r="F34" i="7" s="1"/>
  <c r="O32" i="8"/>
  <c r="O12" i="8"/>
  <c r="M12" i="8"/>
  <c r="F13" i="7" s="1"/>
  <c r="E15" i="7" s="1"/>
  <c r="T11" i="8"/>
  <c r="R11" i="8"/>
  <c r="T77" i="8"/>
  <c r="O30" i="8"/>
  <c r="T16" i="8"/>
  <c r="O76" i="8"/>
  <c r="BY94" i="1"/>
  <c r="BY72" i="1" s="1"/>
  <c r="V80" i="1"/>
  <c r="W77" i="1"/>
  <c r="S77" i="1"/>
  <c r="W76" i="1"/>
  <c r="S76" i="1"/>
  <c r="CZ76" i="1" s="1"/>
  <c r="Y76" i="1" s="1"/>
  <c r="S65" i="5"/>
  <c r="Q65" i="5"/>
  <c r="S14" i="8"/>
  <c r="T14" i="8" s="1"/>
  <c r="P14" i="8"/>
  <c r="R14" i="8" s="1"/>
  <c r="U58" i="5"/>
  <c r="R36" i="1"/>
  <c r="J52" i="5" s="1"/>
  <c r="V50" i="5"/>
  <c r="I11" i="8"/>
  <c r="D12" i="7" s="1"/>
  <c r="I10" i="8"/>
  <c r="D19" i="6"/>
  <c r="E50" i="5"/>
  <c r="AB32" i="1"/>
  <c r="CX1" i="3"/>
  <c r="I9" i="8"/>
  <c r="D14" i="7" s="1"/>
  <c r="D17" i="6"/>
  <c r="E36" i="5"/>
  <c r="C37" i="5"/>
  <c r="M205" i="8"/>
  <c r="F222" i="7" s="1"/>
  <c r="O205" i="8"/>
  <c r="O185" i="8"/>
  <c r="M181" i="8"/>
  <c r="F209" i="7" s="1"/>
  <c r="O181" i="8"/>
  <c r="R172" i="8"/>
  <c r="T172" i="8"/>
  <c r="O176" i="8"/>
  <c r="M176" i="8"/>
  <c r="F192" i="7" s="1"/>
  <c r="O165" i="8"/>
  <c r="M165" i="8"/>
  <c r="O154" i="8"/>
  <c r="M154" i="8"/>
  <c r="F170" i="7" s="1"/>
  <c r="M143" i="8"/>
  <c r="O143" i="8"/>
  <c r="T139" i="8"/>
  <c r="R139" i="8"/>
  <c r="M124" i="8"/>
  <c r="F158" i="7" s="1"/>
  <c r="O124" i="8"/>
  <c r="T128" i="8"/>
  <c r="R128" i="8"/>
  <c r="R112" i="8"/>
  <c r="T112" i="8"/>
  <c r="M113" i="8"/>
  <c r="T111" i="8"/>
  <c r="T100" i="8"/>
  <c r="R100" i="8"/>
  <c r="O104" i="8"/>
  <c r="M104" i="8"/>
  <c r="F116" i="7" s="1"/>
  <c r="M83" i="8"/>
  <c r="F105" i="7" s="1"/>
  <c r="O83" i="8"/>
  <c r="T84" i="8"/>
  <c r="R84" i="8"/>
  <c r="M86" i="8"/>
  <c r="F93" i="7" s="1"/>
  <c r="O86" i="8"/>
  <c r="T76" i="8"/>
  <c r="R76" i="8"/>
  <c r="M80" i="8"/>
  <c r="F95" i="7" s="1"/>
  <c r="T66" i="8"/>
  <c r="R66" i="8"/>
  <c r="R62" i="8"/>
  <c r="R60" i="8"/>
  <c r="M51" i="8"/>
  <c r="F63" i="7" s="1"/>
  <c r="O51" i="8"/>
  <c r="R55" i="8"/>
  <c r="T55" i="8"/>
  <c r="M40" i="8"/>
  <c r="F52" i="7" s="1"/>
  <c r="O40" i="8"/>
  <c r="O27" i="8"/>
  <c r="M27" i="8"/>
  <c r="F42" i="7" s="1"/>
  <c r="R31" i="8"/>
  <c r="T31" i="8"/>
  <c r="M11" i="8"/>
  <c r="F12" i="7" s="1"/>
  <c r="O11" i="8"/>
  <c r="T9" i="8"/>
  <c r="M207" i="8"/>
  <c r="F217" i="7" s="1"/>
  <c r="T60" i="8"/>
  <c r="T50" i="8"/>
  <c r="T12" i="8"/>
  <c r="O80" i="8"/>
  <c r="O53" i="8"/>
  <c r="GX937" i="1"/>
  <c r="CC955" i="1"/>
  <c r="CC932" i="1" s="1"/>
  <c r="S937" i="1"/>
  <c r="CY937" i="1" s="1"/>
  <c r="X937" i="1" s="1"/>
  <c r="R646" i="5" s="1"/>
  <c r="T937" i="1"/>
  <c r="V891" i="1"/>
  <c r="R891" i="1"/>
  <c r="GK891" i="1" s="1"/>
  <c r="U891" i="1"/>
  <c r="K591" i="5" s="1"/>
  <c r="CP943" i="1"/>
  <c r="O943" i="1" s="1"/>
  <c r="J663" i="5"/>
  <c r="I664" i="5" s="1"/>
  <c r="BY955" i="1"/>
  <c r="BY932" i="1" s="1"/>
  <c r="CY938" i="1"/>
  <c r="X938" i="1" s="1"/>
  <c r="R651" i="5" s="1"/>
  <c r="J651" i="5"/>
  <c r="I652" i="5" s="1"/>
  <c r="P652" i="5" s="1"/>
  <c r="W937" i="1"/>
  <c r="V937" i="1"/>
  <c r="Q937" i="1"/>
  <c r="P891" i="1"/>
  <c r="S646" i="5"/>
  <c r="U646" i="5"/>
  <c r="D132" i="6"/>
  <c r="Q646" i="5"/>
  <c r="E646" i="5"/>
  <c r="U587" i="5"/>
  <c r="D121" i="6"/>
  <c r="E587" i="5"/>
  <c r="V587" i="5"/>
  <c r="S587" i="5"/>
  <c r="Q587" i="5"/>
  <c r="F224" i="7"/>
  <c r="F149" i="7"/>
  <c r="CY952" i="1"/>
  <c r="X952" i="1" s="1"/>
  <c r="CZ952" i="1"/>
  <c r="Y952" i="1" s="1"/>
  <c r="CY935" i="1"/>
  <c r="X935" i="1" s="1"/>
  <c r="R634" i="5" s="1"/>
  <c r="J637" i="5" s="1"/>
  <c r="CZ935" i="1"/>
  <c r="Y935" i="1" s="1"/>
  <c r="T634" i="5" s="1"/>
  <c r="J638" i="5" s="1"/>
  <c r="CY941" i="1"/>
  <c r="X941" i="1" s="1"/>
  <c r="R658" i="5" s="1"/>
  <c r="CZ941" i="1"/>
  <c r="Y941" i="1" s="1"/>
  <c r="T658" i="5" s="1"/>
  <c r="CY939" i="1"/>
  <c r="X939" i="1" s="1"/>
  <c r="R653" i="5" s="1"/>
  <c r="CZ939" i="1"/>
  <c r="Y939" i="1" s="1"/>
  <c r="T653" i="5" s="1"/>
  <c r="CY936" i="1"/>
  <c r="X936" i="1" s="1"/>
  <c r="R641" i="5" s="1"/>
  <c r="CZ936" i="1"/>
  <c r="Y936" i="1" s="1"/>
  <c r="T641" i="5" s="1"/>
  <c r="CY942" i="1"/>
  <c r="X942" i="1" s="1"/>
  <c r="CZ942" i="1"/>
  <c r="Y942" i="1" s="1"/>
  <c r="CP950" i="1"/>
  <c r="O950" i="1" s="1"/>
  <c r="AB898" i="1"/>
  <c r="CY894" i="1"/>
  <c r="X894" i="1" s="1"/>
  <c r="R606" i="5" s="1"/>
  <c r="CZ894" i="1"/>
  <c r="Y894" i="1" s="1"/>
  <c r="T606" i="5" s="1"/>
  <c r="AB894" i="1"/>
  <c r="CY892" i="1"/>
  <c r="X892" i="1" s="1"/>
  <c r="R593" i="5" s="1"/>
  <c r="AB892" i="1"/>
  <c r="CY781" i="1"/>
  <c r="X781" i="1" s="1"/>
  <c r="CZ781" i="1"/>
  <c r="Y781" i="1" s="1"/>
  <c r="CY776" i="1"/>
  <c r="X776" i="1" s="1"/>
  <c r="CZ776" i="1"/>
  <c r="Y776" i="1" s="1"/>
  <c r="CY771" i="1"/>
  <c r="X771" i="1" s="1"/>
  <c r="R524" i="5" s="1"/>
  <c r="J527" i="5" s="1"/>
  <c r="CZ771" i="1"/>
  <c r="Y771" i="1" s="1"/>
  <c r="T524" i="5" s="1"/>
  <c r="J528" i="5" s="1"/>
  <c r="CC580" i="1"/>
  <c r="AT596" i="1"/>
  <c r="CY593" i="1"/>
  <c r="X593" i="1" s="1"/>
  <c r="R463" i="5" s="1"/>
  <c r="J469" i="5" s="1"/>
  <c r="CZ593" i="1"/>
  <c r="Y593" i="1" s="1"/>
  <c r="T463" i="5" s="1"/>
  <c r="J470" i="5" s="1"/>
  <c r="AD952" i="1"/>
  <c r="AB952" i="1" s="1"/>
  <c r="CS952" i="1"/>
  <c r="R952" i="1" s="1"/>
  <c r="GK952" i="1" s="1"/>
  <c r="CS942" i="1"/>
  <c r="R942" i="1" s="1"/>
  <c r="GK942" i="1" s="1"/>
  <c r="AD942" i="1"/>
  <c r="AB942" i="1" s="1"/>
  <c r="AD941" i="1"/>
  <c r="CS941" i="1"/>
  <c r="CY898" i="1"/>
  <c r="X898" i="1" s="1"/>
  <c r="CZ898" i="1"/>
  <c r="Y898" i="1" s="1"/>
  <c r="CB900" i="1"/>
  <c r="AO932" i="1"/>
  <c r="F959" i="1"/>
  <c r="CR952" i="1"/>
  <c r="Q952" i="1" s="1"/>
  <c r="CQ952" i="1"/>
  <c r="P952" i="1" s="1"/>
  <c r="GX951" i="1"/>
  <c r="P947" i="1"/>
  <c r="CP947" i="1" s="1"/>
  <c r="O947" i="1" s="1"/>
  <c r="CP946" i="1"/>
  <c r="O946" i="1" s="1"/>
  <c r="S945" i="1"/>
  <c r="J677" i="5" s="1"/>
  <c r="AB945" i="1"/>
  <c r="CR942" i="1"/>
  <c r="Q942" i="1" s="1"/>
  <c r="CQ942" i="1"/>
  <c r="P942" i="1" s="1"/>
  <c r="CR941" i="1"/>
  <c r="Q941" i="1" s="1"/>
  <c r="CQ941" i="1"/>
  <c r="P941" i="1" s="1"/>
  <c r="CP941" i="1" s="1"/>
  <c r="O941" i="1" s="1"/>
  <c r="J658" i="5" s="1"/>
  <c r="AB941" i="1"/>
  <c r="CQ940" i="1"/>
  <c r="P940" i="1" s="1"/>
  <c r="CQ937" i="1"/>
  <c r="P937" i="1" s="1"/>
  <c r="CQ936" i="1"/>
  <c r="P936" i="1" s="1"/>
  <c r="CZ934" i="1"/>
  <c r="Y934" i="1" s="1"/>
  <c r="T626" i="5" s="1"/>
  <c r="J631" i="5" s="1"/>
  <c r="F925" i="1"/>
  <c r="BB887" i="1"/>
  <c r="CQ897" i="1"/>
  <c r="AB897" i="1"/>
  <c r="CX228" i="3"/>
  <c r="I895" i="1"/>
  <c r="R186" i="8" s="1"/>
  <c r="BZ900" i="1"/>
  <c r="GK889" i="1"/>
  <c r="CY770" i="1"/>
  <c r="X770" i="1" s="1"/>
  <c r="R518" i="5" s="1"/>
  <c r="CZ770" i="1"/>
  <c r="Y770" i="1" s="1"/>
  <c r="T518" i="5" s="1"/>
  <c r="AZ732" i="1"/>
  <c r="F745" i="1"/>
  <c r="AV732" i="1"/>
  <c r="F739" i="1"/>
  <c r="AR732" i="1"/>
  <c r="F762" i="1"/>
  <c r="F761" i="1"/>
  <c r="Y732" i="1"/>
  <c r="F756" i="1"/>
  <c r="U732" i="1"/>
  <c r="Q732" i="1"/>
  <c r="F746" i="1"/>
  <c r="GM949" i="1"/>
  <c r="AB944" i="1"/>
  <c r="CS940" i="1"/>
  <c r="AD940" i="1"/>
  <c r="AB940" i="1" s="1"/>
  <c r="CS936" i="1"/>
  <c r="AD936" i="1"/>
  <c r="AB936" i="1" s="1"/>
  <c r="BD955" i="1"/>
  <c r="BD985" i="1" s="1"/>
  <c r="W951" i="1"/>
  <c r="W950" i="1"/>
  <c r="CY946" i="1"/>
  <c r="X946" i="1" s="1"/>
  <c r="CY944" i="1"/>
  <c r="X944" i="1" s="1"/>
  <c r="CS939" i="1"/>
  <c r="AD939" i="1"/>
  <c r="CS935" i="1"/>
  <c r="AD935" i="1"/>
  <c r="AB893" i="1"/>
  <c r="BY900" i="1"/>
  <c r="CY769" i="1"/>
  <c r="X769" i="1" s="1"/>
  <c r="R511" i="5" s="1"/>
  <c r="J514" i="5" s="1"/>
  <c r="CZ769" i="1"/>
  <c r="Y769" i="1" s="1"/>
  <c r="T511" i="5" s="1"/>
  <c r="J515" i="5" s="1"/>
  <c r="CK580" i="1"/>
  <c r="BB596" i="1"/>
  <c r="GM953" i="1"/>
  <c r="V951" i="1"/>
  <c r="AB947" i="1"/>
  <c r="AB946" i="1"/>
  <c r="AD937" i="1"/>
  <c r="AB937" i="1" s="1"/>
  <c r="CS937" i="1"/>
  <c r="R937" i="1" s="1"/>
  <c r="GK937" i="1" s="1"/>
  <c r="S951" i="1"/>
  <c r="S950" i="1"/>
  <c r="CY947" i="1"/>
  <c r="X947" i="1" s="1"/>
  <c r="CX252" i="3"/>
  <c r="CX256" i="3"/>
  <c r="CX254" i="3"/>
  <c r="CX258" i="3"/>
  <c r="CX255" i="3"/>
  <c r="CX257" i="3"/>
  <c r="CX259" i="3"/>
  <c r="CX253" i="3"/>
  <c r="BB955" i="1"/>
  <c r="BB985" i="1" s="1"/>
  <c r="W948" i="1"/>
  <c r="S948" i="1"/>
  <c r="Q945" i="1"/>
  <c r="J678" i="5" s="1"/>
  <c r="U945" i="1"/>
  <c r="I945" i="1"/>
  <c r="V675" i="5" s="1"/>
  <c r="J683" i="5" s="1"/>
  <c r="GX944" i="1"/>
  <c r="CR939" i="1"/>
  <c r="Q939" i="1" s="1"/>
  <c r="AB939" i="1"/>
  <c r="CQ939" i="1"/>
  <c r="P939" i="1" s="1"/>
  <c r="J653" i="5" s="1"/>
  <c r="I654" i="5" s="1"/>
  <c r="BZ955" i="1"/>
  <c r="CR935" i="1"/>
  <c r="Q935" i="1" s="1"/>
  <c r="AB935" i="1"/>
  <c r="CQ935" i="1"/>
  <c r="P935" i="1" s="1"/>
  <c r="CS934" i="1"/>
  <c r="AD934" i="1"/>
  <c r="AB934" i="1" s="1"/>
  <c r="CP898" i="1"/>
  <c r="O898" i="1" s="1"/>
  <c r="CQ895" i="1"/>
  <c r="AB895" i="1"/>
  <c r="CC900" i="1"/>
  <c r="CP894" i="1"/>
  <c r="O894" i="1" s="1"/>
  <c r="CX230" i="3"/>
  <c r="CX229" i="3"/>
  <c r="GX893" i="1"/>
  <c r="CP892" i="1"/>
  <c r="O892" i="1" s="1"/>
  <c r="AS783" i="1"/>
  <c r="CQ781" i="1"/>
  <c r="P781" i="1" s="1"/>
  <c r="CP781" i="1" s="1"/>
  <c r="O781" i="1" s="1"/>
  <c r="AB781" i="1"/>
  <c r="AD780" i="1"/>
  <c r="AB780" i="1" s="1"/>
  <c r="CR780" i="1"/>
  <c r="Q780" i="1" s="1"/>
  <c r="CY778" i="1"/>
  <c r="X778" i="1" s="1"/>
  <c r="CZ778" i="1"/>
  <c r="Y778" i="1" s="1"/>
  <c r="CY768" i="1"/>
  <c r="X768" i="1" s="1"/>
  <c r="R501" i="5" s="1"/>
  <c r="J506" i="5" s="1"/>
  <c r="CZ768" i="1"/>
  <c r="Y768" i="1" s="1"/>
  <c r="T501" i="5" s="1"/>
  <c r="J507" i="5" s="1"/>
  <c r="BC955" i="1"/>
  <c r="CQ934" i="1"/>
  <c r="P934" i="1" s="1"/>
  <c r="BC900" i="1"/>
  <c r="CS897" i="1"/>
  <c r="CS895" i="1"/>
  <c r="V610" i="5" s="1"/>
  <c r="W891" i="1"/>
  <c r="S891" i="1"/>
  <c r="J588" i="5" s="1"/>
  <c r="W890" i="1"/>
  <c r="S890" i="1"/>
  <c r="J581" i="5" s="1"/>
  <c r="W889" i="1"/>
  <c r="S889" i="1"/>
  <c r="J574" i="5" s="1"/>
  <c r="CK887" i="1"/>
  <c r="CZ777" i="1"/>
  <c r="Y777" i="1" s="1"/>
  <c r="CP777" i="1"/>
  <c r="O777" i="1" s="1"/>
  <c r="CS776" i="1"/>
  <c r="R776" i="1" s="1"/>
  <c r="AD776" i="1"/>
  <c r="AB776" i="1" s="1"/>
  <c r="BZ783" i="1"/>
  <c r="CS772" i="1"/>
  <c r="AD772" i="1"/>
  <c r="AB772" i="1" s="1"/>
  <c r="CS771" i="1"/>
  <c r="AD771" i="1"/>
  <c r="AB771" i="1" s="1"/>
  <c r="CS770" i="1"/>
  <c r="AD770" i="1"/>
  <c r="AB770" i="1" s="1"/>
  <c r="CS769" i="1"/>
  <c r="AD769" i="1"/>
  <c r="AB769" i="1" s="1"/>
  <c r="CS768" i="1"/>
  <c r="AD768" i="1"/>
  <c r="AB768" i="1" s="1"/>
  <c r="BD664" i="1"/>
  <c r="AZ664" i="1"/>
  <c r="F677" i="1"/>
  <c r="AV664" i="1"/>
  <c r="AR664" i="1"/>
  <c r="F694" i="1"/>
  <c r="F693" i="1"/>
  <c r="Y664" i="1"/>
  <c r="F688" i="1"/>
  <c r="U664" i="1"/>
  <c r="Q664" i="1"/>
  <c r="F678" i="1"/>
  <c r="BZ580" i="1"/>
  <c r="AQ596" i="1"/>
  <c r="CX226" i="3"/>
  <c r="CX225" i="3"/>
  <c r="CX224" i="3"/>
  <c r="CX222" i="3"/>
  <c r="CX223" i="3"/>
  <c r="CX220" i="3"/>
  <c r="CX218" i="3"/>
  <c r="CX219" i="3"/>
  <c r="CX221" i="3"/>
  <c r="CG783" i="1"/>
  <c r="AO783" i="1"/>
  <c r="CP780" i="1"/>
  <c r="O780" i="1" s="1"/>
  <c r="CQ778" i="1"/>
  <c r="P778" i="1" s="1"/>
  <c r="CP778" i="1" s="1"/>
  <c r="O778" i="1" s="1"/>
  <c r="AB778" i="1"/>
  <c r="BY783" i="1"/>
  <c r="CB580" i="1"/>
  <c r="AS596" i="1"/>
  <c r="CX248" i="3"/>
  <c r="CX250" i="3"/>
  <c r="CX247" i="3"/>
  <c r="CX249" i="3"/>
  <c r="CX251" i="3"/>
  <c r="CX244" i="3"/>
  <c r="CX242" i="3"/>
  <c r="CX246" i="3"/>
  <c r="CX241" i="3"/>
  <c r="CX243" i="3"/>
  <c r="CX245" i="3"/>
  <c r="CX240" i="3"/>
  <c r="CX238" i="3"/>
  <c r="CX239" i="3"/>
  <c r="CX236" i="3"/>
  <c r="CX235" i="3"/>
  <c r="CX237" i="3"/>
  <c r="AO900" i="1"/>
  <c r="CR891" i="1"/>
  <c r="Q891" i="1" s="1"/>
  <c r="CR890" i="1"/>
  <c r="Q890" i="1" s="1"/>
  <c r="CR889" i="1"/>
  <c r="Q889" i="1" s="1"/>
  <c r="BD783" i="1"/>
  <c r="CS777" i="1"/>
  <c r="R777" i="1" s="1"/>
  <c r="GK777" i="1" s="1"/>
  <c r="AD777" i="1"/>
  <c r="AB777" i="1" s="1"/>
  <c r="CP776" i="1"/>
  <c r="O776" i="1" s="1"/>
  <c r="CQ774" i="1"/>
  <c r="AB774" i="1"/>
  <c r="S773" i="1"/>
  <c r="CC783" i="1"/>
  <c r="CP771" i="1"/>
  <c r="O771" i="1" s="1"/>
  <c r="CP770" i="1"/>
  <c r="O770" i="1" s="1"/>
  <c r="CP769" i="1"/>
  <c r="O769" i="1" s="1"/>
  <c r="CP768" i="1"/>
  <c r="O768" i="1" s="1"/>
  <c r="BX766" i="1"/>
  <c r="BB698" i="1"/>
  <c r="F713" i="1"/>
  <c r="AT698" i="1"/>
  <c r="F718" i="1"/>
  <c r="AP698" i="1"/>
  <c r="F709" i="1"/>
  <c r="F724" i="1"/>
  <c r="W698" i="1"/>
  <c r="O698" i="1"/>
  <c r="F702" i="1"/>
  <c r="F671" i="1"/>
  <c r="CI596" i="1"/>
  <c r="CZ590" i="1"/>
  <c r="Y590" i="1" s="1"/>
  <c r="CY590" i="1"/>
  <c r="X590" i="1" s="1"/>
  <c r="CZ585" i="1"/>
  <c r="Y585" i="1" s="1"/>
  <c r="T441" i="5" s="1"/>
  <c r="J445" i="5" s="1"/>
  <c r="CY585" i="1"/>
  <c r="X585" i="1" s="1"/>
  <c r="R441" i="5" s="1"/>
  <c r="J444" i="5" s="1"/>
  <c r="CZ583" i="1"/>
  <c r="Y583" i="1" s="1"/>
  <c r="T428" i="5" s="1"/>
  <c r="J432" i="5" s="1"/>
  <c r="CY583" i="1"/>
  <c r="X583" i="1" s="1"/>
  <c r="R428" i="5" s="1"/>
  <c r="J431" i="5" s="1"/>
  <c r="I434" i="5" s="1"/>
  <c r="P434" i="5" s="1"/>
  <c r="F573" i="1"/>
  <c r="BD539" i="1"/>
  <c r="CY544" i="1"/>
  <c r="X544" i="1" s="1"/>
  <c r="CZ544" i="1"/>
  <c r="Y544" i="1" s="1"/>
  <c r="CY542" i="1"/>
  <c r="X542" i="1" s="1"/>
  <c r="R401" i="5" s="1"/>
  <c r="J406" i="5" s="1"/>
  <c r="CZ542" i="1"/>
  <c r="Y542" i="1" s="1"/>
  <c r="T401" i="5" s="1"/>
  <c r="J407" i="5" s="1"/>
  <c r="AD548" i="1"/>
  <c r="BD497" i="1"/>
  <c r="F532" i="1"/>
  <c r="CY505" i="1"/>
  <c r="X505" i="1" s="1"/>
  <c r="R383" i="5" s="1"/>
  <c r="CZ505" i="1"/>
  <c r="Y505" i="1" s="1"/>
  <c r="T383" i="5" s="1"/>
  <c r="CP499" i="1"/>
  <c r="O499" i="1" s="1"/>
  <c r="CY460" i="1"/>
  <c r="X460" i="1" s="1"/>
  <c r="CZ460" i="1"/>
  <c r="Y460" i="1" s="1"/>
  <c r="CY458" i="1"/>
  <c r="X458" i="1" s="1"/>
  <c r="CZ458" i="1"/>
  <c r="Y458" i="1" s="1"/>
  <c r="AJ465" i="1"/>
  <c r="BC783" i="1"/>
  <c r="F754" i="1"/>
  <c r="F738" i="1"/>
  <c r="F710" i="1"/>
  <c r="F686" i="1"/>
  <c r="F670" i="1"/>
  <c r="AO596" i="1"/>
  <c r="CY594" i="1"/>
  <c r="X594" i="1" s="1"/>
  <c r="AB593" i="1"/>
  <c r="CZ591" i="1"/>
  <c r="Y591" i="1" s="1"/>
  <c r="CY591" i="1"/>
  <c r="X591" i="1" s="1"/>
  <c r="AB590" i="1"/>
  <c r="AB589" i="1"/>
  <c r="AD588" i="1"/>
  <c r="AB588" i="1" s="1"/>
  <c r="CS588" i="1"/>
  <c r="R587" i="1"/>
  <c r="J454" i="5" s="1"/>
  <c r="AB586" i="1"/>
  <c r="CQ586" i="1"/>
  <c r="P586" i="1" s="1"/>
  <c r="CP586" i="1" s="1"/>
  <c r="O586" i="1" s="1"/>
  <c r="AO539" i="1"/>
  <c r="F552" i="1"/>
  <c r="CP545" i="1"/>
  <c r="O545" i="1" s="1"/>
  <c r="CP543" i="1"/>
  <c r="O543" i="1" s="1"/>
  <c r="CJ548" i="1"/>
  <c r="CP541" i="1"/>
  <c r="O541" i="1" s="1"/>
  <c r="AC548" i="1"/>
  <c r="F523" i="1"/>
  <c r="BC497" i="1"/>
  <c r="AQ507" i="1"/>
  <c r="BZ497" i="1"/>
  <c r="CY503" i="1"/>
  <c r="X503" i="1" s="1"/>
  <c r="R379" i="5" s="1"/>
  <c r="CZ503" i="1"/>
  <c r="Y503" i="1" s="1"/>
  <c r="CP502" i="1"/>
  <c r="O502" i="1" s="1"/>
  <c r="CJ507" i="1"/>
  <c r="AJ507" i="1"/>
  <c r="CY499" i="1"/>
  <c r="X499" i="1" s="1"/>
  <c r="R367" i="5" s="1"/>
  <c r="J369" i="5" s="1"/>
  <c r="CZ499" i="1"/>
  <c r="Y499" i="1" s="1"/>
  <c r="T367" i="5" s="1"/>
  <c r="J370" i="5" s="1"/>
  <c r="CY463" i="1"/>
  <c r="X463" i="1" s="1"/>
  <c r="CZ463" i="1"/>
  <c r="Y463" i="1" s="1"/>
  <c r="CY462" i="1"/>
  <c r="X462" i="1" s="1"/>
  <c r="CZ462" i="1"/>
  <c r="Y462" i="1" s="1"/>
  <c r="T356" i="5" s="1"/>
  <c r="AG465" i="1"/>
  <c r="AI465" i="1"/>
  <c r="AD465" i="1"/>
  <c r="BB783" i="1"/>
  <c r="CX204" i="3"/>
  <c r="CX208" i="3"/>
  <c r="CX203" i="3"/>
  <c r="CX207" i="3"/>
  <c r="CX202" i="3"/>
  <c r="CX206" i="3"/>
  <c r="CX201" i="3"/>
  <c r="CX205" i="3"/>
  <c r="F737" i="1"/>
  <c r="F669" i="1"/>
  <c r="BD596" i="1"/>
  <c r="CX180" i="3"/>
  <c r="CX184" i="3"/>
  <c r="CX179" i="3"/>
  <c r="CX183" i="3"/>
  <c r="CX178" i="3"/>
  <c r="CX182" i="3"/>
  <c r="CX181" i="3"/>
  <c r="CX177" i="3"/>
  <c r="AB591" i="1"/>
  <c r="CR588" i="1"/>
  <c r="CZ584" i="1"/>
  <c r="Y584" i="1" s="1"/>
  <c r="T435" i="5" s="1"/>
  <c r="CY584" i="1"/>
  <c r="X584" i="1" s="1"/>
  <c r="R435" i="5" s="1"/>
  <c r="CZ582" i="1"/>
  <c r="Y582" i="1" s="1"/>
  <c r="T418" i="5" s="1"/>
  <c r="J424" i="5" s="1"/>
  <c r="CY582" i="1"/>
  <c r="X582" i="1" s="1"/>
  <c r="R418" i="5" s="1"/>
  <c r="J423" i="5" s="1"/>
  <c r="BB539" i="1"/>
  <c r="F561" i="1"/>
  <c r="BZ539" i="1"/>
  <c r="CG548" i="1"/>
  <c r="AQ548" i="1"/>
  <c r="CY546" i="1"/>
  <c r="X546" i="1" s="1"/>
  <c r="CZ546" i="1"/>
  <c r="Y546" i="1" s="1"/>
  <c r="GM546" i="1" s="1"/>
  <c r="CY545" i="1"/>
  <c r="X545" i="1" s="1"/>
  <c r="CZ545" i="1"/>
  <c r="Y545" i="1" s="1"/>
  <c r="CP544" i="1"/>
  <c r="O544" i="1" s="1"/>
  <c r="CY543" i="1"/>
  <c r="X543" i="1" s="1"/>
  <c r="R411" i="5" s="1"/>
  <c r="CZ543" i="1"/>
  <c r="Y543" i="1" s="1"/>
  <c r="T411" i="5" s="1"/>
  <c r="CP542" i="1"/>
  <c r="O542" i="1" s="1"/>
  <c r="AH548" i="1"/>
  <c r="AJ548" i="1"/>
  <c r="BB497" i="1"/>
  <c r="F520" i="1"/>
  <c r="AT507" i="1"/>
  <c r="CC497" i="1"/>
  <c r="AG507" i="1"/>
  <c r="AI507" i="1"/>
  <c r="CZ461" i="1"/>
  <c r="Y461" i="1" s="1"/>
  <c r="T352" i="5" s="1"/>
  <c r="CY461" i="1"/>
  <c r="X461" i="1" s="1"/>
  <c r="CP460" i="1"/>
  <c r="O460" i="1" s="1"/>
  <c r="CY459" i="1"/>
  <c r="X459" i="1" s="1"/>
  <c r="CZ459" i="1"/>
  <c r="Y459" i="1" s="1"/>
  <c r="T346" i="5" s="1"/>
  <c r="J349" i="5" s="1"/>
  <c r="AH465" i="1"/>
  <c r="CX196" i="3"/>
  <c r="CX195" i="3"/>
  <c r="CX191" i="3"/>
  <c r="CX190" i="3"/>
  <c r="CX189" i="3"/>
  <c r="BC596" i="1"/>
  <c r="CZ586" i="1"/>
  <c r="Y586" i="1" s="1"/>
  <c r="T448" i="5" s="1"/>
  <c r="CY586" i="1"/>
  <c r="X586" i="1" s="1"/>
  <c r="R448" i="5" s="1"/>
  <c r="AT539" i="1"/>
  <c r="F566" i="1"/>
  <c r="AG548" i="1"/>
  <c r="AI548" i="1"/>
  <c r="AP507" i="1"/>
  <c r="BY497" i="1"/>
  <c r="CI507" i="1"/>
  <c r="CZ504" i="1"/>
  <c r="Y504" i="1" s="1"/>
  <c r="T381" i="5" s="1"/>
  <c r="CY504" i="1"/>
  <c r="X504" i="1" s="1"/>
  <c r="R381" i="5" s="1"/>
  <c r="CY502" i="1"/>
  <c r="X502" i="1" s="1"/>
  <c r="R377" i="5" s="1"/>
  <c r="CZ502" i="1"/>
  <c r="Y502" i="1" s="1"/>
  <c r="T377" i="5" s="1"/>
  <c r="CZ500" i="1"/>
  <c r="Y500" i="1" s="1"/>
  <c r="T373" i="5" s="1"/>
  <c r="CY500" i="1"/>
  <c r="X500" i="1" s="1"/>
  <c r="R373" i="5" s="1"/>
  <c r="AD507" i="1"/>
  <c r="AH507" i="1"/>
  <c r="CP458" i="1"/>
  <c r="O458" i="1" s="1"/>
  <c r="AB465" i="1" s="1"/>
  <c r="AC465" i="1"/>
  <c r="CJ465" i="1"/>
  <c r="CY457" i="1"/>
  <c r="X457" i="1" s="1"/>
  <c r="R338" i="5" s="1"/>
  <c r="J342" i="5" s="1"/>
  <c r="CZ457" i="1"/>
  <c r="Y457" i="1" s="1"/>
  <c r="T338" i="5" s="1"/>
  <c r="J343" i="5" s="1"/>
  <c r="AF465" i="1"/>
  <c r="BY371" i="1"/>
  <c r="AP387" i="1"/>
  <c r="CI387" i="1"/>
  <c r="V339" i="1"/>
  <c r="AI331" i="1"/>
  <c r="CQ585" i="1"/>
  <c r="P585" i="1" s="1"/>
  <c r="CP585" i="1" s="1"/>
  <c r="O585" i="1" s="1"/>
  <c r="CQ584" i="1"/>
  <c r="P584" i="1" s="1"/>
  <c r="CP584" i="1" s="1"/>
  <c r="O584" i="1" s="1"/>
  <c r="CQ583" i="1"/>
  <c r="P583" i="1" s="1"/>
  <c r="CP583" i="1" s="1"/>
  <c r="O583" i="1" s="1"/>
  <c r="CQ582" i="1"/>
  <c r="P582" i="1" s="1"/>
  <c r="BC548" i="1"/>
  <c r="CS545" i="1"/>
  <c r="R545" i="1" s="1"/>
  <c r="GK545" i="1" s="1"/>
  <c r="CS543" i="1"/>
  <c r="CS541" i="1"/>
  <c r="CX140" i="3"/>
  <c r="CX144" i="3"/>
  <c r="CX148" i="3"/>
  <c r="CX139" i="3"/>
  <c r="CX143" i="3"/>
  <c r="CX147" i="3"/>
  <c r="CX142" i="3"/>
  <c r="CX146" i="3"/>
  <c r="CX141" i="3"/>
  <c r="CX145" i="3"/>
  <c r="CK539" i="1"/>
  <c r="CC539" i="1"/>
  <c r="BY539" i="1"/>
  <c r="AO507" i="1"/>
  <c r="CQ504" i="1"/>
  <c r="P504" i="1" s="1"/>
  <c r="CS502" i="1"/>
  <c r="CT501" i="1"/>
  <c r="S501" i="1" s="1"/>
  <c r="AF507" i="1" s="1"/>
  <c r="CQ500" i="1"/>
  <c r="P500" i="1" s="1"/>
  <c r="CM497" i="1"/>
  <c r="BC465" i="1"/>
  <c r="AQ465" i="1"/>
  <c r="AB385" i="1"/>
  <c r="CP385" i="1"/>
  <c r="O385" i="1" s="1"/>
  <c r="AB379" i="1"/>
  <c r="CQ379" i="1"/>
  <c r="AD376" i="1"/>
  <c r="AB376" i="1" s="1"/>
  <c r="CR376" i="1"/>
  <c r="CB387" i="1"/>
  <c r="CY337" i="1"/>
  <c r="X337" i="1" s="1"/>
  <c r="CZ337" i="1"/>
  <c r="Y337" i="1" s="1"/>
  <c r="CY333" i="1"/>
  <c r="X333" i="1" s="1"/>
  <c r="R242" i="5" s="1"/>
  <c r="J248" i="5" s="1"/>
  <c r="U299" i="1"/>
  <c r="AH289" i="1"/>
  <c r="CY296" i="1"/>
  <c r="X296" i="1" s="1"/>
  <c r="CZ296" i="1"/>
  <c r="Y296" i="1" s="1"/>
  <c r="T233" i="5" s="1"/>
  <c r="F266" i="1"/>
  <c r="AP248" i="1"/>
  <c r="AP548" i="1"/>
  <c r="BX539" i="1"/>
  <c r="CL497" i="1"/>
  <c r="BB465" i="1"/>
  <c r="AX465" i="1"/>
  <c r="AT465" i="1"/>
  <c r="AP465" i="1"/>
  <c r="AD463" i="1"/>
  <c r="AB463" i="1" s="1"/>
  <c r="AD462" i="1"/>
  <c r="AB462" i="1" s="1"/>
  <c r="AB460" i="1"/>
  <c r="AD458" i="1"/>
  <c r="AB458" i="1" s="1"/>
  <c r="AB457" i="1"/>
  <c r="AD381" i="1"/>
  <c r="AB381" i="1" s="1"/>
  <c r="CR381" i="1"/>
  <c r="Q381" i="1" s="1"/>
  <c r="AD377" i="1"/>
  <c r="AB377" i="1" s="1"/>
  <c r="CR377" i="1"/>
  <c r="CS376" i="1"/>
  <c r="V293" i="5" s="1"/>
  <c r="I376" i="1"/>
  <c r="U293" i="5" s="1"/>
  <c r="U374" i="1"/>
  <c r="K285" i="5" s="1"/>
  <c r="V374" i="1"/>
  <c r="BA339" i="1"/>
  <c r="CX172" i="3"/>
  <c r="CX171" i="3"/>
  <c r="CX167" i="3"/>
  <c r="CX166" i="3"/>
  <c r="CX165" i="3"/>
  <c r="CM539" i="1"/>
  <c r="CK497" i="1"/>
  <c r="AO465" i="1"/>
  <c r="CX131" i="3"/>
  <c r="CX130" i="3"/>
  <c r="CZ385" i="1"/>
  <c r="Y385" i="1" s="1"/>
  <c r="CS384" i="1"/>
  <c r="AD384" i="1"/>
  <c r="AB384" i="1" s="1"/>
  <c r="CP383" i="1"/>
  <c r="O383" i="1" s="1"/>
  <c r="CP382" i="1"/>
  <c r="O382" i="1" s="1"/>
  <c r="CS381" i="1"/>
  <c r="R381" i="1" s="1"/>
  <c r="BZ387" i="1"/>
  <c r="CS377" i="1"/>
  <c r="I377" i="1"/>
  <c r="O94" i="8" s="1"/>
  <c r="P376" i="1"/>
  <c r="AD374" i="1"/>
  <c r="AB374" i="1" s="1"/>
  <c r="CR374" i="1"/>
  <c r="Q374" i="1" s="1"/>
  <c r="CP374" i="1" s="1"/>
  <c r="O374" i="1" s="1"/>
  <c r="AH339" i="1"/>
  <c r="CM289" i="1"/>
  <c r="BD299" i="1"/>
  <c r="CS294" i="1"/>
  <c r="AD294" i="1"/>
  <c r="CR294" i="1"/>
  <c r="Q294" i="1" s="1"/>
  <c r="AD299" i="1" s="1"/>
  <c r="CY293" i="1"/>
  <c r="X293" i="1" s="1"/>
  <c r="R227" i="5" s="1"/>
  <c r="CZ293" i="1"/>
  <c r="Y293" i="1" s="1"/>
  <c r="T227" i="5" s="1"/>
  <c r="BB248" i="1"/>
  <c r="F270" i="1"/>
  <c r="I587" i="1"/>
  <c r="T144" i="8" s="1"/>
  <c r="CG507" i="1"/>
  <c r="CI465" i="1"/>
  <c r="BD465" i="1"/>
  <c r="CX132" i="3"/>
  <c r="CX133" i="3"/>
  <c r="CL371" i="1"/>
  <c r="BC387" i="1"/>
  <c r="BD371" i="1"/>
  <c r="F412" i="1"/>
  <c r="CQ384" i="1"/>
  <c r="P384" i="1" s="1"/>
  <c r="CZ383" i="1"/>
  <c r="Y383" i="1" s="1"/>
  <c r="CY383" i="1"/>
  <c r="X383" i="1" s="1"/>
  <c r="AB383" i="1"/>
  <c r="CP381" i="1"/>
  <c r="O381" i="1" s="1"/>
  <c r="CC387" i="1"/>
  <c r="AD375" i="1"/>
  <c r="AB375" i="1" s="1"/>
  <c r="CR375" i="1"/>
  <c r="GK373" i="1"/>
  <c r="CS333" i="1"/>
  <c r="AD333" i="1"/>
  <c r="AB333" i="1" s="1"/>
  <c r="CR333" i="1"/>
  <c r="Q333" i="1" s="1"/>
  <c r="BY299" i="1"/>
  <c r="CY292" i="1"/>
  <c r="X292" i="1" s="1"/>
  <c r="R225" i="5" s="1"/>
  <c r="CZ292" i="1"/>
  <c r="Y292" i="1" s="1"/>
  <c r="T225" i="5" s="1"/>
  <c r="CG299" i="1"/>
  <c r="AQ299" i="1"/>
  <c r="BZ289" i="1"/>
  <c r="AG299" i="1"/>
  <c r="CX76" i="3"/>
  <c r="CX75" i="3"/>
  <c r="W253" i="1"/>
  <c r="AJ257" i="1" s="1"/>
  <c r="AQ257" i="1"/>
  <c r="CY252" i="1"/>
  <c r="X252" i="1" s="1"/>
  <c r="CZ252" i="1"/>
  <c r="Y252" i="1" s="1"/>
  <c r="S376" i="1"/>
  <c r="J295" i="5" s="1"/>
  <c r="T374" i="1"/>
  <c r="W374" i="1"/>
  <c r="S374" i="1"/>
  <c r="J282" i="5" s="1"/>
  <c r="CR373" i="1"/>
  <c r="Q373" i="1" s="1"/>
  <c r="J273" i="5" s="1"/>
  <c r="AO339" i="1"/>
  <c r="AB336" i="1"/>
  <c r="CP335" i="1"/>
  <c r="O335" i="1" s="1"/>
  <c r="BY331" i="1"/>
  <c r="AP339" i="1"/>
  <c r="CC339" i="1"/>
  <c r="AG339" i="1"/>
  <c r="CY297" i="1"/>
  <c r="X297" i="1" s="1"/>
  <c r="CZ297" i="1"/>
  <c r="Y297" i="1" s="1"/>
  <c r="T235" i="5" s="1"/>
  <c r="CQ292" i="1"/>
  <c r="P292" i="1" s="1"/>
  <c r="AB292" i="1"/>
  <c r="CJ299" i="1"/>
  <c r="AJ299" i="1"/>
  <c r="AB291" i="1"/>
  <c r="BB289" i="1"/>
  <c r="CB248" i="1"/>
  <c r="AS257" i="1"/>
  <c r="AD252" i="1"/>
  <c r="AB252" i="1" s="1"/>
  <c r="CR252" i="1"/>
  <c r="Q252" i="1" s="1"/>
  <c r="CP252" i="1" s="1"/>
  <c r="O252" i="1" s="1"/>
  <c r="CY171" i="1"/>
  <c r="X171" i="1" s="1"/>
  <c r="R153" i="5" s="1"/>
  <c r="CZ171" i="1"/>
  <c r="Y171" i="1" s="1"/>
  <c r="T153" i="5" s="1"/>
  <c r="BC126" i="1"/>
  <c r="F148" i="1"/>
  <c r="AO126" i="1"/>
  <c r="F136" i="1"/>
  <c r="CX126" i="3"/>
  <c r="CX124" i="3"/>
  <c r="CX125" i="3"/>
  <c r="T377" i="1"/>
  <c r="W375" i="1"/>
  <c r="T373" i="1"/>
  <c r="W373" i="1"/>
  <c r="S373" i="1"/>
  <c r="J272" i="5" s="1"/>
  <c r="CS335" i="1"/>
  <c r="AD335" i="1"/>
  <c r="AB334" i="1"/>
  <c r="AJ339" i="1"/>
  <c r="F315" i="1"/>
  <c r="CQ296" i="1"/>
  <c r="P296" i="1" s="1"/>
  <c r="AB296" i="1"/>
  <c r="AB294" i="1"/>
  <c r="CZ291" i="1"/>
  <c r="Y291" i="1" s="1"/>
  <c r="AI299" i="1"/>
  <c r="V253" i="1"/>
  <c r="AI257" i="1" s="1"/>
  <c r="P253" i="1"/>
  <c r="CS252" i="1"/>
  <c r="R252" i="1" s="1"/>
  <c r="CP251" i="1"/>
  <c r="O251" i="1" s="1"/>
  <c r="CP250" i="1"/>
  <c r="O250" i="1" s="1"/>
  <c r="AH126" i="1"/>
  <c r="U132" i="1"/>
  <c r="AJ126" i="1"/>
  <c r="W132" i="1"/>
  <c r="CX102" i="3"/>
  <c r="CX100" i="3"/>
  <c r="CX101" i="3"/>
  <c r="CQ337" i="1"/>
  <c r="P337" i="1" s="1"/>
  <c r="CP337" i="1" s="1"/>
  <c r="O337" i="1" s="1"/>
  <c r="AB337" i="1"/>
  <c r="CP336" i="1"/>
  <c r="O336" i="1" s="1"/>
  <c r="AB335" i="1"/>
  <c r="CY334" i="1"/>
  <c r="X334" i="1" s="1"/>
  <c r="R253" i="5" s="1"/>
  <c r="J258" i="5" s="1"/>
  <c r="BZ339" i="1"/>
  <c r="CI339" i="1" s="1"/>
  <c r="CP333" i="1"/>
  <c r="O333" i="1" s="1"/>
  <c r="AC339" i="1"/>
  <c r="AO289" i="1"/>
  <c r="F303" i="1"/>
  <c r="CP293" i="1"/>
  <c r="O293" i="1" s="1"/>
  <c r="CC299" i="1"/>
  <c r="BY248" i="1"/>
  <c r="CI257" i="1"/>
  <c r="AT248" i="1"/>
  <c r="F275" i="1"/>
  <c r="CP255" i="1"/>
  <c r="O255" i="1" s="1"/>
  <c r="GX253" i="1"/>
  <c r="CJ257" i="1" s="1"/>
  <c r="T253" i="1"/>
  <c r="AG257" i="1" s="1"/>
  <c r="BD339" i="1"/>
  <c r="CK289" i="1"/>
  <c r="AO257" i="1"/>
  <c r="AB254" i="1"/>
  <c r="U253" i="1"/>
  <c r="AH257" i="1" s="1"/>
  <c r="AB251" i="1"/>
  <c r="GM176" i="1"/>
  <c r="CQ171" i="1"/>
  <c r="P171" i="1" s="1"/>
  <c r="CP171" i="1" s="1"/>
  <c r="O171" i="1" s="1"/>
  <c r="AB171" i="1"/>
  <c r="BA132" i="1"/>
  <c r="CJ126" i="1"/>
  <c r="V84" i="1"/>
  <c r="AP94" i="1"/>
  <c r="CI94" i="1"/>
  <c r="BC339" i="1"/>
  <c r="BX289" i="1"/>
  <c r="BD257" i="1"/>
  <c r="AD255" i="1"/>
  <c r="CZ250" i="1"/>
  <c r="Y250" i="1" s="1"/>
  <c r="CB180" i="1"/>
  <c r="CX114" i="3"/>
  <c r="CX118" i="3"/>
  <c r="CX112" i="3"/>
  <c r="CX116" i="3"/>
  <c r="CX115" i="3"/>
  <c r="CX119" i="3"/>
  <c r="CX113" i="3"/>
  <c r="CX117" i="3"/>
  <c r="BB339" i="1"/>
  <c r="CX86" i="3"/>
  <c r="CX90" i="3"/>
  <c r="CX84" i="3"/>
  <c r="CX88" i="3"/>
  <c r="CX92" i="3"/>
  <c r="CX87" i="3"/>
  <c r="CX91" i="3"/>
  <c r="CX93" i="3"/>
  <c r="CX89" i="3"/>
  <c r="CX85" i="3"/>
  <c r="BC257" i="1"/>
  <c r="AB255" i="1"/>
  <c r="BY180" i="1"/>
  <c r="CY130" i="1"/>
  <c r="X130" i="1" s="1"/>
  <c r="R112" i="5" s="1"/>
  <c r="CZ130" i="1"/>
  <c r="Y130" i="1" s="1"/>
  <c r="T112" i="5" s="1"/>
  <c r="AI126" i="1"/>
  <c r="V132" i="1"/>
  <c r="CS177" i="1"/>
  <c r="AD177" i="1"/>
  <c r="AB177" i="1" s="1"/>
  <c r="CY174" i="1"/>
  <c r="X174" i="1" s="1"/>
  <c r="CZ174" i="1"/>
  <c r="Y174" i="1" s="1"/>
  <c r="CY166" i="1"/>
  <c r="X166" i="1" s="1"/>
  <c r="R119" i="5" s="1"/>
  <c r="J124" i="5" s="1"/>
  <c r="CM126" i="1"/>
  <c r="BD132" i="1"/>
  <c r="CZ129" i="1"/>
  <c r="Y129" i="1" s="1"/>
  <c r="T102" i="5" s="1"/>
  <c r="J108" i="5" s="1"/>
  <c r="CY129" i="1"/>
  <c r="X129" i="1" s="1"/>
  <c r="CY90" i="1"/>
  <c r="X90" i="1" s="1"/>
  <c r="R80" i="5" s="1"/>
  <c r="CZ90" i="1"/>
  <c r="Y90" i="1" s="1"/>
  <c r="T80" i="5" s="1"/>
  <c r="CQ90" i="1"/>
  <c r="P90" i="1" s="1"/>
  <c r="CY79" i="1"/>
  <c r="X79" i="1" s="1"/>
  <c r="CZ79" i="1"/>
  <c r="Y79" i="1" s="1"/>
  <c r="AO164" i="1"/>
  <c r="F184" i="1"/>
  <c r="CY178" i="1"/>
  <c r="X178" i="1" s="1"/>
  <c r="CZ178" i="1"/>
  <c r="Y178" i="1" s="1"/>
  <c r="CP177" i="1"/>
  <c r="O177" i="1" s="1"/>
  <c r="CY175" i="1"/>
  <c r="X175" i="1" s="1"/>
  <c r="CZ175" i="1"/>
  <c r="Y175" i="1" s="1"/>
  <c r="CQ173" i="1"/>
  <c r="AB173" i="1"/>
  <c r="BZ164" i="1"/>
  <c r="CG180" i="1"/>
  <c r="AQ180" i="1"/>
  <c r="CC180" i="1"/>
  <c r="AB169" i="1"/>
  <c r="GK166" i="1"/>
  <c r="CG132" i="1"/>
  <c r="BX126" i="1"/>
  <c r="CY128" i="1"/>
  <c r="X128" i="1" s="1"/>
  <c r="R91" i="5" s="1"/>
  <c r="J97" i="5" s="1"/>
  <c r="AF132" i="1"/>
  <c r="CZ128" i="1"/>
  <c r="Y128" i="1" s="1"/>
  <c r="T91" i="5" s="1"/>
  <c r="J98" i="5" s="1"/>
  <c r="BZ72" i="1"/>
  <c r="AQ94" i="1"/>
  <c r="AQ132" i="1"/>
  <c r="BZ126" i="1"/>
  <c r="AG126" i="1"/>
  <c r="T132" i="1"/>
  <c r="CC132" i="1"/>
  <c r="AE132" i="1"/>
  <c r="CQ128" i="1"/>
  <c r="P128" i="1" s="1"/>
  <c r="J96" i="5" s="1"/>
  <c r="CK72" i="1"/>
  <c r="BB94" i="1"/>
  <c r="GX84" i="1"/>
  <c r="BC180" i="1"/>
  <c r="CX54" i="3"/>
  <c r="CX53" i="3"/>
  <c r="CX46" i="3"/>
  <c r="CX47" i="3"/>
  <c r="CX45" i="3"/>
  <c r="BY132" i="1"/>
  <c r="AO94" i="1"/>
  <c r="AB91" i="1"/>
  <c r="CP89" i="1"/>
  <c r="O89" i="1" s="1"/>
  <c r="CY86" i="1"/>
  <c r="X86" i="1" s="1"/>
  <c r="CZ86" i="1"/>
  <c r="Y86" i="1" s="1"/>
  <c r="Q84" i="1"/>
  <c r="U84" i="1"/>
  <c r="AH94" i="1" s="1"/>
  <c r="GM83" i="1"/>
  <c r="CR169" i="1"/>
  <c r="Q169" i="1" s="1"/>
  <c r="CR168" i="1"/>
  <c r="Q168" i="1" s="1"/>
  <c r="CR167" i="1"/>
  <c r="Q167" i="1" s="1"/>
  <c r="CR166" i="1"/>
  <c r="Q166" i="1" s="1"/>
  <c r="J122" i="5" s="1"/>
  <c r="BX164" i="1"/>
  <c r="CR130" i="1"/>
  <c r="Q130" i="1" s="1"/>
  <c r="AD132" i="1" s="1"/>
  <c r="CX30" i="3"/>
  <c r="CX34" i="3"/>
  <c r="CX38" i="3"/>
  <c r="CX32" i="3"/>
  <c r="CX36" i="3"/>
  <c r="CX31" i="3"/>
  <c r="CX35" i="3"/>
  <c r="CX37" i="3"/>
  <c r="CX33" i="3"/>
  <c r="CX29" i="3"/>
  <c r="BD94" i="1"/>
  <c r="CZ91" i="1"/>
  <c r="Y91" i="1" s="1"/>
  <c r="P84" i="1"/>
  <c r="CC72" i="1"/>
  <c r="CX78" i="3"/>
  <c r="CX77" i="3"/>
  <c r="CX70" i="3"/>
  <c r="CX71" i="3"/>
  <c r="CX69" i="3"/>
  <c r="CX58" i="3"/>
  <c r="CX62" i="3"/>
  <c r="CX60" i="3"/>
  <c r="CX64" i="3"/>
  <c r="CX59" i="3"/>
  <c r="CX63" i="3"/>
  <c r="CX57" i="3"/>
  <c r="CX61" i="3"/>
  <c r="AB130" i="1"/>
  <c r="CG94" i="1"/>
  <c r="CS92" i="1"/>
  <c r="AD92" i="1"/>
  <c r="AB92" i="1" s="1"/>
  <c r="AD90" i="1"/>
  <c r="AB90" i="1" s="1"/>
  <c r="CS90" i="1"/>
  <c r="CQ88" i="1"/>
  <c r="P88" i="1" s="1"/>
  <c r="AD86" i="1"/>
  <c r="AB86" i="1" s="1"/>
  <c r="CS86" i="1"/>
  <c r="R86" i="1" s="1"/>
  <c r="GK86" i="1" s="1"/>
  <c r="CR86" i="1"/>
  <c r="Q86" i="1" s="1"/>
  <c r="R85" i="1"/>
  <c r="GK85" i="1" s="1"/>
  <c r="GX85" i="1"/>
  <c r="T84" i="1"/>
  <c r="CY82" i="1"/>
  <c r="X82" i="1" s="1"/>
  <c r="CZ82" i="1"/>
  <c r="Y82" i="1" s="1"/>
  <c r="CY80" i="1"/>
  <c r="X80" i="1" s="1"/>
  <c r="CZ80" i="1"/>
  <c r="Y80" i="1" s="1"/>
  <c r="CY78" i="1"/>
  <c r="X78" i="1" s="1"/>
  <c r="CZ78" i="1"/>
  <c r="Y78" i="1" s="1"/>
  <c r="CY76" i="1"/>
  <c r="X76" i="1" s="1"/>
  <c r="AB76" i="1"/>
  <c r="AG94" i="1"/>
  <c r="CP75" i="1"/>
  <c r="O75" i="1" s="1"/>
  <c r="CY74" i="1"/>
  <c r="X74" i="1" s="1"/>
  <c r="R65" i="5" s="1"/>
  <c r="J69" i="5" s="1"/>
  <c r="CZ74" i="1"/>
  <c r="Y74" i="1" s="1"/>
  <c r="T65" i="5" s="1"/>
  <c r="J70" i="5" s="1"/>
  <c r="CC30" i="1"/>
  <c r="AT40" i="1"/>
  <c r="BC94" i="1"/>
  <c r="CQ86" i="1"/>
  <c r="P86" i="1" s="1"/>
  <c r="CQ74" i="1"/>
  <c r="P74" i="1" s="1"/>
  <c r="AB74" i="1"/>
  <c r="CS38" i="1"/>
  <c r="AD38" i="1"/>
  <c r="CR38" i="1"/>
  <c r="Q38" i="1" s="1"/>
  <c r="CY35" i="1"/>
  <c r="X35" i="1" s="1"/>
  <c r="CZ35" i="1"/>
  <c r="Y35" i="1" s="1"/>
  <c r="CS33" i="1"/>
  <c r="R33" i="1" s="1"/>
  <c r="AD33" i="1"/>
  <c r="AB33" i="1" s="1"/>
  <c r="CR33" i="1"/>
  <c r="Q33" i="1" s="1"/>
  <c r="AD40" i="1" s="1"/>
  <c r="CS88" i="1"/>
  <c r="AD88" i="1"/>
  <c r="AB88" i="1" s="1"/>
  <c r="W85" i="1"/>
  <c r="S85" i="1"/>
  <c r="W84" i="1"/>
  <c r="S84" i="1"/>
  <c r="AD82" i="1"/>
  <c r="AB82" i="1" s="1"/>
  <c r="CS82" i="1"/>
  <c r="R82" i="1" s="1"/>
  <c r="GK82" i="1" s="1"/>
  <c r="CS81" i="1"/>
  <c r="R81" i="1" s="1"/>
  <c r="GK81" i="1" s="1"/>
  <c r="AD81" i="1"/>
  <c r="AB81" i="1" s="1"/>
  <c r="CQ80" i="1"/>
  <c r="P80" i="1" s="1"/>
  <c r="CP80" i="1" s="1"/>
  <c r="O80" i="1" s="1"/>
  <c r="AB80" i="1"/>
  <c r="CP36" i="1"/>
  <c r="O36" i="1" s="1"/>
  <c r="AG40" i="1"/>
  <c r="CP34" i="1"/>
  <c r="O34" i="1" s="1"/>
  <c r="CZ32" i="1"/>
  <c r="Y32" i="1" s="1"/>
  <c r="T36" i="5" s="1"/>
  <c r="J41" i="5" s="1"/>
  <c r="CR82" i="1"/>
  <c r="Q82" i="1" s="1"/>
  <c r="CQ82" i="1"/>
  <c r="P82" i="1" s="1"/>
  <c r="CP82" i="1" s="1"/>
  <c r="O82" i="1" s="1"/>
  <c r="CZ81" i="1"/>
  <c r="Y81" i="1" s="1"/>
  <c r="CR81" i="1"/>
  <c r="Q81" i="1" s="1"/>
  <c r="CS79" i="1"/>
  <c r="R79" i="1" s="1"/>
  <c r="GK79" i="1" s="1"/>
  <c r="AD79" i="1"/>
  <c r="AB79" i="1" s="1"/>
  <c r="CQ78" i="1"/>
  <c r="P78" i="1" s="1"/>
  <c r="CP78" i="1" s="1"/>
  <c r="O78" i="1" s="1"/>
  <c r="AB78" i="1"/>
  <c r="CP76" i="1"/>
  <c r="O76" i="1" s="1"/>
  <c r="CK30" i="1"/>
  <c r="BB40" i="1"/>
  <c r="BC30" i="1"/>
  <c r="F56" i="1"/>
  <c r="CQ81" i="1"/>
  <c r="P81" i="1" s="1"/>
  <c r="CS80" i="1"/>
  <c r="R80" i="1" s="1"/>
  <c r="GK80" i="1" s="1"/>
  <c r="CQ79" i="1"/>
  <c r="P79" i="1" s="1"/>
  <c r="CP79" i="1" s="1"/>
  <c r="O79" i="1" s="1"/>
  <c r="CS78" i="1"/>
  <c r="R78" i="1" s="1"/>
  <c r="GK78" i="1" s="1"/>
  <c r="CS74" i="1"/>
  <c r="AB38" i="1"/>
  <c r="CQ35" i="1"/>
  <c r="P35" i="1" s="1"/>
  <c r="CP35" i="1" s="1"/>
  <c r="O35" i="1" s="1"/>
  <c r="AB35" i="1"/>
  <c r="CY34" i="1"/>
  <c r="X34" i="1" s="1"/>
  <c r="CZ34" i="1"/>
  <c r="Y34" i="1" s="1"/>
  <c r="T44" i="5" s="1"/>
  <c r="J47" i="5" s="1"/>
  <c r="AB34" i="1"/>
  <c r="CJ40" i="1"/>
  <c r="BY30" i="1"/>
  <c r="CI40" i="1"/>
  <c r="AP40" i="1"/>
  <c r="CS37" i="1"/>
  <c r="AD37" i="1"/>
  <c r="AB37" i="1" s="1"/>
  <c r="AH40" i="1"/>
  <c r="CP32" i="1"/>
  <c r="O32" i="1" s="1"/>
  <c r="CB40" i="1"/>
  <c r="AJ40" i="1"/>
  <c r="CQ38" i="1"/>
  <c r="P38" i="1" s="1"/>
  <c r="CQ37" i="1"/>
  <c r="P37" i="1" s="1"/>
  <c r="CP37" i="1" s="1"/>
  <c r="O37" i="1" s="1"/>
  <c r="CS35" i="1"/>
  <c r="R35" i="1" s="1"/>
  <c r="AO40" i="1"/>
  <c r="CX8" i="3"/>
  <c r="CX7" i="3"/>
  <c r="BD40" i="1"/>
  <c r="CX10" i="3"/>
  <c r="CX9" i="3"/>
  <c r="CX2" i="3"/>
  <c r="CX3" i="3"/>
  <c r="I101" i="5" l="1"/>
  <c r="P101" i="5" s="1"/>
  <c r="E152" i="7"/>
  <c r="GP938" i="1"/>
  <c r="GM938" i="1"/>
  <c r="GN295" i="1"/>
  <c r="GM295" i="1"/>
  <c r="E73" i="7"/>
  <c r="T187" i="5"/>
  <c r="J192" i="5" s="1"/>
  <c r="CP166" i="1"/>
  <c r="O166" i="1" s="1"/>
  <c r="GM462" i="1"/>
  <c r="R356" i="5"/>
  <c r="CY254" i="1"/>
  <c r="X254" i="1" s="1"/>
  <c r="R205" i="5" s="1"/>
  <c r="CZ254" i="1"/>
  <c r="Y254" i="1" s="1"/>
  <c r="T205" i="5" s="1"/>
  <c r="J217" i="5"/>
  <c r="CY291" i="1"/>
  <c r="X291" i="1" s="1"/>
  <c r="R216" i="5" s="1"/>
  <c r="J220" i="5" s="1"/>
  <c r="CX104" i="3"/>
  <c r="I92" i="8"/>
  <c r="D111" i="7" s="1"/>
  <c r="D66" i="6"/>
  <c r="C288" i="5"/>
  <c r="E287" i="5"/>
  <c r="R255" i="1"/>
  <c r="GK255" i="1" s="1"/>
  <c r="V209" i="5"/>
  <c r="E44" i="7"/>
  <c r="M38" i="8"/>
  <c r="F44" i="7" s="1"/>
  <c r="E48" i="7" s="1"/>
  <c r="CY167" i="1"/>
  <c r="X167" i="1" s="1"/>
  <c r="R129" i="5" s="1"/>
  <c r="J132" i="5" s="1"/>
  <c r="J131" i="5"/>
  <c r="CZ167" i="1"/>
  <c r="Y167" i="1" s="1"/>
  <c r="T129" i="5" s="1"/>
  <c r="J133" i="5" s="1"/>
  <c r="GK128" i="1"/>
  <c r="J95" i="5"/>
  <c r="K609" i="5"/>
  <c r="P609" i="5"/>
  <c r="K384" i="5"/>
  <c r="P384" i="5"/>
  <c r="R333" i="1"/>
  <c r="J246" i="5" s="1"/>
  <c r="V242" i="5"/>
  <c r="J250" i="5" s="1"/>
  <c r="R37" i="1"/>
  <c r="J56" i="5" s="1"/>
  <c r="V54" i="5"/>
  <c r="R88" i="1"/>
  <c r="GK88" i="1" s="1"/>
  <c r="GM88" i="1" s="1"/>
  <c r="V76" i="5"/>
  <c r="CG40" i="1"/>
  <c r="R92" i="1"/>
  <c r="GK92" i="1" s="1"/>
  <c r="V84" i="5"/>
  <c r="T82" i="5"/>
  <c r="S377" i="1"/>
  <c r="U375" i="1"/>
  <c r="R233" i="5"/>
  <c r="R541" i="1"/>
  <c r="J394" i="5" s="1"/>
  <c r="V390" i="5"/>
  <c r="J398" i="5" s="1"/>
  <c r="CZ541" i="1"/>
  <c r="Y541" i="1" s="1"/>
  <c r="T390" i="5" s="1"/>
  <c r="J397" i="5" s="1"/>
  <c r="AX257" i="1"/>
  <c r="R360" i="5"/>
  <c r="CI539" i="1"/>
  <c r="GM590" i="1"/>
  <c r="CP772" i="1"/>
  <c r="O772" i="1" s="1"/>
  <c r="R934" i="1"/>
  <c r="V626" i="5"/>
  <c r="CY940" i="1"/>
  <c r="X940" i="1" s="1"/>
  <c r="R655" i="5" s="1"/>
  <c r="J659" i="5" s="1"/>
  <c r="K434" i="5"/>
  <c r="CZ77" i="1"/>
  <c r="Y77" i="1" s="1"/>
  <c r="CY77" i="1"/>
  <c r="X77" i="1" s="1"/>
  <c r="GP77" i="1" s="1"/>
  <c r="M144" i="8"/>
  <c r="O92" i="8"/>
  <c r="K359" i="5"/>
  <c r="E39" i="7"/>
  <c r="O167" i="8"/>
  <c r="M208" i="8"/>
  <c r="F228" i="7" s="1"/>
  <c r="E27" i="7"/>
  <c r="M20" i="8"/>
  <c r="F27" i="7" s="1"/>
  <c r="E65" i="7"/>
  <c r="GK334" i="1"/>
  <c r="J256" i="5"/>
  <c r="S300" i="5"/>
  <c r="K376" i="5"/>
  <c r="P376" i="5"/>
  <c r="E140" i="7"/>
  <c r="M119" i="8"/>
  <c r="F140" i="7" s="1"/>
  <c r="E178" i="7"/>
  <c r="F100" i="7"/>
  <c r="R92" i="8"/>
  <c r="R167" i="8"/>
  <c r="R211" i="8"/>
  <c r="CZ36" i="1"/>
  <c r="Y36" i="1" s="1"/>
  <c r="T50" i="5" s="1"/>
  <c r="CY36" i="1"/>
  <c r="X36" i="1" s="1"/>
  <c r="R50" i="5" s="1"/>
  <c r="E24" i="7"/>
  <c r="M17" i="8"/>
  <c r="F24" i="7" s="1"/>
  <c r="R168" i="1"/>
  <c r="V136" i="5"/>
  <c r="J140" i="5" s="1"/>
  <c r="I194" i="5"/>
  <c r="R254" i="1"/>
  <c r="J207" i="5" s="1"/>
  <c r="V205" i="5"/>
  <c r="R292" i="1"/>
  <c r="GK292" i="1" s="1"/>
  <c r="V225" i="5"/>
  <c r="R293" i="1"/>
  <c r="GK293" i="1" s="1"/>
  <c r="V227" i="5"/>
  <c r="K264" i="5"/>
  <c r="P264" i="5"/>
  <c r="P412" i="5"/>
  <c r="K412" i="5"/>
  <c r="S535" i="5"/>
  <c r="CP779" i="1"/>
  <c r="O779" i="1" s="1"/>
  <c r="J551" i="5"/>
  <c r="E234" i="7"/>
  <c r="M196" i="8"/>
  <c r="F234" i="7" s="1"/>
  <c r="M42" i="8"/>
  <c r="F53" i="7" s="1"/>
  <c r="O166" i="8"/>
  <c r="F219" i="7"/>
  <c r="O209" i="8"/>
  <c r="CP91" i="1"/>
  <c r="O91" i="1" s="1"/>
  <c r="U136" i="5"/>
  <c r="R171" i="1"/>
  <c r="J155" i="5" s="1"/>
  <c r="V153" i="5"/>
  <c r="CP175" i="1"/>
  <c r="O175" i="1" s="1"/>
  <c r="R250" i="1"/>
  <c r="GK250" i="1" s="1"/>
  <c r="V187" i="5"/>
  <c r="U300" i="5"/>
  <c r="V452" i="5"/>
  <c r="AS126" i="1"/>
  <c r="F149" i="1"/>
  <c r="GX168" i="1"/>
  <c r="R584" i="1"/>
  <c r="V435" i="5"/>
  <c r="J439" i="5" s="1"/>
  <c r="I440" i="5" s="1"/>
  <c r="T773" i="1"/>
  <c r="E29" i="7"/>
  <c r="M22" i="8"/>
  <c r="F29" i="7" s="1"/>
  <c r="CZ779" i="1"/>
  <c r="Y779" i="1" s="1"/>
  <c r="T546" i="5" s="1"/>
  <c r="J553" i="5" s="1"/>
  <c r="J548" i="5"/>
  <c r="CY779" i="1"/>
  <c r="X779" i="1" s="1"/>
  <c r="R546" i="5" s="1"/>
  <c r="J552" i="5" s="1"/>
  <c r="GK944" i="1"/>
  <c r="GM944" i="1" s="1"/>
  <c r="J668" i="5"/>
  <c r="R94" i="8"/>
  <c r="P168" i="1"/>
  <c r="E82" i="7"/>
  <c r="M67" i="8"/>
  <c r="F82" i="7" s="1"/>
  <c r="CZ944" i="1"/>
  <c r="Y944" i="1" s="1"/>
  <c r="T665" i="5" s="1"/>
  <c r="J671" i="5" s="1"/>
  <c r="J666" i="5"/>
  <c r="R462" i="1"/>
  <c r="J358" i="5" s="1"/>
  <c r="V356" i="5"/>
  <c r="R500" i="1"/>
  <c r="GK500" i="1" s="1"/>
  <c r="V373" i="5"/>
  <c r="GK892" i="1"/>
  <c r="J596" i="5"/>
  <c r="CP38" i="1"/>
  <c r="O38" i="1" s="1"/>
  <c r="J58" i="5"/>
  <c r="I59" i="5" s="1"/>
  <c r="GM175" i="1"/>
  <c r="AL299" i="1"/>
  <c r="T216" i="5"/>
  <c r="J221" i="5" s="1"/>
  <c r="CP500" i="1"/>
  <c r="O500" i="1" s="1"/>
  <c r="GN500" i="1" s="1"/>
  <c r="J373" i="5"/>
  <c r="I374" i="5" s="1"/>
  <c r="CP890" i="1"/>
  <c r="O890" i="1" s="1"/>
  <c r="J582" i="5"/>
  <c r="R768" i="1"/>
  <c r="J505" i="5" s="1"/>
  <c r="V501" i="5"/>
  <c r="J508" i="5" s="1"/>
  <c r="I510" i="5" s="1"/>
  <c r="R770" i="1"/>
  <c r="V518" i="5"/>
  <c r="J522" i="5" s="1"/>
  <c r="I523" i="5" s="1"/>
  <c r="R772" i="1"/>
  <c r="J533" i="5" s="1"/>
  <c r="V531" i="5"/>
  <c r="AH955" i="1"/>
  <c r="K684" i="5"/>
  <c r="R939" i="1"/>
  <c r="GK939" i="1" s="1"/>
  <c r="V653" i="5"/>
  <c r="O93" i="8"/>
  <c r="R93" i="8"/>
  <c r="CY168" i="1"/>
  <c r="X168" i="1" s="1"/>
  <c r="R136" i="5" s="1"/>
  <c r="CZ168" i="1"/>
  <c r="Y168" i="1" s="1"/>
  <c r="T136" i="5" s="1"/>
  <c r="E84" i="7"/>
  <c r="M69" i="8"/>
  <c r="F84" i="7" s="1"/>
  <c r="E139" i="7"/>
  <c r="M118" i="8"/>
  <c r="F139" i="7" s="1"/>
  <c r="E141" i="7"/>
  <c r="M120" i="8"/>
  <c r="F141" i="7" s="1"/>
  <c r="R585" i="1"/>
  <c r="GK585" i="1" s="1"/>
  <c r="GM585" i="1" s="1"/>
  <c r="V441" i="5"/>
  <c r="E28" i="7"/>
  <c r="M21" i="8"/>
  <c r="F28" i="7" s="1"/>
  <c r="K101" i="5"/>
  <c r="E86" i="7"/>
  <c r="M71" i="8"/>
  <c r="F86" i="7" s="1"/>
  <c r="CY38" i="1"/>
  <c r="X38" i="1" s="1"/>
  <c r="R58" i="5" s="1"/>
  <c r="CZ38" i="1"/>
  <c r="Y38" i="1" s="1"/>
  <c r="T58" i="5" s="1"/>
  <c r="CY384" i="1"/>
  <c r="X384" i="1" s="1"/>
  <c r="R315" i="5" s="1"/>
  <c r="J321" i="5" s="1"/>
  <c r="J317" i="5"/>
  <c r="CZ384" i="1"/>
  <c r="Y384" i="1" s="1"/>
  <c r="T315" i="5" s="1"/>
  <c r="J322" i="5" s="1"/>
  <c r="K85" i="5"/>
  <c r="P85" i="5"/>
  <c r="CY169" i="1"/>
  <c r="X169" i="1" s="1"/>
  <c r="R142" i="5" s="1"/>
  <c r="J145" i="5" s="1"/>
  <c r="J144" i="5"/>
  <c r="CZ169" i="1"/>
  <c r="Y169" i="1" s="1"/>
  <c r="T142" i="5" s="1"/>
  <c r="J146" i="5" s="1"/>
  <c r="V287" i="5"/>
  <c r="J291" i="5" s="1"/>
  <c r="CG580" i="1"/>
  <c r="AX596" i="1"/>
  <c r="K534" i="5"/>
  <c r="P534" i="5"/>
  <c r="CP81" i="1"/>
  <c r="O81" i="1" s="1"/>
  <c r="GM81" i="1" s="1"/>
  <c r="AF94" i="1"/>
  <c r="CP88" i="1"/>
  <c r="O88" i="1" s="1"/>
  <c r="J76" i="5"/>
  <c r="I77" i="5" s="1"/>
  <c r="CP167" i="1"/>
  <c r="O167" i="1" s="1"/>
  <c r="GM167" i="1" s="1"/>
  <c r="GM129" i="1"/>
  <c r="R102" i="5"/>
  <c r="J107" i="5" s="1"/>
  <c r="I111" i="5" s="1"/>
  <c r="AI94" i="1"/>
  <c r="CP334" i="1"/>
  <c r="O334" i="1" s="1"/>
  <c r="GM334" i="1" s="1"/>
  <c r="T375" i="1"/>
  <c r="CP292" i="1"/>
  <c r="O292" i="1" s="1"/>
  <c r="J225" i="5"/>
  <c r="I226" i="5" s="1"/>
  <c r="AF257" i="1"/>
  <c r="S257" i="1" s="1"/>
  <c r="I145" i="8"/>
  <c r="I144" i="8"/>
  <c r="D98" i="6"/>
  <c r="E452" i="5"/>
  <c r="K455" i="5"/>
  <c r="AF548" i="1"/>
  <c r="GN546" i="1"/>
  <c r="GN503" i="1"/>
  <c r="T379" i="5"/>
  <c r="CP33" i="1"/>
  <c r="O33" i="1" s="1"/>
  <c r="AF40" i="1"/>
  <c r="AJ94" i="1"/>
  <c r="W94" i="1" s="1"/>
  <c r="R38" i="1"/>
  <c r="GK38" i="1" s="1"/>
  <c r="V58" i="5"/>
  <c r="CZ88" i="1"/>
  <c r="Y88" i="1" s="1"/>
  <c r="T76" i="5" s="1"/>
  <c r="CP168" i="1"/>
  <c r="O168" i="1" s="1"/>
  <c r="J138" i="5"/>
  <c r="CJ94" i="1"/>
  <c r="F205" i="1"/>
  <c r="CP90" i="1"/>
  <c r="O90" i="1" s="1"/>
  <c r="GM90" i="1" s="1"/>
  <c r="J80" i="5"/>
  <c r="I81" i="5" s="1"/>
  <c r="R177" i="1"/>
  <c r="V164" i="5"/>
  <c r="J172" i="5" s="1"/>
  <c r="CP291" i="1"/>
  <c r="O291" i="1" s="1"/>
  <c r="CY253" i="1"/>
  <c r="X253" i="1" s="1"/>
  <c r="R201" i="5" s="1"/>
  <c r="P375" i="1"/>
  <c r="AF339" i="1"/>
  <c r="R502" i="1"/>
  <c r="GK502" i="1" s="1"/>
  <c r="GM502" i="1" s="1"/>
  <c r="V377" i="5"/>
  <c r="R346" i="5"/>
  <c r="J348" i="5" s="1"/>
  <c r="I351" i="5" s="1"/>
  <c r="CB455" i="1"/>
  <c r="CP505" i="1"/>
  <c r="O505" i="1" s="1"/>
  <c r="CP593" i="1"/>
  <c r="O593" i="1" s="1"/>
  <c r="R769" i="1"/>
  <c r="GK769" i="1" s="1"/>
  <c r="V511" i="5"/>
  <c r="R771" i="1"/>
  <c r="GK771" i="1" s="1"/>
  <c r="V524" i="5"/>
  <c r="CX198" i="3"/>
  <c r="AP580" i="1"/>
  <c r="CY772" i="1"/>
  <c r="X772" i="1" s="1"/>
  <c r="R531" i="5" s="1"/>
  <c r="CY893" i="1"/>
  <c r="X893" i="1" s="1"/>
  <c r="R599" i="5" s="1"/>
  <c r="J602" i="5" s="1"/>
  <c r="CP951" i="1"/>
  <c r="O951" i="1" s="1"/>
  <c r="R935" i="1"/>
  <c r="GK935" i="1" s="1"/>
  <c r="V634" i="5"/>
  <c r="CP940" i="1"/>
  <c r="O940" i="1" s="1"/>
  <c r="J657" i="5"/>
  <c r="I662" i="5" s="1"/>
  <c r="K598" i="5"/>
  <c r="F50" i="1"/>
  <c r="BZ30" i="1"/>
  <c r="R90" i="1"/>
  <c r="GK90" i="1" s="1"/>
  <c r="V80" i="5"/>
  <c r="CP169" i="1"/>
  <c r="O169" i="1" s="1"/>
  <c r="CP92" i="1"/>
  <c r="O92" i="1" s="1"/>
  <c r="GM92" i="1" s="1"/>
  <c r="GP175" i="1"/>
  <c r="GM178" i="1"/>
  <c r="CP130" i="1"/>
  <c r="O130" i="1" s="1"/>
  <c r="GM174" i="1"/>
  <c r="CZ334" i="1"/>
  <c r="Y334" i="1" s="1"/>
  <c r="CP253" i="1"/>
  <c r="O253" i="1" s="1"/>
  <c r="AF299" i="1"/>
  <c r="CP296" i="1"/>
  <c r="O296" i="1" s="1"/>
  <c r="GM296" i="1" s="1"/>
  <c r="J233" i="5"/>
  <c r="I234" i="5" s="1"/>
  <c r="R335" i="1"/>
  <c r="GK335" i="1" s="1"/>
  <c r="V263" i="5"/>
  <c r="S375" i="1"/>
  <c r="CY375" i="1" s="1"/>
  <c r="X375" i="1" s="1"/>
  <c r="R287" i="5" s="1"/>
  <c r="W377" i="1"/>
  <c r="CP254" i="1"/>
  <c r="O254" i="1" s="1"/>
  <c r="GN297" i="1"/>
  <c r="R235" i="5"/>
  <c r="R253" i="1"/>
  <c r="J203" i="5" s="1"/>
  <c r="AD339" i="1"/>
  <c r="Q339" i="1" s="1"/>
  <c r="J245" i="5"/>
  <c r="Q375" i="1"/>
  <c r="J289" i="5" s="1"/>
  <c r="CP384" i="1"/>
  <c r="O384" i="1" s="1"/>
  <c r="J320" i="5"/>
  <c r="R384" i="1"/>
  <c r="V315" i="5"/>
  <c r="J323" i="5" s="1"/>
  <c r="U376" i="1"/>
  <c r="K298" i="5" s="1"/>
  <c r="D67" i="6"/>
  <c r="C294" i="5"/>
  <c r="E293" i="5"/>
  <c r="CP504" i="1"/>
  <c r="O504" i="1" s="1"/>
  <c r="J381" i="5"/>
  <c r="I382" i="5" s="1"/>
  <c r="R543" i="1"/>
  <c r="GK543" i="1" s="1"/>
  <c r="V411" i="5"/>
  <c r="CY541" i="1"/>
  <c r="X541" i="1" s="1"/>
  <c r="R390" i="5" s="1"/>
  <c r="J396" i="5" s="1"/>
  <c r="P774" i="1"/>
  <c r="CP889" i="1"/>
  <c r="O889" i="1" s="1"/>
  <c r="P945" i="1"/>
  <c r="I208" i="8"/>
  <c r="D228" i="7" s="1"/>
  <c r="I211" i="8"/>
  <c r="D216" i="7" s="1"/>
  <c r="I210" i="8"/>
  <c r="D225" i="7" s="1"/>
  <c r="I209" i="8"/>
  <c r="D227" i="7" s="1"/>
  <c r="C676" i="5"/>
  <c r="D139" i="6"/>
  <c r="E675" i="5"/>
  <c r="O208" i="8"/>
  <c r="R936" i="1"/>
  <c r="GK936" i="1" s="1"/>
  <c r="V641" i="5"/>
  <c r="S895" i="1"/>
  <c r="I185" i="8"/>
  <c r="I186" i="8"/>
  <c r="D125" i="6"/>
  <c r="E610" i="5"/>
  <c r="CP942" i="1"/>
  <c r="O942" i="1" s="1"/>
  <c r="CP952" i="1"/>
  <c r="O952" i="1" s="1"/>
  <c r="GM952" i="1" s="1"/>
  <c r="R941" i="1"/>
  <c r="GK941" i="1" s="1"/>
  <c r="V658" i="5"/>
  <c r="V646" i="5"/>
  <c r="M93" i="8"/>
  <c r="M185" i="8"/>
  <c r="D13" i="7"/>
  <c r="T93" i="8"/>
  <c r="T185" i="8"/>
  <c r="M166" i="8"/>
  <c r="F129" i="7"/>
  <c r="M167" i="8"/>
  <c r="O211" i="8"/>
  <c r="U287" i="5"/>
  <c r="E123" i="7"/>
  <c r="Q452" i="5"/>
  <c r="T92" i="8"/>
  <c r="T211" i="8"/>
  <c r="D70" i="7"/>
  <c r="P210" i="5"/>
  <c r="K210" i="5"/>
  <c r="R291" i="1"/>
  <c r="V216" i="5"/>
  <c r="J222" i="5" s="1"/>
  <c r="E83" i="7"/>
  <c r="M68" i="8"/>
  <c r="F83" i="7" s="1"/>
  <c r="E87" i="7"/>
  <c r="M72" i="8"/>
  <c r="F87" i="7" s="1"/>
  <c r="E212" i="7"/>
  <c r="F128" i="7"/>
  <c r="O186" i="8"/>
  <c r="M209" i="8"/>
  <c r="F227" i="7" s="1"/>
  <c r="S293" i="5"/>
  <c r="R457" i="1"/>
  <c r="V338" i="5"/>
  <c r="I410" i="5"/>
  <c r="V82" i="5"/>
  <c r="R91" i="1"/>
  <c r="GK91" i="1" s="1"/>
  <c r="S287" i="5"/>
  <c r="Q773" i="1"/>
  <c r="J536" i="5" s="1"/>
  <c r="I538" i="5" s="1"/>
  <c r="P538" i="5" s="1"/>
  <c r="CZ87" i="1"/>
  <c r="Y87" i="1" s="1"/>
  <c r="T74" i="5" s="1"/>
  <c r="CY87" i="1"/>
  <c r="X87" i="1" s="1"/>
  <c r="I517" i="5"/>
  <c r="CZ943" i="1"/>
  <c r="Y943" i="1" s="1"/>
  <c r="T663" i="5" s="1"/>
  <c r="CY943" i="1"/>
  <c r="X943" i="1" s="1"/>
  <c r="M211" i="8"/>
  <c r="F216" i="7" s="1"/>
  <c r="V773" i="1"/>
  <c r="CY934" i="1"/>
  <c r="X934" i="1" s="1"/>
  <c r="R626" i="5" s="1"/>
  <c r="J630" i="5" s="1"/>
  <c r="J628" i="5"/>
  <c r="M145" i="8"/>
  <c r="T186" i="8"/>
  <c r="J244" i="5"/>
  <c r="CZ333" i="1"/>
  <c r="Y333" i="1" s="1"/>
  <c r="T242" i="5" s="1"/>
  <c r="J249" i="5" s="1"/>
  <c r="V304" i="5"/>
  <c r="I640" i="5"/>
  <c r="K361" i="5"/>
  <c r="P361" i="5"/>
  <c r="E142" i="7"/>
  <c r="M121" i="8"/>
  <c r="F142" i="7" s="1"/>
  <c r="I530" i="5"/>
  <c r="R294" i="1"/>
  <c r="GK294" i="1" s="1"/>
  <c r="V229" i="5"/>
  <c r="I94" i="8"/>
  <c r="I93" i="8"/>
  <c r="D68" i="6"/>
  <c r="E300" i="5"/>
  <c r="GP461" i="1"/>
  <c r="R352" i="5"/>
  <c r="GM594" i="1"/>
  <c r="M94" i="8"/>
  <c r="E17" i="7"/>
  <c r="M14" i="8"/>
  <c r="F17" i="7" s="1"/>
  <c r="E18" i="7" s="1"/>
  <c r="E25" i="7"/>
  <c r="M18" i="8"/>
  <c r="F25" i="7" s="1"/>
  <c r="Q287" i="5"/>
  <c r="CY335" i="1"/>
  <c r="X335" i="1" s="1"/>
  <c r="R263" i="5" s="1"/>
  <c r="CZ335" i="1"/>
  <c r="Y335" i="1" s="1"/>
  <c r="T263" i="5" s="1"/>
  <c r="I167" i="8"/>
  <c r="I166" i="8"/>
  <c r="E535" i="5"/>
  <c r="D112" i="6"/>
  <c r="I400" i="5"/>
  <c r="V535" i="5"/>
  <c r="E200" i="7"/>
  <c r="AK40" i="1"/>
  <c r="X40" i="1" s="1"/>
  <c r="R44" i="5"/>
  <c r="J46" i="5" s="1"/>
  <c r="I49" i="5" s="1"/>
  <c r="R74" i="1"/>
  <c r="J68" i="5" s="1"/>
  <c r="V65" i="5"/>
  <c r="J71" i="5" s="1"/>
  <c r="I73" i="5" s="1"/>
  <c r="BZ248" i="1"/>
  <c r="P377" i="1"/>
  <c r="R377" i="1"/>
  <c r="J302" i="5" s="1"/>
  <c r="V300" i="5"/>
  <c r="GP463" i="1"/>
  <c r="T360" i="5"/>
  <c r="GM591" i="1"/>
  <c r="I447" i="5"/>
  <c r="BY580" i="1"/>
  <c r="W773" i="1"/>
  <c r="CX197" i="3"/>
  <c r="CZ893" i="1"/>
  <c r="Y893" i="1" s="1"/>
  <c r="T599" i="5" s="1"/>
  <c r="J603" i="5" s="1"/>
  <c r="R665" i="5"/>
  <c r="J670" i="5" s="1"/>
  <c r="R940" i="1"/>
  <c r="GK940" i="1" s="1"/>
  <c r="GP940" i="1" s="1"/>
  <c r="V655" i="5"/>
  <c r="GP591" i="1"/>
  <c r="CZ940" i="1"/>
  <c r="Y940" i="1" s="1"/>
  <c r="T655" i="5" s="1"/>
  <c r="J660" i="5" s="1"/>
  <c r="O144" i="8"/>
  <c r="M92" i="8"/>
  <c r="F111" i="7" s="1"/>
  <c r="R144" i="8"/>
  <c r="E97" i="7"/>
  <c r="R166" i="8"/>
  <c r="T210" i="8"/>
  <c r="CZ89" i="1"/>
  <c r="Y89" i="1" s="1"/>
  <c r="T78" i="5" s="1"/>
  <c r="CY89" i="1"/>
  <c r="X89" i="1" s="1"/>
  <c r="R78" i="5" s="1"/>
  <c r="Q300" i="5"/>
  <c r="E133" i="7"/>
  <c r="M114" i="8"/>
  <c r="F133" i="7" s="1"/>
  <c r="E134" i="7" s="1"/>
  <c r="E138" i="7"/>
  <c r="M117" i="8"/>
  <c r="F138" i="7" s="1"/>
  <c r="P380" i="5"/>
  <c r="K380" i="5"/>
  <c r="R145" i="8"/>
  <c r="T167" i="8"/>
  <c r="R208" i="8"/>
  <c r="CX49" i="3"/>
  <c r="D37" i="6"/>
  <c r="I42" i="8"/>
  <c r="D53" i="7" s="1"/>
  <c r="C137" i="5"/>
  <c r="E136" i="5"/>
  <c r="U168" i="1"/>
  <c r="I170" i="1"/>
  <c r="CY177" i="1"/>
  <c r="X177" i="1" s="1"/>
  <c r="R164" i="5" s="1"/>
  <c r="J170" i="5" s="1"/>
  <c r="J166" i="5"/>
  <c r="CZ177" i="1"/>
  <c r="Y177" i="1" s="1"/>
  <c r="T164" i="5" s="1"/>
  <c r="J171" i="5" s="1"/>
  <c r="K204" i="5"/>
  <c r="E75" i="7"/>
  <c r="M64" i="8"/>
  <c r="F75" i="7" s="1"/>
  <c r="E76" i="7" s="1"/>
  <c r="P228" i="5"/>
  <c r="K228" i="5"/>
  <c r="GX375" i="1"/>
  <c r="D128" i="7"/>
  <c r="I372" i="5"/>
  <c r="P378" i="5"/>
  <c r="K378" i="5"/>
  <c r="R503" i="1"/>
  <c r="GK503" i="1" s="1"/>
  <c r="V379" i="5"/>
  <c r="R583" i="1"/>
  <c r="GK583" i="1" s="1"/>
  <c r="V428" i="5"/>
  <c r="CY592" i="1"/>
  <c r="X592" i="1" s="1"/>
  <c r="GP592" i="1" s="1"/>
  <c r="CZ592" i="1"/>
  <c r="Y592" i="1" s="1"/>
  <c r="GM592" i="1" s="1"/>
  <c r="R593" i="1"/>
  <c r="V463" i="5"/>
  <c r="J471" i="5" s="1"/>
  <c r="I473" i="5" s="1"/>
  <c r="Q535" i="5"/>
  <c r="E235" i="7"/>
  <c r="M197" i="8"/>
  <c r="F235" i="7" s="1"/>
  <c r="O42" i="8"/>
  <c r="T145" i="8"/>
  <c r="M210" i="8"/>
  <c r="F225" i="7" s="1"/>
  <c r="CY37" i="1"/>
  <c r="X37" i="1" s="1"/>
  <c r="R54" i="5" s="1"/>
  <c r="CZ37" i="1"/>
  <c r="Y37" i="1" s="1"/>
  <c r="T54" i="5" s="1"/>
  <c r="P75" i="5"/>
  <c r="K75" i="5"/>
  <c r="P83" i="5"/>
  <c r="K83" i="5"/>
  <c r="J121" i="5"/>
  <c r="CZ166" i="1"/>
  <c r="Y166" i="1" s="1"/>
  <c r="T119" i="5" s="1"/>
  <c r="J125" i="5" s="1"/>
  <c r="CY251" i="1"/>
  <c r="X251" i="1" s="1"/>
  <c r="R195" i="5" s="1"/>
  <c r="J197" i="5" s="1"/>
  <c r="J196" i="5"/>
  <c r="CZ251" i="1"/>
  <c r="Y251" i="1" s="1"/>
  <c r="T195" i="5" s="1"/>
  <c r="J198" i="5" s="1"/>
  <c r="R296" i="1"/>
  <c r="GK296" i="1" s="1"/>
  <c r="V233" i="5"/>
  <c r="E102" i="7"/>
  <c r="M88" i="8"/>
  <c r="F102" i="7" s="1"/>
  <c r="R459" i="1"/>
  <c r="GK459" i="1" s="1"/>
  <c r="GP459" i="1" s="1"/>
  <c r="V346" i="5"/>
  <c r="E137" i="7"/>
  <c r="M116" i="8"/>
  <c r="F137" i="7" s="1"/>
  <c r="E157" i="7"/>
  <c r="M137" i="8"/>
  <c r="F157" i="7" s="1"/>
  <c r="E161" i="7" s="1"/>
  <c r="U452" i="5"/>
  <c r="P113" i="5"/>
  <c r="K113" i="5"/>
  <c r="P236" i="5"/>
  <c r="K236" i="5"/>
  <c r="R374" i="1"/>
  <c r="GK374" i="1" s="1"/>
  <c r="V280" i="5"/>
  <c r="I774" i="1"/>
  <c r="R773" i="1"/>
  <c r="J537" i="5" s="1"/>
  <c r="Q675" i="5"/>
  <c r="K232" i="5"/>
  <c r="P232" i="5"/>
  <c r="I345" i="5"/>
  <c r="CP944" i="1"/>
  <c r="O944" i="1" s="1"/>
  <c r="J669" i="5"/>
  <c r="I43" i="5"/>
  <c r="E26" i="7"/>
  <c r="M19" i="8"/>
  <c r="F26" i="7" s="1"/>
  <c r="E85" i="7"/>
  <c r="M70" i="8"/>
  <c r="F85" i="7" s="1"/>
  <c r="R463" i="1"/>
  <c r="GK463" i="1" s="1"/>
  <c r="GM463" i="1" s="1"/>
  <c r="V360" i="5"/>
  <c r="GK542" i="1"/>
  <c r="GP542" i="1" s="1"/>
  <c r="J404" i="5"/>
  <c r="U535" i="5"/>
  <c r="R779" i="1"/>
  <c r="V546" i="5"/>
  <c r="J554" i="5" s="1"/>
  <c r="S610" i="5"/>
  <c r="D219" i="7"/>
  <c r="M200" i="8"/>
  <c r="F236" i="7" s="1"/>
  <c r="E236" i="7"/>
  <c r="T42" i="8"/>
  <c r="T94" i="8"/>
  <c r="R209" i="8"/>
  <c r="R32" i="1"/>
  <c r="GK32" i="1" s="1"/>
  <c r="V36" i="5"/>
  <c r="T168" i="1"/>
  <c r="R375" i="1"/>
  <c r="R461" i="1"/>
  <c r="J354" i="5" s="1"/>
  <c r="V352" i="5"/>
  <c r="R499" i="1"/>
  <c r="V367" i="5"/>
  <c r="R582" i="1"/>
  <c r="V418" i="5"/>
  <c r="J425" i="5" s="1"/>
  <c r="I427" i="5" s="1"/>
  <c r="U675" i="5"/>
  <c r="U610" i="5"/>
  <c r="GX773" i="1"/>
  <c r="AD955" i="1"/>
  <c r="AD932" i="1" s="1"/>
  <c r="AF955" i="1"/>
  <c r="AF932" i="1" s="1"/>
  <c r="CZ937" i="1"/>
  <c r="Y937" i="1" s="1"/>
  <c r="T646" i="5" s="1"/>
  <c r="AT955" i="1"/>
  <c r="F973" i="1" s="1"/>
  <c r="CP891" i="1"/>
  <c r="O891" i="1" s="1"/>
  <c r="AP955" i="1"/>
  <c r="F964" i="1" s="1"/>
  <c r="P664" i="5"/>
  <c r="K664" i="5"/>
  <c r="P654" i="5"/>
  <c r="K654" i="5"/>
  <c r="CP936" i="1"/>
  <c r="O936" i="1" s="1"/>
  <c r="J645" i="5"/>
  <c r="J647" i="5"/>
  <c r="CP937" i="1"/>
  <c r="O937" i="1" s="1"/>
  <c r="J646" i="5" s="1"/>
  <c r="J648" i="5"/>
  <c r="AJ72" i="1"/>
  <c r="AG248" i="1"/>
  <c r="T257" i="1"/>
  <c r="GM252" i="1"/>
  <c r="GP252" i="1"/>
  <c r="CI331" i="1"/>
  <c r="AZ339" i="1"/>
  <c r="AB455" i="1"/>
  <c r="O465" i="1"/>
  <c r="CY895" i="1"/>
  <c r="X895" i="1" s="1"/>
  <c r="R610" i="5" s="1"/>
  <c r="CZ895" i="1"/>
  <c r="Y895" i="1" s="1"/>
  <c r="T610" i="5" s="1"/>
  <c r="CJ72" i="1"/>
  <c r="BA94" i="1"/>
  <c r="Q299" i="1"/>
  <c r="AD289" i="1"/>
  <c r="AI248" i="1"/>
  <c r="V257" i="1"/>
  <c r="AF72" i="1"/>
  <c r="S94" i="1"/>
  <c r="Q955" i="1"/>
  <c r="AH30" i="1"/>
  <c r="U40" i="1"/>
  <c r="AG30" i="1"/>
  <c r="T40" i="1"/>
  <c r="GM75" i="1"/>
  <c r="GP75" i="1"/>
  <c r="BD72" i="1"/>
  <c r="F119" i="1"/>
  <c r="AH72" i="1"/>
  <c r="U94" i="1"/>
  <c r="F152" i="1"/>
  <c r="BA126" i="1"/>
  <c r="GM293" i="1"/>
  <c r="GN293" i="1"/>
  <c r="Y299" i="1"/>
  <c r="AL289" i="1"/>
  <c r="CY373" i="1"/>
  <c r="X373" i="1" s="1"/>
  <c r="R270" i="5" s="1"/>
  <c r="J275" i="5" s="1"/>
  <c r="I279" i="5" s="1"/>
  <c r="CZ373" i="1"/>
  <c r="Y373" i="1" s="1"/>
  <c r="T270" i="5" s="1"/>
  <c r="J276" i="5" s="1"/>
  <c r="GM292" i="1"/>
  <c r="GN292" i="1"/>
  <c r="CY376" i="1"/>
  <c r="X376" i="1" s="1"/>
  <c r="R293" i="5" s="1"/>
  <c r="J296" i="5" s="1"/>
  <c r="I299" i="5" s="1"/>
  <c r="CZ376" i="1"/>
  <c r="Y376" i="1" s="1"/>
  <c r="T293" i="5" s="1"/>
  <c r="J297" i="5" s="1"/>
  <c r="AX507" i="1"/>
  <c r="CG497" i="1"/>
  <c r="GM382" i="1"/>
  <c r="GP382" i="1"/>
  <c r="F474" i="1"/>
  <c r="AP455" i="1"/>
  <c r="AP626" i="1"/>
  <c r="F321" i="1"/>
  <c r="U289" i="1"/>
  <c r="AD497" i="1"/>
  <c r="Q507" i="1"/>
  <c r="AJ539" i="1"/>
  <c r="W548" i="1"/>
  <c r="AF497" i="1"/>
  <c r="S507" i="1"/>
  <c r="CY773" i="1"/>
  <c r="X773" i="1" s="1"/>
  <c r="R535" i="5" s="1"/>
  <c r="CZ773" i="1"/>
  <c r="Y773" i="1" s="1"/>
  <c r="CZ945" i="1"/>
  <c r="Y945" i="1" s="1"/>
  <c r="T675" i="5" s="1"/>
  <c r="J682" i="5" s="1"/>
  <c r="CY945" i="1"/>
  <c r="X945" i="1" s="1"/>
  <c r="R675" i="5" s="1"/>
  <c r="J681" i="5" s="1"/>
  <c r="BD30" i="1"/>
  <c r="F65" i="1"/>
  <c r="BD210" i="1"/>
  <c r="GK74" i="1"/>
  <c r="GP81" i="1"/>
  <c r="GP76" i="1"/>
  <c r="GM76" i="1"/>
  <c r="AL40" i="1"/>
  <c r="GP36" i="1"/>
  <c r="GM36" i="1"/>
  <c r="GK33" i="1"/>
  <c r="GP33" i="1" s="1"/>
  <c r="AE40" i="1"/>
  <c r="CG30" i="1"/>
  <c r="AX40" i="1"/>
  <c r="CP86" i="1"/>
  <c r="O86" i="1" s="1"/>
  <c r="T94" i="1"/>
  <c r="AG72" i="1"/>
  <c r="F98" i="1"/>
  <c r="AO72" i="1"/>
  <c r="GP129" i="1"/>
  <c r="AQ72" i="1"/>
  <c r="F104" i="1"/>
  <c r="AQ210" i="1"/>
  <c r="AK132" i="1"/>
  <c r="CG164" i="1"/>
  <c r="AX180" i="1"/>
  <c r="AP180" i="1"/>
  <c r="BY164" i="1"/>
  <c r="CI180" i="1"/>
  <c r="BC248" i="1"/>
  <c r="F273" i="1"/>
  <c r="BC417" i="1"/>
  <c r="F355" i="1"/>
  <c r="BC331" i="1"/>
  <c r="AI72" i="1"/>
  <c r="V94" i="1"/>
  <c r="F364" i="1"/>
  <c r="BD331" i="1"/>
  <c r="AC299" i="1"/>
  <c r="CP294" i="1"/>
  <c r="O294" i="1" s="1"/>
  <c r="AC331" i="1"/>
  <c r="CH339" i="1"/>
  <c r="P339" i="1"/>
  <c r="CE339" i="1"/>
  <c r="CF339" i="1"/>
  <c r="GM337" i="1"/>
  <c r="GN337" i="1"/>
  <c r="W126" i="1"/>
  <c r="F156" i="1"/>
  <c r="AE257" i="1"/>
  <c r="GP334" i="1"/>
  <c r="AJ289" i="1"/>
  <c r="W299" i="1"/>
  <c r="CY374" i="1"/>
  <c r="X374" i="1" s="1"/>
  <c r="CZ374" i="1"/>
  <c r="Y374" i="1" s="1"/>
  <c r="T280" i="5" s="1"/>
  <c r="J284" i="5" s="1"/>
  <c r="W376" i="1"/>
  <c r="AD257" i="1"/>
  <c r="AQ248" i="1"/>
  <c r="F267" i="1"/>
  <c r="AX299" i="1"/>
  <c r="CG289" i="1"/>
  <c r="AD331" i="1"/>
  <c r="CX174" i="3"/>
  <c r="CX173" i="3"/>
  <c r="I588" i="1"/>
  <c r="AH331" i="1"/>
  <c r="U339" i="1"/>
  <c r="CX106" i="3"/>
  <c r="CX107" i="3"/>
  <c r="GX377" i="1"/>
  <c r="V377" i="1"/>
  <c r="BZ371" i="1"/>
  <c r="CG387" i="1"/>
  <c r="AQ387" i="1"/>
  <c r="GP383" i="1"/>
  <c r="GM383" i="1"/>
  <c r="R376" i="1"/>
  <c r="F483" i="1"/>
  <c r="AT455" i="1"/>
  <c r="AT626" i="1"/>
  <c r="AK339" i="1"/>
  <c r="Q376" i="1"/>
  <c r="AQ455" i="1"/>
  <c r="F475" i="1"/>
  <c r="AQ626" i="1"/>
  <c r="CY501" i="1"/>
  <c r="X501" i="1" s="1"/>
  <c r="CZ501" i="1"/>
  <c r="Y501" i="1" s="1"/>
  <c r="T375" i="5" s="1"/>
  <c r="BC539" i="1"/>
  <c r="F564" i="1"/>
  <c r="AF455" i="1"/>
  <c r="S465" i="1"/>
  <c r="AC455" i="1"/>
  <c r="P465" i="1"/>
  <c r="CE465" i="1"/>
  <c r="CF465" i="1"/>
  <c r="CH465" i="1"/>
  <c r="AI539" i="1"/>
  <c r="V548" i="1"/>
  <c r="AT497" i="1"/>
  <c r="F525" i="1"/>
  <c r="AF539" i="1"/>
  <c r="S548" i="1"/>
  <c r="AH539" i="1"/>
  <c r="U548" i="1"/>
  <c r="GP544" i="1"/>
  <c r="GM544" i="1"/>
  <c r="Q588" i="1"/>
  <c r="J458" i="5" s="1"/>
  <c r="I460" i="5" s="1"/>
  <c r="AG455" i="1"/>
  <c r="T465" i="1"/>
  <c r="AJ497" i="1"/>
  <c r="W507" i="1"/>
  <c r="GP543" i="1"/>
  <c r="GM543" i="1"/>
  <c r="V587" i="1"/>
  <c r="AO580" i="1"/>
  <c r="F600" i="1"/>
  <c r="GM461" i="1"/>
  <c r="AD539" i="1"/>
  <c r="Q548" i="1"/>
  <c r="AZ539" i="1"/>
  <c r="F559" i="1"/>
  <c r="GX587" i="1"/>
  <c r="T587" i="1"/>
  <c r="GP771" i="1"/>
  <c r="GM771" i="1"/>
  <c r="P587" i="1"/>
  <c r="GM778" i="1"/>
  <c r="GP778" i="1"/>
  <c r="GP777" i="1"/>
  <c r="GM777" i="1"/>
  <c r="CP934" i="1"/>
  <c r="O934" i="1" s="1"/>
  <c r="AC955" i="1"/>
  <c r="GP892" i="1"/>
  <c r="GM892" i="1"/>
  <c r="P895" i="1"/>
  <c r="GK934" i="1"/>
  <c r="BB932" i="1"/>
  <c r="F968" i="1"/>
  <c r="V895" i="1"/>
  <c r="W945" i="1"/>
  <c r="AJ955" i="1" s="1"/>
  <c r="AP932" i="1"/>
  <c r="AO30" i="1"/>
  <c r="AO210" i="1"/>
  <c r="F44" i="1"/>
  <c r="AF30" i="1"/>
  <c r="S40" i="1"/>
  <c r="CZ84" i="1"/>
  <c r="Y84" i="1" s="1"/>
  <c r="CY84" i="1"/>
  <c r="X84" i="1" s="1"/>
  <c r="AK94" i="1" s="1"/>
  <c r="CG72" i="1"/>
  <c r="AX94" i="1"/>
  <c r="BC164" i="1"/>
  <c r="F196" i="1"/>
  <c r="CJ248" i="1"/>
  <c r="BA257" i="1"/>
  <c r="GP251" i="1"/>
  <c r="GM251" i="1"/>
  <c r="AP299" i="1"/>
  <c r="BY289" i="1"/>
  <c r="CI299" i="1"/>
  <c r="BA331" i="1"/>
  <c r="F359" i="1"/>
  <c r="CX105" i="3"/>
  <c r="I378" i="1"/>
  <c r="AH455" i="1"/>
  <c r="U465" i="1"/>
  <c r="AX248" i="1"/>
  <c r="F264" i="1"/>
  <c r="CG766" i="1"/>
  <c r="AX783" i="1"/>
  <c r="CY891" i="1"/>
  <c r="X891" i="1" s="1"/>
  <c r="CZ891" i="1"/>
  <c r="Y891" i="1" s="1"/>
  <c r="T587" i="5" s="1"/>
  <c r="J590" i="5" s="1"/>
  <c r="GP942" i="1"/>
  <c r="GM942" i="1"/>
  <c r="BD883" i="1"/>
  <c r="F1010" i="1"/>
  <c r="BD1015" i="1"/>
  <c r="CB30" i="1"/>
  <c r="AS40" i="1"/>
  <c r="GP82" i="1"/>
  <c r="GM82" i="1"/>
  <c r="BC72" i="1"/>
  <c r="F110" i="1"/>
  <c r="BC210" i="1"/>
  <c r="GP130" i="1"/>
  <c r="GM130" i="1"/>
  <c r="AB299" i="1"/>
  <c r="GP250" i="1"/>
  <c r="GM250" i="1"/>
  <c r="AB257" i="1"/>
  <c r="AI289" i="1"/>
  <c r="V299" i="1"/>
  <c r="CY377" i="1"/>
  <c r="X377" i="1" s="1"/>
  <c r="R300" i="5" s="1"/>
  <c r="CZ377" i="1"/>
  <c r="Y377" i="1" s="1"/>
  <c r="T300" i="5" s="1"/>
  <c r="GP254" i="1"/>
  <c r="GM254" i="1"/>
  <c r="BA299" i="1"/>
  <c r="CJ289" i="1"/>
  <c r="AP331" i="1"/>
  <c r="F348" i="1"/>
  <c r="AO331" i="1"/>
  <c r="F343" i="1"/>
  <c r="T376" i="1"/>
  <c r="AG289" i="1"/>
  <c r="T299" i="1"/>
  <c r="GP381" i="1"/>
  <c r="GM381" i="1"/>
  <c r="BC371" i="1"/>
  <c r="F403" i="1"/>
  <c r="BD455" i="1"/>
  <c r="F490" i="1"/>
  <c r="BD626" i="1"/>
  <c r="GX376" i="1"/>
  <c r="AX455" i="1"/>
  <c r="F472" i="1"/>
  <c r="AP539" i="1"/>
  <c r="F557" i="1"/>
  <c r="S339" i="1"/>
  <c r="AF331" i="1"/>
  <c r="BC455" i="1"/>
  <c r="F481" i="1"/>
  <c r="BC626" i="1"/>
  <c r="GK541" i="1"/>
  <c r="AE548" i="1"/>
  <c r="CP582" i="1"/>
  <c r="O582" i="1" s="1"/>
  <c r="CI371" i="1"/>
  <c r="AZ387" i="1"/>
  <c r="AL465" i="1"/>
  <c r="GP458" i="1"/>
  <c r="GM458" i="1"/>
  <c r="GM503" i="1"/>
  <c r="AZ507" i="1"/>
  <c r="CI497" i="1"/>
  <c r="T548" i="1"/>
  <c r="AG539" i="1"/>
  <c r="BC580" i="1"/>
  <c r="F612" i="1"/>
  <c r="V507" i="1"/>
  <c r="AI497" i="1"/>
  <c r="GM505" i="1"/>
  <c r="GN505" i="1"/>
  <c r="AL548" i="1"/>
  <c r="GM542" i="1"/>
  <c r="AQ539" i="1"/>
  <c r="F558" i="1"/>
  <c r="V376" i="1"/>
  <c r="AL507" i="1"/>
  <c r="CJ497" i="1"/>
  <c r="BA507" i="1"/>
  <c r="P548" i="1"/>
  <c r="CE548" i="1"/>
  <c r="CF548" i="1"/>
  <c r="AC539" i="1"/>
  <c r="CH548" i="1"/>
  <c r="GM586" i="1"/>
  <c r="GP586" i="1"/>
  <c r="S587" i="1"/>
  <c r="AJ455" i="1"/>
  <c r="W465" i="1"/>
  <c r="GP772" i="1"/>
  <c r="GM772" i="1"/>
  <c r="AS580" i="1"/>
  <c r="F613" i="1"/>
  <c r="GP594" i="1"/>
  <c r="GP780" i="1"/>
  <c r="GM780" i="1"/>
  <c r="CP773" i="1"/>
  <c r="O773" i="1" s="1"/>
  <c r="CY890" i="1"/>
  <c r="X890" i="1" s="1"/>
  <c r="CZ890" i="1"/>
  <c r="Y890" i="1" s="1"/>
  <c r="R895" i="1"/>
  <c r="J612" i="5" s="1"/>
  <c r="BC932" i="1"/>
  <c r="F971" i="1"/>
  <c r="GP781" i="1"/>
  <c r="GM781" i="1"/>
  <c r="GP894" i="1"/>
  <c r="GM894" i="1"/>
  <c r="Q895" i="1"/>
  <c r="J611" i="5" s="1"/>
  <c r="I613" i="5" s="1"/>
  <c r="BZ932" i="1"/>
  <c r="AQ955" i="1"/>
  <c r="CG955" i="1"/>
  <c r="CZ948" i="1"/>
  <c r="Y948" i="1" s="1"/>
  <c r="CY948" i="1"/>
  <c r="X948" i="1" s="1"/>
  <c r="CI955" i="1"/>
  <c r="CZ950" i="1"/>
  <c r="Y950" i="1" s="1"/>
  <c r="CY950" i="1"/>
  <c r="X950" i="1" s="1"/>
  <c r="GP950" i="1" s="1"/>
  <c r="BB580" i="1"/>
  <c r="F609" i="1"/>
  <c r="BY887" i="1"/>
  <c r="AP900" i="1"/>
  <c r="CI900" i="1"/>
  <c r="GX895" i="1"/>
  <c r="GP893" i="1"/>
  <c r="GM893" i="1"/>
  <c r="BB883" i="1"/>
  <c r="F998" i="1"/>
  <c r="BB1015" i="1"/>
  <c r="GP941" i="1"/>
  <c r="GM941" i="1"/>
  <c r="GM946" i="1"/>
  <c r="GP946" i="1"/>
  <c r="GP952" i="1"/>
  <c r="AS900" i="1"/>
  <c r="CB887" i="1"/>
  <c r="AT580" i="1"/>
  <c r="F614" i="1"/>
  <c r="AJ30" i="1"/>
  <c r="W40" i="1"/>
  <c r="AZ40" i="1"/>
  <c r="CI30" i="1"/>
  <c r="AT132" i="1"/>
  <c r="CC126" i="1"/>
  <c r="AF126" i="1"/>
  <c r="S132" i="1"/>
  <c r="F190" i="1"/>
  <c r="AQ164" i="1"/>
  <c r="BB331" i="1"/>
  <c r="F352" i="1"/>
  <c r="AP72" i="1"/>
  <c r="F103" i="1"/>
  <c r="GM255" i="1"/>
  <c r="GP255" i="1"/>
  <c r="GP178" i="1"/>
  <c r="AS248" i="1"/>
  <c r="F274" i="1"/>
  <c r="CC331" i="1"/>
  <c r="AT339" i="1"/>
  <c r="U257" i="1"/>
  <c r="AH248" i="1"/>
  <c r="AQ289" i="1"/>
  <c r="F309" i="1"/>
  <c r="CP376" i="1"/>
  <c r="O376" i="1" s="1"/>
  <c r="AO497" i="1"/>
  <c r="F511" i="1"/>
  <c r="BA465" i="1"/>
  <c r="CJ455" i="1"/>
  <c r="AP497" i="1"/>
  <c r="F516" i="1"/>
  <c r="BD580" i="1"/>
  <c r="F621" i="1"/>
  <c r="AI455" i="1"/>
  <c r="V465" i="1"/>
  <c r="BA548" i="1"/>
  <c r="CJ539" i="1"/>
  <c r="GP776" i="1"/>
  <c r="GM776" i="1"/>
  <c r="BY766" i="1"/>
  <c r="AP783" i="1"/>
  <c r="CI783" i="1"/>
  <c r="CY889" i="1"/>
  <c r="X889" i="1" s="1"/>
  <c r="R572" i="5" s="1"/>
  <c r="J575" i="5" s="1"/>
  <c r="CZ889" i="1"/>
  <c r="Y889" i="1" s="1"/>
  <c r="T572" i="5" s="1"/>
  <c r="J576" i="5" s="1"/>
  <c r="F916" i="1"/>
  <c r="BC985" i="1"/>
  <c r="BC887" i="1"/>
  <c r="U955" i="1"/>
  <c r="AH932" i="1"/>
  <c r="CX232" i="3"/>
  <c r="CX231" i="3"/>
  <c r="GP37" i="1"/>
  <c r="GM37" i="1"/>
  <c r="BA40" i="1"/>
  <c r="CJ30" i="1"/>
  <c r="AC40" i="1"/>
  <c r="BB30" i="1"/>
  <c r="F53" i="1"/>
  <c r="BB210" i="1"/>
  <c r="CZ85" i="1"/>
  <c r="Y85" i="1" s="1"/>
  <c r="CY85" i="1"/>
  <c r="X85" i="1" s="1"/>
  <c r="AI30" i="1"/>
  <c r="V40" i="1"/>
  <c r="AL94" i="1"/>
  <c r="CP84" i="1"/>
  <c r="O84" i="1" s="1"/>
  <c r="CP85" i="1"/>
  <c r="O85" i="1" s="1"/>
  <c r="AP132" i="1"/>
  <c r="BY126" i="1"/>
  <c r="CI132" i="1"/>
  <c r="CP128" i="1"/>
  <c r="O128" i="1" s="1"/>
  <c r="AC132" i="1"/>
  <c r="AQ126" i="1"/>
  <c r="F142" i="1"/>
  <c r="AD126" i="1"/>
  <c r="Q132" i="1"/>
  <c r="CI72" i="1"/>
  <c r="AZ94" i="1"/>
  <c r="GM171" i="1"/>
  <c r="GP171" i="1"/>
  <c r="GM253" i="1"/>
  <c r="GP253" i="1"/>
  <c r="GM32" i="1"/>
  <c r="AB40" i="1"/>
  <c r="GP32" i="1"/>
  <c r="AP30" i="1"/>
  <c r="F49" i="1"/>
  <c r="AP210" i="1"/>
  <c r="GM35" i="1"/>
  <c r="GP35" i="1"/>
  <c r="GP79" i="1"/>
  <c r="GM79" i="1"/>
  <c r="GM78" i="1"/>
  <c r="GN78" i="1"/>
  <c r="AD94" i="1"/>
  <c r="GP34" i="1"/>
  <c r="GM34" i="1"/>
  <c r="GP80" i="1"/>
  <c r="GM80" i="1"/>
  <c r="Q40" i="1"/>
  <c r="AD30" i="1"/>
  <c r="CP74" i="1"/>
  <c r="O74" i="1" s="1"/>
  <c r="AC94" i="1"/>
  <c r="AT30" i="1"/>
  <c r="F58" i="1"/>
  <c r="GN89" i="1"/>
  <c r="BB72" i="1"/>
  <c r="F107" i="1"/>
  <c r="AE126" i="1"/>
  <c r="R132" i="1"/>
  <c r="F153" i="1"/>
  <c r="T126" i="1"/>
  <c r="AL132" i="1"/>
  <c r="AX132" i="1"/>
  <c r="CG126" i="1"/>
  <c r="CC164" i="1"/>
  <c r="AT180" i="1"/>
  <c r="BD126" i="1"/>
  <c r="F157" i="1"/>
  <c r="F155" i="1"/>
  <c r="V126" i="1"/>
  <c r="CB164" i="1"/>
  <c r="AS180" i="1"/>
  <c r="BD248" i="1"/>
  <c r="F282" i="1"/>
  <c r="BD417" i="1"/>
  <c r="AO248" i="1"/>
  <c r="F261" i="1"/>
  <c r="AO417" i="1"/>
  <c r="CI248" i="1"/>
  <c r="AZ257" i="1"/>
  <c r="AT299" i="1"/>
  <c r="CC289" i="1"/>
  <c r="BZ331" i="1"/>
  <c r="AQ339" i="1"/>
  <c r="GM336" i="1"/>
  <c r="GN336" i="1"/>
  <c r="U126" i="1"/>
  <c r="F154" i="1"/>
  <c r="AC257" i="1"/>
  <c r="AF289" i="1"/>
  <c r="S299" i="1"/>
  <c r="GN296" i="1"/>
  <c r="W339" i="1"/>
  <c r="AJ331" i="1"/>
  <c r="CZ375" i="1"/>
  <c r="Y375" i="1" s="1"/>
  <c r="T287" i="5" s="1"/>
  <c r="AG331" i="1"/>
  <c r="T339" i="1"/>
  <c r="CG339" i="1"/>
  <c r="AJ248" i="1"/>
  <c r="W257" i="1"/>
  <c r="CC371" i="1"/>
  <c r="AT387" i="1"/>
  <c r="CI455" i="1"/>
  <c r="AZ465" i="1"/>
  <c r="BB417" i="1"/>
  <c r="BD289" i="1"/>
  <c r="F324" i="1"/>
  <c r="CP373" i="1"/>
  <c r="O373" i="1" s="1"/>
  <c r="AO455" i="1"/>
  <c r="F469" i="1"/>
  <c r="AO626" i="1"/>
  <c r="Q377" i="1"/>
  <c r="F478" i="1"/>
  <c r="BB455" i="1"/>
  <c r="BB626" i="1"/>
  <c r="AS387" i="1"/>
  <c r="CB371" i="1"/>
  <c r="U377" i="1"/>
  <c r="GM385" i="1"/>
  <c r="GP385" i="1"/>
  <c r="GM504" i="1"/>
  <c r="GN504" i="1"/>
  <c r="GM583" i="1"/>
  <c r="GP583" i="1"/>
  <c r="F362" i="1"/>
  <c r="V331" i="1"/>
  <c r="AP371" i="1"/>
  <c r="F396" i="1"/>
  <c r="AK465" i="1"/>
  <c r="AH497" i="1"/>
  <c r="U507" i="1"/>
  <c r="CP501" i="1"/>
  <c r="O501" i="1" s="1"/>
  <c r="W587" i="1"/>
  <c r="GM460" i="1"/>
  <c r="GP460" i="1"/>
  <c r="AS455" i="1"/>
  <c r="F482" i="1"/>
  <c r="AG497" i="1"/>
  <c r="T507" i="1"/>
  <c r="AK548" i="1"/>
  <c r="AX548" i="1"/>
  <c r="AX626" i="1" s="1"/>
  <c r="CG539" i="1"/>
  <c r="U587" i="1"/>
  <c r="BB766" i="1"/>
  <c r="F796" i="1"/>
  <c r="BB813" i="1"/>
  <c r="Q465" i="1"/>
  <c r="AD455" i="1"/>
  <c r="AQ497" i="1"/>
  <c r="F517" i="1"/>
  <c r="GP541" i="1"/>
  <c r="GM541" i="1"/>
  <c r="AB548" i="1"/>
  <c r="GM545" i="1"/>
  <c r="GN545" i="1"/>
  <c r="CB548" i="1" s="1"/>
  <c r="BC813" i="1"/>
  <c r="BC766" i="1"/>
  <c r="F799" i="1"/>
  <c r="AC507" i="1"/>
  <c r="CI580" i="1"/>
  <c r="AZ596" i="1"/>
  <c r="GP769" i="1"/>
  <c r="GM769" i="1"/>
  <c r="CC766" i="1"/>
  <c r="AT783" i="1"/>
  <c r="BD766" i="1"/>
  <c r="F808" i="1"/>
  <c r="F904" i="1"/>
  <c r="AO887" i="1"/>
  <c r="AO985" i="1"/>
  <c r="AO766" i="1"/>
  <c r="F787" i="1"/>
  <c r="AO813" i="1"/>
  <c r="AQ580" i="1"/>
  <c r="F606" i="1"/>
  <c r="BD813" i="1"/>
  <c r="BZ766" i="1"/>
  <c r="AQ783" i="1"/>
  <c r="AS766" i="1"/>
  <c r="AS813" i="1"/>
  <c r="F800" i="1"/>
  <c r="I896" i="1"/>
  <c r="CC887" i="1"/>
  <c r="AT900" i="1"/>
  <c r="GP898" i="1"/>
  <c r="GM898" i="1"/>
  <c r="CP935" i="1"/>
  <c r="O935" i="1" s="1"/>
  <c r="CP939" i="1"/>
  <c r="O939" i="1" s="1"/>
  <c r="CX260" i="3"/>
  <c r="CX264" i="3"/>
  <c r="CX262" i="3"/>
  <c r="CX261" i="3"/>
  <c r="CX263" i="3"/>
  <c r="T945" i="1"/>
  <c r="AG955" i="1" s="1"/>
  <c r="GX945" i="1"/>
  <c r="CJ955" i="1" s="1"/>
  <c r="CZ951" i="1"/>
  <c r="Y951" i="1" s="1"/>
  <c r="CY951" i="1"/>
  <c r="X951" i="1" s="1"/>
  <c r="GM951" i="1" s="1"/>
  <c r="CP948" i="1"/>
  <c r="O948" i="1" s="1"/>
  <c r="F980" i="1"/>
  <c r="BD932" i="1"/>
  <c r="BZ887" i="1"/>
  <c r="CG900" i="1"/>
  <c r="AQ900" i="1"/>
  <c r="U895" i="1"/>
  <c r="GM936" i="1"/>
  <c r="GM947" i="1"/>
  <c r="GP947" i="1"/>
  <c r="T895" i="1"/>
  <c r="W895" i="1"/>
  <c r="V945" i="1"/>
  <c r="AI955" i="1" s="1"/>
  <c r="R945" i="1"/>
  <c r="E237" i="7" l="1"/>
  <c r="I292" i="5"/>
  <c r="I605" i="5"/>
  <c r="I141" i="5"/>
  <c r="I135" i="5"/>
  <c r="P135" i="5" s="1"/>
  <c r="I633" i="5"/>
  <c r="K538" i="5"/>
  <c r="I674" i="5"/>
  <c r="E143" i="7"/>
  <c r="E220" i="7"/>
  <c r="P473" i="5"/>
  <c r="K473" i="5"/>
  <c r="P73" i="5"/>
  <c r="K73" i="5"/>
  <c r="P299" i="5"/>
  <c r="K299" i="5"/>
  <c r="K427" i="5"/>
  <c r="P427" i="5"/>
  <c r="P279" i="5"/>
  <c r="K279" i="5"/>
  <c r="P49" i="5"/>
  <c r="K49" i="5"/>
  <c r="P605" i="5"/>
  <c r="K605" i="5"/>
  <c r="GM168" i="1"/>
  <c r="K460" i="5"/>
  <c r="P460" i="5"/>
  <c r="I147" i="8"/>
  <c r="D167" i="7" s="1"/>
  <c r="I146" i="8"/>
  <c r="D168" i="7" s="1"/>
  <c r="D99" i="6"/>
  <c r="C457" i="5"/>
  <c r="E456" i="5"/>
  <c r="M146" i="8"/>
  <c r="F168" i="7" s="1"/>
  <c r="O146" i="8"/>
  <c r="U456" i="5"/>
  <c r="T147" i="8"/>
  <c r="S456" i="5"/>
  <c r="R146" i="8"/>
  <c r="O147" i="8"/>
  <c r="R147" i="8"/>
  <c r="T146" i="8"/>
  <c r="Q456" i="5"/>
  <c r="M147" i="8"/>
  <c r="F167" i="7" s="1"/>
  <c r="GM177" i="1"/>
  <c r="AL955" i="1"/>
  <c r="R588" i="1"/>
  <c r="J459" i="5" s="1"/>
  <c r="GN502" i="1"/>
  <c r="GM38" i="1"/>
  <c r="CA40" i="1" s="1"/>
  <c r="GK768" i="1"/>
  <c r="GN92" i="1"/>
  <c r="GM166" i="1"/>
  <c r="GM459" i="1"/>
  <c r="GP585" i="1"/>
  <c r="GN90" i="1"/>
  <c r="GN88" i="1"/>
  <c r="GP335" i="1"/>
  <c r="GP167" i="1"/>
  <c r="AK30" i="1"/>
  <c r="GP169" i="1"/>
  <c r="GP936" i="1"/>
  <c r="GK375" i="1"/>
  <c r="J290" i="5"/>
  <c r="GK779" i="1"/>
  <c r="J550" i="5"/>
  <c r="I168" i="8"/>
  <c r="D190" i="7" s="1"/>
  <c r="I169" i="8"/>
  <c r="D189" i="7" s="1"/>
  <c r="C540" i="5"/>
  <c r="D113" i="6"/>
  <c r="E539" i="5"/>
  <c r="V539" i="5"/>
  <c r="U774" i="1"/>
  <c r="GX774" i="1"/>
  <c r="CX200" i="3"/>
  <c r="V774" i="1"/>
  <c r="T169" i="8"/>
  <c r="T168" i="8"/>
  <c r="O169" i="8"/>
  <c r="S539" i="5"/>
  <c r="R168" i="8"/>
  <c r="M168" i="8"/>
  <c r="R169" i="8"/>
  <c r="M169" i="8"/>
  <c r="F189" i="7" s="1"/>
  <c r="I775" i="1"/>
  <c r="Q539" i="5"/>
  <c r="Q774" i="1"/>
  <c r="J541" i="5" s="1"/>
  <c r="I543" i="5" s="1"/>
  <c r="P543" i="5" s="1"/>
  <c r="R774" i="1"/>
  <c r="J542" i="5" s="1"/>
  <c r="CX199" i="3"/>
  <c r="W774" i="1"/>
  <c r="O168" i="8"/>
  <c r="U539" i="5"/>
  <c r="T774" i="1"/>
  <c r="I200" i="5"/>
  <c r="P372" i="5"/>
  <c r="K372" i="5"/>
  <c r="V456" i="5"/>
  <c r="P530" i="5"/>
  <c r="K530" i="5"/>
  <c r="I252" i="5"/>
  <c r="R663" i="5"/>
  <c r="GM943" i="1"/>
  <c r="R74" i="5"/>
  <c r="GM87" i="1"/>
  <c r="GN87" i="1"/>
  <c r="GK457" i="1"/>
  <c r="AE465" i="1"/>
  <c r="E131" i="7"/>
  <c r="CP945" i="1"/>
  <c r="O945" i="1" s="1"/>
  <c r="J680" i="5"/>
  <c r="I685" i="5" s="1"/>
  <c r="K292" i="5"/>
  <c r="P292" i="5"/>
  <c r="AK257" i="1"/>
  <c r="GK177" i="1"/>
  <c r="J168" i="5"/>
  <c r="GK770" i="1"/>
  <c r="J521" i="5"/>
  <c r="S774" i="1"/>
  <c r="I556" i="5"/>
  <c r="GK584" i="1"/>
  <c r="J438" i="5"/>
  <c r="GK168" i="1"/>
  <c r="GP168" i="1" s="1"/>
  <c r="J139" i="5"/>
  <c r="GK945" i="1"/>
  <c r="J679" i="5"/>
  <c r="CP377" i="1"/>
  <c r="O377" i="1" s="1"/>
  <c r="GM377" i="1" s="1"/>
  <c r="J301" i="5"/>
  <c r="I303" i="5" s="1"/>
  <c r="K613" i="5"/>
  <c r="P613" i="5"/>
  <c r="P345" i="5"/>
  <c r="K345" i="5"/>
  <c r="P447" i="5"/>
  <c r="K447" i="5"/>
  <c r="P517" i="5"/>
  <c r="K517" i="5"/>
  <c r="P59" i="5"/>
  <c r="K59" i="5"/>
  <c r="K674" i="5"/>
  <c r="P674" i="5"/>
  <c r="P194" i="5"/>
  <c r="K194" i="5"/>
  <c r="K111" i="5"/>
  <c r="P111" i="5"/>
  <c r="I115" i="5" s="1"/>
  <c r="CP375" i="1"/>
  <c r="O375" i="1" s="1"/>
  <c r="GM89" i="1"/>
  <c r="GM940" i="1"/>
  <c r="CA548" i="1"/>
  <c r="GK333" i="1"/>
  <c r="GP333" i="1" s="1"/>
  <c r="AB339" i="1"/>
  <c r="GP177" i="1"/>
  <c r="GP890" i="1"/>
  <c r="R579" i="5"/>
  <c r="J583" i="5" s="1"/>
  <c r="AF248" i="1"/>
  <c r="GM500" i="1"/>
  <c r="CB339" i="1"/>
  <c r="GM33" i="1"/>
  <c r="GP38" i="1"/>
  <c r="AB507" i="1"/>
  <c r="O507" i="1" s="1"/>
  <c r="I96" i="8"/>
  <c r="I95" i="8"/>
  <c r="D69" i="6"/>
  <c r="E304" i="5"/>
  <c r="M95" i="8"/>
  <c r="R95" i="8"/>
  <c r="Q304" i="5"/>
  <c r="M96" i="8"/>
  <c r="S304" i="5"/>
  <c r="T96" i="8"/>
  <c r="R96" i="8"/>
  <c r="U304" i="5"/>
  <c r="O96" i="8"/>
  <c r="T95" i="8"/>
  <c r="O95" i="8"/>
  <c r="GP166" i="1"/>
  <c r="AK507" i="1"/>
  <c r="AK497" i="1" s="1"/>
  <c r="R375" i="5"/>
  <c r="GK499" i="1"/>
  <c r="AE507" i="1"/>
  <c r="GP944" i="1"/>
  <c r="GK593" i="1"/>
  <c r="J467" i="5"/>
  <c r="I174" i="5"/>
  <c r="GN943" i="1"/>
  <c r="CB955" i="1" s="1"/>
  <c r="K640" i="5"/>
  <c r="P640" i="5"/>
  <c r="GK384" i="1"/>
  <c r="GP384" i="1" s="1"/>
  <c r="J319" i="5"/>
  <c r="P234" i="5"/>
  <c r="K234" i="5"/>
  <c r="AL339" i="1"/>
  <c r="T253" i="5"/>
  <c r="J259" i="5" s="1"/>
  <c r="I262" i="5" s="1"/>
  <c r="K81" i="5"/>
  <c r="P81" i="5"/>
  <c r="AX580" i="1"/>
  <c r="F603" i="1"/>
  <c r="I148" i="5"/>
  <c r="P510" i="5"/>
  <c r="K510" i="5"/>
  <c r="P374" i="5"/>
  <c r="K374" i="5"/>
  <c r="E88" i="7"/>
  <c r="GN91" i="1"/>
  <c r="GM779" i="1"/>
  <c r="GP779" i="1"/>
  <c r="E30" i="7"/>
  <c r="E106" i="7"/>
  <c r="AK299" i="1"/>
  <c r="GM91" i="1"/>
  <c r="CP587" i="1"/>
  <c r="O587" i="1" s="1"/>
  <c r="GP374" i="1"/>
  <c r="R280" i="5"/>
  <c r="J283" i="5" s="1"/>
  <c r="I286" i="5" s="1"/>
  <c r="T535" i="5"/>
  <c r="P400" i="5"/>
  <c r="K400" i="5"/>
  <c r="P410" i="5"/>
  <c r="K410" i="5"/>
  <c r="J219" i="5"/>
  <c r="GK291" i="1"/>
  <c r="GM291" i="1" s="1"/>
  <c r="P382" i="5"/>
  <c r="K382" i="5"/>
  <c r="K662" i="5"/>
  <c r="P662" i="5"/>
  <c r="I188" i="8"/>
  <c r="D207" i="7" s="1"/>
  <c r="I187" i="8"/>
  <c r="D208" i="7" s="1"/>
  <c r="C615" i="5"/>
  <c r="D126" i="6"/>
  <c r="E614" i="5"/>
  <c r="O188" i="8"/>
  <c r="M187" i="8"/>
  <c r="F208" i="7" s="1"/>
  <c r="Q614" i="5"/>
  <c r="U614" i="5"/>
  <c r="R188" i="8"/>
  <c r="R187" i="8"/>
  <c r="S614" i="5"/>
  <c r="T188" i="8"/>
  <c r="M188" i="8"/>
  <c r="F207" i="7" s="1"/>
  <c r="O187" i="8"/>
  <c r="V614" i="5"/>
  <c r="T187" i="8"/>
  <c r="AE339" i="1"/>
  <c r="I578" i="5"/>
  <c r="GM890" i="1"/>
  <c r="T579" i="5"/>
  <c r="J584" i="5" s="1"/>
  <c r="AE299" i="1"/>
  <c r="AE94" i="1"/>
  <c r="R94" i="1" s="1"/>
  <c r="GM335" i="1"/>
  <c r="GM169" i="1"/>
  <c r="GK582" i="1"/>
  <c r="J422" i="5"/>
  <c r="P43" i="5"/>
  <c r="K43" i="5"/>
  <c r="I128" i="5"/>
  <c r="D39" i="6"/>
  <c r="I44" i="8"/>
  <c r="I43" i="8"/>
  <c r="E149" i="5"/>
  <c r="K152" i="5"/>
  <c r="R170" i="1"/>
  <c r="J151" i="5" s="1"/>
  <c r="U170" i="1"/>
  <c r="M44" i="8"/>
  <c r="O44" i="8"/>
  <c r="R43" i="8"/>
  <c r="Q149" i="5"/>
  <c r="O43" i="8"/>
  <c r="T44" i="8"/>
  <c r="S170" i="1"/>
  <c r="R44" i="8"/>
  <c r="CX52" i="3"/>
  <c r="T170" i="1"/>
  <c r="S149" i="5"/>
  <c r="I172" i="1"/>
  <c r="V149" i="5"/>
  <c r="T43" i="8"/>
  <c r="V170" i="1"/>
  <c r="M43" i="8"/>
  <c r="GX170" i="1"/>
  <c r="CX51" i="3"/>
  <c r="U149" i="5"/>
  <c r="P170" i="1"/>
  <c r="W170" i="1"/>
  <c r="P633" i="5"/>
  <c r="K633" i="5"/>
  <c r="Q170" i="1"/>
  <c r="J150" i="5" s="1"/>
  <c r="I152" i="5" s="1"/>
  <c r="P152" i="5" s="1"/>
  <c r="F190" i="7"/>
  <c r="P351" i="5"/>
  <c r="K351" i="5"/>
  <c r="K226" i="5"/>
  <c r="P226" i="5"/>
  <c r="K77" i="5"/>
  <c r="P77" i="5"/>
  <c r="I325" i="5"/>
  <c r="K523" i="5"/>
  <c r="P523" i="5"/>
  <c r="P440" i="5"/>
  <c r="K440" i="5"/>
  <c r="GM77" i="1"/>
  <c r="I224" i="5"/>
  <c r="AL257" i="1"/>
  <c r="S955" i="1"/>
  <c r="AT932" i="1"/>
  <c r="I650" i="5"/>
  <c r="GP891" i="1"/>
  <c r="R587" i="5"/>
  <c r="J589" i="5" s="1"/>
  <c r="I592" i="5" s="1"/>
  <c r="GM937" i="1"/>
  <c r="GP937" i="1"/>
  <c r="AX451" i="1"/>
  <c r="F633" i="1"/>
  <c r="BA955" i="1"/>
  <c r="CJ932" i="1"/>
  <c r="GP377" i="1"/>
  <c r="AK72" i="1"/>
  <c r="X94" i="1"/>
  <c r="Y955" i="1"/>
  <c r="AL932" i="1"/>
  <c r="AC497" i="1"/>
  <c r="CH507" i="1"/>
  <c r="P507" i="1"/>
  <c r="CE507" i="1"/>
  <c r="CF507" i="1"/>
  <c r="F360" i="1"/>
  <c r="T331" i="1"/>
  <c r="AT164" i="1"/>
  <c r="F198" i="1"/>
  <c r="GM333" i="1"/>
  <c r="CA339" i="1" s="1"/>
  <c r="AP766" i="1"/>
  <c r="F792" i="1"/>
  <c r="AP813" i="1"/>
  <c r="BA455" i="1"/>
  <c r="F485" i="1"/>
  <c r="BC26" i="1"/>
  <c r="F226" i="1"/>
  <c r="BC845" i="1"/>
  <c r="GP934" i="1"/>
  <c r="AB955" i="1"/>
  <c r="GM934" i="1"/>
  <c r="Q539" i="1"/>
  <c r="F560" i="1"/>
  <c r="F570" i="1"/>
  <c r="U539" i="1"/>
  <c r="AE72" i="1"/>
  <c r="Q932" i="1"/>
  <c r="F967" i="1"/>
  <c r="BA72" i="1"/>
  <c r="F114" i="1"/>
  <c r="GM945" i="1"/>
  <c r="AX900" i="1"/>
  <c r="CG887" i="1"/>
  <c r="GP939" i="1"/>
  <c r="GM939" i="1"/>
  <c r="AT887" i="1"/>
  <c r="F918" i="1"/>
  <c r="AT985" i="1"/>
  <c r="F830" i="1"/>
  <c r="AS660" i="1"/>
  <c r="AQ813" i="1"/>
  <c r="AQ766" i="1"/>
  <c r="F793" i="1"/>
  <c r="AR548" i="1"/>
  <c r="CA539" i="1"/>
  <c r="Q455" i="1"/>
  <c r="F477" i="1"/>
  <c r="X548" i="1"/>
  <c r="AK539" i="1"/>
  <c r="AK455" i="1"/>
  <c r="X465" i="1"/>
  <c r="AT371" i="1"/>
  <c r="F405" i="1"/>
  <c r="F281" i="1"/>
  <c r="W248" i="1"/>
  <c r="S289" i="1"/>
  <c r="F314" i="1"/>
  <c r="AS164" i="1"/>
  <c r="F197" i="1"/>
  <c r="P94" i="1"/>
  <c r="AC72" i="1"/>
  <c r="CH94" i="1"/>
  <c r="CE94" i="1"/>
  <c r="CF94" i="1"/>
  <c r="AD72" i="1"/>
  <c r="Q94" i="1"/>
  <c r="CD40" i="1"/>
  <c r="AZ72" i="1"/>
  <c r="F105" i="1"/>
  <c r="CE132" i="1"/>
  <c r="CF132" i="1"/>
  <c r="CH132" i="1"/>
  <c r="P132" i="1"/>
  <c r="AC126" i="1"/>
  <c r="F141" i="1"/>
  <c r="AP126" i="1"/>
  <c r="V30" i="1"/>
  <c r="F63" i="1"/>
  <c r="BB26" i="1"/>
  <c r="F223" i="1"/>
  <c r="BB845" i="1"/>
  <c r="GM374" i="1"/>
  <c r="W30" i="1"/>
  <c r="F64" i="1"/>
  <c r="CI932" i="1"/>
  <c r="AZ955" i="1"/>
  <c r="F965" i="1"/>
  <c r="AQ932" i="1"/>
  <c r="CZ587" i="1"/>
  <c r="Y587" i="1" s="1"/>
  <c r="CY587" i="1"/>
  <c r="X587" i="1" s="1"/>
  <c r="R452" i="5" s="1"/>
  <c r="BA497" i="1"/>
  <c r="F527" i="1"/>
  <c r="AL539" i="1"/>
  <c r="Y548" i="1"/>
  <c r="F530" i="1"/>
  <c r="V497" i="1"/>
  <c r="F569" i="1"/>
  <c r="T539" i="1"/>
  <c r="BD451" i="1"/>
  <c r="F651" i="1"/>
  <c r="S248" i="1"/>
  <c r="F272" i="1"/>
  <c r="BA289" i="1"/>
  <c r="F319" i="1"/>
  <c r="O257" i="1"/>
  <c r="AB248" i="1"/>
  <c r="AB289" i="1"/>
  <c r="O299" i="1"/>
  <c r="AS30" i="1"/>
  <c r="F57" i="1"/>
  <c r="BD879" i="1"/>
  <c r="F1040" i="1"/>
  <c r="U455" i="1"/>
  <c r="F487" i="1"/>
  <c r="CX108" i="3"/>
  <c r="CX109" i="3"/>
  <c r="S378" i="1"/>
  <c r="V378" i="1"/>
  <c r="T378" i="1"/>
  <c r="GX378" i="1"/>
  <c r="U378" i="1"/>
  <c r="Q378" i="1"/>
  <c r="J305" i="5" s="1"/>
  <c r="I307" i="5" s="1"/>
  <c r="P307" i="5" s="1"/>
  <c r="P378" i="1"/>
  <c r="R378" i="1"/>
  <c r="J306" i="5" s="1"/>
  <c r="W378" i="1"/>
  <c r="CI289" i="1"/>
  <c r="AZ299" i="1"/>
  <c r="AO26" i="1"/>
  <c r="F214" i="1"/>
  <c r="AO845" i="1"/>
  <c r="W955" i="1"/>
  <c r="AJ932" i="1"/>
  <c r="F531" i="1"/>
  <c r="W497" i="1"/>
  <c r="CF455" i="1"/>
  <c r="AW465" i="1"/>
  <c r="S455" i="1"/>
  <c r="F480" i="1"/>
  <c r="AQ451" i="1"/>
  <c r="F636" i="1"/>
  <c r="F397" i="1"/>
  <c r="AQ371" i="1"/>
  <c r="U331" i="1"/>
  <c r="F361" i="1"/>
  <c r="F306" i="1"/>
  <c r="AX289" i="1"/>
  <c r="AD248" i="1"/>
  <c r="Q257" i="1"/>
  <c r="W289" i="1"/>
  <c r="F323" i="1"/>
  <c r="CE331" i="1"/>
  <c r="AV339" i="1"/>
  <c r="GN294" i="1"/>
  <c r="GM294" i="1"/>
  <c r="V72" i="1"/>
  <c r="F117" i="1"/>
  <c r="BC244" i="1"/>
  <c r="F433" i="1"/>
  <c r="AQ26" i="1"/>
  <c r="F220" i="1"/>
  <c r="AX30" i="1"/>
  <c r="F47" i="1"/>
  <c r="AX210" i="1"/>
  <c r="AK955" i="1"/>
  <c r="F522" i="1"/>
  <c r="S497" i="1"/>
  <c r="Q497" i="1"/>
  <c r="F519" i="1"/>
  <c r="AP451" i="1"/>
  <c r="F635" i="1"/>
  <c r="T30" i="1"/>
  <c r="F61" i="1"/>
  <c r="F350" i="1"/>
  <c r="AZ331" i="1"/>
  <c r="GP951" i="1"/>
  <c r="T248" i="1"/>
  <c r="F278" i="1"/>
  <c r="AQ887" i="1"/>
  <c r="F910" i="1"/>
  <c r="AQ985" i="1"/>
  <c r="AB539" i="1"/>
  <c r="O548" i="1"/>
  <c r="AO451" i="1"/>
  <c r="F630" i="1"/>
  <c r="AQ331" i="1"/>
  <c r="F349" i="1"/>
  <c r="AL72" i="1"/>
  <c r="Y94" i="1"/>
  <c r="AT331" i="1"/>
  <c r="F357" i="1"/>
  <c r="BB879" i="1"/>
  <c r="F1028" i="1"/>
  <c r="CG932" i="1"/>
  <c r="AX955" i="1"/>
  <c r="CH539" i="1"/>
  <c r="AY548" i="1"/>
  <c r="AZ371" i="1"/>
  <c r="F398" i="1"/>
  <c r="CH455" i="1"/>
  <c r="AY465" i="1"/>
  <c r="AW339" i="1"/>
  <c r="CF331" i="1"/>
  <c r="AK126" i="1"/>
  <c r="X132" i="1"/>
  <c r="CB299" i="1"/>
  <c r="X30" i="1"/>
  <c r="F66" i="1"/>
  <c r="GP935" i="1"/>
  <c r="GM935" i="1"/>
  <c r="AO883" i="1"/>
  <c r="F989" i="1"/>
  <c r="AO1015" i="1"/>
  <c r="AT766" i="1"/>
  <c r="AT813" i="1"/>
  <c r="F801" i="1"/>
  <c r="AS548" i="1"/>
  <c r="CB539" i="1"/>
  <c r="T497" i="1"/>
  <c r="F528" i="1"/>
  <c r="AS371" i="1"/>
  <c r="F404" i="1"/>
  <c r="BB244" i="1"/>
  <c r="F430" i="1"/>
  <c r="F363" i="1"/>
  <c r="W331" i="1"/>
  <c r="BD244" i="1"/>
  <c r="F442" i="1"/>
  <c r="GP74" i="1"/>
  <c r="GM74" i="1"/>
  <c r="AB94" i="1"/>
  <c r="CB94" i="1"/>
  <c r="AB30" i="1"/>
  <c r="O40" i="1"/>
  <c r="GP128" i="1"/>
  <c r="CD132" i="1" s="1"/>
  <c r="AB132" i="1"/>
  <c r="GM128" i="1"/>
  <c r="CA132" i="1" s="1"/>
  <c r="GM85" i="1"/>
  <c r="GP85" i="1"/>
  <c r="BA30" i="1"/>
  <c r="F60" i="1"/>
  <c r="S932" i="1"/>
  <c r="F970" i="1"/>
  <c r="BC1015" i="1"/>
  <c r="F1001" i="1"/>
  <c r="BC883" i="1"/>
  <c r="BA539" i="1"/>
  <c r="F568" i="1"/>
  <c r="F150" i="1"/>
  <c r="AT126" i="1"/>
  <c r="AS887" i="1"/>
  <c r="F917" i="1"/>
  <c r="CI887" i="1"/>
  <c r="AZ900" i="1"/>
  <c r="W455" i="1"/>
  <c r="F489" i="1"/>
  <c r="AW548" i="1"/>
  <c r="CF539" i="1"/>
  <c r="GM582" i="1"/>
  <c r="GP582" i="1"/>
  <c r="BC451" i="1"/>
  <c r="F642" i="1"/>
  <c r="F354" i="1"/>
  <c r="S331" i="1"/>
  <c r="CA257" i="1"/>
  <c r="AX766" i="1"/>
  <c r="F790" i="1"/>
  <c r="AX813" i="1"/>
  <c r="BA248" i="1"/>
  <c r="F277" i="1"/>
  <c r="AX72" i="1"/>
  <c r="F101" i="1"/>
  <c r="S30" i="1"/>
  <c r="F55" i="1"/>
  <c r="AE955" i="1"/>
  <c r="S539" i="1"/>
  <c r="F563" i="1"/>
  <c r="V539" i="1"/>
  <c r="F571" i="1"/>
  <c r="CE455" i="1"/>
  <c r="AV465" i="1"/>
  <c r="AK331" i="1"/>
  <c r="X339" i="1"/>
  <c r="GK376" i="1"/>
  <c r="CG371" i="1"/>
  <c r="AX387" i="1"/>
  <c r="I379" i="1"/>
  <c r="Q331" i="1"/>
  <c r="F351" i="1"/>
  <c r="AQ417" i="1"/>
  <c r="AQ845" i="1" s="1"/>
  <c r="AE289" i="1"/>
  <c r="R299" i="1"/>
  <c r="F342" i="1"/>
  <c r="P331" i="1"/>
  <c r="CF299" i="1"/>
  <c r="AC289" i="1"/>
  <c r="CH299" i="1"/>
  <c r="P299" i="1"/>
  <c r="CE299" i="1"/>
  <c r="AP164" i="1"/>
  <c r="F189" i="1"/>
  <c r="AX164" i="1"/>
  <c r="F187" i="1"/>
  <c r="BD26" i="1"/>
  <c r="F235" i="1"/>
  <c r="BD845" i="1"/>
  <c r="F326" i="1"/>
  <c r="Y289" i="1"/>
  <c r="GM891" i="1"/>
  <c r="S72" i="1"/>
  <c r="F109" i="1"/>
  <c r="V248" i="1"/>
  <c r="F280" i="1"/>
  <c r="Q289" i="1"/>
  <c r="F311" i="1"/>
  <c r="GM889" i="1"/>
  <c r="W72" i="1"/>
  <c r="F118" i="1"/>
  <c r="BC660" i="1"/>
  <c r="F829" i="1"/>
  <c r="AX539" i="1"/>
  <c r="F555" i="1"/>
  <c r="AZ248" i="1"/>
  <c r="F268" i="1"/>
  <c r="AZ417" i="1"/>
  <c r="AL126" i="1"/>
  <c r="Y132" i="1"/>
  <c r="Q30" i="1"/>
  <c r="F52" i="1"/>
  <c r="AC30" i="1"/>
  <c r="P40" i="1"/>
  <c r="CE40" i="1"/>
  <c r="CF40" i="1"/>
  <c r="CH40" i="1"/>
  <c r="U932" i="1"/>
  <c r="F977" i="1"/>
  <c r="AZ30" i="1"/>
  <c r="F51" i="1"/>
  <c r="P539" i="1"/>
  <c r="F551" i="1"/>
  <c r="AE539" i="1"/>
  <c r="R548" i="1"/>
  <c r="GM950" i="1"/>
  <c r="CI164" i="1"/>
  <c r="AZ180" i="1"/>
  <c r="AZ210" i="1" s="1"/>
  <c r="GP86" i="1"/>
  <c r="GM86" i="1"/>
  <c r="AI932" i="1"/>
  <c r="V955" i="1"/>
  <c r="F817" i="1"/>
  <c r="AO660" i="1"/>
  <c r="AZ580" i="1"/>
  <c r="F607" i="1"/>
  <c r="CD548" i="1"/>
  <c r="BB660" i="1"/>
  <c r="F826" i="1"/>
  <c r="GM501" i="1"/>
  <c r="GN501" i="1"/>
  <c r="AS339" i="1"/>
  <c r="CB331" i="1"/>
  <c r="AO244" i="1"/>
  <c r="F421" i="1"/>
  <c r="AT210" i="1"/>
  <c r="AP26" i="1"/>
  <c r="F219" i="1"/>
  <c r="O339" i="1"/>
  <c r="AB331" i="1"/>
  <c r="GM948" i="1"/>
  <c r="GP948" i="1"/>
  <c r="AG932" i="1"/>
  <c r="T955" i="1"/>
  <c r="CX234" i="3"/>
  <c r="CX233" i="3"/>
  <c r="I897" i="1"/>
  <c r="T896" i="1"/>
  <c r="U896" i="1"/>
  <c r="S896" i="1"/>
  <c r="GX896" i="1"/>
  <c r="R896" i="1"/>
  <c r="J617" i="5" s="1"/>
  <c r="P896" i="1"/>
  <c r="CP896" i="1" s="1"/>
  <c r="O896" i="1" s="1"/>
  <c r="V896" i="1"/>
  <c r="Q896" i="1"/>
  <c r="J616" i="5" s="1"/>
  <c r="I618" i="5" s="1"/>
  <c r="P618" i="5" s="1"/>
  <c r="W896" i="1"/>
  <c r="BD660" i="1"/>
  <c r="F838" i="1"/>
  <c r="U497" i="1"/>
  <c r="F529" i="1"/>
  <c r="BB451" i="1"/>
  <c r="F639" i="1"/>
  <c r="GP375" i="1"/>
  <c r="GM375" i="1"/>
  <c r="GP373" i="1"/>
  <c r="GM373" i="1"/>
  <c r="AZ455" i="1"/>
  <c r="F476" i="1"/>
  <c r="AZ626" i="1"/>
  <c r="R339" i="1"/>
  <c r="AE331" i="1"/>
  <c r="CG331" i="1"/>
  <c r="AX339" i="1"/>
  <c r="AC248" i="1"/>
  <c r="CH257" i="1"/>
  <c r="P257" i="1"/>
  <c r="CE257" i="1"/>
  <c r="CF257" i="1"/>
  <c r="F317" i="1"/>
  <c r="AT289" i="1"/>
  <c r="AT417" i="1"/>
  <c r="F139" i="1"/>
  <c r="AX126" i="1"/>
  <c r="F146" i="1"/>
  <c r="R126" i="1"/>
  <c r="Q126" i="1"/>
  <c r="F144" i="1"/>
  <c r="CI126" i="1"/>
  <c r="AZ132" i="1"/>
  <c r="GM84" i="1"/>
  <c r="GP84" i="1"/>
  <c r="CI766" i="1"/>
  <c r="AZ783" i="1"/>
  <c r="V455" i="1"/>
  <c r="F488" i="1"/>
  <c r="GP376" i="1"/>
  <c r="GM376" i="1"/>
  <c r="U248" i="1"/>
  <c r="F279" i="1"/>
  <c r="S126" i="1"/>
  <c r="F147" i="1"/>
  <c r="AP887" i="1"/>
  <c r="AP985" i="1"/>
  <c r="F909" i="1"/>
  <c r="GP773" i="1"/>
  <c r="GM773" i="1"/>
  <c r="AV548" i="1"/>
  <c r="CE539" i="1"/>
  <c r="AL497" i="1"/>
  <c r="Y507" i="1"/>
  <c r="AZ497" i="1"/>
  <c r="F518" i="1"/>
  <c r="Y465" i="1"/>
  <c r="AL455" i="1"/>
  <c r="T289" i="1"/>
  <c r="F320" i="1"/>
  <c r="F322" i="1"/>
  <c r="V289" i="1"/>
  <c r="CD257" i="1"/>
  <c r="CB507" i="1"/>
  <c r="AP289" i="1"/>
  <c r="F308" i="1"/>
  <c r="AP417" i="1"/>
  <c r="AP845" i="1" s="1"/>
  <c r="CP895" i="1"/>
  <c r="O895" i="1" s="1"/>
  <c r="AC932" i="1"/>
  <c r="CF955" i="1"/>
  <c r="CH955" i="1"/>
  <c r="P955" i="1"/>
  <c r="CE955" i="1"/>
  <c r="T455" i="1"/>
  <c r="F486" i="1"/>
  <c r="P455" i="1"/>
  <c r="F468" i="1"/>
  <c r="AT451" i="1"/>
  <c r="F644" i="1"/>
  <c r="CX176" i="3"/>
  <c r="CX175" i="3"/>
  <c r="I589" i="1"/>
  <c r="GX588" i="1"/>
  <c r="W588" i="1"/>
  <c r="U588" i="1"/>
  <c r="S588" i="1"/>
  <c r="T588" i="1"/>
  <c r="V588" i="1"/>
  <c r="P588" i="1"/>
  <c r="AE248" i="1"/>
  <c r="R257" i="1"/>
  <c r="CH331" i="1"/>
  <c r="AY339" i="1"/>
  <c r="T72" i="1"/>
  <c r="F115" i="1"/>
  <c r="AE30" i="1"/>
  <c r="R40" i="1"/>
  <c r="Y40" i="1"/>
  <c r="AL30" i="1"/>
  <c r="W539" i="1"/>
  <c r="F572" i="1"/>
  <c r="F514" i="1"/>
  <c r="AX497" i="1"/>
  <c r="U72" i="1"/>
  <c r="F116" i="1"/>
  <c r="U30" i="1"/>
  <c r="F62" i="1"/>
  <c r="O455" i="1"/>
  <c r="F467" i="1"/>
  <c r="GP945" i="1"/>
  <c r="GP889" i="1"/>
  <c r="E174" i="7" l="1"/>
  <c r="P141" i="5"/>
  <c r="K141" i="5"/>
  <c r="K135" i="5"/>
  <c r="I414" i="5"/>
  <c r="E210" i="7"/>
  <c r="GM584" i="1"/>
  <c r="GP584" i="1"/>
  <c r="S775" i="1"/>
  <c r="I170" i="8"/>
  <c r="E544" i="5"/>
  <c r="D114" i="6"/>
  <c r="S544" i="5"/>
  <c r="U544" i="5"/>
  <c r="Q544" i="5"/>
  <c r="V544" i="5"/>
  <c r="Q775" i="1"/>
  <c r="AD783" i="1" s="1"/>
  <c r="GX775" i="1"/>
  <c r="CJ783" i="1" s="1"/>
  <c r="W775" i="1"/>
  <c r="AJ783" i="1" s="1"/>
  <c r="U775" i="1"/>
  <c r="AH783" i="1" s="1"/>
  <c r="T775" i="1"/>
  <c r="AG783" i="1" s="1"/>
  <c r="R775" i="1"/>
  <c r="V775" i="1"/>
  <c r="AI783" i="1" s="1"/>
  <c r="P775" i="1"/>
  <c r="AB497" i="1"/>
  <c r="GP587" i="1"/>
  <c r="T452" i="5"/>
  <c r="X507" i="1"/>
  <c r="F533" i="1" s="1"/>
  <c r="Y257" i="1"/>
  <c r="AL248" i="1"/>
  <c r="CP170" i="1"/>
  <c r="O170" i="1" s="1"/>
  <c r="F55" i="7"/>
  <c r="D41" i="6"/>
  <c r="I48" i="8"/>
  <c r="I47" i="8"/>
  <c r="E157" i="5"/>
  <c r="C158" i="5"/>
  <c r="M47" i="8"/>
  <c r="T48" i="8"/>
  <c r="M48" i="8"/>
  <c r="P172" i="1"/>
  <c r="R48" i="8"/>
  <c r="O48" i="8"/>
  <c r="Q157" i="5"/>
  <c r="U157" i="5"/>
  <c r="R47" i="8"/>
  <c r="W172" i="1"/>
  <c r="Q172" i="1"/>
  <c r="J159" i="5" s="1"/>
  <c r="I161" i="5" s="1"/>
  <c r="P161" i="5" s="1"/>
  <c r="V157" i="5"/>
  <c r="O47" i="8"/>
  <c r="T47" i="8"/>
  <c r="S157" i="5"/>
  <c r="GX172" i="1"/>
  <c r="T172" i="1"/>
  <c r="CX55" i="3"/>
  <c r="V172" i="1"/>
  <c r="R172" i="1"/>
  <c r="J160" i="5" s="1"/>
  <c r="U172" i="1"/>
  <c r="I173" i="1"/>
  <c r="S172" i="1"/>
  <c r="CX56" i="3"/>
  <c r="D55" i="7"/>
  <c r="K618" i="5"/>
  <c r="K262" i="5"/>
  <c r="P262" i="5"/>
  <c r="GM499" i="1"/>
  <c r="CA507" i="1" s="1"/>
  <c r="GP499" i="1"/>
  <c r="CD507" i="1" s="1"/>
  <c r="K307" i="5"/>
  <c r="GP291" i="1"/>
  <c r="CD299" i="1" s="1"/>
  <c r="I586" i="5"/>
  <c r="CD339" i="1"/>
  <c r="CY774" i="1"/>
  <c r="X774" i="1" s="1"/>
  <c r="CZ774" i="1"/>
  <c r="Y774" i="1" s="1"/>
  <c r="AF783" i="1"/>
  <c r="P685" i="5"/>
  <c r="K685" i="5"/>
  <c r="GM457" i="1"/>
  <c r="CA465" i="1" s="1"/>
  <c r="AR465" i="1" s="1"/>
  <c r="GP457" i="1"/>
  <c r="CD465" i="1" s="1"/>
  <c r="I386" i="5"/>
  <c r="K543" i="5"/>
  <c r="I87" i="5"/>
  <c r="CB932" i="1"/>
  <c r="AS955" i="1"/>
  <c r="I189" i="8"/>
  <c r="D128" i="6"/>
  <c r="E619" i="5"/>
  <c r="S619" i="5"/>
  <c r="Q619" i="5"/>
  <c r="U619" i="5"/>
  <c r="V619" i="5"/>
  <c r="K224" i="5"/>
  <c r="P224" i="5"/>
  <c r="I238" i="5" s="1"/>
  <c r="CZ170" i="1"/>
  <c r="Y170" i="1" s="1"/>
  <c r="T149" i="5" s="1"/>
  <c r="CY170" i="1"/>
  <c r="X170" i="1" s="1"/>
  <c r="D54" i="7"/>
  <c r="I61" i="5"/>
  <c r="Y339" i="1"/>
  <c r="AL331" i="1"/>
  <c r="GP593" i="1"/>
  <c r="GM593" i="1"/>
  <c r="GM384" i="1"/>
  <c r="P303" i="5"/>
  <c r="K303" i="5"/>
  <c r="X257" i="1"/>
  <c r="AK248" i="1"/>
  <c r="K200" i="5"/>
  <c r="P200" i="5"/>
  <c r="I212" i="5" s="1"/>
  <c r="GM768" i="1"/>
  <c r="GP768" i="1"/>
  <c r="I148" i="8"/>
  <c r="D100" i="6"/>
  <c r="E461" i="5"/>
  <c r="Q461" i="5"/>
  <c r="S461" i="5"/>
  <c r="U461" i="5"/>
  <c r="V461" i="5"/>
  <c r="I98" i="8"/>
  <c r="D112" i="7" s="1"/>
  <c r="D70" i="6"/>
  <c r="I97" i="8"/>
  <c r="D113" i="7" s="1"/>
  <c r="E308" i="5"/>
  <c r="C309" i="5"/>
  <c r="S308" i="5"/>
  <c r="R98" i="8"/>
  <c r="M98" i="8"/>
  <c r="F112" i="7" s="1"/>
  <c r="T97" i="8"/>
  <c r="U308" i="5"/>
  <c r="O97" i="8"/>
  <c r="Q308" i="5"/>
  <c r="T98" i="8"/>
  <c r="O98" i="8"/>
  <c r="M97" i="8"/>
  <c r="F113" i="7" s="1"/>
  <c r="R97" i="8"/>
  <c r="V308" i="5"/>
  <c r="I363" i="5"/>
  <c r="GM770" i="1"/>
  <c r="GP770" i="1"/>
  <c r="P252" i="5"/>
  <c r="I266" i="5" s="1"/>
  <c r="K252" i="5"/>
  <c r="CA299" i="1"/>
  <c r="CA289" i="1" s="1"/>
  <c r="P325" i="5"/>
  <c r="K325" i="5"/>
  <c r="F54" i="7"/>
  <c r="K128" i="5"/>
  <c r="P128" i="5"/>
  <c r="P578" i="5"/>
  <c r="K578" i="5"/>
  <c r="P286" i="5"/>
  <c r="K286" i="5"/>
  <c r="X299" i="1"/>
  <c r="AK289" i="1"/>
  <c r="P148" i="5"/>
  <c r="K148" i="5"/>
  <c r="K174" i="5"/>
  <c r="P174" i="5"/>
  <c r="R507" i="1"/>
  <c r="AE497" i="1"/>
  <c r="P556" i="5"/>
  <c r="K556" i="5"/>
  <c r="AE455" i="1"/>
  <c r="R465" i="1"/>
  <c r="E196" i="7"/>
  <c r="CP774" i="1"/>
  <c r="O774" i="1" s="1"/>
  <c r="P592" i="5"/>
  <c r="K592" i="5"/>
  <c r="P650" i="5"/>
  <c r="I687" i="5" s="1"/>
  <c r="K650" i="5"/>
  <c r="AQ22" i="1"/>
  <c r="F855" i="1"/>
  <c r="AW955" i="1"/>
  <c r="CF932" i="1"/>
  <c r="AP22" i="1"/>
  <c r="F854" i="1"/>
  <c r="G16" i="2" s="1"/>
  <c r="AV40" i="1"/>
  <c r="CE30" i="1"/>
  <c r="AB126" i="1"/>
  <c r="O132" i="1"/>
  <c r="AY539" i="1"/>
  <c r="F556" i="1"/>
  <c r="Y30" i="1"/>
  <c r="F67" i="1"/>
  <c r="T589" i="1"/>
  <c r="AG596" i="1" s="1"/>
  <c r="Q589" i="1"/>
  <c r="AD596" i="1" s="1"/>
  <c r="P589" i="1"/>
  <c r="J461" i="5" s="1"/>
  <c r="I462" i="5" s="1"/>
  <c r="P462" i="5" s="1"/>
  <c r="I475" i="5" s="1"/>
  <c r="S589" i="1"/>
  <c r="V589" i="1"/>
  <c r="AI596" i="1" s="1"/>
  <c r="W589" i="1"/>
  <c r="AJ596" i="1" s="1"/>
  <c r="R589" i="1"/>
  <c r="U589" i="1"/>
  <c r="AH596" i="1" s="1"/>
  <c r="GX589" i="1"/>
  <c r="CJ596" i="1" s="1"/>
  <c r="F553" i="1"/>
  <c r="AV539" i="1"/>
  <c r="R30" i="1"/>
  <c r="F54" i="1"/>
  <c r="F347" i="1"/>
  <c r="AY331" i="1"/>
  <c r="CP588" i="1"/>
  <c r="O588" i="1" s="1"/>
  <c r="CH932" i="1"/>
  <c r="AY955" i="1"/>
  <c r="GM895" i="1"/>
  <c r="GP895" i="1"/>
  <c r="F534" i="1"/>
  <c r="Y497" i="1"/>
  <c r="AP883" i="1"/>
  <c r="F994" i="1"/>
  <c r="AP1015" i="1"/>
  <c r="AT244" i="1"/>
  <c r="F435" i="1"/>
  <c r="AV257" i="1"/>
  <c r="CE248" i="1"/>
  <c r="F346" i="1"/>
  <c r="AX331" i="1"/>
  <c r="AX417" i="1"/>
  <c r="AZ451" i="1"/>
  <c r="F637" i="1"/>
  <c r="CZ896" i="1"/>
  <c r="Y896" i="1" s="1"/>
  <c r="CY896" i="1"/>
  <c r="X896" i="1" s="1"/>
  <c r="R614" i="5" s="1"/>
  <c r="O331" i="1"/>
  <c r="F341" i="1"/>
  <c r="AT26" i="1"/>
  <c r="F228" i="1"/>
  <c r="AT845" i="1"/>
  <c r="AS331" i="1"/>
  <c r="F356" i="1"/>
  <c r="AW40" i="1"/>
  <c r="CF30" i="1"/>
  <c r="BD22" i="1"/>
  <c r="F870" i="1"/>
  <c r="BD1047" i="1"/>
  <c r="CE289" i="1"/>
  <c r="AV299" i="1"/>
  <c r="AW299" i="1"/>
  <c r="CF289" i="1"/>
  <c r="CX110" i="3"/>
  <c r="CX111" i="3"/>
  <c r="I380" i="1"/>
  <c r="W379" i="1"/>
  <c r="T379" i="1"/>
  <c r="U379" i="1"/>
  <c r="S379" i="1"/>
  <c r="GX379" i="1"/>
  <c r="V379" i="1"/>
  <c r="Q379" i="1"/>
  <c r="J310" i="5" s="1"/>
  <c r="I312" i="5" s="1"/>
  <c r="P312" i="5" s="1"/>
  <c r="R379" i="1"/>
  <c r="J311" i="5" s="1"/>
  <c r="P379" i="1"/>
  <c r="AX660" i="1"/>
  <c r="F820" i="1"/>
  <c r="CA248" i="1"/>
  <c r="AR257" i="1"/>
  <c r="F1031" i="1"/>
  <c r="BC879" i="1"/>
  <c r="CA126" i="1"/>
  <c r="AR132" i="1"/>
  <c r="CD94" i="1"/>
  <c r="F565" i="1"/>
  <c r="AS539" i="1"/>
  <c r="AO879" i="1"/>
  <c r="F1019" i="1"/>
  <c r="AS299" i="1"/>
  <c r="CB289" i="1"/>
  <c r="AW331" i="1"/>
  <c r="F345" i="1"/>
  <c r="O497" i="1"/>
  <c r="F509" i="1"/>
  <c r="O539" i="1"/>
  <c r="F550" i="1"/>
  <c r="AW455" i="1"/>
  <c r="F471" i="1"/>
  <c r="O289" i="1"/>
  <c r="F301" i="1"/>
  <c r="F966" i="1"/>
  <c r="AZ932" i="1"/>
  <c r="CH126" i="1"/>
  <c r="AY132" i="1"/>
  <c r="CF72" i="1"/>
  <c r="AW94" i="1"/>
  <c r="P72" i="1"/>
  <c r="F97" i="1"/>
  <c r="AQ660" i="1"/>
  <c r="F823" i="1"/>
  <c r="BC22" i="1"/>
  <c r="F861" i="1"/>
  <c r="BC1047" i="1"/>
  <c r="AP660" i="1"/>
  <c r="F822" i="1"/>
  <c r="CA331" i="1"/>
  <c r="AR339" i="1"/>
  <c r="AY507" i="1"/>
  <c r="CH497" i="1"/>
  <c r="X72" i="1"/>
  <c r="F120" i="1"/>
  <c r="CB497" i="1"/>
  <c r="AS507" i="1"/>
  <c r="Y455" i="1"/>
  <c r="F492" i="1"/>
  <c r="P248" i="1"/>
  <c r="F260" i="1"/>
  <c r="AZ244" i="1"/>
  <c r="F428" i="1"/>
  <c r="AQ244" i="1"/>
  <c r="F427" i="1"/>
  <c r="F365" i="1"/>
  <c r="X331" i="1"/>
  <c r="F554" i="1"/>
  <c r="AW539" i="1"/>
  <c r="AY455" i="1"/>
  <c r="F473" i="1"/>
  <c r="AK932" i="1"/>
  <c r="X955" i="1"/>
  <c r="CY378" i="1"/>
  <c r="X378" i="1" s="1"/>
  <c r="R304" i="5" s="1"/>
  <c r="CZ378" i="1"/>
  <c r="Y378" i="1" s="1"/>
  <c r="T304" i="5" s="1"/>
  <c r="AW132" i="1"/>
  <c r="CF126" i="1"/>
  <c r="CD30" i="1"/>
  <c r="AU40" i="1"/>
  <c r="CE72" i="1"/>
  <c r="AV94" i="1"/>
  <c r="AR539" i="1"/>
  <c r="F576" i="1"/>
  <c r="AX887" i="1"/>
  <c r="AX985" i="1"/>
  <c r="F907" i="1"/>
  <c r="CA955" i="1"/>
  <c r="CF497" i="1"/>
  <c r="AW507" i="1"/>
  <c r="Y932" i="1"/>
  <c r="F982" i="1"/>
  <c r="R248" i="1"/>
  <c r="F271" i="1"/>
  <c r="CE932" i="1"/>
  <c r="AV955" i="1"/>
  <c r="AP244" i="1"/>
  <c r="F426" i="1"/>
  <c r="CD248" i="1"/>
  <c r="AU257" i="1"/>
  <c r="F794" i="1"/>
  <c r="AZ766" i="1"/>
  <c r="AZ813" i="1"/>
  <c r="F143" i="1"/>
  <c r="AZ126" i="1"/>
  <c r="AR40" i="1"/>
  <c r="CA30" i="1"/>
  <c r="AY257" i="1"/>
  <c r="CH248" i="1"/>
  <c r="F976" i="1"/>
  <c r="T932" i="1"/>
  <c r="V932" i="1"/>
  <c r="F978" i="1"/>
  <c r="F191" i="1"/>
  <c r="AZ164" i="1"/>
  <c r="R539" i="1"/>
  <c r="F562" i="1"/>
  <c r="P30" i="1"/>
  <c r="F43" i="1"/>
  <c r="AY299" i="1"/>
  <c r="CH289" i="1"/>
  <c r="AE932" i="1"/>
  <c r="R955" i="1"/>
  <c r="CD126" i="1"/>
  <c r="AU132" i="1"/>
  <c r="AB72" i="1"/>
  <c r="O94" i="1"/>
  <c r="AT660" i="1"/>
  <c r="F831" i="1"/>
  <c r="AX932" i="1"/>
  <c r="F962" i="1"/>
  <c r="F121" i="1"/>
  <c r="Y72" i="1"/>
  <c r="AQ1015" i="1"/>
  <c r="AQ883" i="1"/>
  <c r="F995" i="1"/>
  <c r="AX26" i="1"/>
  <c r="F217" i="1"/>
  <c r="AX845" i="1"/>
  <c r="W932" i="1"/>
  <c r="F979" i="1"/>
  <c r="BB22" i="1"/>
  <c r="F858" i="1"/>
  <c r="BB1047" i="1"/>
  <c r="CE126" i="1"/>
  <c r="AV132" i="1"/>
  <c r="Q72" i="1"/>
  <c r="F106" i="1"/>
  <c r="CH72" i="1"/>
  <c r="AY94" i="1"/>
  <c r="R72" i="1"/>
  <c r="F108" i="1"/>
  <c r="O955" i="1"/>
  <c r="AB932" i="1"/>
  <c r="AV507" i="1"/>
  <c r="CE497" i="1"/>
  <c r="BA932" i="1"/>
  <c r="F975" i="1"/>
  <c r="CD539" i="1"/>
  <c r="AU548" i="1"/>
  <c r="P289" i="1"/>
  <c r="F302" i="1"/>
  <c r="AX371" i="1"/>
  <c r="F394" i="1"/>
  <c r="CB72" i="1"/>
  <c r="AS94" i="1"/>
  <c r="X126" i="1"/>
  <c r="F158" i="1"/>
  <c r="CY588" i="1"/>
  <c r="X588" i="1" s="1"/>
  <c r="R456" i="5" s="1"/>
  <c r="CZ588" i="1"/>
  <c r="Y588" i="1" s="1"/>
  <c r="T456" i="5" s="1"/>
  <c r="F958" i="1"/>
  <c r="P932" i="1"/>
  <c r="CF248" i="1"/>
  <c r="AW257" i="1"/>
  <c r="R331" i="1"/>
  <c r="F353" i="1"/>
  <c r="T897" i="1"/>
  <c r="AG900" i="1" s="1"/>
  <c r="GX897" i="1"/>
  <c r="CJ900" i="1" s="1"/>
  <c r="V897" i="1"/>
  <c r="AI900" i="1" s="1"/>
  <c r="S897" i="1"/>
  <c r="AF900" i="1" s="1"/>
  <c r="W897" i="1"/>
  <c r="AJ900" i="1" s="1"/>
  <c r="Q897" i="1"/>
  <c r="AD900" i="1" s="1"/>
  <c r="U897" i="1"/>
  <c r="AH900" i="1" s="1"/>
  <c r="P897" i="1"/>
  <c r="R897" i="1"/>
  <c r="AZ26" i="1"/>
  <c r="F221" i="1"/>
  <c r="AZ845" i="1"/>
  <c r="CH30" i="1"/>
  <c r="AY40" i="1"/>
  <c r="F159" i="1"/>
  <c r="Y126" i="1"/>
  <c r="F313" i="1"/>
  <c r="R289" i="1"/>
  <c r="AV455" i="1"/>
  <c r="F470" i="1"/>
  <c r="AZ887" i="1"/>
  <c r="F911" i="1"/>
  <c r="AZ985" i="1"/>
  <c r="O30" i="1"/>
  <c r="F42" i="1"/>
  <c r="CA94" i="1"/>
  <c r="GM587" i="1"/>
  <c r="F344" i="1"/>
  <c r="AV331" i="1"/>
  <c r="Q248" i="1"/>
  <c r="F269" i="1"/>
  <c r="AO22" i="1"/>
  <c r="F849" i="1"/>
  <c r="AO1047" i="1"/>
  <c r="AZ289" i="1"/>
  <c r="F310" i="1"/>
  <c r="CP378" i="1"/>
  <c r="O378" i="1" s="1"/>
  <c r="F259" i="1"/>
  <c r="O248" i="1"/>
  <c r="F575" i="1"/>
  <c r="Y539" i="1"/>
  <c r="AF596" i="1"/>
  <c r="F135" i="1"/>
  <c r="P126" i="1"/>
  <c r="F491" i="1"/>
  <c r="X455" i="1"/>
  <c r="F574" i="1"/>
  <c r="X539" i="1"/>
  <c r="AT883" i="1"/>
  <c r="AT1015" i="1"/>
  <c r="F1003" i="1"/>
  <c r="CD955" i="1"/>
  <c r="P497" i="1"/>
  <c r="F510" i="1"/>
  <c r="K312" i="5" l="1"/>
  <c r="E119" i="7"/>
  <c r="AR507" i="1"/>
  <c r="CA497" i="1"/>
  <c r="F521" i="1"/>
  <c r="R497" i="1"/>
  <c r="CD331" i="1"/>
  <c r="AU339" i="1"/>
  <c r="J544" i="5"/>
  <c r="I545" i="5" s="1"/>
  <c r="CP775" i="1"/>
  <c r="O775" i="1" s="1"/>
  <c r="AC783" i="1"/>
  <c r="X497" i="1"/>
  <c r="I99" i="8"/>
  <c r="D71" i="6"/>
  <c r="E313" i="5"/>
  <c r="U313" i="5"/>
  <c r="S313" i="5"/>
  <c r="Q313" i="5"/>
  <c r="V313" i="5"/>
  <c r="F325" i="1"/>
  <c r="X289" i="1"/>
  <c r="I478" i="5"/>
  <c r="K462" i="5"/>
  <c r="F366" i="1"/>
  <c r="Y331" i="1"/>
  <c r="D212" i="7"/>
  <c r="M189" i="8"/>
  <c r="F212" i="7" s="1"/>
  <c r="E213" i="7" s="1"/>
  <c r="T189" i="8"/>
  <c r="R189" i="8"/>
  <c r="O189" i="8"/>
  <c r="CD289" i="1"/>
  <c r="AU299" i="1"/>
  <c r="CP172" i="1"/>
  <c r="O172" i="1" s="1"/>
  <c r="K161" i="5"/>
  <c r="GK775" i="1"/>
  <c r="AE783" i="1"/>
  <c r="CJ766" i="1"/>
  <c r="BA783" i="1"/>
  <c r="D200" i="7"/>
  <c r="O170" i="8"/>
  <c r="M170" i="8"/>
  <c r="F200" i="7" s="1"/>
  <c r="E201" i="7" s="1"/>
  <c r="R170" i="8"/>
  <c r="T170" i="8"/>
  <c r="GM896" i="1"/>
  <c r="T614" i="5"/>
  <c r="AR299" i="1"/>
  <c r="F327" i="1" s="1"/>
  <c r="AS985" i="1"/>
  <c r="AS932" i="1"/>
  <c r="F972" i="1"/>
  <c r="AU507" i="1"/>
  <c r="CD497" i="1"/>
  <c r="D42" i="6"/>
  <c r="I49" i="8"/>
  <c r="E162" i="5"/>
  <c r="Q162" i="5"/>
  <c r="S162" i="5"/>
  <c r="U162" i="5"/>
  <c r="P173" i="1"/>
  <c r="V162" i="5"/>
  <c r="U173" i="1"/>
  <c r="GX173" i="1"/>
  <c r="CJ180" i="1" s="1"/>
  <c r="S173" i="1"/>
  <c r="R173" i="1"/>
  <c r="Q173" i="1"/>
  <c r="AD180" i="1" s="1"/>
  <c r="V173" i="1"/>
  <c r="AI180" i="1" s="1"/>
  <c r="T173" i="1"/>
  <c r="AG180" i="1" s="1"/>
  <c r="W173" i="1"/>
  <c r="AJ180" i="1" s="1"/>
  <c r="CA455" i="1"/>
  <c r="AC900" i="1"/>
  <c r="CH900" i="1" s="1"/>
  <c r="J619" i="5"/>
  <c r="I620" i="5" s="1"/>
  <c r="F479" i="1"/>
  <c r="R455" i="1"/>
  <c r="F283" i="1"/>
  <c r="X248" i="1"/>
  <c r="GP170" i="1"/>
  <c r="R149" i="5"/>
  <c r="CD455" i="1"/>
  <c r="AU465" i="1"/>
  <c r="AF766" i="1"/>
  <c r="S783" i="1"/>
  <c r="CY172" i="1"/>
  <c r="X172" i="1" s="1"/>
  <c r="R157" i="5" s="1"/>
  <c r="CZ172" i="1"/>
  <c r="Y172" i="1" s="1"/>
  <c r="Y248" i="1"/>
  <c r="F284" i="1"/>
  <c r="AG766" i="1"/>
  <c r="T783" i="1"/>
  <c r="Q783" i="1"/>
  <c r="AD766" i="1"/>
  <c r="CZ775" i="1"/>
  <c r="Y775" i="1" s="1"/>
  <c r="T544" i="5" s="1"/>
  <c r="CY775" i="1"/>
  <c r="X775" i="1" s="1"/>
  <c r="R544" i="5" s="1"/>
  <c r="T539" i="5"/>
  <c r="AL783" i="1"/>
  <c r="AH766" i="1"/>
  <c r="U783" i="1"/>
  <c r="CP379" i="1"/>
  <c r="O379" i="1" s="1"/>
  <c r="GM774" i="1"/>
  <c r="GP774" i="1"/>
  <c r="E61" i="7"/>
  <c r="O148" i="8"/>
  <c r="D178" i="7"/>
  <c r="M148" i="8"/>
  <c r="F178" i="7" s="1"/>
  <c r="E179" i="7" s="1"/>
  <c r="T148" i="8"/>
  <c r="R148" i="8"/>
  <c r="R539" i="5"/>
  <c r="AK783" i="1"/>
  <c r="P586" i="5"/>
  <c r="K586" i="5"/>
  <c r="AH180" i="1"/>
  <c r="GM170" i="1"/>
  <c r="AI766" i="1"/>
  <c r="V783" i="1"/>
  <c r="AJ766" i="1"/>
  <c r="W783" i="1"/>
  <c r="AD887" i="1"/>
  <c r="Q900" i="1"/>
  <c r="W900" i="1"/>
  <c r="AJ887" i="1"/>
  <c r="CJ580" i="1"/>
  <c r="BA596" i="1"/>
  <c r="AI580" i="1"/>
  <c r="V596" i="1"/>
  <c r="AG580" i="1"/>
  <c r="T596" i="1"/>
  <c r="AC887" i="1"/>
  <c r="CF900" i="1"/>
  <c r="CE900" i="1"/>
  <c r="AF887" i="1"/>
  <c r="S900" i="1"/>
  <c r="AH580" i="1"/>
  <c r="U596" i="1"/>
  <c r="AH887" i="1"/>
  <c r="U900" i="1"/>
  <c r="AI887" i="1"/>
  <c r="V900" i="1"/>
  <c r="CD932" i="1"/>
  <c r="AU955" i="1"/>
  <c r="GM378" i="1"/>
  <c r="GP378" i="1"/>
  <c r="F996" i="1"/>
  <c r="AZ883" i="1"/>
  <c r="AZ1015" i="1"/>
  <c r="AZ1047" i="1" s="1"/>
  <c r="AY72" i="1"/>
  <c r="F102" i="1"/>
  <c r="AX883" i="1"/>
  <c r="F992" i="1"/>
  <c r="AX1015" i="1"/>
  <c r="AX1047" i="1" s="1"/>
  <c r="F160" i="1"/>
  <c r="AR126" i="1"/>
  <c r="AP879" i="1"/>
  <c r="F1024" i="1"/>
  <c r="G17" i="2" s="1"/>
  <c r="AJ580" i="1"/>
  <c r="W596" i="1"/>
  <c r="AZ22" i="1"/>
  <c r="F856" i="1"/>
  <c r="BA900" i="1"/>
  <c r="CJ887" i="1"/>
  <c r="AS72" i="1"/>
  <c r="F111" i="1"/>
  <c r="AS210" i="1"/>
  <c r="AU539" i="1"/>
  <c r="F567" i="1"/>
  <c r="AV497" i="1"/>
  <c r="F512" i="1"/>
  <c r="O72" i="1"/>
  <c r="F96" i="1"/>
  <c r="F969" i="1"/>
  <c r="R932" i="1"/>
  <c r="AY248" i="1"/>
  <c r="F265" i="1"/>
  <c r="AU248" i="1"/>
  <c r="F276" i="1"/>
  <c r="AV932" i="1"/>
  <c r="F960" i="1"/>
  <c r="F138" i="1"/>
  <c r="AW126" i="1"/>
  <c r="F981" i="1"/>
  <c r="X932" i="1"/>
  <c r="AS497" i="1"/>
  <c r="F524" i="1"/>
  <c r="AS626" i="1"/>
  <c r="F515" i="1"/>
  <c r="AY497" i="1"/>
  <c r="CZ379" i="1"/>
  <c r="Y379" i="1" s="1"/>
  <c r="T308" i="5" s="1"/>
  <c r="CY379" i="1"/>
  <c r="X379" i="1" s="1"/>
  <c r="R308" i="5" s="1"/>
  <c r="S380" i="1"/>
  <c r="V380" i="1"/>
  <c r="AI387" i="1" s="1"/>
  <c r="Q380" i="1"/>
  <c r="AD387" i="1" s="1"/>
  <c r="U380" i="1"/>
  <c r="AH387" i="1" s="1"/>
  <c r="W380" i="1"/>
  <c r="AJ387" i="1" s="1"/>
  <c r="P380" i="1"/>
  <c r="R380" i="1"/>
  <c r="GK380" i="1" s="1"/>
  <c r="T380" i="1"/>
  <c r="AG387" i="1" s="1"/>
  <c r="GX380" i="1"/>
  <c r="CJ387" i="1" s="1"/>
  <c r="F305" i="1"/>
  <c r="AW289" i="1"/>
  <c r="AT22" i="1"/>
  <c r="AT1047" i="1"/>
  <c r="F863" i="1"/>
  <c r="F16" i="2" s="1"/>
  <c r="AX244" i="1"/>
  <c r="F424" i="1"/>
  <c r="AV248" i="1"/>
  <c r="F262" i="1"/>
  <c r="AY932" i="1"/>
  <c r="F963" i="1"/>
  <c r="GK589" i="1"/>
  <c r="AE596" i="1"/>
  <c r="CP589" i="1"/>
  <c r="O589" i="1" s="1"/>
  <c r="AC596" i="1"/>
  <c r="O126" i="1"/>
  <c r="F134" i="1"/>
  <c r="AR497" i="1"/>
  <c r="F535" i="1"/>
  <c r="AF580" i="1"/>
  <c r="S596" i="1"/>
  <c r="CZ589" i="1"/>
  <c r="Y589" i="1" s="1"/>
  <c r="CY589" i="1"/>
  <c r="X589" i="1" s="1"/>
  <c r="AT879" i="1"/>
  <c r="F1033" i="1"/>
  <c r="F17" i="2" s="1"/>
  <c r="GK897" i="1"/>
  <c r="AE900" i="1"/>
  <c r="AG887" i="1"/>
  <c r="T900" i="1"/>
  <c r="AW248" i="1"/>
  <c r="F263" i="1"/>
  <c r="F957" i="1"/>
  <c r="O932" i="1"/>
  <c r="BB18" i="1"/>
  <c r="F1060" i="1"/>
  <c r="AR455" i="1"/>
  <c r="F493" i="1"/>
  <c r="AZ660" i="1"/>
  <c r="F824" i="1"/>
  <c r="CA932" i="1"/>
  <c r="AR955" i="1"/>
  <c r="AU30" i="1"/>
  <c r="F59" i="1"/>
  <c r="GP896" i="1"/>
  <c r="F367" i="1"/>
  <c r="AR331" i="1"/>
  <c r="BC18" i="1"/>
  <c r="F1063" i="1"/>
  <c r="AY126" i="1"/>
  <c r="F140" i="1"/>
  <c r="AS289" i="1"/>
  <c r="F316" i="1"/>
  <c r="AS417" i="1"/>
  <c r="AV289" i="1"/>
  <c r="F304" i="1"/>
  <c r="AD580" i="1"/>
  <c r="Q596" i="1"/>
  <c r="G19" i="2"/>
  <c r="AW932" i="1"/>
  <c r="F961" i="1"/>
  <c r="CA72" i="1"/>
  <c r="AR94" i="1"/>
  <c r="AV126" i="1"/>
  <c r="F137" i="1"/>
  <c r="AQ879" i="1"/>
  <c r="F1025" i="1"/>
  <c r="AY289" i="1"/>
  <c r="F307" i="1"/>
  <c r="AW497" i="1"/>
  <c r="F513" i="1"/>
  <c r="AV72" i="1"/>
  <c r="F99" i="1"/>
  <c r="AW72" i="1"/>
  <c r="F100" i="1"/>
  <c r="AR248" i="1"/>
  <c r="F285" i="1"/>
  <c r="BD18" i="1"/>
  <c r="F1072" i="1"/>
  <c r="AW30" i="1"/>
  <c r="F46" i="1"/>
  <c r="AR289" i="1"/>
  <c r="AQ1047" i="1"/>
  <c r="AC387" i="1"/>
  <c r="AO18" i="1"/>
  <c r="F1051" i="1"/>
  <c r="AY30" i="1"/>
  <c r="F48" i="1"/>
  <c r="CP897" i="1"/>
  <c r="O897" i="1" s="1"/>
  <c r="CY897" i="1"/>
  <c r="X897" i="1" s="1"/>
  <c r="CZ897" i="1"/>
  <c r="Y897" i="1" s="1"/>
  <c r="T619" i="5" s="1"/>
  <c r="AX22" i="1"/>
  <c r="F852" i="1"/>
  <c r="AU126" i="1"/>
  <c r="F151" i="1"/>
  <c r="AR30" i="1"/>
  <c r="F68" i="1"/>
  <c r="CD72" i="1"/>
  <c r="AU94" i="1"/>
  <c r="GP588" i="1"/>
  <c r="GM588" i="1"/>
  <c r="AB596" i="1"/>
  <c r="AV30" i="1"/>
  <c r="F45" i="1"/>
  <c r="AP1047" i="1"/>
  <c r="V813" i="1" l="1"/>
  <c r="V766" i="1"/>
  <c r="F806" i="1"/>
  <c r="AG164" i="1"/>
  <c r="T180" i="1"/>
  <c r="CZ173" i="1"/>
  <c r="Y173" i="1" s="1"/>
  <c r="T162" i="5" s="1"/>
  <c r="CY173" i="1"/>
  <c r="X173" i="1" s="1"/>
  <c r="AC180" i="1"/>
  <c r="J162" i="5"/>
  <c r="I163" i="5" s="1"/>
  <c r="CP173" i="1"/>
  <c r="O173" i="1" s="1"/>
  <c r="F1002" i="1"/>
  <c r="AS883" i="1"/>
  <c r="AS1015" i="1"/>
  <c r="AU331" i="1"/>
  <c r="F358" i="1"/>
  <c r="AK596" i="1"/>
  <c r="R461" i="5"/>
  <c r="CP380" i="1"/>
  <c r="O380" i="1" s="1"/>
  <c r="AB387" i="1" s="1"/>
  <c r="J313" i="5"/>
  <c r="I314" i="5" s="1"/>
  <c r="AE387" i="1"/>
  <c r="S766" i="1"/>
  <c r="F798" i="1"/>
  <c r="S813" i="1"/>
  <c r="AI164" i="1"/>
  <c r="V180" i="1"/>
  <c r="AC766" i="1"/>
  <c r="P783" i="1"/>
  <c r="CE783" i="1"/>
  <c r="CH783" i="1"/>
  <c r="CF783" i="1"/>
  <c r="AK900" i="1"/>
  <c r="R619" i="5"/>
  <c r="AL596" i="1"/>
  <c r="T461" i="5"/>
  <c r="P900" i="1"/>
  <c r="F807" i="1"/>
  <c r="W813" i="1"/>
  <c r="W766" i="1"/>
  <c r="X783" i="1"/>
  <c r="AK766" i="1"/>
  <c r="U766" i="1"/>
  <c r="U813" i="1"/>
  <c r="F805" i="1"/>
  <c r="T766" i="1"/>
  <c r="F804" i="1"/>
  <c r="T813" i="1"/>
  <c r="T157" i="5"/>
  <c r="Q180" i="1"/>
  <c r="AD164" i="1"/>
  <c r="D65" i="7"/>
  <c r="T49" i="8"/>
  <c r="O49" i="8"/>
  <c r="R49" i="8"/>
  <c r="M49" i="8"/>
  <c r="F65" i="7" s="1"/>
  <c r="E66" i="7" s="1"/>
  <c r="GP172" i="1"/>
  <c r="GM172" i="1"/>
  <c r="AB783" i="1"/>
  <c r="GP775" i="1"/>
  <c r="CD783" i="1" s="1"/>
  <c r="GM775" i="1"/>
  <c r="CA783" i="1" s="1"/>
  <c r="AL766" i="1"/>
  <c r="Y783" i="1"/>
  <c r="P620" i="5"/>
  <c r="I690" i="5" s="1"/>
  <c r="K620" i="5"/>
  <c r="Q766" i="1"/>
  <c r="F795" i="1"/>
  <c r="Q813" i="1"/>
  <c r="BA180" i="1"/>
  <c r="CJ164" i="1"/>
  <c r="F526" i="1"/>
  <c r="AU497" i="1"/>
  <c r="F803" i="1"/>
  <c r="BA813" i="1"/>
  <c r="BA766" i="1"/>
  <c r="AL900" i="1"/>
  <c r="AH164" i="1"/>
  <c r="U180" i="1"/>
  <c r="AF180" i="1"/>
  <c r="AU455" i="1"/>
  <c r="F484" i="1"/>
  <c r="AJ164" i="1"/>
  <c r="W180" i="1"/>
  <c r="GK173" i="1"/>
  <c r="AE180" i="1"/>
  <c r="AE766" i="1"/>
  <c r="R783" i="1"/>
  <c r="AU289" i="1"/>
  <c r="F318" i="1"/>
  <c r="D123" i="7"/>
  <c r="T99" i="8"/>
  <c r="M99" i="8"/>
  <c r="F123" i="7" s="1"/>
  <c r="E124" i="7" s="1"/>
  <c r="O99" i="8"/>
  <c r="R99" i="8"/>
  <c r="K545" i="5"/>
  <c r="P545" i="5"/>
  <c r="AL580" i="1"/>
  <c r="Y596" i="1"/>
  <c r="AK887" i="1"/>
  <c r="X900" i="1"/>
  <c r="AZ18" i="1"/>
  <c r="F1058" i="1"/>
  <c r="AK580" i="1"/>
  <c r="X596" i="1"/>
  <c r="AE887" i="1"/>
  <c r="R900" i="1"/>
  <c r="AS244" i="1"/>
  <c r="F434" i="1"/>
  <c r="T887" i="1"/>
  <c r="F921" i="1"/>
  <c r="T985" i="1"/>
  <c r="GM379" i="1"/>
  <c r="S580" i="1"/>
  <c r="F611" i="1"/>
  <c r="S626" i="1"/>
  <c r="GM589" i="1"/>
  <c r="CA596" i="1" s="1"/>
  <c r="GP589" i="1"/>
  <c r="AI371" i="1"/>
  <c r="V387" i="1"/>
  <c r="AE371" i="1"/>
  <c r="R387" i="1"/>
  <c r="AS26" i="1"/>
  <c r="F227" i="1"/>
  <c r="AS845" i="1"/>
  <c r="BA887" i="1"/>
  <c r="F920" i="1"/>
  <c r="BA985" i="1"/>
  <c r="W580" i="1"/>
  <c r="F620" i="1"/>
  <c r="W626" i="1"/>
  <c r="AU932" i="1"/>
  <c r="F974" i="1"/>
  <c r="V887" i="1"/>
  <c r="F923" i="1"/>
  <c r="V985" i="1"/>
  <c r="U580" i="1"/>
  <c r="F618" i="1"/>
  <c r="U626" i="1"/>
  <c r="F903" i="1"/>
  <c r="P887" i="1"/>
  <c r="P985" i="1"/>
  <c r="W887" i="1"/>
  <c r="W985" i="1"/>
  <c r="F924" i="1"/>
  <c r="AB580" i="1"/>
  <c r="O596" i="1"/>
  <c r="CD596" i="1"/>
  <c r="AU72" i="1"/>
  <c r="F113" i="1"/>
  <c r="AX18" i="1"/>
  <c r="F1054" i="1"/>
  <c r="AQ18" i="1"/>
  <c r="F1057" i="1"/>
  <c r="GP897" i="1"/>
  <c r="CD900" i="1" s="1"/>
  <c r="GM897" i="1"/>
  <c r="CA900" i="1" s="1"/>
  <c r="AB900" i="1"/>
  <c r="F983" i="1"/>
  <c r="AR932" i="1"/>
  <c r="AE580" i="1"/>
  <c r="R596" i="1"/>
  <c r="F19" i="2"/>
  <c r="BA387" i="1"/>
  <c r="CJ371" i="1"/>
  <c r="AJ371" i="1"/>
  <c r="W387" i="1"/>
  <c r="CY380" i="1"/>
  <c r="X380" i="1" s="1"/>
  <c r="CZ380" i="1"/>
  <c r="Y380" i="1" s="1"/>
  <c r="AF387" i="1"/>
  <c r="AS451" i="1"/>
  <c r="F643" i="1"/>
  <c r="S887" i="1"/>
  <c r="S985" i="1"/>
  <c r="F915" i="1"/>
  <c r="CH887" i="1"/>
  <c r="AY900" i="1"/>
  <c r="T580" i="1"/>
  <c r="F617" i="1"/>
  <c r="T626" i="1"/>
  <c r="BA580" i="1"/>
  <c r="F616" i="1"/>
  <c r="BA626" i="1"/>
  <c r="AP18" i="1"/>
  <c r="F1056" i="1"/>
  <c r="I23" i="5" s="1"/>
  <c r="AH371" i="1"/>
  <c r="U387" i="1"/>
  <c r="F1022" i="1"/>
  <c r="AX879" i="1"/>
  <c r="AZ879" i="1"/>
  <c r="F1026" i="1"/>
  <c r="F922" i="1"/>
  <c r="U887" i="1"/>
  <c r="U985" i="1"/>
  <c r="AW900" i="1"/>
  <c r="CF887" i="1"/>
  <c r="Q887" i="1"/>
  <c r="F912" i="1"/>
  <c r="Q985" i="1"/>
  <c r="AL887" i="1"/>
  <c r="Y900" i="1"/>
  <c r="AT18" i="1"/>
  <c r="F1065" i="1"/>
  <c r="I22" i="5" s="1"/>
  <c r="AG371" i="1"/>
  <c r="T387" i="1"/>
  <c r="CF387" i="1"/>
  <c r="CE387" i="1"/>
  <c r="P387" i="1"/>
  <c r="CH387" i="1"/>
  <c r="AC371" i="1"/>
  <c r="AR72" i="1"/>
  <c r="F122" i="1"/>
  <c r="Q580" i="1"/>
  <c r="F608" i="1"/>
  <c r="Q626" i="1"/>
  <c r="GP379" i="1"/>
  <c r="AC580" i="1"/>
  <c r="CH596" i="1"/>
  <c r="P596" i="1"/>
  <c r="CE596" i="1"/>
  <c r="CF596" i="1"/>
  <c r="AD371" i="1"/>
  <c r="Q387" i="1"/>
  <c r="CE887" i="1"/>
  <c r="AV900" i="1"/>
  <c r="V580" i="1"/>
  <c r="F619" i="1"/>
  <c r="V626" i="1"/>
  <c r="GM380" i="1" l="1"/>
  <c r="CA387" i="1" s="1"/>
  <c r="R313" i="5"/>
  <c r="BA660" i="1"/>
  <c r="F833" i="1"/>
  <c r="F192" i="1"/>
  <c r="Q164" i="1"/>
  <c r="Q210" i="1"/>
  <c r="AB180" i="1"/>
  <c r="GP173" i="1"/>
  <c r="CD180" i="1" s="1"/>
  <c r="GM173" i="1"/>
  <c r="AL387" i="1"/>
  <c r="AL371" i="1" s="1"/>
  <c r="T313" i="5"/>
  <c r="F797" i="1"/>
  <c r="R813" i="1"/>
  <c r="R766" i="1"/>
  <c r="F204" i="1"/>
  <c r="W164" i="1"/>
  <c r="W210" i="1"/>
  <c r="AF164" i="1"/>
  <c r="S180" i="1"/>
  <c r="Y766" i="1"/>
  <c r="Y813" i="1"/>
  <c r="F810" i="1"/>
  <c r="AB766" i="1"/>
  <c r="O783" i="1"/>
  <c r="F834" i="1"/>
  <c r="T660" i="1"/>
  <c r="U660" i="1"/>
  <c r="F835" i="1"/>
  <c r="P766" i="1"/>
  <c r="P813" i="1"/>
  <c r="F786" i="1"/>
  <c r="S660" i="1"/>
  <c r="F828" i="1"/>
  <c r="K314" i="5"/>
  <c r="P314" i="5"/>
  <c r="AK180" i="1"/>
  <c r="R162" i="5"/>
  <c r="CA180" i="1"/>
  <c r="CF766" i="1"/>
  <c r="AW783" i="1"/>
  <c r="AK387" i="1"/>
  <c r="AE164" i="1"/>
  <c r="R180" i="1"/>
  <c r="BA210" i="1"/>
  <c r="F200" i="1"/>
  <c r="BA164" i="1"/>
  <c r="CA766" i="1"/>
  <c r="AR783" i="1"/>
  <c r="AL180" i="1"/>
  <c r="AY783" i="1"/>
  <c r="CH766" i="1"/>
  <c r="F203" i="1"/>
  <c r="V210" i="1"/>
  <c r="V164" i="1"/>
  <c r="F1032" i="1"/>
  <c r="E17" i="2" s="1"/>
  <c r="AS879" i="1"/>
  <c r="P163" i="5"/>
  <c r="K163" i="5"/>
  <c r="F201" i="1"/>
  <c r="T164" i="1"/>
  <c r="T210" i="1"/>
  <c r="F836" i="1"/>
  <c r="V660" i="1"/>
  <c r="U210" i="1"/>
  <c r="F202" i="1"/>
  <c r="U164" i="1"/>
  <c r="F837" i="1"/>
  <c r="W660" i="1"/>
  <c r="I561" i="5"/>
  <c r="I558" i="5"/>
  <c r="F825" i="1"/>
  <c r="Q660" i="1"/>
  <c r="AU783" i="1"/>
  <c r="CD766" i="1"/>
  <c r="X813" i="1"/>
  <c r="X766" i="1"/>
  <c r="F809" i="1"/>
  <c r="I622" i="5"/>
  <c r="AV783" i="1"/>
  <c r="CE766" i="1"/>
  <c r="AC164" i="1"/>
  <c r="P180" i="1"/>
  <c r="CH180" i="1"/>
  <c r="CF180" i="1"/>
  <c r="CE180" i="1"/>
  <c r="I693" i="5"/>
  <c r="CD887" i="1"/>
  <c r="AU900" i="1"/>
  <c r="CA371" i="1"/>
  <c r="AR387" i="1"/>
  <c r="CA580" i="1"/>
  <c r="AR596" i="1"/>
  <c r="CE580" i="1"/>
  <c r="AV596" i="1"/>
  <c r="AY887" i="1"/>
  <c r="F908" i="1"/>
  <c r="AY985" i="1"/>
  <c r="R580" i="1"/>
  <c r="F610" i="1"/>
  <c r="R626" i="1"/>
  <c r="CH580" i="1"/>
  <c r="AY596" i="1"/>
  <c r="F906" i="1"/>
  <c r="AW985" i="1"/>
  <c r="AW887" i="1"/>
  <c r="F407" i="1"/>
  <c r="BA371" i="1"/>
  <c r="BA417" i="1"/>
  <c r="CD580" i="1"/>
  <c r="AU596" i="1"/>
  <c r="O580" i="1"/>
  <c r="F598" i="1"/>
  <c r="O626" i="1"/>
  <c r="U451" i="1"/>
  <c r="F648" i="1"/>
  <c r="W451" i="1"/>
  <c r="F650" i="1"/>
  <c r="GP380" i="1"/>
  <c r="CD387" i="1" s="1"/>
  <c r="F926" i="1"/>
  <c r="X985" i="1"/>
  <c r="X887" i="1"/>
  <c r="Y887" i="1"/>
  <c r="F927" i="1"/>
  <c r="Y985" i="1"/>
  <c r="CA887" i="1"/>
  <c r="AR900" i="1"/>
  <c r="V451" i="1"/>
  <c r="F649" i="1"/>
  <c r="CH371" i="1"/>
  <c r="AY387" i="1"/>
  <c r="T371" i="1"/>
  <c r="F408" i="1"/>
  <c r="T417" i="1"/>
  <c r="Q883" i="1"/>
  <c r="Q1015" i="1"/>
  <c r="F997" i="1"/>
  <c r="U883" i="1"/>
  <c r="U1015" i="1"/>
  <c r="F1007" i="1"/>
  <c r="BA451" i="1"/>
  <c r="F646" i="1"/>
  <c r="Q371" i="1"/>
  <c r="F399" i="1"/>
  <c r="Q417" i="1"/>
  <c r="CF580" i="1"/>
  <c r="AW596" i="1"/>
  <c r="P371" i="1"/>
  <c r="F390" i="1"/>
  <c r="P417" i="1"/>
  <c r="F1000" i="1"/>
  <c r="S883" i="1"/>
  <c r="S1015" i="1"/>
  <c r="W371" i="1"/>
  <c r="F411" i="1"/>
  <c r="W417" i="1"/>
  <c r="O900" i="1"/>
  <c r="AB887" i="1"/>
  <c r="F988" i="1"/>
  <c r="P1015" i="1"/>
  <c r="P883" i="1"/>
  <c r="V371" i="1"/>
  <c r="F410" i="1"/>
  <c r="V417" i="1"/>
  <c r="X580" i="1"/>
  <c r="F622" i="1"/>
  <c r="X626" i="1"/>
  <c r="CE371" i="1"/>
  <c r="AV387" i="1"/>
  <c r="AF371" i="1"/>
  <c r="S387" i="1"/>
  <c r="AS22" i="1"/>
  <c r="F862" i="1"/>
  <c r="E16" i="2" s="1"/>
  <c r="AS1047" i="1"/>
  <c r="S451" i="1"/>
  <c r="F641" i="1"/>
  <c r="T1015" i="1"/>
  <c r="F1006" i="1"/>
  <c r="T883" i="1"/>
  <c r="AK371" i="1"/>
  <c r="X387" i="1"/>
  <c r="Y580" i="1"/>
  <c r="F623" i="1"/>
  <c r="Y626" i="1"/>
  <c r="AV887" i="1"/>
  <c r="AV985" i="1"/>
  <c r="F905" i="1"/>
  <c r="P580" i="1"/>
  <c r="F599" i="1"/>
  <c r="P626" i="1"/>
  <c r="Q451" i="1"/>
  <c r="F638" i="1"/>
  <c r="AW387" i="1"/>
  <c r="CF371" i="1"/>
  <c r="F409" i="1"/>
  <c r="U371" i="1"/>
  <c r="U417" i="1"/>
  <c r="T451" i="1"/>
  <c r="F647" i="1"/>
  <c r="AB371" i="1"/>
  <c r="O387" i="1"/>
  <c r="W883" i="1"/>
  <c r="F1009" i="1"/>
  <c r="W1015" i="1"/>
  <c r="V883" i="1"/>
  <c r="F1008" i="1"/>
  <c r="V1015" i="1"/>
  <c r="BA883" i="1"/>
  <c r="F1005" i="1"/>
  <c r="BA1015" i="1"/>
  <c r="R371" i="1"/>
  <c r="F401" i="1"/>
  <c r="R417" i="1"/>
  <c r="R887" i="1"/>
  <c r="F914" i="1"/>
  <c r="R985" i="1"/>
  <c r="CH164" i="1" l="1"/>
  <c r="AY180" i="1"/>
  <c r="AV766" i="1"/>
  <c r="AV813" i="1"/>
  <c r="F788" i="1"/>
  <c r="X660" i="1"/>
  <c r="F839" i="1"/>
  <c r="F194" i="1"/>
  <c r="R164" i="1"/>
  <c r="R210" i="1"/>
  <c r="I330" i="5"/>
  <c r="I327" i="5"/>
  <c r="F195" i="1"/>
  <c r="S164" i="1"/>
  <c r="S210" i="1"/>
  <c r="AB164" i="1"/>
  <c r="O180" i="1"/>
  <c r="CA164" i="1"/>
  <c r="AR180" i="1"/>
  <c r="Q26" i="1"/>
  <c r="F222" i="1"/>
  <c r="Y387" i="1"/>
  <c r="CE164" i="1"/>
  <c r="AV180" i="1"/>
  <c r="AU813" i="1"/>
  <c r="AU766" i="1"/>
  <c r="F802" i="1"/>
  <c r="T26" i="1"/>
  <c r="F231" i="1"/>
  <c r="I179" i="5"/>
  <c r="I698" i="5"/>
  <c r="I176" i="5"/>
  <c r="V26" i="1"/>
  <c r="F233" i="1"/>
  <c r="Y180" i="1"/>
  <c r="AL164" i="1"/>
  <c r="Y660" i="1"/>
  <c r="F840" i="1"/>
  <c r="F234" i="1"/>
  <c r="W26" i="1"/>
  <c r="R660" i="1"/>
  <c r="F827" i="1"/>
  <c r="P210" i="1"/>
  <c r="F183" i="1"/>
  <c r="P164" i="1"/>
  <c r="AY813" i="1"/>
  <c r="F791" i="1"/>
  <c r="AY766" i="1"/>
  <c r="P660" i="1"/>
  <c r="F816" i="1"/>
  <c r="AW180" i="1"/>
  <c r="CF164" i="1"/>
  <c r="U26" i="1"/>
  <c r="F232" i="1"/>
  <c r="AR766" i="1"/>
  <c r="AR813" i="1"/>
  <c r="F811" i="1"/>
  <c r="BA26" i="1"/>
  <c r="F230" i="1"/>
  <c r="AW813" i="1"/>
  <c r="F789" i="1"/>
  <c r="AW766" i="1"/>
  <c r="AK164" i="1"/>
  <c r="X180" i="1"/>
  <c r="O766" i="1"/>
  <c r="O813" i="1"/>
  <c r="F785" i="1"/>
  <c r="CD164" i="1"/>
  <c r="AU180" i="1"/>
  <c r="CD371" i="1"/>
  <c r="AU387" i="1"/>
  <c r="S879" i="1"/>
  <c r="F1030" i="1"/>
  <c r="J17" i="2" s="1"/>
  <c r="AW580" i="1"/>
  <c r="F602" i="1"/>
  <c r="AW626" i="1"/>
  <c r="U879" i="1"/>
  <c r="F1037" i="1"/>
  <c r="AY371" i="1"/>
  <c r="F395" i="1"/>
  <c r="AY417" i="1"/>
  <c r="O451" i="1"/>
  <c r="F628" i="1"/>
  <c r="AY1015" i="1"/>
  <c r="AY883" i="1"/>
  <c r="F993" i="1"/>
  <c r="AS18" i="1"/>
  <c r="F1064" i="1"/>
  <c r="I21" i="5" s="1"/>
  <c r="O887" i="1"/>
  <c r="F902" i="1"/>
  <c r="O985" i="1"/>
  <c r="R244" i="1"/>
  <c r="F431" i="1"/>
  <c r="Y371" i="1"/>
  <c r="F414" i="1"/>
  <c r="Y417" i="1"/>
  <c r="F393" i="1"/>
  <c r="AW371" i="1"/>
  <c r="AW417" i="1"/>
  <c r="F413" i="1"/>
  <c r="X371" i="1"/>
  <c r="X417" i="1"/>
  <c r="T879" i="1"/>
  <c r="F1036" i="1"/>
  <c r="E19" i="2"/>
  <c r="S371" i="1"/>
  <c r="F402" i="1"/>
  <c r="S417" i="1"/>
  <c r="AV371" i="1"/>
  <c r="F392" i="1"/>
  <c r="AV417" i="1"/>
  <c r="P879" i="1"/>
  <c r="F1018" i="1"/>
  <c r="W244" i="1"/>
  <c r="F441" i="1"/>
  <c r="W845" i="1"/>
  <c r="P244" i="1"/>
  <c r="F420" i="1"/>
  <c r="P845" i="1"/>
  <c r="T244" i="1"/>
  <c r="F438" i="1"/>
  <c r="T845" i="1"/>
  <c r="Y883" i="1"/>
  <c r="F1012" i="1"/>
  <c r="Y1015" i="1"/>
  <c r="X1015" i="1"/>
  <c r="X883" i="1"/>
  <c r="F1011" i="1"/>
  <c r="BA244" i="1"/>
  <c r="F437" i="1"/>
  <c r="BA845" i="1"/>
  <c r="AW883" i="1"/>
  <c r="F991" i="1"/>
  <c r="AW1015" i="1"/>
  <c r="R451" i="1"/>
  <c r="F640" i="1"/>
  <c r="AR580" i="1"/>
  <c r="F624" i="1"/>
  <c r="AR626" i="1"/>
  <c r="AU887" i="1"/>
  <c r="F919" i="1"/>
  <c r="AU985" i="1"/>
  <c r="AV883" i="1"/>
  <c r="F990" i="1"/>
  <c r="AV1015" i="1"/>
  <c r="R883" i="1"/>
  <c r="F999" i="1"/>
  <c r="R1015" i="1"/>
  <c r="F1039" i="1"/>
  <c r="W879" i="1"/>
  <c r="V244" i="1"/>
  <c r="F440" i="1"/>
  <c r="V845" i="1"/>
  <c r="Q244" i="1"/>
  <c r="F429" i="1"/>
  <c r="Q845" i="1"/>
  <c r="R845" i="1"/>
  <c r="BA879" i="1"/>
  <c r="F1035" i="1"/>
  <c r="P451" i="1"/>
  <c r="F629" i="1"/>
  <c r="Y451" i="1"/>
  <c r="F653" i="1"/>
  <c r="V879" i="1"/>
  <c r="F1038" i="1"/>
  <c r="F389" i="1"/>
  <c r="O371" i="1"/>
  <c r="O417" i="1"/>
  <c r="U244" i="1"/>
  <c r="F439" i="1"/>
  <c r="U845" i="1"/>
  <c r="X451" i="1"/>
  <c r="F652" i="1"/>
  <c r="Q879" i="1"/>
  <c r="F1027" i="1"/>
  <c r="AR887" i="1"/>
  <c r="F928" i="1"/>
  <c r="AR985" i="1"/>
  <c r="AU580" i="1"/>
  <c r="F615" i="1"/>
  <c r="AU626" i="1"/>
  <c r="AY580" i="1"/>
  <c r="F604" i="1"/>
  <c r="AY626" i="1"/>
  <c r="AV580" i="1"/>
  <c r="F601" i="1"/>
  <c r="AV626" i="1"/>
  <c r="AR371" i="1"/>
  <c r="F415" i="1"/>
  <c r="AR417" i="1"/>
  <c r="AW164" i="1" l="1"/>
  <c r="AW210" i="1"/>
  <c r="F186" i="1"/>
  <c r="F213" i="1"/>
  <c r="P26" i="1"/>
  <c r="F207" i="1"/>
  <c r="Y210" i="1"/>
  <c r="Y164" i="1"/>
  <c r="AV164" i="1"/>
  <c r="AV210" i="1"/>
  <c r="F185" i="1"/>
  <c r="F818" i="1"/>
  <c r="AV660" i="1"/>
  <c r="F821" i="1"/>
  <c r="AY660" i="1"/>
  <c r="S26" i="1"/>
  <c r="F225" i="1"/>
  <c r="F199" i="1"/>
  <c r="AU210" i="1"/>
  <c r="AU164" i="1"/>
  <c r="R26" i="1"/>
  <c r="F224" i="1"/>
  <c r="AY210" i="1"/>
  <c r="AY164" i="1"/>
  <c r="F188" i="1"/>
  <c r="O660" i="1"/>
  <c r="F815" i="1"/>
  <c r="AR210" i="1"/>
  <c r="AR164" i="1"/>
  <c r="F208" i="1"/>
  <c r="X164" i="1"/>
  <c r="X210" i="1"/>
  <c r="F206" i="1"/>
  <c r="F819" i="1"/>
  <c r="AW660" i="1"/>
  <c r="AR660" i="1"/>
  <c r="F841" i="1"/>
  <c r="F842" i="1" s="1"/>
  <c r="F832" i="1"/>
  <c r="AU660" i="1"/>
  <c r="F182" i="1"/>
  <c r="O164" i="1"/>
  <c r="O210" i="1"/>
  <c r="AR244" i="1"/>
  <c r="F445" i="1"/>
  <c r="AR883" i="1"/>
  <c r="F1013" i="1"/>
  <c r="AR1015" i="1"/>
  <c r="AU451" i="1"/>
  <c r="F645" i="1"/>
  <c r="AR845" i="1"/>
  <c r="Q22" i="1"/>
  <c r="F857" i="1"/>
  <c r="Q1047" i="1"/>
  <c r="AV879" i="1"/>
  <c r="F1020" i="1"/>
  <c r="Y879" i="1"/>
  <c r="F1042" i="1"/>
  <c r="S244" i="1"/>
  <c r="F432" i="1"/>
  <c r="S845" i="1"/>
  <c r="AY244" i="1"/>
  <c r="F425" i="1"/>
  <c r="AY451" i="1"/>
  <c r="F634" i="1"/>
  <c r="O244" i="1"/>
  <c r="F419" i="1"/>
  <c r="AV244" i="1"/>
  <c r="F422" i="1"/>
  <c r="AV845" i="1"/>
  <c r="Y244" i="1"/>
  <c r="F444" i="1"/>
  <c r="AY879" i="1"/>
  <c r="F1023" i="1"/>
  <c r="AW451" i="1"/>
  <c r="F632" i="1"/>
  <c r="AV451" i="1"/>
  <c r="F631" i="1"/>
  <c r="U22" i="1"/>
  <c r="F867" i="1"/>
  <c r="U1047" i="1"/>
  <c r="V22" i="1"/>
  <c r="F868" i="1"/>
  <c r="V1047" i="1"/>
  <c r="AR451" i="1"/>
  <c r="F654" i="1"/>
  <c r="BA22" i="1"/>
  <c r="F865" i="1"/>
  <c r="BA1047" i="1"/>
  <c r="P22" i="1"/>
  <c r="F848" i="1"/>
  <c r="P1047" i="1"/>
  <c r="O845" i="1"/>
  <c r="AW244" i="1"/>
  <c r="F423" i="1"/>
  <c r="AW845" i="1"/>
  <c r="O883" i="1"/>
  <c r="O1015" i="1"/>
  <c r="F987" i="1"/>
  <c r="AU371" i="1"/>
  <c r="F406" i="1"/>
  <c r="AU417" i="1"/>
  <c r="W22" i="1"/>
  <c r="F869" i="1"/>
  <c r="W1047" i="1"/>
  <c r="R22" i="1"/>
  <c r="F859" i="1"/>
  <c r="R1047" i="1"/>
  <c r="R879" i="1"/>
  <c r="F1029" i="1"/>
  <c r="F1004" i="1"/>
  <c r="AU1015" i="1"/>
  <c r="AU883" i="1"/>
  <c r="AW879" i="1"/>
  <c r="F1021" i="1"/>
  <c r="X879" i="1"/>
  <c r="F1041" i="1"/>
  <c r="T22" i="1"/>
  <c r="F866" i="1"/>
  <c r="T1047" i="1"/>
  <c r="X244" i="1"/>
  <c r="F443" i="1"/>
  <c r="X845" i="1"/>
  <c r="AY26" i="1" l="1"/>
  <c r="F218" i="1"/>
  <c r="AY845" i="1"/>
  <c r="AY22" i="1" s="1"/>
  <c r="X26" i="1"/>
  <c r="F236" i="1"/>
  <c r="F238" i="1"/>
  <c r="F239" i="1" s="1"/>
  <c r="AR26" i="1"/>
  <c r="F237" i="1"/>
  <c r="Y26" i="1"/>
  <c r="Y845" i="1"/>
  <c r="O26" i="1"/>
  <c r="F212" i="1"/>
  <c r="AV26" i="1"/>
  <c r="F215" i="1"/>
  <c r="AW26" i="1"/>
  <c r="F216" i="1"/>
  <c r="AU26" i="1"/>
  <c r="F229" i="1"/>
  <c r="F843" i="1"/>
  <c r="I564" i="5" s="1"/>
  <c r="I563" i="5"/>
  <c r="F655" i="1"/>
  <c r="X22" i="1"/>
  <c r="X1047" i="1"/>
  <c r="F871" i="1"/>
  <c r="S22" i="1"/>
  <c r="F860" i="1"/>
  <c r="J16" i="2" s="1"/>
  <c r="J19" i="2" s="1"/>
  <c r="S1047" i="1"/>
  <c r="F446" i="1"/>
  <c r="AU244" i="1"/>
  <c r="F436" i="1"/>
  <c r="AU845" i="1"/>
  <c r="W18" i="1"/>
  <c r="F1071" i="1"/>
  <c r="O22" i="1"/>
  <c r="O1047" i="1"/>
  <c r="F847" i="1"/>
  <c r="BA18" i="1"/>
  <c r="F1067" i="1"/>
  <c r="U18" i="1"/>
  <c r="F1069" i="1"/>
  <c r="AV22" i="1"/>
  <c r="F850" i="1"/>
  <c r="AV1047" i="1"/>
  <c r="AR22" i="1"/>
  <c r="F873" i="1"/>
  <c r="AR1047" i="1"/>
  <c r="F1017" i="1"/>
  <c r="O879" i="1"/>
  <c r="AR879" i="1"/>
  <c r="F1043" i="1"/>
  <c r="T18" i="1"/>
  <c r="F1068" i="1"/>
  <c r="AU879" i="1"/>
  <c r="F1034" i="1"/>
  <c r="H17" i="2" s="1"/>
  <c r="I17" i="2" s="1"/>
  <c r="R18" i="1"/>
  <c r="F1061" i="1"/>
  <c r="AW22" i="1"/>
  <c r="F851" i="1"/>
  <c r="AW1047" i="1"/>
  <c r="P18" i="1"/>
  <c r="F1050" i="1"/>
  <c r="V18" i="1"/>
  <c r="F1070" i="1"/>
  <c r="Y22" i="1"/>
  <c r="F872" i="1"/>
  <c r="Y1047" i="1"/>
  <c r="Q18" i="1"/>
  <c r="F1059" i="1"/>
  <c r="AY1047" i="1" l="1"/>
  <c r="F853" i="1"/>
  <c r="F240" i="1"/>
  <c r="I182" i="5" s="1"/>
  <c r="I181" i="5"/>
  <c r="F447" i="1"/>
  <c r="I333" i="5" s="1"/>
  <c r="I332" i="5"/>
  <c r="F656" i="1"/>
  <c r="I481" i="5" s="1"/>
  <c r="I480" i="5"/>
  <c r="AR18" i="1"/>
  <c r="F1075" i="1"/>
  <c r="S18" i="1"/>
  <c r="F1062" i="1"/>
  <c r="I25" i="5" s="1"/>
  <c r="X18" i="1"/>
  <c r="F1073" i="1"/>
  <c r="AV18" i="1"/>
  <c r="F1052" i="1"/>
  <c r="O18" i="1"/>
  <c r="F1049" i="1"/>
  <c r="F874" i="1"/>
  <c r="AW18" i="1"/>
  <c r="F1053" i="1"/>
  <c r="AU22" i="1"/>
  <c r="F864" i="1"/>
  <c r="H16" i="2" s="1"/>
  <c r="AU1047" i="1"/>
  <c r="Y18" i="1"/>
  <c r="F1074" i="1"/>
  <c r="F1044" i="1"/>
  <c r="AY18" i="1"/>
  <c r="F1055" i="1"/>
  <c r="F875" i="1" l="1"/>
  <c r="F1045" i="1"/>
  <c r="I696" i="5" s="1"/>
  <c r="I695" i="5"/>
  <c r="H19" i="2"/>
  <c r="I16" i="2"/>
  <c r="I19" i="2" s="1"/>
  <c r="F1076" i="1"/>
  <c r="I699" i="5" s="1"/>
  <c r="AU18" i="1"/>
  <c r="F1066" i="1"/>
  <c r="I24" i="5" s="1"/>
  <c r="F1077" i="1" l="1"/>
  <c r="I700" i="5" s="1"/>
  <c r="I20" i="5" l="1"/>
</calcChain>
</file>

<file path=xl/sharedStrings.xml><?xml version="1.0" encoding="utf-8"?>
<sst xmlns="http://schemas.openxmlformats.org/spreadsheetml/2006/main" count="12690" uniqueCount="642">
  <si>
    <t>Smeta.RU  (495) 974-1589</t>
  </si>
  <si>
    <t>_PS_</t>
  </si>
  <si>
    <t>Smeta.RU</t>
  </si>
  <si>
    <t/>
  </si>
  <si>
    <t>Новый объединенный объект</t>
  </si>
  <si>
    <t>Сметные нормы списания</t>
  </si>
  <si>
    <t>Коды ОКП для СН-2012 - 2020 г.</t>
  </si>
  <si>
    <t>СН-2012 - 2020 г_глава_1-5,7</t>
  </si>
  <si>
    <t>Типовой расчет для СН-2012 - 2020 г</t>
  </si>
  <si>
    <t>СН-2012-2020 г. База данных "Сборник стоимостных нормативов"</t>
  </si>
  <si>
    <t>Поправки для СН-2012-2020 в ценах на 01.10.2019 г доп.3</t>
  </si>
  <si>
    <t>Новая локальная смета</t>
  </si>
  <si>
    <t>Локальная смета</t>
  </si>
  <si>
    <t>В.В.Видяпин</t>
  </si>
  <si>
    <t>Руководитель ГПБУ "Мосприрода"</t>
  </si>
  <si>
    <t>Новый раздел</t>
  </si>
  <si>
    <t>ЛЗ "Тропаревский" - 339,5 кв.м кв. 23, выд. 128</t>
  </si>
  <si>
    <t>Новый подраздел</t>
  </si>
  <si>
    <t>Демонтаж</t>
  </si>
  <si>
    <t>1</t>
  </si>
  <si>
    <t>5.3-3204-1-1/1</t>
  </si>
  <si>
    <t>Разборка деревянных заборов инвентарных из готовых звеньев (демонтаж МАФ)</t>
  </si>
  <si>
    <t>100 м2</t>
  </si>
  <si>
    <t>СН-2012-2020.5. Доп.1. Сб.3-3204-1-1/1</t>
  </si>
  <si>
    <t>СН-2012</t>
  </si>
  <si>
    <t>Подрядные работы, гл. 1-5,7</t>
  </si>
  <si>
    <t>работа</t>
  </si>
  <si>
    <t>2</t>
  </si>
  <si>
    <t>1.50-3203-37-2/1</t>
  </si>
  <si>
    <t>Монтаж мелких конструкций из стали различного профиля массой до 50 кг (демонтаж)</t>
  </si>
  <si>
    <t>т</t>
  </si>
  <si>
    <t>СН-2012-2019.1. Доп.3. Сб.50-3203-37-2/1</t>
  </si>
  <si>
    <t>*0</t>
  </si>
  <si>
    <t>*0,2</t>
  </si>
  <si>
    <t>3</t>
  </si>
  <si>
    <t>1.50-3305-4-1/1</t>
  </si>
  <si>
    <t>Погрузка и выгрузка вручную строительного мусора на транспортные средства</t>
  </si>
  <si>
    <t>СН-2012-2020.1. Доп.1. Сб.50-3305-4-1/1</t>
  </si>
  <si>
    <t>4</t>
  </si>
  <si>
    <t>1.49-9201-1-2/1</t>
  </si>
  <si>
    <t>Перевозка строительного мусора автосамосвалами грузоподъемностью до 10 т на расстояние 1 км - при механизированной погрузке</t>
  </si>
  <si>
    <t>СН-2012-2020.1. Доп.1. Сб.49-9201-1-2/1</t>
  </si>
  <si>
    <t>Подрядные работы, гл. 1 перевозка мусора</t>
  </si>
  <si>
    <t>5</t>
  </si>
  <si>
    <t>1.49-9201-1-1/1</t>
  </si>
  <si>
    <t>Перевозка строительного мусора автосамосвалами грузоподъемностью до 10 т на расстояние 1 км - при погрузке вручную</t>
  </si>
  <si>
    <t>СН-2012-2020.1. Доп.1. Сб.49-9201-1-1/1</t>
  </si>
  <si>
    <t>6</t>
  </si>
  <si>
    <t>1.49-9201-1-3/1</t>
  </si>
  <si>
    <t>Перевозка строительного мусора автосамосвалами грузоподъемностью до 10 т - добавляется на каждый последующий 1 км до 100 км</t>
  </si>
  <si>
    <t>СН-2012-2020.1. Доп.1. Сб.49-9201-1-3/1</t>
  </si>
  <si>
    <t>*25</t>
  </si>
  <si>
    <t>7</t>
  </si>
  <si>
    <t>21.25-0-1</t>
  </si>
  <si>
    <t>Содержание свалки отходов строительства и сноса</t>
  </si>
  <si>
    <t>СН-2012-2020.21. Доп.1. Р.25, поз.1</t>
  </si>
  <si>
    <t>ПЗ</t>
  </si>
  <si>
    <t>Прямые затраты</t>
  </si>
  <si>
    <t>СтМатОб</t>
  </si>
  <si>
    <t>Стоимость материальных ресурсов (всего)</t>
  </si>
  <si>
    <t>СтМатОбЗак</t>
  </si>
  <si>
    <t>Стоимость материалов и оборудования заказчика</t>
  </si>
  <si>
    <t>СтМатОбПод</t>
  </si>
  <si>
    <t>Стоимость материалов и оборудования подрядчика</t>
  </si>
  <si>
    <t>СтМат</t>
  </si>
  <si>
    <t>Стоимость материалов (всего)</t>
  </si>
  <si>
    <t>СтМатЗак</t>
  </si>
  <si>
    <t>Стоимость материалов заказчика</t>
  </si>
  <si>
    <t>СтМатПод</t>
  </si>
  <si>
    <t>Стоимость материалов подрядчика</t>
  </si>
  <si>
    <t>Оборуд</t>
  </si>
  <si>
    <t>Стоимость оборудования (всего)</t>
  </si>
  <si>
    <t>ОборудЗак</t>
  </si>
  <si>
    <t>Стоимость оборудования заказчика</t>
  </si>
  <si>
    <t>ОборудПод</t>
  </si>
  <si>
    <t>Стоимость оборудования подрядчика</t>
  </si>
  <si>
    <t>ЭММ</t>
  </si>
  <si>
    <t>Эксплуатация машин</t>
  </si>
  <si>
    <t>ЭММсНРиСП</t>
  </si>
  <si>
    <t>Эксплуатация машин по ТСН-2001.16</t>
  </si>
  <si>
    <t>ЗПМ</t>
  </si>
  <si>
    <t>ЗП машинистов</t>
  </si>
  <si>
    <t>ОЗП</t>
  </si>
  <si>
    <t>Основная ЗП рабочих</t>
  </si>
  <si>
    <t>ОЗПсНРиСП</t>
  </si>
  <si>
    <t>Основная ЗП рабочих по ТСН-2001.16</t>
  </si>
  <si>
    <t>Строит</t>
  </si>
  <si>
    <t>Строительные работы с НР и СП</t>
  </si>
  <si>
    <t>Монтаж</t>
  </si>
  <si>
    <t>Монтажные работы с НР и СП</t>
  </si>
  <si>
    <t>Прочие</t>
  </si>
  <si>
    <t>Прочие работы с НР и СП</t>
  </si>
  <si>
    <t>ПрочиеЗатр</t>
  </si>
  <si>
    <t>Прочие затраты по ТСН-2001.16</t>
  </si>
  <si>
    <t>ВозврМат</t>
  </si>
  <si>
    <t>Возврат материалов</t>
  </si>
  <si>
    <t>ТрудСтр</t>
  </si>
  <si>
    <t>Трудозатраты строителей</t>
  </si>
  <si>
    <t>ТрудМаш</t>
  </si>
  <si>
    <t>Трудозатраты машинистов</t>
  </si>
  <si>
    <t>ТранспМат</t>
  </si>
  <si>
    <t>Транспорт материалов</t>
  </si>
  <si>
    <t>Перевозка</t>
  </si>
  <si>
    <t>Перевозка грузов</t>
  </si>
  <si>
    <t>НР</t>
  </si>
  <si>
    <t>Накладные расходы</t>
  </si>
  <si>
    <t>СмПриб</t>
  </si>
  <si>
    <t>Сметная прибыль</t>
  </si>
  <si>
    <t>Всего</t>
  </si>
  <si>
    <t>Всего с НР и СП</t>
  </si>
  <si>
    <t>Установка оборудования для выгула собак</t>
  </si>
  <si>
    <t>8</t>
  </si>
  <si>
    <t>1.50-3203-37-3/1</t>
  </si>
  <si>
    <t>Монтаж мелких конструкций из стали различного профиля массой до 100 кг (прим. монтаж МАФ)</t>
  </si>
  <si>
    <t>СН-2012-2020.1. Доп.1. Сб.50-3203-37-3/1</t>
  </si>
  <si>
    <t>9</t>
  </si>
  <si>
    <t>2.1-3203-8-1/1</t>
  </si>
  <si>
    <t>Установка дорожных знаков на металлических стойках (без стоимости щита дорожного знака)</t>
  </si>
  <si>
    <t>100 шт.</t>
  </si>
  <si>
    <t>СН-2012-2020.2. Доп.1. Сб.1-3203-8-1/1</t>
  </si>
  <si>
    <t>9,1</t>
  </si>
  <si>
    <t>5216100000</t>
  </si>
  <si>
    <t>Щитки металлические</t>
  </si>
  <si>
    <t>шт.</t>
  </si>
  <si>
    <t>9,2</t>
  </si>
  <si>
    <t>21.7-13-35</t>
  </si>
  <si>
    <t>Стойки из оцинкованной стали, диаметр 76 мм, длина 3 м</t>
  </si>
  <si>
    <t>СН-2012-2020.21. Доп.1. Р.7, о.13, поз.35</t>
  </si>
  <si>
    <t>10</t>
  </si>
  <si>
    <t>Цена поставщика</t>
  </si>
  <si>
    <t>Материалы</t>
  </si>
  <si>
    <t>Материалы, изделия и конструкции</t>
  </si>
  <si>
    <t>11</t>
  </si>
  <si>
    <t>Установка дорожных знаков на металлических стойках (без стоимости щита дорожного знака)(установка информационного щита)</t>
  </si>
  <si>
    <t>СН-2012-2019.2. Доп.3. Сб.1-3203-8-1/1</t>
  </si>
  <si>
    <t>11,1</t>
  </si>
  <si>
    <t>Доска объявлений «Верона»</t>
  </si>
  <si>
    <t>11,2</t>
  </si>
  <si>
    <t>21.1-11-14</t>
  </si>
  <si>
    <t>Болты строительные с гайками оцинкованные (10х100мм)</t>
  </si>
  <si>
    <t>СН-2012-2019.21. Доп.3. Р.1, о.11, поз.14</t>
  </si>
  <si>
    <t>11,3</t>
  </si>
  <si>
    <t>СН-2012-2019.21. Доп.3. Р.7, о.13, поз.35</t>
  </si>
  <si>
    <t>12</t>
  </si>
  <si>
    <t>12,1</t>
  </si>
  <si>
    <t>12,2</t>
  </si>
  <si>
    <t>13</t>
  </si>
  <si>
    <t>5.3-3203-7-1/1</t>
  </si>
  <si>
    <t>Устройство ворот распашных с установкой металлических столбов (без стоимости металлических изделий полотен ворот, стоек опорных)</t>
  </si>
  <si>
    <t>СН-2012-2019.5. Доп.3. Сб.3-3203-7-1/1</t>
  </si>
  <si>
    <t>14</t>
  </si>
  <si>
    <t>Горка СП009 для собачьих площадок</t>
  </si>
  <si>
    <t>[35 237,67 / 1,2]</t>
  </si>
  <si>
    <t>0</t>
  </si>
  <si>
    <t>15</t>
  </si>
  <si>
    <t>Слалом СП016 для собачьих площадок</t>
  </si>
  <si>
    <t>[22 439,67 / 1,2]</t>
  </si>
  <si>
    <t>16</t>
  </si>
  <si>
    <t>Барьер 500 СП001 для собачьих площадок</t>
  </si>
  <si>
    <t>[20 460 / 1,2]</t>
  </si>
  <si>
    <t>17</t>
  </si>
  <si>
    <t>Барьер 1000 СП002 для собачьих площадок</t>
  </si>
  <si>
    <t>[20 733,33 / 1,2]</t>
  </si>
  <si>
    <t>18</t>
  </si>
  <si>
    <t>Снаряд Покрышка СП013 для собачьих площадок</t>
  </si>
  <si>
    <t>[23 293,33 / 1,2]</t>
  </si>
  <si>
    <t>19</t>
  </si>
  <si>
    <t>Урна для собачьих площадок №1 УС1 Разноцветный</t>
  </si>
  <si>
    <t>[11 816,67 / 1,2]</t>
  </si>
  <si>
    <t>Установка ограждения</t>
  </si>
  <si>
    <t>20</t>
  </si>
  <si>
    <t>5.3-3203-16-2/1</t>
  </si>
  <si>
    <t>Установка металлических оград высотой 2-2,5 м на металлических стойках, при количестве стоек 38 шт./100 м</t>
  </si>
  <si>
    <t>100 м</t>
  </si>
  <si>
    <t>СН-2012-2020.5. Доп.1. Сб.3-3203-16-2/1</t>
  </si>
  <si>
    <t>21</t>
  </si>
  <si>
    <t>5.3-3202-2-2/1</t>
  </si>
  <si>
    <t>Ремонт металлических конструкций спортивных площадок: замена навесов калитки ограждения</t>
  </si>
  <si>
    <t>СН-2012-2020.5. Доп.1. Сб.3-3202-2-2/1</t>
  </si>
  <si>
    <t>22</t>
  </si>
  <si>
    <t>21.7-14-5</t>
  </si>
  <si>
    <t>Калитка металлическая с лаковым покрытием, размеры 1000х1500 мм (прим. калитка металическая решётчатая)</t>
  </si>
  <si>
    <t>СН-2012-2020.21. Доп.1. Р.7, о.14, поз.5</t>
  </si>
  <si>
    <t>Устройство покрытия</t>
  </si>
  <si>
    <t>23</t>
  </si>
  <si>
    <t>2.49-3101-4-2/1</t>
  </si>
  <si>
    <t>Разработка грунта с погрузкой на автомобили-самосвалы экскаваторами с ковшом вместимостью 0,25 м3, группа грунтов 1-3</t>
  </si>
  <si>
    <t>100 м3</t>
  </si>
  <si>
    <t>СН-2012-2020.2. Доп.1. Сб.49-3101-4-2/1</t>
  </si>
  <si>
    <t>24</t>
  </si>
  <si>
    <t>2.49-3201-14-1/1</t>
  </si>
  <si>
    <t>Разработка грунта вручную в траншеях глубиной до 2 м без креплений с откосами, группа грунтов 1-3</t>
  </si>
  <si>
    <t>СН-2012-2020.2. Доп.1. Сб.49-3201-14-1/1</t>
  </si>
  <si>
    <t>25</t>
  </si>
  <si>
    <t>1.49-9101-7-1/1</t>
  </si>
  <si>
    <t>Механизированная погрузка строительного мусора в автомобили-самосвалы</t>
  </si>
  <si>
    <t>СН-2012-2020.1. Доп.1. Сб.49-9101-7-1/1</t>
  </si>
  <si>
    <t>26</t>
  </si>
  <si>
    <t>27</t>
  </si>
  <si>
    <t>28</t>
  </si>
  <si>
    <t>29</t>
  </si>
  <si>
    <t>*16</t>
  </si>
  <si>
    <t>30</t>
  </si>
  <si>
    <t>31</t>
  </si>
  <si>
    <t>2.49-3401-1-1/1</t>
  </si>
  <si>
    <t>Перевозка грунта автосамосвалами грузоподъемностью до 10 т на расстояние 1 км</t>
  </si>
  <si>
    <t>м3</t>
  </si>
  <si>
    <t>СН-2012-2018.2. Доп.2. Сб.49-3401-1-1/1</t>
  </si>
  <si>
    <t>32</t>
  </si>
  <si>
    <t>21.25-0-2</t>
  </si>
  <si>
    <t>Размещение грунтов, полученных в результате производства земляных работ, не используемых для обратной засыпки: грунты незамусоренные экологически чистые</t>
  </si>
  <si>
    <t>СН-2012-2019.21. Доп.3. Р.25, поз.2</t>
  </si>
  <si>
    <t>33</t>
  </si>
  <si>
    <t>2.49-3401-1-2/1</t>
  </si>
  <si>
    <t>Перевозка грунта автосамосвалами грузоподъемностью до 10 т - добавляется на каждый последующий 1 км до 100 км (к поз. 49-3401-1-1)</t>
  </si>
  <si>
    <t>СН-2012-2018.2. Доп.2. Сб.49-3401-1-2/1</t>
  </si>
  <si>
    <t>*40</t>
  </si>
  <si>
    <t>*28</t>
  </si>
  <si>
    <t>34</t>
  </si>
  <si>
    <t>2.1-3303-1-1/1</t>
  </si>
  <si>
    <t>Устройство подстилающих и выравнивающих слоев оснований из песка</t>
  </si>
  <si>
    <t>СН-2012-2020.2. Доп.1. Сб.1-3303-1-1/1</t>
  </si>
  <si>
    <t>35</t>
  </si>
  <si>
    <t>5.3-5202-2-1/1</t>
  </si>
  <si>
    <t>Устройство основания из песка толщиной 10 см для дорожек и площадок вручную</t>
  </si>
  <si>
    <t>м2</t>
  </si>
  <si>
    <t>СН-2012-2020.5. Доп.1. Сб.3-5202-2-1/1</t>
  </si>
  <si>
    <t>НДС</t>
  </si>
  <si>
    <t>НДС 20%</t>
  </si>
  <si>
    <t>Итого</t>
  </si>
  <si>
    <t>Итого с НДС</t>
  </si>
  <si>
    <t>ЛЗ "Тропаревский" - 270 кв.м. кв. 12, выд. 14</t>
  </si>
  <si>
    <t>36</t>
  </si>
  <si>
    <t>37</t>
  </si>
  <si>
    <t>38</t>
  </si>
  <si>
    <t>39</t>
  </si>
  <si>
    <t>40</t>
  </si>
  <si>
    <t>41</t>
  </si>
  <si>
    <t>42</t>
  </si>
  <si>
    <t>Монтаж мелких конструкций из стали различного профиля массой до 100 кг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</si>
  <si>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</si>
  <si>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</si>
  <si>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</si>
  <si>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</si>
  <si>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</si>
  <si>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</si>
  <si>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</si>
  <si>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</si>
  <si>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</si>
  <si>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</si>
  <si>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Ограждения площадки сеткой 3D со столбом (4 мм) h=3000 мм</t>
  </si>
  <si>
    <t>м.п.</t>
  </si>
  <si>
    <t>[8 000 / 1,2]</t>
  </si>
  <si>
    <t>53</t>
  </si>
  <si>
    <t>Калитка</t>
  </si>
  <si>
    <t>[51 400 / 1,2]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</si>
  <si>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</si>
  <si>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</si>
  <si>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</si>
  <si>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</si>
  <si>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</si>
  <si>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</si>
  <si>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</si>
  <si>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</si>
  <si>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</si>
  <si>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</si>
  <si>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</si>
  <si>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</si>
  <si>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</si>
  <si>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ЛЗ "Теплый Стан" - 171 кв.м (кв. 15, выд. 75)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</si>
  <si>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</si>
  <si>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</si>
  <si>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</si>
  <si>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</si>
  <si>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</si>
  <si>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</si>
  <si>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</si>
  <si>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</si>
  <si>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</si>
  <si>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</si>
  <si>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</si>
  <si>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</si>
  <si>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</si>
  <si>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</si>
  <si>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</si>
  <si>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</si>
  <si>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</si>
  <si>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</si>
  <si>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</si>
  <si>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</si>
  <si>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</si>
  <si>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</si>
  <si>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</si>
  <si>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</si>
  <si>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</si>
  <si>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</si>
  <si>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</si>
  <si>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</si>
  <si>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</si>
  <si>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</si>
  <si>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</si>
  <si>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</si>
  <si>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</si>
  <si>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ПК № 67 - 299,5 кв.м (кв. 18, выд. 32)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</si>
  <si>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</si>
  <si>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</si>
  <si>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</si>
  <si>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</si>
  <si>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</si>
  <si>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</si>
  <si>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</si>
  <si>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</si>
  <si>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</si>
  <si>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</si>
  <si>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</si>
  <si>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</si>
  <si>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</si>
  <si>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</si>
  <si>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Ремонт экотроп (ЛЗ "Тропаревский" - 2,77 км (деревянные настилы - 4080 кв.м,деревянные перила - 315 кв.м, деревянная лестница - 208 кв.м) с демонтажем и монтажем МАФ</t>
  </si>
  <si>
    <t>Деревянный настил</t>
  </si>
  <si>
    <t>Демонтажные работы</t>
  </si>
  <si>
    <t>1.50-3205-12-1/1</t>
  </si>
  <si>
    <t>Устройство деревянных настилов, ходов, переходов, мостиков (демонтаж)</t>
  </si>
  <si>
    <t>СН-2012-2020.1. Доп.1. Сб.50-3205-12-1/1</t>
  </si>
  <si>
    <t>Разборка деревянных заборов инвентарных из готовых звеньев</t>
  </si>
  <si>
    <t>1.10-3404-1-2/1</t>
  </si>
  <si>
    <t>Разборка лаг из досок и брусков</t>
  </si>
  <si>
    <t>СН-2012-2020.1. Доп.1. Сб.10-3404-1-2/1</t>
  </si>
  <si>
    <t>*24</t>
  </si>
  <si>
    <t>СН-2012-2019.1. Доп.3. Сб.50-3205-12-1/1</t>
  </si>
  <si>
    <t>Монтажные работы</t>
  </si>
  <si>
    <t>Разборка деревянных заборов инвентарных из готовых звеньев (прим. демонтаж МАФ)</t>
  </si>
  <si>
    <t>5.3-3203-1-2/1</t>
  </si>
  <si>
    <t>Устройство деревянных заборов инвентарных из готовых звеньев (прим. монтаж   МАФ)</t>
  </si>
  <si>
    <t>СН-2012-2020.5. Доп.1. Сб.3-3203-1-2/1</t>
  </si>
  <si>
    <t>1.10-3403-1-3/1</t>
  </si>
  <si>
    <t>Укладка лаг по плитам перекрытий</t>
  </si>
  <si>
    <t>СН-2012-2020.1. Доп.3. Сб.10-3403-1-3/1</t>
  </si>
  <si>
    <t>13,1</t>
  </si>
  <si>
    <t>21.9-12-55</t>
  </si>
  <si>
    <t>Лаги для полов, сечение (80-100)х40 мм, антисептированные, хвойных пород</t>
  </si>
  <si>
    <t>СН-2012-2020.21. Доп.3. Р.9, о.12, поз.55</t>
  </si>
  <si>
    <t>Обрезной брус из лиственницы 150х100 мм</t>
  </si>
  <si>
    <t>[16 496,67 / 1,2] +  2% Заг.скл</t>
  </si>
  <si>
    <t>Обрезной брус из лиственницы 100х100 мм</t>
  </si>
  <si>
    <t>Устройство деревянных настилов, ходов, переходов, мостиков</t>
  </si>
  <si>
    <t>16,1</t>
  </si>
  <si>
    <t>21.1-9-56</t>
  </si>
  <si>
    <t>Доски хвойных пород, обрезные, длина 2-6,5 м, сорт III, толщина 25-32 мм</t>
  </si>
  <si>
    <t>СН-2012-2020.21. Доп.1. Р.1, о.9, поз.56</t>
  </si>
  <si>
    <t>16,2</t>
  </si>
  <si>
    <t>21.9-12-3</t>
  </si>
  <si>
    <t>Доски из лиственницы для покрытия пола, со шпунтом и гребнем, антисептированные, толщина 35 мм</t>
  </si>
  <si>
    <t>СН-2012-2020.21. Доп.1. Р.9, о.12, поз.3</t>
  </si>
  <si>
    <t>Строганная доска из лиственницы 40х150 мм</t>
  </si>
  <si>
    <t>[23 116,6 / 1,2]</t>
  </si>
  <si>
    <t>5.3-3203-9-6/1</t>
  </si>
  <si>
    <t>Устройство заборов решетчатых при установленных столбах высотой до 1,2 м</t>
  </si>
  <si>
    <t>СН-2012-2020.5. Доп.1. Сб.3-3203-9-6/1</t>
  </si>
  <si>
    <t>1.13-3203-10-3/1</t>
  </si>
  <si>
    <t>Простая окраска колером масляным разбеленным по дереву полов</t>
  </si>
  <si>
    <t>СН-2012-2020.1. Доп.1. Сб.13-3203-10-3/1</t>
  </si>
  <si>
    <t>1.2-3103-36-1/1</t>
  </si>
  <si>
    <t>Устройство ростверков из брусьев по деревянным сваям (опорные балки продольные)</t>
  </si>
  <si>
    <t>СН-2012-2018.1. Доп.2. Сб.2-3103-36-1/1</t>
  </si>
  <si>
    <t>20,1</t>
  </si>
  <si>
    <t>21.1-9-16</t>
  </si>
  <si>
    <t>Брусья хвойных пород обрезные, длина 2-6,5 м, сорт I-II, толщина 130-150 мм</t>
  </si>
  <si>
    <t>СН-2012-2018.21. Доп.2. Р.1, о.9, поз.16</t>
  </si>
  <si>
    <t>20,2</t>
  </si>
  <si>
    <t>21.1-9-17</t>
  </si>
  <si>
    <t>Брусья хвойных пород обрезные, длина 2-6,5 м, сорт I-II, толщина 180 мм и более</t>
  </si>
  <si>
    <t>СН-2012-2019.21. Доп.3. Р.1, о.9, поз.17</t>
  </si>
  <si>
    <t>1.7-3103-4-2/1</t>
  </si>
  <si>
    <t>Укладка по фермам прогонов из брусьев (опорные балки поперечные)</t>
  </si>
  <si>
    <t>СН-2012-2018.1. Доп.2. Сб.7-3103-4-2/1</t>
  </si>
  <si>
    <t>21,1</t>
  </si>
  <si>
    <t>СН-2012-2018.21. Доп.2. Р.1, о.9, поз.17</t>
  </si>
  <si>
    <t>21,2</t>
  </si>
  <si>
    <t>21.1-9-9</t>
  </si>
  <si>
    <t>Бруски хвойных пород обрезные, длина 2-6,5 м, сорт I, толщина 50-60мм</t>
  </si>
  <si>
    <t>СН-2012-2018.21. Доп.2. Р.1, о.9, поз.9</t>
  </si>
  <si>
    <t>1.9-5302-2-1/1</t>
  </si>
  <si>
    <t>Установка вновь изготовленных деревянных лестниц и крылец</t>
  </si>
  <si>
    <t>м</t>
  </si>
  <si>
    <t>СН-2012-2019.1. Доп.3. Сб.9-5302-2-1/1</t>
  </si>
  <si>
    <t>1.7-3103-10-1/1</t>
  </si>
  <si>
    <t>Антисептирование водными растворами покрытий по фермам</t>
  </si>
  <si>
    <t>СН-2012-2019.1. Доп.3. Сб.7-3103-10-1/1</t>
  </si>
  <si>
    <t>Уровень цен на 01.10.2019 г</t>
  </si>
  <si>
    <t>_OBSM_</t>
  </si>
  <si>
    <t>9999990008</t>
  </si>
  <si>
    <t>Трудозатраты рабочих</t>
  </si>
  <si>
    <t>чел.-ч.</t>
  </si>
  <si>
    <t>22.1-30-30</t>
  </si>
  <si>
    <t>СН-2012-2020.22. Доп.1. п.1-30-30 (306301)</t>
  </si>
  <si>
    <t>Рубанки ручные электрические</t>
  </si>
  <si>
    <t>маш.-ч</t>
  </si>
  <si>
    <t>9999990001</t>
  </si>
  <si>
    <t>Масса мусора</t>
  </si>
  <si>
    <t>22.1-18-12</t>
  </si>
  <si>
    <t>СН-2012-2020.22. Доп.1. п.1-18-12 (184001)</t>
  </si>
  <si>
    <t>Автомобили-самосвалы, грузоподъемность до 7 т</t>
  </si>
  <si>
    <t>22.1-18-13</t>
  </si>
  <si>
    <t>СН-2012-2020.22. Доп.1. п.1-18-13 (184002)</t>
  </si>
  <si>
    <t>Автомобили-самосвалы, грузоподъемность до 10 т</t>
  </si>
  <si>
    <t>22.1-4-31</t>
  </si>
  <si>
    <t>СН-2012-2020.22. Доп.1. п.1-4-31 (042903)</t>
  </si>
  <si>
    <t>Лебедки электрические, грузоподъемность до 1,5 т</t>
  </si>
  <si>
    <t>21.1-11-21</t>
  </si>
  <si>
    <t>СН-2012-2020.21. Доп.1. Р.1, о.11, поз.21</t>
  </si>
  <si>
    <t>Болты строительные черные с гайками и шайбами (10х100мм)</t>
  </si>
  <si>
    <t>21.1-23-9</t>
  </si>
  <si>
    <t>СН-2012-2020.21. Доп.1. Р.1, о.23, поз.9</t>
  </si>
  <si>
    <t>Электроды, тип Э-42, 46, 50, диаметр 4 - 6 мм</t>
  </si>
  <si>
    <t>21.6-1-52</t>
  </si>
  <si>
    <t>СН-2012-2020.21. Доп.1. Р.6, о.1, поз.52</t>
  </si>
  <si>
    <t>Отдельные конструктивные элементы с преобладанием горячекатаных профилей, средняя масса сборочной единицы от 0,51 до 1,0 т</t>
  </si>
  <si>
    <t>22.1-9-1</t>
  </si>
  <si>
    <t>СН-2012-2020.22. Доп.1. п.1-9-1 (090101)</t>
  </si>
  <si>
    <t>Машины бурильно-крановые на базе трактора, глубина бурения до 5 м</t>
  </si>
  <si>
    <t>СН-2012-2020.21. Доп.1. Р.1, о.11, поз.14</t>
  </si>
  <si>
    <t>22.1-13-15</t>
  </si>
  <si>
    <t>СН-2012-2020.22. Доп.1. п.1-13-15 (136201)</t>
  </si>
  <si>
    <t>Аппараты сварочные</t>
  </si>
  <si>
    <t>22.1-30-19</t>
  </si>
  <si>
    <t>СН-2012-2020.22. Доп.1. п.1-30-19 (305001)</t>
  </si>
  <si>
    <t>Машины шлифовальные электрические</t>
  </si>
  <si>
    <t>22.1-6-52</t>
  </si>
  <si>
    <t>СН-2012-2020.22. Доп.1. п.1-6-52 (069402)</t>
  </si>
  <si>
    <t>Вибраторы глубинные</t>
  </si>
  <si>
    <t>22.1-9-2</t>
  </si>
  <si>
    <t>СН-2012-2020.22. Доп.1. п.1-9-2 (090201)</t>
  </si>
  <si>
    <t>Машины бурильно-крановые на базе автомобиля, глубина бурения до 5 м</t>
  </si>
  <si>
    <t>21.1-12-41</t>
  </si>
  <si>
    <t>СН-2012-2020.21. Доп.1. Р.1, о.12, поз.41</t>
  </si>
  <si>
    <t>Щебень из естественного камня для строительных работ, марка 1400, фракция 20-40 мм</t>
  </si>
  <si>
    <t>21.3-1-87</t>
  </si>
  <si>
    <t>СН-2012-2020.21. Доп.1. Р.3, о.1, поз.87</t>
  </si>
  <si>
    <t>Смеси бетонные, БСГ, тяжелого бетона на гранитном щебне, класс прочности: В25 (М350); П3, фракция 5-20, F150, W6</t>
  </si>
  <si>
    <t>21.7-9-7</t>
  </si>
  <si>
    <t>СН-2012-2020.21. Доп.1. Р.7, о.9, поз.7</t>
  </si>
  <si>
    <t>Секция ограждения металлического, решетчатого, из профиля квадратного, сечением 30х30 мм,  высота 2500 мм</t>
  </si>
  <si>
    <t>21.7-9-8</t>
  </si>
  <si>
    <t>СН-2012-2020.21. Доп.1. Р.7, о.9, поз.8</t>
  </si>
  <si>
    <t>Стойка ограждения металлического, из профиля квадратного, сечением 100х100 мм, длина 3600 мм</t>
  </si>
  <si>
    <t>22.1-13-10</t>
  </si>
  <si>
    <t>СН-2012-2020.22. Доп.1. п.1-13-10 (135201)</t>
  </si>
  <si>
    <t>Агрегаты сварочные однопостовые для ручной электродуговой сварки</t>
  </si>
  <si>
    <t>22.1-18-24</t>
  </si>
  <si>
    <t>СН-2012-2020.22. Доп.1. п.1-18-24 (183102)</t>
  </si>
  <si>
    <t>Автомобили полупассажирские типа ГАЗ, грузоподъемность до 2 т</t>
  </si>
  <si>
    <t>21.8-1-22</t>
  </si>
  <si>
    <t>СН-2012-2020.21. Доп.1. Р.8, о.1, поз.22</t>
  </si>
  <si>
    <t>Петля накладная с ходом на центрах, марка ПН 1-150 оксидированная</t>
  </si>
  <si>
    <t>22.1-1-19</t>
  </si>
  <si>
    <t>СН-2012-2020.22. Доп.1. п.1-1-19 (010302)</t>
  </si>
  <si>
    <t>Экскаваторы на пневмоколесном ходу гидравлические, объем ковша до 0,25 м3</t>
  </si>
  <si>
    <t>22.1-1-43</t>
  </si>
  <si>
    <t>СН-2012-2020.22. Доп.1. п.1-1-43 (012102)</t>
  </si>
  <si>
    <t>Бульдозеры гусеничные, мощность до 59 кВт (80 л.с.)</t>
  </si>
  <si>
    <t>22.1-1-5</t>
  </si>
  <si>
    <t>СН-2012-2020.22. Доп.1. п.1-1-5 (010109)</t>
  </si>
  <si>
    <t>Экскаваторы на гусеничном ходу гидравлические, объем ковша до 0,65 м3</t>
  </si>
  <si>
    <t>22.1-2-1</t>
  </si>
  <si>
    <t>СН-2012-2020.22. Доп.1. п.1-2-1 (020101)</t>
  </si>
  <si>
    <t>Тракторы на гусеничном ходу, мощность до 60 (81) кВт (л.с.)</t>
  </si>
  <si>
    <t>22.1-5-15</t>
  </si>
  <si>
    <t>СН-2012-2020.22. Доп.1. п.1-5-15 (050703)</t>
  </si>
  <si>
    <t>Катки прицепные пневмоколесные, масса до 50 т</t>
  </si>
  <si>
    <t>22.1-5-18</t>
  </si>
  <si>
    <t>СН-2012-2020.22. Доп.1. п.1-5-18 (050902)</t>
  </si>
  <si>
    <t>Поливомоечные машины, емкость цистерны более 5000 л</t>
  </si>
  <si>
    <t>22.1-5-48</t>
  </si>
  <si>
    <t>СН-2012-2020.22. Доп.1. п.1-5-48 (056003)</t>
  </si>
  <si>
    <t>Автогрейдеры, мощность 99-147 кВт (130-200 л.с.)</t>
  </si>
  <si>
    <t>22.1-5-7</t>
  </si>
  <si>
    <t>СН-2012-2020.22. Доп.1. п.1-5-7 (050301)</t>
  </si>
  <si>
    <t>Катки дорожные самоходные на пневмоколесном ходу, масса до 16 т</t>
  </si>
  <si>
    <t>21.1-12-10</t>
  </si>
  <si>
    <t>СН-2012-2020.21. Доп.1. Р.1, о.12, поз.10</t>
  </si>
  <si>
    <t>Песок для дорожных работ, рядовой</t>
  </si>
  <si>
    <t>21.1-25-13</t>
  </si>
  <si>
    <t>СН-2012-2020.21. Доп.1. Р.1, о.25, поз.13</t>
  </si>
  <si>
    <t>Вода</t>
  </si>
  <si>
    <t>22.1-5-17</t>
  </si>
  <si>
    <t>СН-2012-2020.22. Доп.1. п.1-5-17 (050901)</t>
  </si>
  <si>
    <t>Поливомоечные машины, емкость цистерны до 5000 л</t>
  </si>
  <si>
    <t>21.1-12-11</t>
  </si>
  <si>
    <t>СН-2012-2020.21. Доп.1. Р.1, о.12, поз.11</t>
  </si>
  <si>
    <t>Песок для строительных работ, рядовой</t>
  </si>
  <si>
    <t>21.1-11-46</t>
  </si>
  <si>
    <t>СН-2012-2020.21. Доп.1. Р.1, о.11, поз.46</t>
  </si>
  <si>
    <t>Гвозди строительные</t>
  </si>
  <si>
    <t>21.1-9-57</t>
  </si>
  <si>
    <t>СН-2012-2020.21. Доп.1. Р.1, о.9, поз.57</t>
  </si>
  <si>
    <t>Доски хвойных пород, обрезные, длина 2-6,5 м, сорт III, толщина 40-60 мм</t>
  </si>
  <si>
    <t>21.9-11-2</t>
  </si>
  <si>
    <t>СН-2012-2020.21. Доп.1. Р.9, о.11, поз.2</t>
  </si>
  <si>
    <t>Щиты деревянные для фундаментов, колонн, балок, перекрытий, стен, перегородок и других конструкций из досок, толщина 25 мм</t>
  </si>
  <si>
    <t>22.1-30-27</t>
  </si>
  <si>
    <t>СН-2012-2020.22. Доп.3. п.1-30-27 (306101)</t>
  </si>
  <si>
    <t>Пилы дисковые электрические для резки пиломатериалов</t>
  </si>
  <si>
    <t>СН-2012-2020.21. Доп.3. Р.1, о.11, поз.46</t>
  </si>
  <si>
    <t>21.1-3-48</t>
  </si>
  <si>
    <t>СН-2012-2020.21. Доп.3. Р.1, о.3, поз.48</t>
  </si>
  <si>
    <t>Материал рулонный кровельный, рубероид, марка РМ-350, с мелкой посыпкой</t>
  </si>
  <si>
    <t>21.1-8-1</t>
  </si>
  <si>
    <t>СН-2012-2020.21. Доп.3. Р.1, о.8, поз.1</t>
  </si>
  <si>
    <t>Антисептики: натрий фтористый</t>
  </si>
  <si>
    <t>22.1-30-102</t>
  </si>
  <si>
    <t>СН-2012-2020.22. Доп.1. п.1-30-102 (303704)</t>
  </si>
  <si>
    <t>Дрели электрические, двухскоростные, мощностью 600 Вт</t>
  </si>
  <si>
    <t>21.1-8-2</t>
  </si>
  <si>
    <t>СН-2012-2020.21. Доп.1. Р.1, о.8, поз.2</t>
  </si>
  <si>
    <t>Антисептики: паста антисептическая</t>
  </si>
  <si>
    <t>21.1-9-11</t>
  </si>
  <si>
    <t>СН-2012-2020.21. Доп.1. Р.1, о.9, поз.11</t>
  </si>
  <si>
    <t>Бруски хвойных пород обрезные, длина 2-6,5 м, сорт II, толщина 50-60 мм</t>
  </si>
  <si>
    <t>21.1-9-13</t>
  </si>
  <si>
    <t>СН-2012-2020.21. Доп.1. Р.1, о.9, поз.13</t>
  </si>
  <si>
    <t>Бруски хвойных пород обрезные, длина 2-6,5 м, сорт III, толщина 50-60 мм</t>
  </si>
  <si>
    <t>22.1-14-12</t>
  </si>
  <si>
    <t>СН-2012-2020.22. Доп.1. п.1-14-12 (148201)</t>
  </si>
  <si>
    <t>Краскопульты электрические</t>
  </si>
  <si>
    <t>21.1-25-407</t>
  </si>
  <si>
    <t>СН-2012-2020.21. Доп.1. Р.1, о.25, поз.407</t>
  </si>
  <si>
    <t>Шпатлевка масляно-клеевая универсальная</t>
  </si>
  <si>
    <t>21.1-6-47</t>
  </si>
  <si>
    <t>СН-2012-2020.21. Доп.1. Р.1, о.6, поз.47</t>
  </si>
  <si>
    <t>Краски масляные жидкотертые цветные (готовые к употреблению) для наружных и внутренних работ, марка МА-22</t>
  </si>
  <si>
    <t>21.1-6-90</t>
  </si>
  <si>
    <t>СН-2012-2020.21. Доп.1. Р.1, о.6, поз.90</t>
  </si>
  <si>
    <t>Олифа для окраски комбинированная "Оксоль"</t>
  </si>
  <si>
    <t>кг</t>
  </si>
  <si>
    <t>"УТВЕРЖДАЮ"</t>
  </si>
  <si>
    <t>Форма № 1а (глава 1-5)</t>
  </si>
  <si>
    <t>"_____"________________ 2020 г.</t>
  </si>
  <si>
    <t>(локальный сметный расчет)</t>
  </si>
  <si>
    <t>(наименование работ и затрат, наименование объекта)</t>
  </si>
  <si>
    <t>Сметная стоимость</t>
  </si>
  <si>
    <t>тыс.руб</t>
  </si>
  <si>
    <t>Строительные работы</t>
  </si>
  <si>
    <t>Оборудование</t>
  </si>
  <si>
    <t>Прочие работы</t>
  </si>
  <si>
    <t>Средства на оплату труда</t>
  </si>
  <si>
    <t>№№ п/п</t>
  </si>
  <si>
    <t>Шифр расценки и коды ресурсов</t>
  </si>
  <si>
    <t>Наименование работ и затрат</t>
  </si>
  <si>
    <t>Единица измерения</t>
  </si>
  <si>
    <t>Кол-во единиц</t>
  </si>
  <si>
    <t>Цена на ед. изм. руб.</t>
  </si>
  <si>
    <t>Попра-вочные коэфф.</t>
  </si>
  <si>
    <t>Коэфф. зимних удоро-жаний</t>
  </si>
  <si>
    <t>Коэфф. пересчета</t>
  </si>
  <si>
    <t>ВСЕГО затрат, руб.</t>
  </si>
  <si>
    <t>Справочно</t>
  </si>
  <si>
    <t>ЗТР, всего чел.-час</t>
  </si>
  <si>
    <t>Ст-ть ед. с начислен.</t>
  </si>
  <si>
    <t>Составлен(а) в уровне текущих (прогнозных) цен октябрь 2019 года</t>
  </si>
  <si>
    <t>ЗП</t>
  </si>
  <si>
    <t>ЭМ</t>
  </si>
  <si>
    <t>НР от ЗП</t>
  </si>
  <si>
    <t>%</t>
  </si>
  <si>
    <t>СП от ЗП</t>
  </si>
  <si>
    <t>ЗТР</t>
  </si>
  <si>
    <t>чел-ч</t>
  </si>
  <si>
    <t>в т.ч. ЗПМ</t>
  </si>
  <si>
    <t>НР и СП от ЗПМ</t>
  </si>
  <si>
    <r>
      <t>Горка СП009 для собачьих площадок</t>
    </r>
    <r>
      <rPr>
        <i/>
        <sz val="10"/>
        <rFont val="Arial"/>
        <family val="2"/>
        <charset val="204"/>
      </rPr>
      <t xml:space="preserve">
Базисная стоимость: 29 364,73 = [35 237,67 / 1,2]</t>
    </r>
  </si>
  <si>
    <r>
      <t>Слалом СП016 для собачьих площадок</t>
    </r>
    <r>
      <rPr>
        <i/>
        <sz val="10"/>
        <rFont val="Arial"/>
        <family val="2"/>
        <charset val="204"/>
      </rPr>
      <t xml:space="preserve">
Базисная стоимость: 18 699,73 = [22 439,67 / 1,2]</t>
    </r>
  </si>
  <si>
    <r>
      <t>Барьер 500 СП001 для собачьих площадок</t>
    </r>
    <r>
      <rPr>
        <i/>
        <sz val="10"/>
        <rFont val="Arial"/>
        <family val="2"/>
        <charset val="204"/>
      </rPr>
      <t xml:space="preserve">
Базисная стоимость: 17 050,00 = [20 460 / 1,2]</t>
    </r>
  </si>
  <si>
    <r>
      <t>Барьер 1000 СП002 для собачьих площадок</t>
    </r>
    <r>
      <rPr>
        <i/>
        <sz val="10"/>
        <rFont val="Arial"/>
        <family val="2"/>
        <charset val="204"/>
      </rPr>
      <t xml:space="preserve">
Базисная стоимость: 17 277,78 = [20 733,33 / 1,2]</t>
    </r>
  </si>
  <si>
    <r>
      <t>Снаряд Покрышка СП013 для собачьих площадок</t>
    </r>
    <r>
      <rPr>
        <i/>
        <sz val="10"/>
        <rFont val="Arial"/>
        <family val="2"/>
        <charset val="204"/>
      </rPr>
      <t xml:space="preserve">
Базисная стоимость: 19 411,11 = [23 293,33 / 1,2]</t>
    </r>
  </si>
  <si>
    <r>
      <t>Урна для собачьих площадок №1 УС1 Разноцветный</t>
    </r>
    <r>
      <rPr>
        <i/>
        <sz val="10"/>
        <rFont val="Arial"/>
        <family val="2"/>
        <charset val="204"/>
      </rPr>
      <t xml:space="preserve">
Базисная стоимость: 9 847,23 = [11 816,67 / 1,2]</t>
    </r>
  </si>
  <si>
    <t>МР</t>
  </si>
  <si>
    <r>
      <t>Обрезной брус из лиственницы 150х100 мм</t>
    </r>
    <r>
      <rPr>
        <i/>
        <sz val="10"/>
        <rFont val="Arial"/>
        <family val="2"/>
        <charset val="204"/>
      </rPr>
      <t xml:space="preserve">
Базисная стоимость: 14 022,17 = [16 496,67 / 1,2] +  2% Заг.скл</t>
    </r>
  </si>
  <si>
    <r>
      <t>Обрезной брус из лиственницы 100х100 мм</t>
    </r>
    <r>
      <rPr>
        <i/>
        <sz val="10"/>
        <rFont val="Arial"/>
        <family val="2"/>
        <charset val="204"/>
      </rPr>
      <t xml:space="preserve">
Базисная стоимость: 14 022,17 = [16 496,67 / 1,2] +  2% Заг.скл</t>
    </r>
  </si>
  <si>
    <r>
      <t>Строганная доска из лиственницы 40х150 мм</t>
    </r>
    <r>
      <rPr>
        <i/>
        <sz val="10"/>
        <rFont val="Arial"/>
        <family val="2"/>
        <charset val="204"/>
      </rPr>
      <t xml:space="preserve">
Базисная стоимость: 19 263,83 = [23 116,6 / 1,2]</t>
    </r>
  </si>
  <si>
    <t xml:space="preserve">Составил   </t>
  </si>
  <si>
    <t>[должность,подпись(инициалы,фамилия)]</t>
  </si>
  <si>
    <t xml:space="preserve">Проверил   </t>
  </si>
  <si>
    <t>№ п/п</t>
  </si>
  <si>
    <t>Количество</t>
  </si>
  <si>
    <t>Примечание</t>
  </si>
  <si>
    <t>Заказчик _________________</t>
  </si>
  <si>
    <t>Подрядчик _________________</t>
  </si>
  <si>
    <t>TYPE</t>
  </si>
  <si>
    <t>SOURCE_LINK</t>
  </si>
  <si>
    <t>RABMAT_EX</t>
  </si>
  <si>
    <t>TIP_RAB</t>
  </si>
  <si>
    <t>TYPE_TRUD</t>
  </si>
  <si>
    <t>TAB</t>
  </si>
  <si>
    <t>NAME</t>
  </si>
  <si>
    <t>EDIZM</t>
  </si>
  <si>
    <t>KOLL</t>
  </si>
  <si>
    <t>UCH</t>
  </si>
  <si>
    <t>PRICE_B</t>
  </si>
  <si>
    <t>PRICE_ED</t>
  </si>
  <si>
    <t>STOIM_B</t>
  </si>
  <si>
    <t>PRICE_C</t>
  </si>
  <si>
    <t>STOIM_C</t>
  </si>
  <si>
    <t>ZPM_B</t>
  </si>
  <si>
    <t>ZPM_ED</t>
  </si>
  <si>
    <t>STOIM_ZPM_B</t>
  </si>
  <si>
    <t>ZPM_C</t>
  </si>
  <si>
    <t>STOIM_ZPM_C</t>
  </si>
  <si>
    <t>CRC_GR_RES</t>
  </si>
  <si>
    <t>CRC_B</t>
  </si>
  <si>
    <t>CRC_C</t>
  </si>
  <si>
    <t>RABMAT</t>
  </si>
  <si>
    <t>BuildingFinished</t>
  </si>
  <si>
    <t>Trud</t>
  </si>
  <si>
    <t>Mash</t>
  </si>
  <si>
    <t>Mat</t>
  </si>
  <si>
    <t>MatZak</t>
  </si>
  <si>
    <t>Oborud</t>
  </si>
  <si>
    <t>OborudZak</t>
  </si>
  <si>
    <t>ZeroStoim</t>
  </si>
  <si>
    <t>NegativeKoll</t>
  </si>
  <si>
    <t>ReUnionKollResurcy</t>
  </si>
  <si>
    <t>UnionOneUchRes</t>
  </si>
  <si>
    <t>IdLevel</t>
  </si>
  <si>
    <t>Ресурсная ведомость на</t>
  </si>
  <si>
    <t>Обоснование</t>
  </si>
  <si>
    <t>Наименование</t>
  </si>
  <si>
    <t>Объем</t>
  </si>
  <si>
    <t>Базовая</t>
  </si>
  <si>
    <t>цена</t>
  </si>
  <si>
    <t>стоимость</t>
  </si>
  <si>
    <t xml:space="preserve">Машины и механизмы </t>
  </si>
  <si>
    <t xml:space="preserve">Итого машины и механизмы </t>
  </si>
  <si>
    <t xml:space="preserve">Материальные ресурсы </t>
  </si>
  <si>
    <t xml:space="preserve">Итого материальные ресурсы </t>
  </si>
  <si>
    <t>Локальная смета: Ремонт экотроп (ЛЗ "Тропаревский" - 2,77 км (деревянные настилы - 4080 кв.м,деревянные перила - 315 кв.м, деревянная лестница - 208 кв.м) с демонтажем и монтажем МАФ</t>
  </si>
  <si>
    <t>Руководитель</t>
  </si>
  <si>
    <t>ГПБУ "Мосприрода"</t>
  </si>
  <si>
    <t>______________В.В.Видяпин</t>
  </si>
  <si>
    <t>Ремонт экотроп и обустройство площадок для выгула домашних животных на территории Дирекции природных территорий "Тропарево" и "Теплый Стан"</t>
  </si>
  <si>
    <t xml:space="preserve">Ведомость объемов работ  </t>
  </si>
  <si>
    <t>Ремонт экотроп ЛЗ "Тропаревский - 2,77 км (деревянные настилы - 4080 кв.м, деревянные перила - 315 кв.м, деревянная лестница - 208 кв.м) с демантожом и монтажом МАФ.</t>
  </si>
  <si>
    <t>Итого по смете: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</si>
</sst>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mmmm"/>
    <numFmt numFmtId="165" formatCode="#,##0.00####;[Red]\-\ #,##0.00####"/>
    <numFmt numFmtId="166" formatCode="#,##0.00;[Red]\-\ #,##0.00"/>
  </numFmts>
  <fonts count="19" x14ac:knownFonts="1">
    <font>
      <sz val="10"/>
      <name val="Arial"/>
      <charset val="204"/>
    </font>
    <font>
      <b/>
      <sz val="10"/>
      <color indexed="12"/>
      <name val="Arial"/>
      <charset val="204"/>
    </font>
    <font>
      <b/>
      <sz val="10"/>
      <color indexed="16"/>
      <name val="Arial"/>
      <charset val="204"/>
    </font>
    <font>
      <b/>
      <sz val="10"/>
      <color indexed="20"/>
      <name val="Arial"/>
      <charset val="204"/>
    </font>
    <font>
      <b/>
      <sz val="10"/>
      <color indexed="17"/>
      <name val="Arial"/>
      <charset val="204"/>
    </font>
    <font>
      <sz val="10"/>
      <color indexed="12"/>
      <name val="Arial"/>
      <charset val="204"/>
    </font>
    <font>
      <sz val="10"/>
      <color indexed="14"/>
      <name val="Arial"/>
      <charset val="204"/>
    </font>
    <font>
      <b/>
      <sz val="10"/>
      <color indexed="14"/>
      <name val="Arial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b/>
      <sz val="13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i/>
      <sz val="11"/>
      <name val="Arial"/>
      <family val="2"/>
      <charset val="204"/>
    </font>
    <font>
      <sz val="13"/>
      <name val="Arial"/>
      <family val="2"/>
      <charset val="204"/>
    </font>
    <font>
      <b/>
      <sz val="11"/>
      <name val="Arial"/>
      <family val="2"/>
      <charset val="204"/>
    </font>
    <font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0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 applyAlignment="1">
      <alignment horizontal="right"/>
    </xf>
    <xf numFmtId="0" fontId="10" fillId="0" borderId="0" xfId="0" applyFont="1"/>
    <xf numFmtId="164" fontId="10" fillId="0" borderId="0" xfId="0" applyNumberFormat="1" applyFont="1"/>
    <xf numFmtId="1" fontId="10" fillId="0" borderId="0" xfId="0" applyNumberFormat="1" applyFont="1"/>
    <xf numFmtId="0" fontId="15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15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165" fontId="10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0" fontId="8" fillId="0" borderId="0" xfId="0" applyFont="1" applyAlignment="1">
      <alignment wrapText="1"/>
    </xf>
    <xf numFmtId="166" fontId="0" fillId="0" borderId="0" xfId="0" applyNumberFormat="1"/>
    <xf numFmtId="0" fontId="0" fillId="0" borderId="6" xfId="0" applyBorder="1"/>
    <xf numFmtId="166" fontId="17" fillId="0" borderId="6" xfId="0" applyNumberFormat="1" applyFont="1" applyBorder="1" applyAlignment="1">
      <alignment horizontal="right"/>
    </xf>
    <xf numFmtId="166" fontId="15" fillId="0" borderId="0" xfId="0" applyNumberFormat="1" applyFont="1" applyAlignment="1">
      <alignment horizontal="right"/>
    </xf>
    <xf numFmtId="0" fontId="17" fillId="0" borderId="0" xfId="0" applyFont="1"/>
    <xf numFmtId="0" fontId="11" fillId="0" borderId="0" xfId="0" applyFont="1" applyAlignment="1">
      <alignment horizontal="center" wrapText="1"/>
    </xf>
    <xf numFmtId="0" fontId="10" fillId="0" borderId="0" xfId="0" quotePrefix="1" applyFont="1" applyAlignment="1">
      <alignment horizontal="right" wrapText="1"/>
    </xf>
    <xf numFmtId="0" fontId="17" fillId="0" borderId="0" xfId="0" applyFont="1" applyAlignment="1">
      <alignment horizontal="left" wrapText="1"/>
    </xf>
    <xf numFmtId="0" fontId="10" fillId="0" borderId="1" xfId="0" applyFont="1" applyBorder="1"/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wrapText="1"/>
    </xf>
    <xf numFmtId="0" fontId="10" fillId="0" borderId="3" xfId="0" applyFont="1" applyBorder="1" applyAlignment="1">
      <alignment horizontal="right" wrapText="1"/>
    </xf>
    <xf numFmtId="0" fontId="10" fillId="0" borderId="3" xfId="0" applyFont="1" applyBorder="1" applyAlignment="1">
      <alignment horizontal="right"/>
    </xf>
    <xf numFmtId="0" fontId="10" fillId="0" borderId="2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wrapText="1"/>
    </xf>
    <xf numFmtId="0" fontId="10" fillId="0" borderId="2" xfId="0" applyFont="1" applyBorder="1" applyAlignment="1">
      <alignment horizontal="right" wrapText="1"/>
    </xf>
    <xf numFmtId="0" fontId="10" fillId="0" borderId="2" xfId="0" applyFont="1" applyBorder="1" applyAlignment="1">
      <alignment horizontal="right"/>
    </xf>
    <xf numFmtId="0" fontId="11" fillId="0" borderId="5" xfId="0" applyFont="1" applyBorder="1" applyAlignment="1">
      <alignment horizontal="center" wrapText="1"/>
    </xf>
    <xf numFmtId="49" fontId="10" fillId="0" borderId="3" xfId="0" applyNumberFormat="1" applyFont="1" applyBorder="1" applyAlignment="1">
      <alignment horizontal="left" vertical="top" wrapText="1"/>
    </xf>
    <xf numFmtId="166" fontId="10" fillId="0" borderId="3" xfId="0" applyNumberFormat="1" applyFont="1" applyBorder="1" applyAlignment="1">
      <alignment horizontal="right" wrapText="1"/>
    </xf>
    <xf numFmtId="0" fontId="11" fillId="0" borderId="3" xfId="0" quotePrefix="1" applyFont="1" applyBorder="1" applyAlignment="1">
      <alignment horizontal="center" vertical="center" wrapText="1"/>
    </xf>
    <xf numFmtId="0" fontId="11" fillId="0" borderId="0" xfId="0" applyFont="1" applyFill="1" applyAlignment="1"/>
    <xf numFmtId="0" fontId="10" fillId="0" borderId="0" xfId="0" applyFont="1" applyFill="1"/>
    <xf numFmtId="0" fontId="10" fillId="0" borderId="0" xfId="0" applyFont="1" applyFill="1" applyAlignment="1"/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 applyFill="1" applyBorder="1" applyAlignment="1">
      <alignment wrapText="1"/>
    </xf>
    <xf numFmtId="0" fontId="0" fillId="0" borderId="0" xfId="0"/>
    <xf numFmtId="0" fontId="10" fillId="0" borderId="0" xfId="0" applyFont="1"/>
    <xf numFmtId="0" fontId="17" fillId="0" borderId="0" xfId="0" applyFont="1" applyBorder="1" applyAlignment="1">
      <alignment horizontal="right"/>
    </xf>
    <xf numFmtId="0" fontId="12" fillId="0" borderId="0" xfId="0" applyFont="1" applyAlignment="1"/>
    <xf numFmtId="0" fontId="17" fillId="0" borderId="0" xfId="0" applyFont="1" applyAlignment="1"/>
    <xf numFmtId="0" fontId="17" fillId="0" borderId="0" xfId="0" applyFont="1" applyBorder="1" applyAlignment="1">
      <alignment wrapText="1"/>
    </xf>
    <xf numFmtId="2" fontId="10" fillId="0" borderId="0" xfId="0" applyNumberFormat="1" applyFont="1" applyAlignment="1">
      <alignment horizontal="right"/>
    </xf>
    <xf numFmtId="2" fontId="10" fillId="0" borderId="2" xfId="0" applyNumberFormat="1" applyFont="1" applyBorder="1" applyAlignment="1">
      <alignment horizontal="right"/>
    </xf>
    <xf numFmtId="0" fontId="10" fillId="0" borderId="0" xfId="0" applyFont="1" applyAlignment="1">
      <alignment horizontal="right" vertical="center"/>
    </xf>
    <xf numFmtId="0" fontId="9" fillId="0" borderId="5" xfId="0" applyFont="1" applyBorder="1" applyAlignment="1">
      <alignment horizontal="center"/>
    </xf>
    <xf numFmtId="166" fontId="17" fillId="0" borderId="0" xfId="0" applyNumberFormat="1" applyFont="1" applyAlignment="1">
      <alignment horizontal="right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left" wrapText="1"/>
    </xf>
    <xf numFmtId="166" fontId="17" fillId="0" borderId="6" xfId="0" applyNumberFormat="1" applyFont="1" applyBorder="1" applyAlignment="1">
      <alignment horizontal="right"/>
    </xf>
    <xf numFmtId="0" fontId="11" fillId="0" borderId="0" xfId="0" applyFont="1" applyAlignment="1">
      <alignment horizontal="center" wrapText="1"/>
    </xf>
    <xf numFmtId="0" fontId="10" fillId="0" borderId="0" xfId="0" applyFont="1" applyAlignment="1">
      <alignment horizontal="left" wrapText="1"/>
    </xf>
    <xf numFmtId="166" fontId="10" fillId="0" borderId="0" xfId="0" applyNumberFormat="1" applyFont="1" applyAlignment="1">
      <alignment horizontal="right"/>
    </xf>
    <xf numFmtId="0" fontId="10" fillId="0" borderId="0" xfId="0" applyFont="1" applyFill="1" applyBorder="1" applyAlignment="1">
      <alignment horizontal="left" wrapText="1"/>
    </xf>
    <xf numFmtId="0" fontId="17" fillId="0" borderId="0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3" fillId="0" borderId="1" xfId="0" applyFont="1" applyFill="1" applyBorder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14" fillId="0" borderId="0" xfId="0" applyFont="1" applyFill="1" applyAlignment="1">
      <alignment horizontal="center" wrapText="1"/>
    </xf>
    <xf numFmtId="0" fontId="14" fillId="0" borderId="1" xfId="0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9" fillId="0" borderId="0" xfId="0" applyFont="1" applyAlignment="1">
      <alignment horizontal="center" wrapText="1"/>
    </xf>
    <xf numFmtId="0" fontId="0" fillId="0" borderId="0" xfId="0" applyAlignment="1"/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10" fillId="0" borderId="0" xfId="0" applyFont="1" applyFill="1" applyAlignment="1">
      <alignment horizontal="left"/>
    </xf>
    <xf numFmtId="0" fontId="17" fillId="0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Border="1" applyAlignment="1">
      <alignment horizontal="center" wrapText="1"/>
    </xf>
    <xf numFmtId="0" fontId="11" fillId="0" borderId="2" xfId="0" applyFont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7" fillId="2" borderId="0" xfId="0" applyFont="1" applyFill="1" applyAlignment="1">
      <alignment horizontal="center" wrapText="1"/>
    </xf>
    <xf numFmtId="0" fontId="17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right"/>
    </xf>
    <xf numFmtId="166" fontId="17" fillId="0" borderId="3" xfId="0" applyNumberFormat="1" applyFont="1" applyBorder="1" applyAlignment="1">
      <alignment horizontal="right"/>
    </xf>
    <xf numFmtId="0" fontId="11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0" fillId="2" borderId="0" xfId="0" applyFill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707"/>
  <sheetViews>
    <sheetView tabSelected="1" zoomScaleNormal="100" workbookViewId="0">
      <selection activeCell="N708" sqref="N708"/>
    </sheetView>
  </sheetViews>
  <sheetFormatPr defaultRowHeight="12.75" x14ac:dyDescent="0.2"/>
  <cols>
    <col min="1" max="1" width="5.7109375" customWidth="1"/>
    <col min="2" max="2" width="11.7109375" customWidth="1"/>
    <col min="3" max="3" width="40.7109375" customWidth="1"/>
    <col min="4" max="6" width="11.7109375" customWidth="1"/>
    <col min="7" max="7" width="12.7109375" customWidth="1"/>
    <col min="9" max="11" width="12.7109375" customWidth="1"/>
    <col min="15" max="30" width="0" hidden="1" customWidth="1"/>
    <col min="31" max="31" width="149.140625" hidden="1" customWidth="1"/>
    <col min="32" max="32" width="113.140625" hidden="1" customWidth="1"/>
    <col min="33" max="36" width="0" hidden="1" customWidth="1"/>
  </cols>
  <sheetData>
    <row r="1" spans="1:11" x14ac:dyDescent="0.2">
      <c r="A1" s="8" t="str">
        <f>CONCATENATE(Source!B1, "     СН-2012 (© ОАО МЦЦС 'Мосстройцены', ", "2020", ")")</f>
        <v>Smeta.RU  (495) 974-1589     СН-2012 (© ОАО МЦЦС 'Мосстройцены', 2020)</v>
      </c>
    </row>
    <row r="2" spans="1:11" ht="14.25" x14ac:dyDescent="0.2">
      <c r="A2" s="9"/>
      <c r="B2" s="9"/>
      <c r="C2" s="9"/>
      <c r="D2" s="9"/>
      <c r="E2" s="9"/>
      <c r="F2" s="9"/>
      <c r="G2" s="9"/>
      <c r="H2" s="9"/>
      <c r="I2" s="9"/>
      <c r="J2" s="79" t="s">
        <v>536</v>
      </c>
      <c r="K2" s="79"/>
    </row>
    <row r="3" spans="1:11" ht="16.5" x14ac:dyDescent="0.25">
      <c r="A3" s="46"/>
      <c r="B3" s="82"/>
      <c r="C3" s="82"/>
      <c r="D3" s="82"/>
      <c r="E3" s="82"/>
      <c r="F3" s="47"/>
      <c r="G3" s="83" t="s">
        <v>535</v>
      </c>
      <c r="H3" s="83"/>
      <c r="I3" s="83"/>
      <c r="J3" s="83"/>
      <c r="K3" s="83"/>
    </row>
    <row r="4" spans="1:11" ht="15" x14ac:dyDescent="0.25">
      <c r="A4" s="47"/>
      <c r="B4" s="84"/>
      <c r="C4" s="84"/>
      <c r="D4" s="84"/>
      <c r="E4" s="84"/>
      <c r="F4" s="47"/>
      <c r="G4" s="85" t="s">
        <v>635</v>
      </c>
      <c r="H4" s="85"/>
      <c r="I4" s="85"/>
      <c r="J4" s="85"/>
      <c r="K4" s="85"/>
    </row>
    <row r="5" spans="1:11" ht="15" x14ac:dyDescent="0.25">
      <c r="A5" s="48"/>
      <c r="B5" s="48"/>
      <c r="C5" s="49"/>
      <c r="D5" s="49"/>
      <c r="E5" s="49"/>
      <c r="F5" s="47"/>
      <c r="G5" s="85" t="s">
        <v>636</v>
      </c>
      <c r="H5" s="85"/>
      <c r="I5" s="85"/>
      <c r="J5" s="85"/>
      <c r="K5" s="85"/>
    </row>
    <row r="6" spans="1:11" ht="15" x14ac:dyDescent="0.25">
      <c r="A6" s="50"/>
      <c r="B6" s="84"/>
      <c r="C6" s="84"/>
      <c r="D6" s="84"/>
      <c r="E6" s="84"/>
      <c r="F6" s="47"/>
      <c r="G6" s="85" t="s">
        <v>637</v>
      </c>
      <c r="H6" s="85"/>
      <c r="I6" s="85"/>
      <c r="J6" s="85"/>
      <c r="K6" s="85"/>
    </row>
    <row r="7" spans="1:11" ht="14.25" customHeight="1" x14ac:dyDescent="0.25">
      <c r="A7" s="51"/>
      <c r="B7" s="69"/>
      <c r="C7" s="69"/>
      <c r="D7" s="69"/>
      <c r="E7" s="69"/>
      <c r="F7" s="47"/>
      <c r="G7" s="70" t="s">
        <v>537</v>
      </c>
      <c r="H7" s="70"/>
      <c r="I7" s="70"/>
      <c r="J7" s="70"/>
      <c r="K7" s="70"/>
    </row>
    <row r="9" spans="1:11" ht="14.25" x14ac:dyDescent="0.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</row>
    <row r="10" spans="1:11" ht="15.75" customHeight="1" x14ac:dyDescent="0.25">
      <c r="A10" s="71" t="s">
        <v>12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</row>
    <row r="11" spans="1:11" ht="12.75" customHeight="1" x14ac:dyDescent="0.2">
      <c r="A11" s="73" t="s">
        <v>538</v>
      </c>
      <c r="B11" s="73"/>
      <c r="C11" s="73"/>
      <c r="D11" s="73"/>
      <c r="E11" s="73"/>
      <c r="F11" s="73"/>
      <c r="G11" s="73"/>
      <c r="H11" s="73"/>
      <c r="I11" s="73"/>
      <c r="J11" s="73"/>
      <c r="K11" s="73"/>
    </row>
    <row r="12" spans="1:11" ht="14.25" x14ac:dyDescent="0.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</row>
    <row r="13" spans="1:11" ht="18" hidden="1" customHeight="1" x14ac:dyDescent="0.25">
      <c r="A13" s="74"/>
      <c r="B13" s="74"/>
      <c r="C13" s="74"/>
      <c r="D13" s="74"/>
      <c r="E13" s="74"/>
      <c r="F13" s="74"/>
      <c r="G13" s="74"/>
      <c r="H13" s="74"/>
      <c r="I13" s="74"/>
      <c r="J13" s="74"/>
      <c r="K13" s="74"/>
    </row>
    <row r="14" spans="1:11" ht="14.25" hidden="1" customHeight="1" x14ac:dyDescent="0.2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</row>
    <row r="15" spans="1:11" ht="37.5" customHeight="1" x14ac:dyDescent="0.25">
      <c r="A15" s="75" t="s">
        <v>638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</row>
    <row r="16" spans="1:11" x14ac:dyDescent="0.2">
      <c r="A16" s="80" t="s">
        <v>539</v>
      </c>
      <c r="B16" s="81"/>
      <c r="C16" s="81"/>
      <c r="D16" s="81"/>
      <c r="E16" s="81"/>
      <c r="F16" s="81"/>
      <c r="G16" s="81"/>
      <c r="H16" s="81"/>
      <c r="I16" s="81"/>
      <c r="J16" s="81"/>
      <c r="K16" s="81"/>
    </row>
    <row r="17" spans="1:11" ht="14.25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ht="14.25" x14ac:dyDescent="0.2">
      <c r="A18" s="67" t="str">
        <f>CONCATENATE( "Основание: чертежи № ", Source!J12)</f>
        <v xml:space="preserve">Основание: чертежи № </v>
      </c>
      <c r="B18" s="67"/>
      <c r="C18" s="67"/>
      <c r="D18" s="67"/>
      <c r="E18" s="67"/>
      <c r="F18" s="67"/>
      <c r="G18" s="67"/>
      <c r="H18" s="67"/>
      <c r="I18" s="67"/>
      <c r="J18" s="67"/>
      <c r="K18" s="67"/>
    </row>
    <row r="19" spans="1:11" ht="14.25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 ht="14.25" x14ac:dyDescent="0.2">
      <c r="A20" s="10"/>
      <c r="B20" s="10"/>
      <c r="C20" s="10"/>
      <c r="D20" s="10"/>
      <c r="E20" s="10"/>
      <c r="F20" s="78" t="s">
        <v>540</v>
      </c>
      <c r="G20" s="78"/>
      <c r="H20" s="78"/>
      <c r="I20" s="68">
        <f>(Source!F1077/1000)</f>
        <v>9923.0039399999987</v>
      </c>
      <c r="J20" s="79"/>
      <c r="K20" s="10" t="s">
        <v>541</v>
      </c>
    </row>
    <row r="21" spans="1:11" ht="14.25" hidden="1" x14ac:dyDescent="0.2">
      <c r="A21" s="10"/>
      <c r="B21" s="10"/>
      <c r="C21" s="10"/>
      <c r="D21" s="10"/>
      <c r="E21" s="10"/>
      <c r="F21" s="78" t="s">
        <v>542</v>
      </c>
      <c r="G21" s="78"/>
      <c r="H21" s="78"/>
      <c r="I21" s="68">
        <f>(Source!F1064)/1000</f>
        <v>3455.6922000000004</v>
      </c>
      <c r="J21" s="79"/>
      <c r="K21" s="10" t="s">
        <v>541</v>
      </c>
    </row>
    <row r="22" spans="1:11" ht="14.25" hidden="1" x14ac:dyDescent="0.2">
      <c r="A22" s="10"/>
      <c r="B22" s="10"/>
      <c r="C22" s="10"/>
      <c r="D22" s="10"/>
      <c r="E22" s="10"/>
      <c r="F22" s="78" t="s">
        <v>330</v>
      </c>
      <c r="G22" s="78"/>
      <c r="H22" s="78"/>
      <c r="I22" s="68">
        <f>(Source!F1065)/1000</f>
        <v>0</v>
      </c>
      <c r="J22" s="79"/>
      <c r="K22" s="10" t="s">
        <v>541</v>
      </c>
    </row>
    <row r="23" spans="1:11" ht="14.25" hidden="1" x14ac:dyDescent="0.2">
      <c r="A23" s="10"/>
      <c r="B23" s="10"/>
      <c r="C23" s="10"/>
      <c r="D23" s="10"/>
      <c r="E23" s="10"/>
      <c r="F23" s="78" t="s">
        <v>543</v>
      </c>
      <c r="G23" s="78"/>
      <c r="H23" s="78"/>
      <c r="I23" s="68">
        <f>(Source!F1056)/1000</f>
        <v>0</v>
      </c>
      <c r="J23" s="79"/>
      <c r="K23" s="10" t="s">
        <v>541</v>
      </c>
    </row>
    <row r="24" spans="1:11" ht="14.25" hidden="1" x14ac:dyDescent="0.2">
      <c r="A24" s="10"/>
      <c r="B24" s="10"/>
      <c r="C24" s="10"/>
      <c r="D24" s="10"/>
      <c r="E24" s="10"/>
      <c r="F24" s="78" t="s">
        <v>544</v>
      </c>
      <c r="G24" s="78"/>
      <c r="H24" s="78"/>
      <c r="I24" s="68">
        <f>(Source!F1066+Source!F1067)/1000</f>
        <v>4813.47775</v>
      </c>
      <c r="J24" s="79"/>
      <c r="K24" s="10" t="s">
        <v>541</v>
      </c>
    </row>
    <row r="25" spans="1:11" ht="14.25" x14ac:dyDescent="0.2">
      <c r="A25" s="10"/>
      <c r="B25" s="10"/>
      <c r="C25" s="10"/>
      <c r="D25" s="10"/>
      <c r="E25" s="10"/>
      <c r="F25" s="78" t="s">
        <v>545</v>
      </c>
      <c r="G25" s="78"/>
      <c r="H25" s="78"/>
      <c r="I25" s="68">
        <f>(Source!F1062+ Source!F1061)/1000</f>
        <v>679.89943999999991</v>
      </c>
      <c r="J25" s="79"/>
      <c r="K25" s="10" t="s">
        <v>541</v>
      </c>
    </row>
    <row r="26" spans="1:11" ht="14.25" x14ac:dyDescent="0.2">
      <c r="A26" s="10" t="s">
        <v>559</v>
      </c>
      <c r="B26" s="10"/>
      <c r="C26" s="10"/>
      <c r="D26" s="11"/>
      <c r="E26" s="12"/>
      <c r="F26" s="10"/>
      <c r="G26" s="10"/>
      <c r="H26" s="10"/>
      <c r="I26" s="10"/>
      <c r="J26" s="10"/>
      <c r="K26" s="10"/>
    </row>
    <row r="27" spans="1:11" ht="14.25" x14ac:dyDescent="0.2">
      <c r="A27" s="76" t="s">
        <v>546</v>
      </c>
      <c r="B27" s="76" t="s">
        <v>547</v>
      </c>
      <c r="C27" s="76" t="s">
        <v>548</v>
      </c>
      <c r="D27" s="76" t="s">
        <v>549</v>
      </c>
      <c r="E27" s="76" t="s">
        <v>550</v>
      </c>
      <c r="F27" s="76" t="s">
        <v>551</v>
      </c>
      <c r="G27" s="76" t="s">
        <v>552</v>
      </c>
      <c r="H27" s="76" t="s">
        <v>553</v>
      </c>
      <c r="I27" s="76" t="s">
        <v>554</v>
      </c>
      <c r="J27" s="76" t="s">
        <v>555</v>
      </c>
      <c r="K27" s="13" t="s">
        <v>556</v>
      </c>
    </row>
    <row r="28" spans="1:11" ht="28.5" x14ac:dyDescent="0.2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14" t="s">
        <v>557</v>
      </c>
    </row>
    <row r="29" spans="1:11" ht="28.5" x14ac:dyDescent="0.2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14" t="s">
        <v>558</v>
      </c>
    </row>
    <row r="30" spans="1:11" ht="14.25" x14ac:dyDescent="0.2">
      <c r="A30" s="14">
        <v>1</v>
      </c>
      <c r="B30" s="14">
        <v>2</v>
      </c>
      <c r="C30" s="14">
        <v>3</v>
      </c>
      <c r="D30" s="14">
        <v>4</v>
      </c>
      <c r="E30" s="14">
        <v>5</v>
      </c>
      <c r="F30" s="14">
        <v>6</v>
      </c>
      <c r="G30" s="14">
        <v>7</v>
      </c>
      <c r="H30" s="14">
        <v>8</v>
      </c>
      <c r="I30" s="14">
        <v>9</v>
      </c>
      <c r="J30" s="14">
        <v>10</v>
      </c>
      <c r="K30" s="14">
        <v>11</v>
      </c>
    </row>
    <row r="33" spans="1:22" ht="16.5" x14ac:dyDescent="0.25">
      <c r="A33" s="66" t="str">
        <f>CONCATENATE("Раздел: ",IF(Source!G24&lt;&gt;"Новый раздел", Source!G24, ""))</f>
        <v>Раздел: ЛЗ "Тропаревский" - 339,5 кв.м кв. 23, выд. 128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</row>
    <row r="35" spans="1:22" ht="16.5" x14ac:dyDescent="0.25">
      <c r="A35" s="66" t="str">
        <f>CONCATENATE("Подраздел: ",IF(Source!G28&lt;&gt;"Новый подраздел", Source!G28, ""))</f>
        <v>Подраздел: Демонтаж</v>
      </c>
      <c r="B35" s="66"/>
      <c r="C35" s="66"/>
      <c r="D35" s="66"/>
      <c r="E35" s="66"/>
      <c r="F35" s="66"/>
      <c r="G35" s="66"/>
      <c r="H35" s="66"/>
      <c r="I35" s="66"/>
      <c r="J35" s="66"/>
      <c r="K35" s="66"/>
    </row>
    <row r="36" spans="1:22" ht="42.75" x14ac:dyDescent="0.2">
      <c r="A36" s="15" t="str">
        <f>Source!E32</f>
        <v>1</v>
      </c>
      <c r="B36" s="16" t="str">
        <f>Source!F32</f>
        <v>5.3-3204-1-1/1</v>
      </c>
      <c r="C36" s="16" t="str">
        <f>Source!G32</f>
        <v>Разборка деревянных заборов инвентарных из готовых звеньев (демонтаж МАФ)</v>
      </c>
      <c r="D36" s="17" t="str">
        <f>Source!H32</f>
        <v>100 м2</v>
      </c>
      <c r="E36" s="9">
        <f>Source!I32</f>
        <v>0.105</v>
      </c>
      <c r="F36" s="19"/>
      <c r="G36" s="18"/>
      <c r="H36" s="9"/>
      <c r="I36" s="9"/>
      <c r="J36" s="20"/>
      <c r="K36" s="20"/>
      <c r="Q36">
        <f>ROUND((Source!BZ32/100)*ROUND((Source!AF32*Source!AV32)*Source!I32, 2), 2)</f>
        <v>196.22</v>
      </c>
      <c r="R36">
        <f>Source!X32</f>
        <v>196.22</v>
      </c>
      <c r="S36">
        <f>ROUND((Source!CA32/100)*ROUND((Source!AF32*Source!AV32)*Source!I32, 2), 2)</f>
        <v>28.03</v>
      </c>
      <c r="T36">
        <f>Source!Y32</f>
        <v>28.03</v>
      </c>
      <c r="U36">
        <f>ROUND((175/100)*ROUND((Source!AE32*Source!AV32)*Source!I32, 2), 2)</f>
        <v>0</v>
      </c>
      <c r="V36">
        <f>ROUND((108/100)*ROUND(Source!CS32*Source!I32, 2), 2)</f>
        <v>0</v>
      </c>
    </row>
    <row r="37" spans="1:22" x14ac:dyDescent="0.2">
      <c r="C37" s="21" t="str">
        <f>"Объем: "&amp;Source!I32&amp;"=((1*"&amp;"2)+"&amp;"(3+"&amp;"3+"&amp;"1)+"&amp;"(3*"&amp;"0,5))/"&amp;"100"</f>
        <v>Объем: 0,105=((1*2)+(3+3+1)+(3*0,5))/100</v>
      </c>
    </row>
    <row r="38" spans="1:22" ht="14.25" x14ac:dyDescent="0.2">
      <c r="A38" s="15"/>
      <c r="B38" s="16"/>
      <c r="C38" s="16" t="s">
        <v>560</v>
      </c>
      <c r="D38" s="17"/>
      <c r="E38" s="9"/>
      <c r="F38" s="19">
        <f>Source!AO32</f>
        <v>2669.58</v>
      </c>
      <c r="G38" s="18" t="str">
        <f>Source!DG32</f>
        <v/>
      </c>
      <c r="H38" s="9">
        <f>Source!AV32</f>
        <v>1</v>
      </c>
      <c r="I38" s="9">
        <f>IF(Source!BA32&lt;&gt; 0, Source!BA32, 1)</f>
        <v>1</v>
      </c>
      <c r="J38" s="20">
        <f>Source!S32</f>
        <v>280.31</v>
      </c>
      <c r="K38" s="20"/>
    </row>
    <row r="39" spans="1:22" ht="14.25" x14ac:dyDescent="0.2">
      <c r="A39" s="15"/>
      <c r="B39" s="16"/>
      <c r="C39" s="16" t="s">
        <v>561</v>
      </c>
      <c r="D39" s="17"/>
      <c r="E39" s="9"/>
      <c r="F39" s="19">
        <f>Source!AM32</f>
        <v>0.06</v>
      </c>
      <c r="G39" s="18" t="str">
        <f>Source!DE32</f>
        <v/>
      </c>
      <c r="H39" s="9">
        <f>Source!AV32</f>
        <v>1</v>
      </c>
      <c r="I39" s="9">
        <f>IF(Source!BB32&lt;&gt; 0, Source!BB32, 1)</f>
        <v>1</v>
      </c>
      <c r="J39" s="20">
        <f>Source!Q32</f>
        <v>0.01</v>
      </c>
      <c r="K39" s="20"/>
    </row>
    <row r="40" spans="1:22" ht="14.25" x14ac:dyDescent="0.2">
      <c r="A40" s="15"/>
      <c r="B40" s="16"/>
      <c r="C40" s="16" t="s">
        <v>562</v>
      </c>
      <c r="D40" s="17" t="s">
        <v>563</v>
      </c>
      <c r="E40" s="9">
        <f>Source!AT32</f>
        <v>70</v>
      </c>
      <c r="F40" s="19"/>
      <c r="G40" s="18"/>
      <c r="H40" s="9"/>
      <c r="I40" s="9"/>
      <c r="J40" s="20">
        <f>SUM(R36:R39)</f>
        <v>196.22</v>
      </c>
      <c r="K40" s="20"/>
    </row>
    <row r="41" spans="1:22" ht="14.25" x14ac:dyDescent="0.2">
      <c r="A41" s="15"/>
      <c r="B41" s="16"/>
      <c r="C41" s="16" t="s">
        <v>564</v>
      </c>
      <c r="D41" s="17" t="s">
        <v>563</v>
      </c>
      <c r="E41" s="9">
        <f>Source!AU32</f>
        <v>10</v>
      </c>
      <c r="F41" s="19"/>
      <c r="G41" s="18"/>
      <c r="H41" s="9"/>
      <c r="I41" s="9"/>
      <c r="J41" s="20">
        <f>SUM(T36:T40)</f>
        <v>28.03</v>
      </c>
      <c r="K41" s="20"/>
    </row>
    <row r="42" spans="1:22" ht="14.25" x14ac:dyDescent="0.2">
      <c r="A42" s="15"/>
      <c r="B42" s="16"/>
      <c r="C42" s="16" t="s">
        <v>565</v>
      </c>
      <c r="D42" s="17" t="s">
        <v>566</v>
      </c>
      <c r="E42" s="9">
        <f>Source!AQ32</f>
        <v>15.15</v>
      </c>
      <c r="F42" s="19"/>
      <c r="G42" s="18" t="str">
        <f>Source!DI32</f>
        <v/>
      </c>
      <c r="H42" s="9">
        <f>Source!AV32</f>
        <v>1</v>
      </c>
      <c r="I42" s="9"/>
      <c r="J42" s="20"/>
      <c r="K42" s="20">
        <f>Source!U32</f>
        <v>1.5907499999999999</v>
      </c>
    </row>
    <row r="43" spans="1:22" ht="15" x14ac:dyDescent="0.25">
      <c r="A43" s="23"/>
      <c r="B43" s="23"/>
      <c r="C43" s="23"/>
      <c r="D43" s="23"/>
      <c r="E43" s="23"/>
      <c r="F43" s="23"/>
      <c r="G43" s="23"/>
      <c r="H43" s="23"/>
      <c r="I43" s="65">
        <f>J38+J39+J40+J41</f>
        <v>504.56999999999994</v>
      </c>
      <c r="J43" s="65"/>
      <c r="K43" s="24">
        <f>IF(Source!I32&lt;&gt;0, ROUND(I43/Source!I32, 2), 0)</f>
        <v>4805.43</v>
      </c>
      <c r="P43" s="22">
        <f>I43</f>
        <v>504.56999999999994</v>
      </c>
    </row>
    <row r="44" spans="1:22" ht="42.75" x14ac:dyDescent="0.2">
      <c r="A44" s="15" t="str">
        <f>Source!E34</f>
        <v>3</v>
      </c>
      <c r="B44" s="16" t="str">
        <f>Source!F34</f>
        <v>1.50-3305-4-1/1</v>
      </c>
      <c r="C44" s="16" t="str">
        <f>Source!G34</f>
        <v>Погрузка и выгрузка вручную строительного мусора на транспортные средства</v>
      </c>
      <c r="D44" s="17" t="str">
        <f>Source!H34</f>
        <v>т</v>
      </c>
      <c r="E44" s="9">
        <f>Source!I34</f>
        <v>6.8250000000000005E-2</v>
      </c>
      <c r="F44" s="19"/>
      <c r="G44" s="18"/>
      <c r="H44" s="9"/>
      <c r="I44" s="9"/>
      <c r="J44" s="20"/>
      <c r="K44" s="20"/>
      <c r="Q44">
        <f>ROUND((Source!BZ34/100)*ROUND((Source!AF34*Source!AV34)*Source!I34, 2), 2)</f>
        <v>5.72</v>
      </c>
      <c r="R44">
        <f>Source!X34</f>
        <v>5.72</v>
      </c>
      <c r="S44">
        <f>ROUND((Source!CA34/100)*ROUND((Source!AF34*Source!AV34)*Source!I34, 2), 2)</f>
        <v>0.82</v>
      </c>
      <c r="T44">
        <f>Source!Y34</f>
        <v>0.82</v>
      </c>
      <c r="U44">
        <f>ROUND((175/100)*ROUND((Source!AE34*Source!AV34)*Source!I34, 2), 2)</f>
        <v>0</v>
      </c>
      <c r="V44">
        <f>ROUND((108/100)*ROUND(Source!CS34*Source!I34, 2), 2)</f>
        <v>0</v>
      </c>
    </row>
    <row r="45" spans="1:22" ht="14.25" x14ac:dyDescent="0.2">
      <c r="A45" s="15"/>
      <c r="B45" s="16"/>
      <c r="C45" s="16" t="s">
        <v>560</v>
      </c>
      <c r="D45" s="17"/>
      <c r="E45" s="9"/>
      <c r="F45" s="19">
        <f>Source!AO34</f>
        <v>119.69</v>
      </c>
      <c r="G45" s="18" t="str">
        <f>Source!DG34</f>
        <v/>
      </c>
      <c r="H45" s="9">
        <f>Source!AV34</f>
        <v>1</v>
      </c>
      <c r="I45" s="9">
        <f>IF(Source!BA34&lt;&gt; 0, Source!BA34, 1)</f>
        <v>1</v>
      </c>
      <c r="J45" s="20">
        <f>Source!S34</f>
        <v>8.17</v>
      </c>
      <c r="K45" s="20"/>
    </row>
    <row r="46" spans="1:22" ht="14.25" x14ac:dyDescent="0.2">
      <c r="A46" s="15"/>
      <c r="B46" s="16"/>
      <c r="C46" s="16" t="s">
        <v>562</v>
      </c>
      <c r="D46" s="17" t="s">
        <v>563</v>
      </c>
      <c r="E46" s="9">
        <f>Source!AT34</f>
        <v>70</v>
      </c>
      <c r="F46" s="19"/>
      <c r="G46" s="18"/>
      <c r="H46" s="9"/>
      <c r="I46" s="9"/>
      <c r="J46" s="20">
        <f>SUM(R44:R45)</f>
        <v>5.72</v>
      </c>
      <c r="K46" s="20"/>
    </row>
    <row r="47" spans="1:22" ht="14.25" x14ac:dyDescent="0.2">
      <c r="A47" s="15"/>
      <c r="B47" s="16"/>
      <c r="C47" s="16" t="s">
        <v>564</v>
      </c>
      <c r="D47" s="17" t="s">
        <v>563</v>
      </c>
      <c r="E47" s="9">
        <f>Source!AU34</f>
        <v>10</v>
      </c>
      <c r="F47" s="19"/>
      <c r="G47" s="18"/>
      <c r="H47" s="9"/>
      <c r="I47" s="9"/>
      <c r="J47" s="20">
        <f>SUM(T44:T46)</f>
        <v>0.82</v>
      </c>
      <c r="K47" s="20"/>
    </row>
    <row r="48" spans="1:22" ht="14.25" x14ac:dyDescent="0.2">
      <c r="A48" s="15"/>
      <c r="B48" s="16"/>
      <c r="C48" s="16" t="s">
        <v>565</v>
      </c>
      <c r="D48" s="17" t="s">
        <v>566</v>
      </c>
      <c r="E48" s="9">
        <f>Source!AQ34</f>
        <v>1.02</v>
      </c>
      <c r="F48" s="19"/>
      <c r="G48" s="18" t="str">
        <f>Source!DI34</f>
        <v/>
      </c>
      <c r="H48" s="9">
        <f>Source!AV34</f>
        <v>1</v>
      </c>
      <c r="I48" s="9"/>
      <c r="J48" s="20"/>
      <c r="K48" s="20">
        <f>Source!U34</f>
        <v>6.961500000000001E-2</v>
      </c>
    </row>
    <row r="49" spans="1:22" ht="15" x14ac:dyDescent="0.25">
      <c r="A49" s="23"/>
      <c r="B49" s="23"/>
      <c r="C49" s="23"/>
      <c r="D49" s="23"/>
      <c r="E49" s="23"/>
      <c r="F49" s="23"/>
      <c r="G49" s="23"/>
      <c r="H49" s="23"/>
      <c r="I49" s="65">
        <f>J45+J46+J47</f>
        <v>14.71</v>
      </c>
      <c r="J49" s="65"/>
      <c r="K49" s="24">
        <f>IF(Source!I34&lt;&gt;0, ROUND(I49/Source!I34, 2), 0)</f>
        <v>215.53</v>
      </c>
      <c r="P49" s="22">
        <f>I49</f>
        <v>14.71</v>
      </c>
    </row>
    <row r="50" spans="1:22" ht="57" x14ac:dyDescent="0.2">
      <c r="A50" s="15" t="str">
        <f>Source!E36</f>
        <v>5</v>
      </c>
      <c r="B50" s="16" t="str">
        <f>Source!F36</f>
        <v>1.49-9201-1-1/1</v>
      </c>
      <c r="C50" s="16" t="str">
        <f>Source!G36</f>
        <v>Перевозка строительного мусора автосамосвалами грузоподъемностью до 10 т на расстояние 1 км - при погрузке вручную</v>
      </c>
      <c r="D50" s="17" t="str">
        <f>Source!H36</f>
        <v>т</v>
      </c>
      <c r="E50" s="9">
        <f>Source!I36</f>
        <v>6.8250000000000005E-2</v>
      </c>
      <c r="F50" s="19"/>
      <c r="G50" s="18"/>
      <c r="H50" s="9"/>
      <c r="I50" s="9"/>
      <c r="J50" s="20"/>
      <c r="K50" s="20"/>
      <c r="Q50">
        <f>ROUND((Source!BZ36/100)*ROUND((Source!AF36*Source!AV36)*Source!I36, 2), 2)</f>
        <v>0</v>
      </c>
      <c r="R50">
        <f>Source!X36</f>
        <v>0</v>
      </c>
      <c r="S50">
        <f>ROUND((Source!CA36/100)*ROUND((Source!AF36*Source!AV36)*Source!I36, 2), 2)</f>
        <v>0</v>
      </c>
      <c r="T50">
        <f>Source!Y36</f>
        <v>0</v>
      </c>
      <c r="U50">
        <f>ROUND((175/100)*ROUND((Source!AE36*Source!AV36)*Source!I36, 2), 2)</f>
        <v>12.69</v>
      </c>
      <c r="V50">
        <f>ROUND((108/100)*ROUND(Source!CS36*Source!I36, 2), 2)</f>
        <v>7.83</v>
      </c>
    </row>
    <row r="51" spans="1:22" ht="14.25" x14ac:dyDescent="0.2">
      <c r="A51" s="15"/>
      <c r="B51" s="16"/>
      <c r="C51" s="16" t="s">
        <v>561</v>
      </c>
      <c r="D51" s="17"/>
      <c r="E51" s="9"/>
      <c r="F51" s="19">
        <f>Source!AM36</f>
        <v>179.4</v>
      </c>
      <c r="G51" s="18" t="str">
        <f>Source!DE36</f>
        <v/>
      </c>
      <c r="H51" s="9">
        <f>Source!AV36</f>
        <v>1</v>
      </c>
      <c r="I51" s="9">
        <f>IF(Source!BB36&lt;&gt; 0, Source!BB36, 1)</f>
        <v>1</v>
      </c>
      <c r="J51" s="20">
        <f>Source!Q36</f>
        <v>12.24</v>
      </c>
      <c r="K51" s="20"/>
    </row>
    <row r="52" spans="1:22" ht="14.25" x14ac:dyDescent="0.2">
      <c r="A52" s="15"/>
      <c r="B52" s="16"/>
      <c r="C52" s="16" t="s">
        <v>567</v>
      </c>
      <c r="D52" s="17"/>
      <c r="E52" s="9"/>
      <c r="F52" s="19">
        <f>Source!AN36</f>
        <v>106.2</v>
      </c>
      <c r="G52" s="18" t="str">
        <f>Source!DF36</f>
        <v/>
      </c>
      <c r="H52" s="9">
        <f>Source!AV36</f>
        <v>1</v>
      </c>
      <c r="I52" s="9">
        <f>IF(Source!BS36&lt;&gt; 0, Source!BS36, 1)</f>
        <v>1</v>
      </c>
      <c r="J52" s="25">
        <f>Source!R36</f>
        <v>7.25</v>
      </c>
      <c r="K52" s="20"/>
    </row>
    <row r="53" spans="1:22" ht="15" x14ac:dyDescent="0.25">
      <c r="A53" s="23"/>
      <c r="B53" s="23"/>
      <c r="C53" s="23"/>
      <c r="D53" s="23"/>
      <c r="E53" s="23"/>
      <c r="F53" s="23"/>
      <c r="G53" s="23"/>
      <c r="H53" s="23"/>
      <c r="I53" s="65">
        <f>J51</f>
        <v>12.24</v>
      </c>
      <c r="J53" s="65"/>
      <c r="K53" s="24">
        <f>IF(Source!I36&lt;&gt;0, ROUND(I53/Source!I36, 2), 0)</f>
        <v>179.34</v>
      </c>
      <c r="P53" s="22">
        <f>I53</f>
        <v>12.24</v>
      </c>
    </row>
    <row r="54" spans="1:22" ht="57" x14ac:dyDescent="0.2">
      <c r="A54" s="15" t="str">
        <f>Source!E37</f>
        <v>6</v>
      </c>
      <c r="B54" s="16" t="str">
        <f>Source!F37</f>
        <v>1.49-9201-1-3/1</v>
      </c>
      <c r="C54" s="16" t="str">
        <f>Source!G37</f>
        <v>Перевозка строительного мусора автосамосвалами грузоподъемностью до 10 т - добавляется на каждый последующий 1 км до 100 км</v>
      </c>
      <c r="D54" s="17" t="str">
        <f>Source!H37</f>
        <v>т</v>
      </c>
      <c r="E54" s="9">
        <f>Source!I37</f>
        <v>6.8250000000000005E-2</v>
      </c>
      <c r="F54" s="19"/>
      <c r="G54" s="18"/>
      <c r="H54" s="9"/>
      <c r="I54" s="9"/>
      <c r="J54" s="20"/>
      <c r="K54" s="20"/>
      <c r="Q54">
        <f>ROUND((Source!BZ37/100)*ROUND((Source!AF37*Source!AV37)*Source!I37, 2), 2)</f>
        <v>0</v>
      </c>
      <c r="R54">
        <f>Source!X37</f>
        <v>0</v>
      </c>
      <c r="S54">
        <f>ROUND((Source!CA37/100)*ROUND((Source!AF37*Source!AV37)*Source!I37, 2), 2)</f>
        <v>0</v>
      </c>
      <c r="T54">
        <f>Source!Y37</f>
        <v>0</v>
      </c>
      <c r="U54">
        <f>ROUND((175/100)*ROUND((Source!AE37*Source!AV37)*Source!I37, 2), 2)</f>
        <v>52.38</v>
      </c>
      <c r="V54">
        <f>ROUND((108/100)*ROUND(Source!CS37*Source!I37, 2), 2)</f>
        <v>32.32</v>
      </c>
    </row>
    <row r="55" spans="1:22" ht="14.25" x14ac:dyDescent="0.2">
      <c r="A55" s="15"/>
      <c r="B55" s="16"/>
      <c r="C55" s="16" t="s">
        <v>561</v>
      </c>
      <c r="D55" s="17"/>
      <c r="E55" s="9"/>
      <c r="F55" s="19">
        <f>Source!AM37</f>
        <v>29.58</v>
      </c>
      <c r="G55" s="18" t="str">
        <f>Source!DE37</f>
        <v>*25</v>
      </c>
      <c r="H55" s="9">
        <f>Source!AV37</f>
        <v>1</v>
      </c>
      <c r="I55" s="9">
        <f>IF(Source!BB37&lt;&gt; 0, Source!BB37, 1)</f>
        <v>1</v>
      </c>
      <c r="J55" s="20">
        <f>Source!Q37</f>
        <v>50.47</v>
      </c>
      <c r="K55" s="20"/>
    </row>
    <row r="56" spans="1:22" ht="14.25" x14ac:dyDescent="0.2">
      <c r="A56" s="15"/>
      <c r="B56" s="16"/>
      <c r="C56" s="16" t="s">
        <v>567</v>
      </c>
      <c r="D56" s="17"/>
      <c r="E56" s="9"/>
      <c r="F56" s="19">
        <f>Source!AN37</f>
        <v>17.54</v>
      </c>
      <c r="G56" s="18" t="str">
        <f>Source!DF37</f>
        <v>*25</v>
      </c>
      <c r="H56" s="9">
        <f>Source!AV37</f>
        <v>1</v>
      </c>
      <c r="I56" s="9">
        <f>IF(Source!BS37&lt;&gt; 0, Source!BS37, 1)</f>
        <v>1</v>
      </c>
      <c r="J56" s="25">
        <f>Source!R37</f>
        <v>29.93</v>
      </c>
      <c r="K56" s="20"/>
    </row>
    <row r="57" spans="1:22" ht="15" x14ac:dyDescent="0.25">
      <c r="A57" s="23"/>
      <c r="B57" s="23"/>
      <c r="C57" s="23"/>
      <c r="D57" s="23"/>
      <c r="E57" s="23"/>
      <c r="F57" s="23"/>
      <c r="G57" s="23"/>
      <c r="H57" s="23"/>
      <c r="I57" s="65">
        <f>J55</f>
        <v>50.47</v>
      </c>
      <c r="J57" s="65"/>
      <c r="K57" s="24">
        <f>IF(Source!I37&lt;&gt;0, ROUND(I57/Source!I37, 2), 0)</f>
        <v>739.49</v>
      </c>
      <c r="P57" s="22">
        <f>I57</f>
        <v>50.47</v>
      </c>
    </row>
    <row r="58" spans="1:22" ht="28.5" x14ac:dyDescent="0.2">
      <c r="A58" s="15" t="str">
        <f>Source!E38</f>
        <v>7</v>
      </c>
      <c r="B58" s="16" t="str">
        <f>Source!F38</f>
        <v>21.25-0-1</v>
      </c>
      <c r="C58" s="16" t="str">
        <f>Source!G38</f>
        <v>Содержание свалки отходов строительства и сноса</v>
      </c>
      <c r="D58" s="17" t="str">
        <f>Source!H38</f>
        <v>т</v>
      </c>
      <c r="E58" s="9">
        <f>Source!I38</f>
        <v>6.8250000000000005E-2</v>
      </c>
      <c r="F58" s="19">
        <f>Source!AL38</f>
        <v>197.96</v>
      </c>
      <c r="G58" s="18" t="str">
        <f>Source!DD38</f>
        <v/>
      </c>
      <c r="H58" s="9">
        <f>Source!AW38</f>
        <v>1</v>
      </c>
      <c r="I58" s="9">
        <f>IF(Source!BC38&lt;&gt; 0, Source!BC38, 1)</f>
        <v>1</v>
      </c>
      <c r="J58" s="20">
        <f>Source!P38</f>
        <v>13.51</v>
      </c>
      <c r="K58" s="20"/>
      <c r="Q58">
        <f>ROUND((Source!BZ38/100)*ROUND((Source!AF38*Source!AV38)*Source!I38, 2), 2)</f>
        <v>0</v>
      </c>
      <c r="R58">
        <f>Source!X38</f>
        <v>0</v>
      </c>
      <c r="S58">
        <f>ROUND((Source!CA38/100)*ROUND((Source!AF38*Source!AV38)*Source!I38, 2), 2)</f>
        <v>0</v>
      </c>
      <c r="T58">
        <f>Source!Y38</f>
        <v>0</v>
      </c>
      <c r="U58">
        <f>ROUND((175/100)*ROUND((Source!AE38*Source!AV38)*Source!I38, 2), 2)</f>
        <v>0</v>
      </c>
      <c r="V58">
        <f>ROUND((108/100)*ROUND(Source!CS38*Source!I38, 2), 2)</f>
        <v>0</v>
      </c>
    </row>
    <row r="59" spans="1:22" ht="15" x14ac:dyDescent="0.25">
      <c r="A59" s="23"/>
      <c r="B59" s="23"/>
      <c r="C59" s="23"/>
      <c r="D59" s="23"/>
      <c r="E59" s="23"/>
      <c r="F59" s="23"/>
      <c r="G59" s="23"/>
      <c r="H59" s="23"/>
      <c r="I59" s="65">
        <f>J58</f>
        <v>13.51</v>
      </c>
      <c r="J59" s="65"/>
      <c r="K59" s="24">
        <f>IF(Source!I38&lt;&gt;0, ROUND(I59/Source!I38, 2), 0)</f>
        <v>197.95</v>
      </c>
      <c r="P59" s="22">
        <f>I59</f>
        <v>13.51</v>
      </c>
    </row>
    <row r="61" spans="1:22" ht="15" x14ac:dyDescent="0.25">
      <c r="A61" s="64" t="str">
        <f>CONCATENATE("Итого по подразделу: ",IF(Source!G40&lt;&gt;"Новый подраздел", Source!G40, ""))</f>
        <v>Итого по подразделу: Демонтаж</v>
      </c>
      <c r="B61" s="64"/>
      <c r="C61" s="64"/>
      <c r="D61" s="64"/>
      <c r="E61" s="64"/>
      <c r="F61" s="64"/>
      <c r="G61" s="64"/>
      <c r="H61" s="64"/>
      <c r="I61" s="62">
        <f>SUM(P35:P60)</f>
        <v>595.5</v>
      </c>
      <c r="J61" s="63"/>
      <c r="K61" s="26"/>
    </row>
    <row r="64" spans="1:22" ht="16.5" x14ac:dyDescent="0.25">
      <c r="A64" s="66" t="str">
        <f>CONCATENATE("Подраздел: ",IF(Source!G70&lt;&gt;"Новый подраздел", Source!G70, ""))</f>
        <v>Подраздел: Установка оборудования для выгула собак</v>
      </c>
      <c r="B64" s="66"/>
      <c r="C64" s="66"/>
      <c r="D64" s="66"/>
      <c r="E64" s="66"/>
      <c r="F64" s="66"/>
      <c r="G64" s="66"/>
      <c r="H64" s="66"/>
      <c r="I64" s="66"/>
      <c r="J64" s="66"/>
      <c r="K64" s="66"/>
    </row>
    <row r="65" spans="1:22" ht="42.75" x14ac:dyDescent="0.2">
      <c r="A65" s="15" t="str">
        <f>Source!E74</f>
        <v>8</v>
      </c>
      <c r="B65" s="16" t="str">
        <f>Source!F74</f>
        <v>1.50-3203-37-3/1</v>
      </c>
      <c r="C65" s="16" t="str">
        <f>Source!G74</f>
        <v>Монтаж мелких конструкций из стали различного профиля массой до 100 кг (прим. монтаж МАФ)</v>
      </c>
      <c r="D65" s="17" t="str">
        <f>Source!H74</f>
        <v>т</v>
      </c>
      <c r="E65" s="9">
        <f>Source!I74</f>
        <v>0.2</v>
      </c>
      <c r="F65" s="19"/>
      <c r="G65" s="18"/>
      <c r="H65" s="9"/>
      <c r="I65" s="9"/>
      <c r="J65" s="20"/>
      <c r="K65" s="20"/>
      <c r="Q65">
        <f>ROUND((Source!BZ74/100)*ROUND((Source!AF74*Source!AV74)*Source!I74, 2), 2)</f>
        <v>2998.67</v>
      </c>
      <c r="R65">
        <f>Source!X74</f>
        <v>2998.67</v>
      </c>
      <c r="S65">
        <f>ROUND((Source!CA74/100)*ROUND((Source!AF74*Source!AV74)*Source!I74, 2), 2)</f>
        <v>428.38</v>
      </c>
      <c r="T65">
        <f>Source!Y74</f>
        <v>428.38</v>
      </c>
      <c r="U65">
        <f>ROUND((175/100)*ROUND((Source!AE74*Source!AV74)*Source!I74, 2), 2)</f>
        <v>8.58</v>
      </c>
      <c r="V65">
        <f>ROUND((108/100)*ROUND(Source!CS74*Source!I74, 2), 2)</f>
        <v>5.29</v>
      </c>
    </row>
    <row r="66" spans="1:22" ht="14.25" x14ac:dyDescent="0.2">
      <c r="A66" s="15"/>
      <c r="B66" s="16"/>
      <c r="C66" s="16" t="s">
        <v>560</v>
      </c>
      <c r="D66" s="17"/>
      <c r="E66" s="9"/>
      <c r="F66" s="19">
        <f>Source!AO74</f>
        <v>21419.119999999999</v>
      </c>
      <c r="G66" s="18" t="str">
        <f>Source!DG74</f>
        <v/>
      </c>
      <c r="H66" s="9">
        <f>Source!AV74</f>
        <v>1</v>
      </c>
      <c r="I66" s="9">
        <f>IF(Source!BA74&lt;&gt; 0, Source!BA74, 1)</f>
        <v>1</v>
      </c>
      <c r="J66" s="20">
        <f>Source!S74</f>
        <v>4283.82</v>
      </c>
      <c r="K66" s="20"/>
    </row>
    <row r="67" spans="1:22" ht="14.25" x14ac:dyDescent="0.2">
      <c r="A67" s="15"/>
      <c r="B67" s="16"/>
      <c r="C67" s="16" t="s">
        <v>561</v>
      </c>
      <c r="D67" s="17"/>
      <c r="E67" s="9"/>
      <c r="F67" s="19">
        <f>Source!AM74</f>
        <v>589.19000000000005</v>
      </c>
      <c r="G67" s="18" t="str">
        <f>Source!DE74</f>
        <v/>
      </c>
      <c r="H67" s="9">
        <f>Source!AV74</f>
        <v>1</v>
      </c>
      <c r="I67" s="9">
        <f>IF(Source!BB74&lt;&gt; 0, Source!BB74, 1)</f>
        <v>1</v>
      </c>
      <c r="J67" s="20">
        <f>Source!Q74</f>
        <v>117.84</v>
      </c>
      <c r="K67" s="20"/>
    </row>
    <row r="68" spans="1:22" ht="14.25" x14ac:dyDescent="0.2">
      <c r="A68" s="15"/>
      <c r="B68" s="16"/>
      <c r="C68" s="16" t="s">
        <v>567</v>
      </c>
      <c r="D68" s="17"/>
      <c r="E68" s="9"/>
      <c r="F68" s="19">
        <f>Source!AN74</f>
        <v>24.51</v>
      </c>
      <c r="G68" s="18" t="str">
        <f>Source!DF74</f>
        <v/>
      </c>
      <c r="H68" s="9">
        <f>Source!AV74</f>
        <v>1</v>
      </c>
      <c r="I68" s="9">
        <f>IF(Source!BS74&lt;&gt; 0, Source!BS74, 1)</f>
        <v>1</v>
      </c>
      <c r="J68" s="25">
        <f>Source!R74</f>
        <v>4.9000000000000004</v>
      </c>
      <c r="K68" s="20"/>
    </row>
    <row r="69" spans="1:22" ht="14.25" x14ac:dyDescent="0.2">
      <c r="A69" s="15"/>
      <c r="B69" s="16"/>
      <c r="C69" s="16" t="s">
        <v>562</v>
      </c>
      <c r="D69" s="17" t="s">
        <v>563</v>
      </c>
      <c r="E69" s="9">
        <f>Source!AT74</f>
        <v>70</v>
      </c>
      <c r="F69" s="19"/>
      <c r="G69" s="18"/>
      <c r="H69" s="9"/>
      <c r="I69" s="9"/>
      <c r="J69" s="20">
        <f>SUM(R65:R68)</f>
        <v>2998.67</v>
      </c>
      <c r="K69" s="20"/>
    </row>
    <row r="70" spans="1:22" ht="14.25" x14ac:dyDescent="0.2">
      <c r="A70" s="15"/>
      <c r="B70" s="16"/>
      <c r="C70" s="16" t="s">
        <v>564</v>
      </c>
      <c r="D70" s="17" t="s">
        <v>563</v>
      </c>
      <c r="E70" s="9">
        <f>Source!AU74</f>
        <v>10</v>
      </c>
      <c r="F70" s="19"/>
      <c r="G70" s="18"/>
      <c r="H70" s="9"/>
      <c r="I70" s="9"/>
      <c r="J70" s="20">
        <f>SUM(T65:T69)</f>
        <v>428.38</v>
      </c>
      <c r="K70" s="20"/>
    </row>
    <row r="71" spans="1:22" ht="14.25" x14ac:dyDescent="0.2">
      <c r="A71" s="15"/>
      <c r="B71" s="16"/>
      <c r="C71" s="16" t="s">
        <v>568</v>
      </c>
      <c r="D71" s="17" t="s">
        <v>563</v>
      </c>
      <c r="E71" s="9">
        <f>108</f>
        <v>108</v>
      </c>
      <c r="F71" s="19"/>
      <c r="G71" s="18"/>
      <c r="H71" s="9"/>
      <c r="I71" s="9"/>
      <c r="J71" s="20">
        <f>SUM(V65:V70)</f>
        <v>5.29</v>
      </c>
      <c r="K71" s="20"/>
    </row>
    <row r="72" spans="1:22" ht="14.25" x14ac:dyDescent="0.2">
      <c r="A72" s="15"/>
      <c r="B72" s="16"/>
      <c r="C72" s="16" t="s">
        <v>565</v>
      </c>
      <c r="D72" s="17" t="s">
        <v>566</v>
      </c>
      <c r="E72" s="9">
        <f>Source!AQ74</f>
        <v>87.4</v>
      </c>
      <c r="F72" s="19"/>
      <c r="G72" s="18" t="str">
        <f>Source!DI74</f>
        <v/>
      </c>
      <c r="H72" s="9">
        <f>Source!AV74</f>
        <v>1</v>
      </c>
      <c r="I72" s="9"/>
      <c r="J72" s="20"/>
      <c r="K72" s="20">
        <f>Source!U74</f>
        <v>17.48</v>
      </c>
    </row>
    <row r="73" spans="1:22" ht="15" x14ac:dyDescent="0.25">
      <c r="A73" s="23"/>
      <c r="B73" s="23"/>
      <c r="C73" s="23"/>
      <c r="D73" s="23"/>
      <c r="E73" s="23"/>
      <c r="F73" s="23"/>
      <c r="G73" s="23"/>
      <c r="H73" s="23"/>
      <c r="I73" s="65">
        <f>J66+J67+J69+J70+J71</f>
        <v>7834</v>
      </c>
      <c r="J73" s="65"/>
      <c r="K73" s="24">
        <f>IF(Source!I74&lt;&gt;0, ROUND(I73/Source!I74, 2), 0)</f>
        <v>39170</v>
      </c>
      <c r="P73" s="22">
        <f>I73</f>
        <v>7834</v>
      </c>
    </row>
    <row r="74" spans="1:22" ht="42.75" x14ac:dyDescent="0.2">
      <c r="A74" s="15" t="str">
        <f>Source!E87</f>
        <v>14</v>
      </c>
      <c r="B74" s="16" t="str">
        <f>Source!F87</f>
        <v>Цена поставщика</v>
      </c>
      <c r="C74" s="16" t="s">
        <v>569</v>
      </c>
      <c r="D74" s="17" t="str">
        <f>Source!H87</f>
        <v>шт.</v>
      </c>
      <c r="E74" s="9">
        <f>Source!I87</f>
        <v>1</v>
      </c>
      <c r="F74" s="19">
        <f>Source!AL87</f>
        <v>29364.73</v>
      </c>
      <c r="G74" s="18" t="str">
        <f>Source!DD87</f>
        <v/>
      </c>
      <c r="H74" s="9">
        <f>Source!AW87</f>
        <v>1</v>
      </c>
      <c r="I74" s="9">
        <f>IF(Source!BC87&lt;&gt; 0, Source!BC87, 1)</f>
        <v>1</v>
      </c>
      <c r="J74" s="20">
        <f>Source!P87</f>
        <v>29364.73</v>
      </c>
      <c r="K74" s="20"/>
      <c r="Q74">
        <f>ROUND((Source!BZ87/100)*ROUND((Source!AF87*Source!AV87)*Source!I87, 2), 2)</f>
        <v>0</v>
      </c>
      <c r="R74">
        <f>Source!X87</f>
        <v>0</v>
      </c>
      <c r="S74">
        <f>ROUND((Source!CA87/100)*ROUND((Source!AF87*Source!AV87)*Source!I87, 2), 2)</f>
        <v>0</v>
      </c>
      <c r="T74">
        <f>Source!Y87</f>
        <v>0</v>
      </c>
      <c r="U74">
        <f>ROUND((175/100)*ROUND((Source!AE87*Source!AV87)*Source!I87, 2), 2)</f>
        <v>0</v>
      </c>
      <c r="V74">
        <f>ROUND((108/100)*ROUND(Source!CS87*Source!I87, 2), 2)</f>
        <v>0</v>
      </c>
    </row>
    <row r="75" spans="1:22" ht="15" x14ac:dyDescent="0.25">
      <c r="A75" s="23"/>
      <c r="B75" s="23"/>
      <c r="C75" s="23"/>
      <c r="D75" s="23"/>
      <c r="E75" s="23"/>
      <c r="F75" s="23"/>
      <c r="G75" s="23"/>
      <c r="H75" s="23"/>
      <c r="I75" s="65">
        <f>J74</f>
        <v>29364.73</v>
      </c>
      <c r="J75" s="65"/>
      <c r="K75" s="24">
        <f>IF(Source!I87&lt;&gt;0, ROUND(I75/Source!I87, 2), 0)</f>
        <v>29364.73</v>
      </c>
      <c r="P75" s="22">
        <f>I75</f>
        <v>29364.73</v>
      </c>
    </row>
    <row r="76" spans="1:22" ht="42.75" x14ac:dyDescent="0.2">
      <c r="A76" s="15" t="str">
        <f>Source!E88</f>
        <v>15</v>
      </c>
      <c r="B76" s="16" t="str">
        <f>Source!F88</f>
        <v>Цена поставщика</v>
      </c>
      <c r="C76" s="16" t="s">
        <v>570</v>
      </c>
      <c r="D76" s="17" t="str">
        <f>Source!H88</f>
        <v>шт.</v>
      </c>
      <c r="E76" s="9">
        <f>Source!I88</f>
        <v>1</v>
      </c>
      <c r="F76" s="19">
        <f>Source!AL88</f>
        <v>18699.73</v>
      </c>
      <c r="G76" s="18" t="str">
        <f>Source!DD88</f>
        <v/>
      </c>
      <c r="H76" s="9">
        <f>Source!AW88</f>
        <v>1</v>
      </c>
      <c r="I76" s="9">
        <f>IF(Source!BC88&lt;&gt; 0, Source!BC88, 1)</f>
        <v>1</v>
      </c>
      <c r="J76" s="20">
        <f>Source!P88</f>
        <v>18699.73</v>
      </c>
      <c r="K76" s="20"/>
      <c r="Q76">
        <f>ROUND((Source!BZ88/100)*ROUND((Source!AF88*Source!AV88)*Source!I88, 2), 2)</f>
        <v>0</v>
      </c>
      <c r="R76">
        <f>Source!X88</f>
        <v>0</v>
      </c>
      <c r="S76">
        <f>ROUND((Source!CA88/100)*ROUND((Source!AF88*Source!AV88)*Source!I88, 2), 2)</f>
        <v>0</v>
      </c>
      <c r="T76">
        <f>Source!Y88</f>
        <v>0</v>
      </c>
      <c r="U76">
        <f>ROUND((175/100)*ROUND((Source!AE88*Source!AV88)*Source!I88, 2), 2)</f>
        <v>0</v>
      </c>
      <c r="V76">
        <f>ROUND((108/100)*ROUND(Source!CS88*Source!I88, 2), 2)</f>
        <v>0</v>
      </c>
    </row>
    <row r="77" spans="1:22" ht="15" x14ac:dyDescent="0.25">
      <c r="A77" s="23"/>
      <c r="B77" s="23"/>
      <c r="C77" s="23"/>
      <c r="D77" s="23"/>
      <c r="E77" s="23"/>
      <c r="F77" s="23"/>
      <c r="G77" s="23"/>
      <c r="H77" s="23"/>
      <c r="I77" s="65">
        <f>J76</f>
        <v>18699.73</v>
      </c>
      <c r="J77" s="65"/>
      <c r="K77" s="24">
        <f>IF(Source!I88&lt;&gt;0, ROUND(I77/Source!I88, 2), 0)</f>
        <v>18699.73</v>
      </c>
      <c r="P77" s="22">
        <f>I77</f>
        <v>18699.73</v>
      </c>
    </row>
    <row r="78" spans="1:22" ht="54" x14ac:dyDescent="0.2">
      <c r="A78" s="15" t="str">
        <f>Source!E89</f>
        <v>16</v>
      </c>
      <c r="B78" s="16" t="str">
        <f>Source!F89</f>
        <v>Цена поставщика</v>
      </c>
      <c r="C78" s="16" t="s">
        <v>571</v>
      </c>
      <c r="D78" s="17" t="str">
        <f>Source!H89</f>
        <v>шт.</v>
      </c>
      <c r="E78" s="9">
        <f>Source!I89</f>
        <v>1</v>
      </c>
      <c r="F78" s="19">
        <f>Source!AL89</f>
        <v>17050</v>
      </c>
      <c r="G78" s="18" t="str">
        <f>Source!DD89</f>
        <v/>
      </c>
      <c r="H78" s="9">
        <f>Source!AW89</f>
        <v>1</v>
      </c>
      <c r="I78" s="9">
        <f>IF(Source!BC89&lt;&gt; 0, Source!BC89, 1)</f>
        <v>1</v>
      </c>
      <c r="J78" s="20">
        <f>Source!P89</f>
        <v>17050</v>
      </c>
      <c r="K78" s="20"/>
      <c r="Q78">
        <f>ROUND((Source!BZ89/100)*ROUND((Source!AF89*Source!AV89)*Source!I89, 2), 2)</f>
        <v>0</v>
      </c>
      <c r="R78">
        <f>Source!X89</f>
        <v>0</v>
      </c>
      <c r="S78">
        <f>ROUND((Source!CA89/100)*ROUND((Source!AF89*Source!AV89)*Source!I89, 2), 2)</f>
        <v>0</v>
      </c>
      <c r="T78">
        <f>Source!Y89</f>
        <v>0</v>
      </c>
      <c r="U78">
        <f>ROUND((175/100)*ROUND((Source!AE89*Source!AV89)*Source!I89, 2), 2)</f>
        <v>0</v>
      </c>
      <c r="V78">
        <f>ROUND((108/100)*ROUND(Source!CS89*Source!I89, 2), 2)</f>
        <v>0</v>
      </c>
    </row>
    <row r="79" spans="1:22" ht="15" x14ac:dyDescent="0.25">
      <c r="A79" s="23"/>
      <c r="B79" s="23"/>
      <c r="C79" s="23"/>
      <c r="D79" s="23"/>
      <c r="E79" s="23"/>
      <c r="F79" s="23"/>
      <c r="G79" s="23"/>
      <c r="H79" s="23"/>
      <c r="I79" s="65">
        <f>J78</f>
        <v>17050</v>
      </c>
      <c r="J79" s="65"/>
      <c r="K79" s="24">
        <f>IF(Source!I89&lt;&gt;0, ROUND(I79/Source!I89, 2), 0)</f>
        <v>17050</v>
      </c>
      <c r="P79" s="22">
        <f>I79</f>
        <v>17050</v>
      </c>
    </row>
    <row r="80" spans="1:22" ht="54" x14ac:dyDescent="0.2">
      <c r="A80" s="15" t="str">
        <f>Source!E90</f>
        <v>17</v>
      </c>
      <c r="B80" s="16" t="str">
        <f>Source!F90</f>
        <v>Цена поставщика</v>
      </c>
      <c r="C80" s="16" t="s">
        <v>572</v>
      </c>
      <c r="D80" s="17" t="str">
        <f>Source!H90</f>
        <v>шт.</v>
      </c>
      <c r="E80" s="9">
        <f>Source!I90</f>
        <v>1</v>
      </c>
      <c r="F80" s="19">
        <f>Source!AL90</f>
        <v>17277.78</v>
      </c>
      <c r="G80" s="18" t="str">
        <f>Source!DD90</f>
        <v/>
      </c>
      <c r="H80" s="9">
        <f>Source!AW90</f>
        <v>1</v>
      </c>
      <c r="I80" s="9">
        <f>IF(Source!BC90&lt;&gt; 0, Source!BC90, 1)</f>
        <v>1</v>
      </c>
      <c r="J80" s="20">
        <f>Source!P90</f>
        <v>17277.78</v>
      </c>
      <c r="K80" s="20"/>
      <c r="Q80">
        <f>ROUND((Source!BZ90/100)*ROUND((Source!AF90*Source!AV90)*Source!I90, 2), 2)</f>
        <v>0</v>
      </c>
      <c r="R80">
        <f>Source!X90</f>
        <v>0</v>
      </c>
      <c r="S80">
        <f>ROUND((Source!CA90/100)*ROUND((Source!AF90*Source!AV90)*Source!I90, 2), 2)</f>
        <v>0</v>
      </c>
      <c r="T80">
        <f>Source!Y90</f>
        <v>0</v>
      </c>
      <c r="U80">
        <f>ROUND((175/100)*ROUND((Source!AE90*Source!AV90)*Source!I90, 2), 2)</f>
        <v>0</v>
      </c>
      <c r="V80">
        <f>ROUND((108/100)*ROUND(Source!CS90*Source!I90, 2), 2)</f>
        <v>0</v>
      </c>
    </row>
    <row r="81" spans="1:22" ht="15" x14ac:dyDescent="0.25">
      <c r="A81" s="23"/>
      <c r="B81" s="23"/>
      <c r="C81" s="23"/>
      <c r="D81" s="23"/>
      <c r="E81" s="23"/>
      <c r="F81" s="23"/>
      <c r="G81" s="23"/>
      <c r="H81" s="23"/>
      <c r="I81" s="65">
        <f>J80</f>
        <v>17277.78</v>
      </c>
      <c r="J81" s="65"/>
      <c r="K81" s="24">
        <f>IF(Source!I90&lt;&gt;0, ROUND(I81/Source!I90, 2), 0)</f>
        <v>17277.78</v>
      </c>
      <c r="P81" s="22">
        <f>I81</f>
        <v>17277.78</v>
      </c>
    </row>
    <row r="82" spans="1:22" ht="54" x14ac:dyDescent="0.2">
      <c r="A82" s="15" t="str">
        <f>Source!E91</f>
        <v>18</v>
      </c>
      <c r="B82" s="16" t="str">
        <f>Source!F91</f>
        <v>Цена поставщика</v>
      </c>
      <c r="C82" s="16" t="s">
        <v>573</v>
      </c>
      <c r="D82" s="17" t="str">
        <f>Source!H91</f>
        <v>шт.</v>
      </c>
      <c r="E82" s="9">
        <f>Source!I91</f>
        <v>1</v>
      </c>
      <c r="F82" s="19">
        <f>Source!AL91</f>
        <v>19411.11</v>
      </c>
      <c r="G82" s="18" t="str">
        <f>Source!DD91</f>
        <v/>
      </c>
      <c r="H82" s="9">
        <f>Source!AW91</f>
        <v>1</v>
      </c>
      <c r="I82" s="9">
        <f>IF(Source!BC91&lt;&gt; 0, Source!BC91, 1)</f>
        <v>1</v>
      </c>
      <c r="J82" s="20">
        <f>Source!P91</f>
        <v>19411.11</v>
      </c>
      <c r="K82" s="20"/>
      <c r="Q82">
        <f>ROUND((Source!BZ91/100)*ROUND((Source!AF91*Source!AV91)*Source!I91, 2), 2)</f>
        <v>0</v>
      </c>
      <c r="R82">
        <f>Source!X91</f>
        <v>0</v>
      </c>
      <c r="S82">
        <f>ROUND((Source!CA91/100)*ROUND((Source!AF91*Source!AV91)*Source!I91, 2), 2)</f>
        <v>0</v>
      </c>
      <c r="T82">
        <f>Source!Y91</f>
        <v>0</v>
      </c>
      <c r="U82">
        <f>ROUND((175/100)*ROUND((Source!AE91*Source!AV91)*Source!I91, 2), 2)</f>
        <v>0</v>
      </c>
      <c r="V82">
        <f>ROUND((108/100)*ROUND(Source!CS91*Source!I91, 2), 2)</f>
        <v>0</v>
      </c>
    </row>
    <row r="83" spans="1:22" ht="15" x14ac:dyDescent="0.25">
      <c r="A83" s="23"/>
      <c r="B83" s="23"/>
      <c r="C83" s="23"/>
      <c r="D83" s="23"/>
      <c r="E83" s="23"/>
      <c r="F83" s="23"/>
      <c r="G83" s="23"/>
      <c r="H83" s="23"/>
      <c r="I83" s="65">
        <f>J82</f>
        <v>19411.11</v>
      </c>
      <c r="J83" s="65"/>
      <c r="K83" s="24">
        <f>IF(Source!I91&lt;&gt;0, ROUND(I83/Source!I91, 2), 0)</f>
        <v>19411.11</v>
      </c>
      <c r="P83" s="22">
        <f>I83</f>
        <v>19411.11</v>
      </c>
    </row>
    <row r="84" spans="1:22" ht="54" x14ac:dyDescent="0.2">
      <c r="A84" s="15" t="str">
        <f>Source!E92</f>
        <v>19</v>
      </c>
      <c r="B84" s="16" t="str">
        <f>Source!F92</f>
        <v>Цена поставщика</v>
      </c>
      <c r="C84" s="16" t="s">
        <v>574</v>
      </c>
      <c r="D84" s="17" t="str">
        <f>Source!H92</f>
        <v>шт.</v>
      </c>
      <c r="E84" s="9">
        <f>Source!I92</f>
        <v>1</v>
      </c>
      <c r="F84" s="19">
        <f>Source!AL92</f>
        <v>9847.23</v>
      </c>
      <c r="G84" s="18" t="str">
        <f>Source!DD92</f>
        <v/>
      </c>
      <c r="H84" s="9">
        <f>Source!AW92</f>
        <v>1</v>
      </c>
      <c r="I84" s="9">
        <f>IF(Source!BC92&lt;&gt; 0, Source!BC92, 1)</f>
        <v>1</v>
      </c>
      <c r="J84" s="20">
        <f>Source!P92</f>
        <v>9847.23</v>
      </c>
      <c r="K84" s="20"/>
      <c r="Q84">
        <f>ROUND((Source!BZ92/100)*ROUND((Source!AF92*Source!AV92)*Source!I92, 2), 2)</f>
        <v>0</v>
      </c>
      <c r="R84">
        <f>Source!X92</f>
        <v>0</v>
      </c>
      <c r="S84">
        <f>ROUND((Source!CA92/100)*ROUND((Source!AF92*Source!AV92)*Source!I92, 2), 2)</f>
        <v>0</v>
      </c>
      <c r="T84">
        <f>Source!Y92</f>
        <v>0</v>
      </c>
      <c r="U84">
        <f>ROUND((175/100)*ROUND((Source!AE92*Source!AV92)*Source!I92, 2), 2)</f>
        <v>0</v>
      </c>
      <c r="V84">
        <f>ROUND((108/100)*ROUND(Source!CS92*Source!I92, 2), 2)</f>
        <v>0</v>
      </c>
    </row>
    <row r="85" spans="1:22" ht="15" x14ac:dyDescent="0.25">
      <c r="A85" s="23"/>
      <c r="B85" s="23"/>
      <c r="C85" s="23"/>
      <c r="D85" s="23"/>
      <c r="E85" s="23"/>
      <c r="F85" s="23"/>
      <c r="G85" s="23"/>
      <c r="H85" s="23"/>
      <c r="I85" s="65">
        <f>J84</f>
        <v>9847.23</v>
      </c>
      <c r="J85" s="65"/>
      <c r="K85" s="24">
        <f>IF(Source!I92&lt;&gt;0, ROUND(I85/Source!I92, 2), 0)</f>
        <v>9847.23</v>
      </c>
      <c r="P85" s="22">
        <f>I85</f>
        <v>9847.23</v>
      </c>
    </row>
    <row r="87" spans="1:22" ht="15" x14ac:dyDescent="0.25">
      <c r="A87" s="64" t="str">
        <f>CONCATENATE("Итого по подразделу: ",IF(Source!G94&lt;&gt;"Новый подраздел", Source!G94, ""))</f>
        <v>Итого по подразделу: Установка оборудования для выгула собак</v>
      </c>
      <c r="B87" s="64"/>
      <c r="C87" s="64"/>
      <c r="D87" s="64"/>
      <c r="E87" s="64"/>
      <c r="F87" s="64"/>
      <c r="G87" s="64"/>
      <c r="H87" s="64"/>
      <c r="I87" s="62">
        <f>SUM(P64:P86)</f>
        <v>119484.57999999999</v>
      </c>
      <c r="J87" s="63"/>
      <c r="K87" s="26"/>
    </row>
    <row r="90" spans="1:22" ht="16.5" x14ac:dyDescent="0.25">
      <c r="A90" s="66" t="str">
        <f>CONCATENATE("Подраздел: ",IF(Source!G124&lt;&gt;"Новый подраздел", Source!G124, ""))</f>
        <v>Подраздел: Установка ограждения</v>
      </c>
      <c r="B90" s="66"/>
      <c r="C90" s="66"/>
      <c r="D90" s="66"/>
      <c r="E90" s="66"/>
      <c r="F90" s="66"/>
      <c r="G90" s="66"/>
      <c r="H90" s="66"/>
      <c r="I90" s="66"/>
      <c r="J90" s="66"/>
      <c r="K90" s="66"/>
    </row>
    <row r="91" spans="1:22" ht="57" x14ac:dyDescent="0.2">
      <c r="A91" s="15" t="str">
        <f>Source!E128</f>
        <v>20</v>
      </c>
      <c r="B91" s="16" t="str">
        <f>Source!F128</f>
        <v>5.3-3203-16-2/1</v>
      </c>
      <c r="C91" s="16" t="str">
        <f>Source!G128</f>
        <v>Установка металлических оград высотой 2-2,5 м на металлических стойках, при количестве стоек 38 шт./100 м</v>
      </c>
      <c r="D91" s="17" t="str">
        <f>Source!H128</f>
        <v>100 м</v>
      </c>
      <c r="E91" s="9">
        <f>Source!I128</f>
        <v>1.2</v>
      </c>
      <c r="F91" s="19"/>
      <c r="G91" s="18"/>
      <c r="H91" s="9"/>
      <c r="I91" s="9"/>
      <c r="J91" s="20"/>
      <c r="K91" s="20"/>
      <c r="Q91">
        <f>ROUND((Source!BZ128/100)*ROUND((Source!AF128*Source!AV128)*Source!I128, 2), 2)</f>
        <v>59975.68</v>
      </c>
      <c r="R91">
        <f>Source!X128</f>
        <v>59975.68</v>
      </c>
      <c r="S91">
        <f>ROUND((Source!CA128/100)*ROUND((Source!AF128*Source!AV128)*Source!I128, 2), 2)</f>
        <v>8567.9500000000007</v>
      </c>
      <c r="T91">
        <f>Source!Y128</f>
        <v>8567.9500000000007</v>
      </c>
      <c r="U91">
        <f>ROUND((175/100)*ROUND((Source!AE128*Source!AV128)*Source!I128, 2), 2)</f>
        <v>7508.25</v>
      </c>
      <c r="V91">
        <f>ROUND((108/100)*ROUND(Source!CS128*Source!I128, 2), 2)</f>
        <v>4633.66</v>
      </c>
    </row>
    <row r="92" spans="1:22" x14ac:dyDescent="0.2">
      <c r="C92" s="21" t="str">
        <f>"Объем: "&amp;Source!I128&amp;"=120/"&amp;"100"</f>
        <v>Объем: 1,2=120/100</v>
      </c>
    </row>
    <row r="93" spans="1:22" ht="14.25" x14ac:dyDescent="0.2">
      <c r="A93" s="15"/>
      <c r="B93" s="16"/>
      <c r="C93" s="16" t="s">
        <v>560</v>
      </c>
      <c r="D93" s="17"/>
      <c r="E93" s="9"/>
      <c r="F93" s="19">
        <f>Source!AO128</f>
        <v>71399.62</v>
      </c>
      <c r="G93" s="18" t="str">
        <f>Source!DG128</f>
        <v/>
      </c>
      <c r="H93" s="9">
        <f>Source!AV128</f>
        <v>1</v>
      </c>
      <c r="I93" s="9">
        <f>IF(Source!BA128&lt;&gt; 0, Source!BA128, 1)</f>
        <v>1</v>
      </c>
      <c r="J93" s="20">
        <f>Source!S128</f>
        <v>85679.54</v>
      </c>
      <c r="K93" s="20"/>
    </row>
    <row r="94" spans="1:22" ht="14.25" x14ac:dyDescent="0.2">
      <c r="A94" s="15"/>
      <c r="B94" s="16"/>
      <c r="C94" s="16" t="s">
        <v>561</v>
      </c>
      <c r="D94" s="17"/>
      <c r="E94" s="9"/>
      <c r="F94" s="19">
        <f>Source!AM128</f>
        <v>19999.11</v>
      </c>
      <c r="G94" s="18" t="str">
        <f>Source!DE128</f>
        <v/>
      </c>
      <c r="H94" s="9">
        <f>Source!AV128</f>
        <v>1</v>
      </c>
      <c r="I94" s="9">
        <f>IF(Source!BB128&lt;&gt; 0, Source!BB128, 1)</f>
        <v>1</v>
      </c>
      <c r="J94" s="20">
        <f>Source!Q128</f>
        <v>23998.93</v>
      </c>
      <c r="K94" s="20"/>
    </row>
    <row r="95" spans="1:22" ht="14.25" x14ac:dyDescent="0.2">
      <c r="A95" s="15"/>
      <c r="B95" s="16"/>
      <c r="C95" s="16" t="s">
        <v>567</v>
      </c>
      <c r="D95" s="17"/>
      <c r="E95" s="9"/>
      <c r="F95" s="19">
        <f>Source!AN128</f>
        <v>3575.36</v>
      </c>
      <c r="G95" s="18" t="str">
        <f>Source!DF128</f>
        <v/>
      </c>
      <c r="H95" s="9">
        <f>Source!AV128</f>
        <v>1</v>
      </c>
      <c r="I95" s="9">
        <f>IF(Source!BS128&lt;&gt; 0, Source!BS128, 1)</f>
        <v>1</v>
      </c>
      <c r="J95" s="25">
        <f>Source!R128</f>
        <v>4290.43</v>
      </c>
      <c r="K95" s="20"/>
    </row>
    <row r="96" spans="1:22" ht="14.25" x14ac:dyDescent="0.2">
      <c r="A96" s="15"/>
      <c r="B96" s="16"/>
      <c r="C96" s="16" t="s">
        <v>575</v>
      </c>
      <c r="D96" s="17"/>
      <c r="E96" s="9"/>
      <c r="F96" s="19">
        <f>Source!AL128</f>
        <v>547940.27</v>
      </c>
      <c r="G96" s="18" t="str">
        <f>Source!DD128</f>
        <v/>
      </c>
      <c r="H96" s="9">
        <f>Source!AW128</f>
        <v>1</v>
      </c>
      <c r="I96" s="9">
        <f>IF(Source!BC128&lt;&gt; 0, Source!BC128, 1)</f>
        <v>1</v>
      </c>
      <c r="J96" s="20">
        <f>Source!P128</f>
        <v>657528.31999999995</v>
      </c>
      <c r="K96" s="20"/>
    </row>
    <row r="97" spans="1:22" ht="14.25" x14ac:dyDescent="0.2">
      <c r="A97" s="15"/>
      <c r="B97" s="16"/>
      <c r="C97" s="16" t="s">
        <v>562</v>
      </c>
      <c r="D97" s="17" t="s">
        <v>563</v>
      </c>
      <c r="E97" s="9">
        <f>Source!AT128</f>
        <v>70</v>
      </c>
      <c r="F97" s="19"/>
      <c r="G97" s="18"/>
      <c r="H97" s="9"/>
      <c r="I97" s="9"/>
      <c r="J97" s="20">
        <f>SUM(R91:R96)</f>
        <v>59975.68</v>
      </c>
      <c r="K97" s="20"/>
    </row>
    <row r="98" spans="1:22" ht="14.25" x14ac:dyDescent="0.2">
      <c r="A98" s="15"/>
      <c r="B98" s="16"/>
      <c r="C98" s="16" t="s">
        <v>564</v>
      </c>
      <c r="D98" s="17" t="s">
        <v>563</v>
      </c>
      <c r="E98" s="9">
        <f>Source!AU128</f>
        <v>10</v>
      </c>
      <c r="F98" s="19"/>
      <c r="G98" s="18"/>
      <c r="H98" s="9"/>
      <c r="I98" s="9"/>
      <c r="J98" s="20">
        <f>SUM(T91:T97)</f>
        <v>8567.9500000000007</v>
      </c>
      <c r="K98" s="20"/>
    </row>
    <row r="99" spans="1:22" ht="14.25" x14ac:dyDescent="0.2">
      <c r="A99" s="15"/>
      <c r="B99" s="16"/>
      <c r="C99" s="16" t="s">
        <v>568</v>
      </c>
      <c r="D99" s="17" t="s">
        <v>563</v>
      </c>
      <c r="E99" s="9">
        <f>108</f>
        <v>108</v>
      </c>
      <c r="F99" s="19"/>
      <c r="G99" s="18"/>
      <c r="H99" s="9"/>
      <c r="I99" s="9"/>
      <c r="J99" s="20">
        <f>SUM(V91:V98)</f>
        <v>4633.66</v>
      </c>
      <c r="K99" s="20"/>
    </row>
    <row r="100" spans="1:22" ht="14.25" x14ac:dyDescent="0.2">
      <c r="A100" s="15"/>
      <c r="B100" s="16"/>
      <c r="C100" s="16" t="s">
        <v>565</v>
      </c>
      <c r="D100" s="17" t="s">
        <v>566</v>
      </c>
      <c r="E100" s="9">
        <f>Source!AQ128</f>
        <v>340.81</v>
      </c>
      <c r="F100" s="19"/>
      <c r="G100" s="18" t="str">
        <f>Source!DI128</f>
        <v/>
      </c>
      <c r="H100" s="9">
        <f>Source!AV128</f>
        <v>1</v>
      </c>
      <c r="I100" s="9"/>
      <c r="J100" s="20"/>
      <c r="K100" s="20">
        <f>Source!U128</f>
        <v>408.97199999999998</v>
      </c>
    </row>
    <row r="101" spans="1:22" ht="15" x14ac:dyDescent="0.25">
      <c r="A101" s="23"/>
      <c r="B101" s="23"/>
      <c r="C101" s="23"/>
      <c r="D101" s="23"/>
      <c r="E101" s="23"/>
      <c r="F101" s="23"/>
      <c r="G101" s="23"/>
      <c r="H101" s="23"/>
      <c r="I101" s="65">
        <f>J93+J94+J96+J97+J98+J99</f>
        <v>840384.08</v>
      </c>
      <c r="J101" s="65"/>
      <c r="K101" s="24">
        <f>IF(Source!I128&lt;&gt;0, ROUND(I101/Source!I128, 2), 0)</f>
        <v>700320.07</v>
      </c>
      <c r="P101" s="22">
        <f>I101</f>
        <v>840384.08</v>
      </c>
    </row>
    <row r="102" spans="1:22" ht="42.75" x14ac:dyDescent="0.2">
      <c r="A102" s="15" t="str">
        <f>Source!E129</f>
        <v>21</v>
      </c>
      <c r="B102" s="16" t="str">
        <f>Source!F129</f>
        <v>5.3-3202-2-2/1</v>
      </c>
      <c r="C102" s="16" t="str">
        <f>Source!G129</f>
        <v>Ремонт металлических конструкций спортивных площадок: замена навесов калитки ограждения</v>
      </c>
      <c r="D102" s="17" t="str">
        <f>Source!H129</f>
        <v>шт.</v>
      </c>
      <c r="E102" s="9">
        <f>Source!I129</f>
        <v>1</v>
      </c>
      <c r="F102" s="19"/>
      <c r="G102" s="18"/>
      <c r="H102" s="9"/>
      <c r="I102" s="9"/>
      <c r="J102" s="20"/>
      <c r="K102" s="20"/>
      <c r="Q102">
        <f>ROUND((Source!BZ129/100)*ROUND((Source!AF129*Source!AV129)*Source!I129, 2), 2)</f>
        <v>255.27</v>
      </c>
      <c r="R102">
        <f>Source!X129</f>
        <v>255.27</v>
      </c>
      <c r="S102">
        <f>ROUND((Source!CA129/100)*ROUND((Source!AF129*Source!AV129)*Source!I129, 2), 2)</f>
        <v>36.47</v>
      </c>
      <c r="T102">
        <f>Source!Y129</f>
        <v>36.47</v>
      </c>
      <c r="U102">
        <f>ROUND((175/100)*ROUND((Source!AE129*Source!AV129)*Source!I129, 2), 2)</f>
        <v>688.92</v>
      </c>
      <c r="V102">
        <f>ROUND((108/100)*ROUND(Source!CS129*Source!I129, 2), 2)</f>
        <v>425.16</v>
      </c>
    </row>
    <row r="103" spans="1:22" ht="14.25" x14ac:dyDescent="0.2">
      <c r="A103" s="15"/>
      <c r="B103" s="16"/>
      <c r="C103" s="16" t="s">
        <v>560</v>
      </c>
      <c r="D103" s="17"/>
      <c r="E103" s="9"/>
      <c r="F103" s="19">
        <f>Source!AO129</f>
        <v>364.67</v>
      </c>
      <c r="G103" s="18" t="str">
        <f>Source!DG129</f>
        <v/>
      </c>
      <c r="H103" s="9">
        <f>Source!AV129</f>
        <v>1</v>
      </c>
      <c r="I103" s="9">
        <f>IF(Source!BA129&lt;&gt; 0, Source!BA129, 1)</f>
        <v>1</v>
      </c>
      <c r="J103" s="20">
        <f>Source!S129</f>
        <v>364.67</v>
      </c>
      <c r="K103" s="20"/>
    </row>
    <row r="104" spans="1:22" ht="14.25" x14ac:dyDescent="0.2">
      <c r="A104" s="15"/>
      <c r="B104" s="16"/>
      <c r="C104" s="16" t="s">
        <v>561</v>
      </c>
      <c r="D104" s="17"/>
      <c r="E104" s="9"/>
      <c r="F104" s="19">
        <f>Source!AM129</f>
        <v>631.02</v>
      </c>
      <c r="G104" s="18" t="str">
        <f>Source!DE129</f>
        <v/>
      </c>
      <c r="H104" s="9">
        <f>Source!AV129</f>
        <v>1</v>
      </c>
      <c r="I104" s="9">
        <f>IF(Source!BB129&lt;&gt; 0, Source!BB129, 1)</f>
        <v>1</v>
      </c>
      <c r="J104" s="20">
        <f>Source!Q129</f>
        <v>631.02</v>
      </c>
      <c r="K104" s="20"/>
    </row>
    <row r="105" spans="1:22" ht="14.25" x14ac:dyDescent="0.2">
      <c r="A105" s="15"/>
      <c r="B105" s="16"/>
      <c r="C105" s="16" t="s">
        <v>567</v>
      </c>
      <c r="D105" s="17"/>
      <c r="E105" s="9"/>
      <c r="F105" s="19">
        <f>Source!AN129</f>
        <v>393.67</v>
      </c>
      <c r="G105" s="18" t="str">
        <f>Source!DF129</f>
        <v/>
      </c>
      <c r="H105" s="9">
        <f>Source!AV129</f>
        <v>1</v>
      </c>
      <c r="I105" s="9">
        <f>IF(Source!BS129&lt;&gt; 0, Source!BS129, 1)</f>
        <v>1</v>
      </c>
      <c r="J105" s="25">
        <f>Source!R129</f>
        <v>393.67</v>
      </c>
      <c r="K105" s="20"/>
    </row>
    <row r="106" spans="1:22" ht="14.25" x14ac:dyDescent="0.2">
      <c r="A106" s="15"/>
      <c r="B106" s="16"/>
      <c r="C106" s="16" t="s">
        <v>575</v>
      </c>
      <c r="D106" s="17"/>
      <c r="E106" s="9"/>
      <c r="F106" s="19">
        <f>Source!AL129</f>
        <v>57.98</v>
      </c>
      <c r="G106" s="18" t="str">
        <f>Source!DD129</f>
        <v/>
      </c>
      <c r="H106" s="9">
        <f>Source!AW129</f>
        <v>1</v>
      </c>
      <c r="I106" s="9">
        <f>IF(Source!BC129&lt;&gt; 0, Source!BC129, 1)</f>
        <v>1</v>
      </c>
      <c r="J106" s="20">
        <f>Source!P129</f>
        <v>57.98</v>
      </c>
      <c r="K106" s="20"/>
    </row>
    <row r="107" spans="1:22" ht="14.25" x14ac:dyDescent="0.2">
      <c r="A107" s="15"/>
      <c r="B107" s="16"/>
      <c r="C107" s="16" t="s">
        <v>562</v>
      </c>
      <c r="D107" s="17" t="s">
        <v>563</v>
      </c>
      <c r="E107" s="9">
        <f>Source!AT129</f>
        <v>70</v>
      </c>
      <c r="F107" s="19"/>
      <c r="G107" s="18"/>
      <c r="H107" s="9"/>
      <c r="I107" s="9"/>
      <c r="J107" s="20">
        <f>SUM(R102:R106)</f>
        <v>255.27</v>
      </c>
      <c r="K107" s="20"/>
    </row>
    <row r="108" spans="1:22" ht="14.25" x14ac:dyDescent="0.2">
      <c r="A108" s="15"/>
      <c r="B108" s="16"/>
      <c r="C108" s="16" t="s">
        <v>564</v>
      </c>
      <c r="D108" s="17" t="s">
        <v>563</v>
      </c>
      <c r="E108" s="9">
        <f>Source!AU129</f>
        <v>10</v>
      </c>
      <c r="F108" s="19"/>
      <c r="G108" s="18"/>
      <c r="H108" s="9"/>
      <c r="I108" s="9"/>
      <c r="J108" s="20">
        <f>SUM(T102:T107)</f>
        <v>36.47</v>
      </c>
      <c r="K108" s="20"/>
    </row>
    <row r="109" spans="1:22" ht="14.25" x14ac:dyDescent="0.2">
      <c r="A109" s="15"/>
      <c r="B109" s="16"/>
      <c r="C109" s="16" t="s">
        <v>568</v>
      </c>
      <c r="D109" s="17" t="s">
        <v>563</v>
      </c>
      <c r="E109" s="9">
        <f>108</f>
        <v>108</v>
      </c>
      <c r="F109" s="19"/>
      <c r="G109" s="18"/>
      <c r="H109" s="9"/>
      <c r="I109" s="9"/>
      <c r="J109" s="20">
        <f>SUM(V102:V108)</f>
        <v>425.16</v>
      </c>
      <c r="K109" s="20"/>
    </row>
    <row r="110" spans="1:22" ht="14.25" x14ac:dyDescent="0.2">
      <c r="A110" s="15"/>
      <c r="B110" s="16"/>
      <c r="C110" s="16" t="s">
        <v>565</v>
      </c>
      <c r="D110" s="17" t="s">
        <v>566</v>
      </c>
      <c r="E110" s="9">
        <f>Source!AQ129</f>
        <v>2</v>
      </c>
      <c r="F110" s="19"/>
      <c r="G110" s="18" t="str">
        <f>Source!DI129</f>
        <v/>
      </c>
      <c r="H110" s="9">
        <f>Source!AV129</f>
        <v>1</v>
      </c>
      <c r="I110" s="9"/>
      <c r="J110" s="20"/>
      <c r="K110" s="20">
        <f>Source!U129</f>
        <v>2</v>
      </c>
    </row>
    <row r="111" spans="1:22" ht="15" x14ac:dyDescent="0.25">
      <c r="A111" s="23"/>
      <c r="B111" s="23"/>
      <c r="C111" s="23"/>
      <c r="D111" s="23"/>
      <c r="E111" s="23"/>
      <c r="F111" s="23"/>
      <c r="G111" s="23"/>
      <c r="H111" s="23"/>
      <c r="I111" s="65">
        <f>J103+J104+J106+J107+J108+J109</f>
        <v>1770.5700000000002</v>
      </c>
      <c r="J111" s="65"/>
      <c r="K111" s="24">
        <f>IF(Source!I129&lt;&gt;0, ROUND(I111/Source!I129, 2), 0)</f>
        <v>1770.57</v>
      </c>
      <c r="P111" s="22">
        <f>I111</f>
        <v>1770.5700000000002</v>
      </c>
    </row>
    <row r="112" spans="1:22" ht="57" x14ac:dyDescent="0.2">
      <c r="A112" s="15" t="str">
        <f>Source!E130</f>
        <v>22</v>
      </c>
      <c r="B112" s="16" t="str">
        <f>Source!F130</f>
        <v>21.7-14-5</v>
      </c>
      <c r="C112" s="16" t="str">
        <f>Source!G130</f>
        <v>Калитка металлическая с лаковым покрытием, размеры 1000х1500 мм (прим. калитка металическая решётчатая)</v>
      </c>
      <c r="D112" s="17" t="str">
        <f>Source!H130</f>
        <v>шт.</v>
      </c>
      <c r="E112" s="9">
        <f>Source!I130</f>
        <v>1</v>
      </c>
      <c r="F112" s="19">
        <f>Source!AL130</f>
        <v>10202.57</v>
      </c>
      <c r="G112" s="18" t="str">
        <f>Source!DD130</f>
        <v/>
      </c>
      <c r="H112" s="9">
        <f>Source!AW130</f>
        <v>1</v>
      </c>
      <c r="I112" s="9">
        <f>IF(Source!BC130&lt;&gt; 0, Source!BC130, 1)</f>
        <v>1</v>
      </c>
      <c r="J112" s="20">
        <f>Source!P130</f>
        <v>10202.57</v>
      </c>
      <c r="K112" s="20"/>
      <c r="Q112">
        <f>ROUND((Source!BZ130/100)*ROUND((Source!AF130*Source!AV130)*Source!I130, 2), 2)</f>
        <v>0</v>
      </c>
      <c r="R112">
        <f>Source!X130</f>
        <v>0</v>
      </c>
      <c r="S112">
        <f>ROUND((Source!CA130/100)*ROUND((Source!AF130*Source!AV130)*Source!I130, 2), 2)</f>
        <v>0</v>
      </c>
      <c r="T112">
        <f>Source!Y130</f>
        <v>0</v>
      </c>
      <c r="U112">
        <f>ROUND((175/100)*ROUND((Source!AE130*Source!AV130)*Source!I130, 2), 2)</f>
        <v>0</v>
      </c>
      <c r="V112">
        <f>ROUND((108/100)*ROUND(Source!CS130*Source!I130, 2), 2)</f>
        <v>0</v>
      </c>
    </row>
    <row r="113" spans="1:22" ht="15" x14ac:dyDescent="0.25">
      <c r="A113" s="23"/>
      <c r="B113" s="23"/>
      <c r="C113" s="23"/>
      <c r="D113" s="23"/>
      <c r="E113" s="23"/>
      <c r="F113" s="23"/>
      <c r="G113" s="23"/>
      <c r="H113" s="23"/>
      <c r="I113" s="65">
        <f>J112</f>
        <v>10202.57</v>
      </c>
      <c r="J113" s="65"/>
      <c r="K113" s="24">
        <f>IF(Source!I130&lt;&gt;0, ROUND(I113/Source!I130, 2), 0)</f>
        <v>10202.57</v>
      </c>
      <c r="P113" s="22">
        <f>I113</f>
        <v>10202.57</v>
      </c>
    </row>
    <row r="115" spans="1:22" ht="15" x14ac:dyDescent="0.25">
      <c r="A115" s="64" t="str">
        <f>CONCATENATE("Итого по подразделу: ",IF(Source!G132&lt;&gt;"Новый подраздел", Source!G132, ""))</f>
        <v>Итого по подразделу: Установка ограждения</v>
      </c>
      <c r="B115" s="64"/>
      <c r="C115" s="64"/>
      <c r="D115" s="64"/>
      <c r="E115" s="64"/>
      <c r="F115" s="64"/>
      <c r="G115" s="64"/>
      <c r="H115" s="64"/>
      <c r="I115" s="62">
        <f>SUM(P90:P114)</f>
        <v>852357.21999999986</v>
      </c>
      <c r="J115" s="63"/>
      <c r="K115" s="26"/>
    </row>
    <row r="118" spans="1:22" ht="16.5" x14ac:dyDescent="0.25">
      <c r="A118" s="66" t="str">
        <f>CONCATENATE("Подраздел: ",IF(Source!G162&lt;&gt;"Новый подраздел", Source!G162, ""))</f>
        <v>Подраздел: Устройство покрытия</v>
      </c>
      <c r="B118" s="66"/>
      <c r="C118" s="66"/>
      <c r="D118" s="66"/>
      <c r="E118" s="66"/>
      <c r="F118" s="66"/>
      <c r="G118" s="66"/>
      <c r="H118" s="66"/>
      <c r="I118" s="66"/>
      <c r="J118" s="66"/>
      <c r="K118" s="66"/>
    </row>
    <row r="119" spans="1:22" ht="57" x14ac:dyDescent="0.2">
      <c r="A119" s="15" t="str">
        <f>Source!E166</f>
        <v>23</v>
      </c>
      <c r="B119" s="16" t="str">
        <f>Source!F166</f>
        <v>2.49-3101-4-2/1</v>
      </c>
      <c r="C119" s="16" t="str">
        <f>Source!G166</f>
        <v>Разработка грунта с погрузкой на автомобили-самосвалы экскаваторами с ковшом вместимостью 0,25 м3, группа грунтов 1-3</v>
      </c>
      <c r="D119" s="17" t="str">
        <f>Source!H166</f>
        <v>100 м3</v>
      </c>
      <c r="E119" s="9">
        <f>Source!I166</f>
        <v>0.30554999999999999</v>
      </c>
      <c r="F119" s="19"/>
      <c r="G119" s="18"/>
      <c r="H119" s="9"/>
      <c r="I119" s="9"/>
      <c r="J119" s="20"/>
      <c r="K119" s="20"/>
      <c r="Q119">
        <f>ROUND((Source!BZ166/100)*ROUND((Source!AF166*Source!AV166)*Source!I166, 2), 2)</f>
        <v>124.8</v>
      </c>
      <c r="R119">
        <f>Source!X166</f>
        <v>124.8</v>
      </c>
      <c r="S119">
        <f>ROUND((Source!CA166/100)*ROUND((Source!AF166*Source!AV166)*Source!I166, 2), 2)</f>
        <v>17.829999999999998</v>
      </c>
      <c r="T119">
        <f>Source!Y166</f>
        <v>17.829999999999998</v>
      </c>
      <c r="U119">
        <f>ROUND((175/100)*ROUND((Source!AE166*Source!AV166)*Source!I166, 2), 2)</f>
        <v>3009.95</v>
      </c>
      <c r="V119">
        <f>ROUND((108/100)*ROUND(Source!CS166*Source!I166, 2), 2)</f>
        <v>1857.57</v>
      </c>
    </row>
    <row r="120" spans="1:22" x14ac:dyDescent="0.2">
      <c r="C120" s="21" t="str">
        <f>"Объем: "&amp;Source!I166&amp;"=((339,5*"&amp;"0,1)/"&amp;"100)*"&amp;"0,9"</f>
        <v>Объем: 0,30555=((339,5*0,1)/100)*0,9</v>
      </c>
    </row>
    <row r="121" spans="1:22" ht="14.25" x14ac:dyDescent="0.2">
      <c r="A121" s="15"/>
      <c r="B121" s="16"/>
      <c r="C121" s="16" t="s">
        <v>560</v>
      </c>
      <c r="D121" s="17"/>
      <c r="E121" s="9"/>
      <c r="F121" s="19">
        <f>Source!AO166</f>
        <v>583.52</v>
      </c>
      <c r="G121" s="18" t="str">
        <f>Source!DG166</f>
        <v/>
      </c>
      <c r="H121" s="9">
        <f>Source!AV166</f>
        <v>1</v>
      </c>
      <c r="I121" s="9">
        <f>IF(Source!BA166&lt;&gt; 0, Source!BA166, 1)</f>
        <v>1</v>
      </c>
      <c r="J121" s="20">
        <f>Source!S166</f>
        <v>178.29</v>
      </c>
      <c r="K121" s="20"/>
    </row>
    <row r="122" spans="1:22" ht="14.25" x14ac:dyDescent="0.2">
      <c r="A122" s="15"/>
      <c r="B122" s="16"/>
      <c r="C122" s="16" t="s">
        <v>561</v>
      </c>
      <c r="D122" s="17"/>
      <c r="E122" s="9"/>
      <c r="F122" s="19">
        <f>Source!AM166</f>
        <v>8218.83</v>
      </c>
      <c r="G122" s="18" t="str">
        <f>Source!DE166</f>
        <v/>
      </c>
      <c r="H122" s="9">
        <f>Source!AV166</f>
        <v>1</v>
      </c>
      <c r="I122" s="9">
        <f>IF(Source!BB166&lt;&gt; 0, Source!BB166, 1)</f>
        <v>1</v>
      </c>
      <c r="J122" s="20">
        <f>Source!Q166</f>
        <v>2511.2600000000002</v>
      </c>
      <c r="K122" s="20"/>
    </row>
    <row r="123" spans="1:22" ht="14.25" x14ac:dyDescent="0.2">
      <c r="A123" s="15"/>
      <c r="B123" s="16"/>
      <c r="C123" s="16" t="s">
        <v>567</v>
      </c>
      <c r="D123" s="17"/>
      <c r="E123" s="9"/>
      <c r="F123" s="19">
        <f>Source!AN166</f>
        <v>5629.09</v>
      </c>
      <c r="G123" s="18" t="str">
        <f>Source!DF166</f>
        <v/>
      </c>
      <c r="H123" s="9">
        <f>Source!AV166</f>
        <v>1</v>
      </c>
      <c r="I123" s="9">
        <f>IF(Source!BS166&lt;&gt; 0, Source!BS166, 1)</f>
        <v>1</v>
      </c>
      <c r="J123" s="25">
        <f>Source!R166</f>
        <v>1719.97</v>
      </c>
      <c r="K123" s="20"/>
    </row>
    <row r="124" spans="1:22" ht="14.25" x14ac:dyDescent="0.2">
      <c r="A124" s="15"/>
      <c r="B124" s="16"/>
      <c r="C124" s="16" t="s">
        <v>562</v>
      </c>
      <c r="D124" s="17" t="s">
        <v>563</v>
      </c>
      <c r="E124" s="9">
        <f>Source!AT166</f>
        <v>70</v>
      </c>
      <c r="F124" s="19"/>
      <c r="G124" s="18"/>
      <c r="H124" s="9"/>
      <c r="I124" s="9"/>
      <c r="J124" s="20">
        <f>SUM(R119:R123)</f>
        <v>124.8</v>
      </c>
      <c r="K124" s="20"/>
    </row>
    <row r="125" spans="1:22" ht="14.25" x14ac:dyDescent="0.2">
      <c r="A125" s="15"/>
      <c r="B125" s="16"/>
      <c r="C125" s="16" t="s">
        <v>564</v>
      </c>
      <c r="D125" s="17" t="s">
        <v>563</v>
      </c>
      <c r="E125" s="9">
        <f>Source!AU166</f>
        <v>10</v>
      </c>
      <c r="F125" s="19"/>
      <c r="G125" s="18"/>
      <c r="H125" s="9"/>
      <c r="I125" s="9"/>
      <c r="J125" s="20">
        <f>SUM(T119:T124)</f>
        <v>17.829999999999998</v>
      </c>
      <c r="K125" s="20"/>
    </row>
    <row r="126" spans="1:22" ht="14.25" x14ac:dyDescent="0.2">
      <c r="A126" s="15"/>
      <c r="B126" s="16"/>
      <c r="C126" s="16" t="s">
        <v>568</v>
      </c>
      <c r="D126" s="17" t="s">
        <v>563</v>
      </c>
      <c r="E126" s="9">
        <f>108</f>
        <v>108</v>
      </c>
      <c r="F126" s="19"/>
      <c r="G126" s="18"/>
      <c r="H126" s="9"/>
      <c r="I126" s="9"/>
      <c r="J126" s="20">
        <f>SUM(V119:V125)</f>
        <v>1857.57</v>
      </c>
      <c r="K126" s="20"/>
    </row>
    <row r="127" spans="1:22" ht="14.25" x14ac:dyDescent="0.2">
      <c r="A127" s="15"/>
      <c r="B127" s="16"/>
      <c r="C127" s="16" t="s">
        <v>565</v>
      </c>
      <c r="D127" s="17" t="s">
        <v>566</v>
      </c>
      <c r="E127" s="9">
        <f>Source!AQ166</f>
        <v>3.39</v>
      </c>
      <c r="F127" s="19"/>
      <c r="G127" s="18" t="str">
        <f>Source!DI166</f>
        <v/>
      </c>
      <c r="H127" s="9">
        <f>Source!AV166</f>
        <v>1</v>
      </c>
      <c r="I127" s="9"/>
      <c r="J127" s="20"/>
      <c r="K127" s="20">
        <f>Source!U166</f>
        <v>1.0358145000000001</v>
      </c>
    </row>
    <row r="128" spans="1:22" ht="15" x14ac:dyDescent="0.25">
      <c r="A128" s="23"/>
      <c r="B128" s="23"/>
      <c r="C128" s="23"/>
      <c r="D128" s="23"/>
      <c r="E128" s="23"/>
      <c r="F128" s="23"/>
      <c r="G128" s="23"/>
      <c r="H128" s="23"/>
      <c r="I128" s="65">
        <f>J121+J122+J124+J125+J126</f>
        <v>4689.75</v>
      </c>
      <c r="J128" s="65"/>
      <c r="K128" s="24">
        <f>IF(Source!I166&lt;&gt;0, ROUND(I128/Source!I166, 2), 0)</f>
        <v>15348.55</v>
      </c>
      <c r="P128" s="22">
        <f>I128</f>
        <v>4689.75</v>
      </c>
    </row>
    <row r="129" spans="1:22" ht="42.75" x14ac:dyDescent="0.2">
      <c r="A129" s="15" t="str">
        <f>Source!E167</f>
        <v>24</v>
      </c>
      <c r="B129" s="16" t="str">
        <f>Source!F167</f>
        <v>2.49-3201-14-1/1</v>
      </c>
      <c r="C129" s="16" t="str">
        <f>Source!G167</f>
        <v>Разработка грунта вручную в траншеях глубиной до 2 м без креплений с откосами, группа грунтов 1-3</v>
      </c>
      <c r="D129" s="17" t="str">
        <f>Source!H167</f>
        <v>100 м3</v>
      </c>
      <c r="E129" s="9">
        <f>Source!I167</f>
        <v>3.3950000000000001E-2</v>
      </c>
      <c r="F129" s="19"/>
      <c r="G129" s="18"/>
      <c r="H129" s="9"/>
      <c r="I129" s="9"/>
      <c r="J129" s="20"/>
      <c r="K129" s="20"/>
      <c r="Q129">
        <f>ROUND((Source!BZ167/100)*ROUND((Source!AF167*Source!AV167)*Source!I167, 2), 2)</f>
        <v>949.47</v>
      </c>
      <c r="R129">
        <f>Source!X167</f>
        <v>949.47</v>
      </c>
      <c r="S129">
        <f>ROUND((Source!CA167/100)*ROUND((Source!AF167*Source!AV167)*Source!I167, 2), 2)</f>
        <v>135.63999999999999</v>
      </c>
      <c r="T129">
        <f>Source!Y167</f>
        <v>135.63999999999999</v>
      </c>
      <c r="U129">
        <f>ROUND((175/100)*ROUND((Source!AE167*Source!AV167)*Source!I167, 2), 2)</f>
        <v>0</v>
      </c>
      <c r="V129">
        <f>ROUND((108/100)*ROUND(Source!CS167*Source!I167, 2), 2)</f>
        <v>0</v>
      </c>
    </row>
    <row r="130" spans="1:22" x14ac:dyDescent="0.2">
      <c r="C130" s="21" t="str">
        <f>"Объем: "&amp;Source!I167&amp;"=((339,5*"&amp;"0,1)/"&amp;"100)*"&amp;"0,1"</f>
        <v>Объем: 0,03395=((339,5*0,1)/100)*0,1</v>
      </c>
    </row>
    <row r="131" spans="1:22" ht="14.25" x14ac:dyDescent="0.2">
      <c r="A131" s="15"/>
      <c r="B131" s="16"/>
      <c r="C131" s="16" t="s">
        <v>560</v>
      </c>
      <c r="D131" s="17"/>
      <c r="E131" s="9"/>
      <c r="F131" s="19">
        <f>Source!AO167</f>
        <v>39952.26</v>
      </c>
      <c r="G131" s="18" t="str">
        <f>Source!DG167</f>
        <v/>
      </c>
      <c r="H131" s="9">
        <f>Source!AV167</f>
        <v>1</v>
      </c>
      <c r="I131" s="9">
        <f>IF(Source!BA167&lt;&gt; 0, Source!BA167, 1)</f>
        <v>1</v>
      </c>
      <c r="J131" s="20">
        <f>Source!S167</f>
        <v>1356.38</v>
      </c>
      <c r="K131" s="20"/>
    </row>
    <row r="132" spans="1:22" ht="14.25" x14ac:dyDescent="0.2">
      <c r="A132" s="15"/>
      <c r="B132" s="16"/>
      <c r="C132" s="16" t="s">
        <v>562</v>
      </c>
      <c r="D132" s="17" t="s">
        <v>563</v>
      </c>
      <c r="E132" s="9">
        <f>Source!AT167</f>
        <v>70</v>
      </c>
      <c r="F132" s="19"/>
      <c r="G132" s="18"/>
      <c r="H132" s="9"/>
      <c r="I132" s="9"/>
      <c r="J132" s="20">
        <f>SUM(R129:R131)</f>
        <v>949.47</v>
      </c>
      <c r="K132" s="20"/>
    </row>
    <row r="133" spans="1:22" ht="14.25" x14ac:dyDescent="0.2">
      <c r="A133" s="15"/>
      <c r="B133" s="16"/>
      <c r="C133" s="16" t="s">
        <v>564</v>
      </c>
      <c r="D133" s="17" t="s">
        <v>563</v>
      </c>
      <c r="E133" s="9">
        <f>Source!AU167</f>
        <v>10</v>
      </c>
      <c r="F133" s="19"/>
      <c r="G133" s="18"/>
      <c r="H133" s="9"/>
      <c r="I133" s="9"/>
      <c r="J133" s="20">
        <f>SUM(T129:T132)</f>
        <v>135.63999999999999</v>
      </c>
      <c r="K133" s="20"/>
    </row>
    <row r="134" spans="1:22" ht="14.25" x14ac:dyDescent="0.2">
      <c r="A134" s="15"/>
      <c r="B134" s="16"/>
      <c r="C134" s="16" t="s">
        <v>565</v>
      </c>
      <c r="D134" s="17" t="s">
        <v>566</v>
      </c>
      <c r="E134" s="9">
        <f>Source!AQ167</f>
        <v>221.6</v>
      </c>
      <c r="F134" s="19"/>
      <c r="G134" s="18" t="str">
        <f>Source!DI167</f>
        <v/>
      </c>
      <c r="H134" s="9">
        <f>Source!AV167</f>
        <v>1</v>
      </c>
      <c r="I134" s="9"/>
      <c r="J134" s="20"/>
      <c r="K134" s="20">
        <f>Source!U167</f>
        <v>7.52332</v>
      </c>
    </row>
    <row r="135" spans="1:22" ht="15" x14ac:dyDescent="0.25">
      <c r="A135" s="23"/>
      <c r="B135" s="23"/>
      <c r="C135" s="23"/>
      <c r="D135" s="23"/>
      <c r="E135" s="23"/>
      <c r="F135" s="23"/>
      <c r="G135" s="23"/>
      <c r="H135" s="23"/>
      <c r="I135" s="65">
        <f>J131+J132+J133</f>
        <v>2441.4900000000002</v>
      </c>
      <c r="J135" s="65"/>
      <c r="K135" s="24">
        <f>IF(Source!I167&lt;&gt;0, ROUND(I135/Source!I167, 2), 0)</f>
        <v>71914.289999999994</v>
      </c>
      <c r="P135" s="22">
        <f>I135</f>
        <v>2441.4900000000002</v>
      </c>
    </row>
    <row r="136" spans="1:22" ht="42.75" x14ac:dyDescent="0.2">
      <c r="A136" s="15" t="str">
        <f>Source!E168</f>
        <v>25</v>
      </c>
      <c r="B136" s="16" t="str">
        <f>Source!F168</f>
        <v>1.49-9101-7-1/1</v>
      </c>
      <c r="C136" s="16" t="str">
        <f>Source!G168</f>
        <v>Механизированная погрузка строительного мусора в автомобили-самосвалы</v>
      </c>
      <c r="D136" s="17" t="str">
        <f>Source!H168</f>
        <v>т</v>
      </c>
      <c r="E136" s="9">
        <f>Source!I168</f>
        <v>1.5277499999999999</v>
      </c>
      <c r="F136" s="19"/>
      <c r="G136" s="18"/>
      <c r="H136" s="9"/>
      <c r="I136" s="9"/>
      <c r="J136" s="20"/>
      <c r="K136" s="20"/>
      <c r="Q136">
        <f>ROUND((Source!BZ168/100)*ROUND((Source!AF168*Source!AV168)*Source!I168, 2), 2)</f>
        <v>0</v>
      </c>
      <c r="R136">
        <f>Source!X168</f>
        <v>0</v>
      </c>
      <c r="S136">
        <f>ROUND((Source!CA168/100)*ROUND((Source!AF168*Source!AV168)*Source!I168, 2), 2)</f>
        <v>0</v>
      </c>
      <c r="T136">
        <f>Source!Y168</f>
        <v>0</v>
      </c>
      <c r="U136">
        <f>ROUND((175/100)*ROUND((Source!AE168*Source!AV168)*Source!I168, 2), 2)</f>
        <v>65.75</v>
      </c>
      <c r="V136">
        <f>ROUND((108/100)*ROUND(Source!CS168*Source!I168, 2), 2)</f>
        <v>40.58</v>
      </c>
    </row>
    <row r="137" spans="1:22" ht="25.5" x14ac:dyDescent="0.2">
      <c r="C137" s="21" t="str">
        <f>"Объем: "&amp;Source!I168&amp;"=((("&amp;Source!I166&amp;"+"&amp;""&amp;Source!I167&amp;")*"&amp;"10)*"&amp;"0,6)*"&amp;"0,75"</f>
        <v>Объем: 1,52775=(((0,30555+0,03395)*10)*0,6)*0,75</v>
      </c>
    </row>
    <row r="138" spans="1:22" ht="14.25" x14ac:dyDescent="0.2">
      <c r="A138" s="15"/>
      <c r="B138" s="16"/>
      <c r="C138" s="16" t="s">
        <v>561</v>
      </c>
      <c r="D138" s="17"/>
      <c r="E138" s="9"/>
      <c r="F138" s="19">
        <f>Source!AM168</f>
        <v>77.959999999999994</v>
      </c>
      <c r="G138" s="18" t="str">
        <f>Source!DE168</f>
        <v/>
      </c>
      <c r="H138" s="9">
        <f>Source!AV168</f>
        <v>1</v>
      </c>
      <c r="I138" s="9">
        <f>IF(Source!BB168&lt;&gt; 0, Source!BB168, 1)</f>
        <v>1</v>
      </c>
      <c r="J138" s="20">
        <f>Source!Q168</f>
        <v>119.1</v>
      </c>
      <c r="K138" s="20"/>
    </row>
    <row r="139" spans="1:22" ht="14.25" x14ac:dyDescent="0.2">
      <c r="A139" s="15"/>
      <c r="B139" s="16"/>
      <c r="C139" s="16" t="s">
        <v>567</v>
      </c>
      <c r="D139" s="17"/>
      <c r="E139" s="9"/>
      <c r="F139" s="19">
        <f>Source!AN168</f>
        <v>24.59</v>
      </c>
      <c r="G139" s="18" t="str">
        <f>Source!DF168</f>
        <v/>
      </c>
      <c r="H139" s="9">
        <f>Source!AV168</f>
        <v>1</v>
      </c>
      <c r="I139" s="9">
        <f>IF(Source!BS168&lt;&gt; 0, Source!BS168, 1)</f>
        <v>1</v>
      </c>
      <c r="J139" s="25">
        <f>Source!R168</f>
        <v>37.57</v>
      </c>
      <c r="K139" s="20"/>
    </row>
    <row r="140" spans="1:22" ht="14.25" x14ac:dyDescent="0.2">
      <c r="A140" s="15"/>
      <c r="B140" s="16"/>
      <c r="C140" s="16" t="s">
        <v>568</v>
      </c>
      <c r="D140" s="17" t="s">
        <v>563</v>
      </c>
      <c r="E140" s="9">
        <f>108</f>
        <v>108</v>
      </c>
      <c r="F140" s="19"/>
      <c r="G140" s="18"/>
      <c r="H140" s="9"/>
      <c r="I140" s="9"/>
      <c r="J140" s="20">
        <f>SUM(V136:V139)</f>
        <v>40.58</v>
      </c>
      <c r="K140" s="20"/>
    </row>
    <row r="141" spans="1:22" ht="15" x14ac:dyDescent="0.25">
      <c r="A141" s="23"/>
      <c r="B141" s="23"/>
      <c r="C141" s="23"/>
      <c r="D141" s="23"/>
      <c r="E141" s="23"/>
      <c r="F141" s="23"/>
      <c r="G141" s="23"/>
      <c r="H141" s="23"/>
      <c r="I141" s="65">
        <f>J138+J140</f>
        <v>159.68</v>
      </c>
      <c r="J141" s="65"/>
      <c r="K141" s="24">
        <f>IF(Source!I168&lt;&gt;0, ROUND(I141/Source!I168, 2), 0)</f>
        <v>104.52</v>
      </c>
      <c r="P141" s="22">
        <f>I141</f>
        <v>159.68</v>
      </c>
    </row>
    <row r="142" spans="1:22" ht="42.75" x14ac:dyDescent="0.2">
      <c r="A142" s="15" t="str">
        <f>Source!E169</f>
        <v>26</v>
      </c>
      <c r="B142" s="16" t="str">
        <f>Source!F169</f>
        <v>1.50-3305-4-1/1</v>
      </c>
      <c r="C142" s="16" t="str">
        <f>Source!G169</f>
        <v>Погрузка и выгрузка вручную строительного мусора на транспортные средства</v>
      </c>
      <c r="D142" s="17" t="str">
        <f>Source!H169</f>
        <v>т</v>
      </c>
      <c r="E142" s="9">
        <f>Source!I169</f>
        <v>0.50924999999999998</v>
      </c>
      <c r="F142" s="19"/>
      <c r="G142" s="18"/>
      <c r="H142" s="9"/>
      <c r="I142" s="9"/>
      <c r="J142" s="20"/>
      <c r="K142" s="20"/>
      <c r="Q142">
        <f>ROUND((Source!BZ169/100)*ROUND((Source!AF169*Source!AV169)*Source!I169, 2), 2)</f>
        <v>42.67</v>
      </c>
      <c r="R142">
        <f>Source!X169</f>
        <v>42.67</v>
      </c>
      <c r="S142">
        <f>ROUND((Source!CA169/100)*ROUND((Source!AF169*Source!AV169)*Source!I169, 2), 2)</f>
        <v>6.1</v>
      </c>
      <c r="T142">
        <f>Source!Y169</f>
        <v>6.1</v>
      </c>
      <c r="U142">
        <f>ROUND((175/100)*ROUND((Source!AE169*Source!AV169)*Source!I169, 2), 2)</f>
        <v>0</v>
      </c>
      <c r="V142">
        <f>ROUND((108/100)*ROUND(Source!CS169*Source!I169, 2), 2)</f>
        <v>0</v>
      </c>
    </row>
    <row r="143" spans="1:22" ht="25.5" x14ac:dyDescent="0.2">
      <c r="C143" s="21" t="str">
        <f>"Объем: "&amp;Source!I169&amp;"=((("&amp;Source!I166&amp;"+"&amp;""&amp;Source!I167&amp;")*"&amp;"10)*"&amp;"0,6)*"&amp;"0,25"</f>
        <v>Объем: 0,50925=(((0,30555+0,03395)*10)*0,6)*0,25</v>
      </c>
    </row>
    <row r="144" spans="1:22" ht="14.25" x14ac:dyDescent="0.2">
      <c r="A144" s="15"/>
      <c r="B144" s="16"/>
      <c r="C144" s="16" t="s">
        <v>560</v>
      </c>
      <c r="D144" s="17"/>
      <c r="E144" s="9"/>
      <c r="F144" s="19">
        <f>Source!AO169</f>
        <v>119.69</v>
      </c>
      <c r="G144" s="18" t="str">
        <f>Source!DG169</f>
        <v/>
      </c>
      <c r="H144" s="9">
        <f>Source!AV169</f>
        <v>1</v>
      </c>
      <c r="I144" s="9">
        <f>IF(Source!BA169&lt;&gt; 0, Source!BA169, 1)</f>
        <v>1</v>
      </c>
      <c r="J144" s="20">
        <f>Source!S169</f>
        <v>60.95</v>
      </c>
      <c r="K144" s="20"/>
    </row>
    <row r="145" spans="1:22" ht="14.25" x14ac:dyDescent="0.2">
      <c r="A145" s="15"/>
      <c r="B145" s="16"/>
      <c r="C145" s="16" t="s">
        <v>562</v>
      </c>
      <c r="D145" s="17" t="s">
        <v>563</v>
      </c>
      <c r="E145" s="9">
        <f>Source!AT169</f>
        <v>70</v>
      </c>
      <c r="F145" s="19"/>
      <c r="G145" s="18"/>
      <c r="H145" s="9"/>
      <c r="I145" s="9"/>
      <c r="J145" s="20">
        <f>SUM(R142:R144)</f>
        <v>42.67</v>
      </c>
      <c r="K145" s="20"/>
    </row>
    <row r="146" spans="1:22" ht="14.25" x14ac:dyDescent="0.2">
      <c r="A146" s="15"/>
      <c r="B146" s="16"/>
      <c r="C146" s="16" t="s">
        <v>564</v>
      </c>
      <c r="D146" s="17" t="s">
        <v>563</v>
      </c>
      <c r="E146" s="9">
        <f>Source!AU169</f>
        <v>10</v>
      </c>
      <c r="F146" s="19"/>
      <c r="G146" s="18"/>
      <c r="H146" s="9"/>
      <c r="I146" s="9"/>
      <c r="J146" s="20">
        <f>SUM(T142:T145)</f>
        <v>6.1</v>
      </c>
      <c r="K146" s="20"/>
    </row>
    <row r="147" spans="1:22" ht="14.25" x14ac:dyDescent="0.2">
      <c r="A147" s="15"/>
      <c r="B147" s="16"/>
      <c r="C147" s="16" t="s">
        <v>565</v>
      </c>
      <c r="D147" s="17" t="s">
        <v>566</v>
      </c>
      <c r="E147" s="9">
        <f>Source!AQ169</f>
        <v>1.02</v>
      </c>
      <c r="F147" s="19"/>
      <c r="G147" s="18" t="str">
        <f>Source!DI169</f>
        <v/>
      </c>
      <c r="H147" s="9">
        <f>Source!AV169</f>
        <v>1</v>
      </c>
      <c r="I147" s="9"/>
      <c r="J147" s="20"/>
      <c r="K147" s="20">
        <f>Source!U169</f>
        <v>0.51943499999999998</v>
      </c>
    </row>
    <row r="148" spans="1:22" ht="15" x14ac:dyDescent="0.25">
      <c r="A148" s="23"/>
      <c r="B148" s="23"/>
      <c r="C148" s="23"/>
      <c r="D148" s="23"/>
      <c r="E148" s="23"/>
      <c r="F148" s="23"/>
      <c r="G148" s="23"/>
      <c r="H148" s="23"/>
      <c r="I148" s="65">
        <f>J144+J145+J146</f>
        <v>109.72</v>
      </c>
      <c r="J148" s="65"/>
      <c r="K148" s="24">
        <f>IF(Source!I169&lt;&gt;0, ROUND(I148/Source!I169, 2), 0)</f>
        <v>215.45</v>
      </c>
      <c r="P148" s="22">
        <f>I148</f>
        <v>109.72</v>
      </c>
    </row>
    <row r="149" spans="1:22" ht="57" x14ac:dyDescent="0.2">
      <c r="A149" s="15" t="str">
        <f>Source!E170</f>
        <v>27</v>
      </c>
      <c r="B149" s="16" t="str">
        <f>Source!F170</f>
        <v>1.49-9201-1-2/1</v>
      </c>
      <c r="C149" s="16" t="str">
        <f>Source!G170</f>
        <v>Перевозка строительного мусора автосамосвалами грузоподъемностью до 10 т на расстояние 1 км - при механизированной погрузке</v>
      </c>
      <c r="D149" s="17" t="str">
        <f>Source!H170</f>
        <v>т</v>
      </c>
      <c r="E149" s="9">
        <f>Source!I170</f>
        <v>1.5277499999999999</v>
      </c>
      <c r="F149" s="19"/>
      <c r="G149" s="18"/>
      <c r="H149" s="9"/>
      <c r="I149" s="9"/>
      <c r="J149" s="20"/>
      <c r="K149" s="20"/>
      <c r="Q149">
        <f>ROUND((Source!BZ170/100)*ROUND((Source!AF170*Source!AV170)*Source!I170, 2), 2)</f>
        <v>0</v>
      </c>
      <c r="R149">
        <f>Source!X170</f>
        <v>0</v>
      </c>
      <c r="S149">
        <f>ROUND((Source!CA170/100)*ROUND((Source!AF170*Source!AV170)*Source!I170, 2), 2)</f>
        <v>0</v>
      </c>
      <c r="T149">
        <f>Source!Y170</f>
        <v>0</v>
      </c>
      <c r="U149">
        <f>ROUND((175/100)*ROUND((Source!AE170*Source!AV170)*Source!I170, 2), 2)</f>
        <v>98.98</v>
      </c>
      <c r="V149">
        <f>ROUND((108/100)*ROUND(Source!CS170*Source!I170, 2), 2)</f>
        <v>61.08</v>
      </c>
    </row>
    <row r="150" spans="1:22" ht="14.25" x14ac:dyDescent="0.2">
      <c r="A150" s="15"/>
      <c r="B150" s="16"/>
      <c r="C150" s="16" t="s">
        <v>561</v>
      </c>
      <c r="D150" s="17"/>
      <c r="E150" s="9"/>
      <c r="F150" s="19">
        <f>Source!AM170</f>
        <v>62.5</v>
      </c>
      <c r="G150" s="18" t="str">
        <f>Source!DE170</f>
        <v/>
      </c>
      <c r="H150" s="9">
        <f>Source!AV170</f>
        <v>1</v>
      </c>
      <c r="I150" s="9">
        <f>IF(Source!BB170&lt;&gt; 0, Source!BB170, 1)</f>
        <v>1</v>
      </c>
      <c r="J150" s="20">
        <f>Source!Q170</f>
        <v>95.48</v>
      </c>
      <c r="K150" s="20"/>
    </row>
    <row r="151" spans="1:22" ht="14.25" x14ac:dyDescent="0.2">
      <c r="A151" s="15"/>
      <c r="B151" s="16"/>
      <c r="C151" s="16" t="s">
        <v>567</v>
      </c>
      <c r="D151" s="17"/>
      <c r="E151" s="9"/>
      <c r="F151" s="19">
        <f>Source!AN170</f>
        <v>37.020000000000003</v>
      </c>
      <c r="G151" s="18" t="str">
        <f>Source!DF170</f>
        <v/>
      </c>
      <c r="H151" s="9">
        <f>Source!AV170</f>
        <v>1</v>
      </c>
      <c r="I151" s="9">
        <f>IF(Source!BS170&lt;&gt; 0, Source!BS170, 1)</f>
        <v>1</v>
      </c>
      <c r="J151" s="25">
        <f>Source!R170</f>
        <v>56.56</v>
      </c>
      <c r="K151" s="20"/>
    </row>
    <row r="152" spans="1:22" ht="15" x14ac:dyDescent="0.25">
      <c r="A152" s="23"/>
      <c r="B152" s="23"/>
      <c r="C152" s="23"/>
      <c r="D152" s="23"/>
      <c r="E152" s="23"/>
      <c r="F152" s="23"/>
      <c r="G152" s="23"/>
      <c r="H152" s="23"/>
      <c r="I152" s="65">
        <f>J150</f>
        <v>95.48</v>
      </c>
      <c r="J152" s="65"/>
      <c r="K152" s="24">
        <f>IF(Source!I170&lt;&gt;0, ROUND(I152/Source!I170, 2), 0)</f>
        <v>62.5</v>
      </c>
      <c r="P152" s="22">
        <f>I152</f>
        <v>95.48</v>
      </c>
    </row>
    <row r="153" spans="1:22" ht="57" x14ac:dyDescent="0.2">
      <c r="A153" s="15" t="str">
        <f>Source!E171</f>
        <v>28</v>
      </c>
      <c r="B153" s="16" t="str">
        <f>Source!F171</f>
        <v>1.49-9201-1-1/1</v>
      </c>
      <c r="C153" s="16" t="str">
        <f>Source!G171</f>
        <v>Перевозка строительного мусора автосамосвалами грузоподъемностью до 10 т на расстояние 1 км - при погрузке вручную</v>
      </c>
      <c r="D153" s="17" t="str">
        <f>Source!H171</f>
        <v>т</v>
      </c>
      <c r="E153" s="9">
        <f>Source!I171</f>
        <v>0.50924999999999998</v>
      </c>
      <c r="F153" s="19"/>
      <c r="G153" s="18"/>
      <c r="H153" s="9"/>
      <c r="I153" s="9"/>
      <c r="J153" s="20"/>
      <c r="K153" s="20"/>
      <c r="Q153">
        <f>ROUND((Source!BZ171/100)*ROUND((Source!AF171*Source!AV171)*Source!I171, 2), 2)</f>
        <v>0</v>
      </c>
      <c r="R153">
        <f>Source!X171</f>
        <v>0</v>
      </c>
      <c r="S153">
        <f>ROUND((Source!CA171/100)*ROUND((Source!AF171*Source!AV171)*Source!I171, 2), 2)</f>
        <v>0</v>
      </c>
      <c r="T153">
        <f>Source!Y171</f>
        <v>0</v>
      </c>
      <c r="U153">
        <f>ROUND((175/100)*ROUND((Source!AE171*Source!AV171)*Source!I171, 2), 2)</f>
        <v>94.64</v>
      </c>
      <c r="V153">
        <f>ROUND((108/100)*ROUND(Source!CS171*Source!I171, 2), 2)</f>
        <v>58.41</v>
      </c>
    </row>
    <row r="154" spans="1:22" ht="14.25" x14ac:dyDescent="0.2">
      <c r="A154" s="15"/>
      <c r="B154" s="16"/>
      <c r="C154" s="16" t="s">
        <v>561</v>
      </c>
      <c r="D154" s="17"/>
      <c r="E154" s="9"/>
      <c r="F154" s="19">
        <f>Source!AM171</f>
        <v>179.4</v>
      </c>
      <c r="G154" s="18" t="str">
        <f>Source!DE171</f>
        <v/>
      </c>
      <c r="H154" s="9">
        <f>Source!AV171</f>
        <v>1</v>
      </c>
      <c r="I154" s="9">
        <f>IF(Source!BB171&lt;&gt; 0, Source!BB171, 1)</f>
        <v>1</v>
      </c>
      <c r="J154" s="20">
        <f>Source!Q171</f>
        <v>91.36</v>
      </c>
      <c r="K154" s="20"/>
    </row>
    <row r="155" spans="1:22" ht="14.25" x14ac:dyDescent="0.2">
      <c r="A155" s="15"/>
      <c r="B155" s="16"/>
      <c r="C155" s="16" t="s">
        <v>567</v>
      </c>
      <c r="D155" s="17"/>
      <c r="E155" s="9"/>
      <c r="F155" s="19">
        <f>Source!AN171</f>
        <v>106.2</v>
      </c>
      <c r="G155" s="18" t="str">
        <f>Source!DF171</f>
        <v/>
      </c>
      <c r="H155" s="9">
        <f>Source!AV171</f>
        <v>1</v>
      </c>
      <c r="I155" s="9">
        <f>IF(Source!BS171&lt;&gt; 0, Source!BS171, 1)</f>
        <v>1</v>
      </c>
      <c r="J155" s="25">
        <f>Source!R171</f>
        <v>54.08</v>
      </c>
      <c r="K155" s="20"/>
    </row>
    <row r="156" spans="1:22" ht="15" x14ac:dyDescent="0.25">
      <c r="A156" s="23"/>
      <c r="B156" s="23"/>
      <c r="C156" s="23"/>
      <c r="D156" s="23"/>
      <c r="E156" s="23"/>
      <c r="F156" s="23"/>
      <c r="G156" s="23"/>
      <c r="H156" s="23"/>
      <c r="I156" s="65">
        <f>J154</f>
        <v>91.36</v>
      </c>
      <c r="J156" s="65"/>
      <c r="K156" s="24">
        <f>IF(Source!I171&lt;&gt;0, ROUND(I156/Source!I171, 2), 0)</f>
        <v>179.4</v>
      </c>
      <c r="P156" s="22">
        <f>I156</f>
        <v>91.36</v>
      </c>
    </row>
    <row r="157" spans="1:22" ht="57" x14ac:dyDescent="0.2">
      <c r="A157" s="15" t="str">
        <f>Source!E172</f>
        <v>29</v>
      </c>
      <c r="B157" s="16" t="str">
        <f>Source!F172</f>
        <v>1.49-9201-1-3/1</v>
      </c>
      <c r="C157" s="16" t="str">
        <f>Source!G172</f>
        <v>Перевозка строительного мусора автосамосвалами грузоподъемностью до 10 т - добавляется на каждый последующий 1 км до 100 км</v>
      </c>
      <c r="D157" s="17" t="str">
        <f>Source!H172</f>
        <v>т</v>
      </c>
      <c r="E157" s="9">
        <f>Source!I172</f>
        <v>2.0369999999999999</v>
      </c>
      <c r="F157" s="19"/>
      <c r="G157" s="18"/>
      <c r="H157" s="9"/>
      <c r="I157" s="9"/>
      <c r="J157" s="20"/>
      <c r="K157" s="20"/>
      <c r="Q157">
        <f>ROUND((Source!BZ172/100)*ROUND((Source!AF172*Source!AV172)*Source!I172, 2), 2)</f>
        <v>0</v>
      </c>
      <c r="R157">
        <f>Source!X172</f>
        <v>0</v>
      </c>
      <c r="S157">
        <f>ROUND((Source!CA172/100)*ROUND((Source!AF172*Source!AV172)*Source!I172, 2), 2)</f>
        <v>0</v>
      </c>
      <c r="T157">
        <f>Source!Y172</f>
        <v>0</v>
      </c>
      <c r="U157">
        <f>ROUND((175/100)*ROUND((Source!AE172*Source!AV172)*Source!I172, 2), 2)</f>
        <v>1000.41</v>
      </c>
      <c r="V157">
        <f>ROUND((108/100)*ROUND(Source!CS172*Source!I172, 2), 2)</f>
        <v>617.39</v>
      </c>
    </row>
    <row r="158" spans="1:22" x14ac:dyDescent="0.2">
      <c r="C158" s="21" t="str">
        <f>"Объем: "&amp;Source!I172&amp;"="&amp;Source!I171&amp;"+"&amp;""&amp;Source!I170&amp;""</f>
        <v>Объем: 2,037=0,50925+1,52775</v>
      </c>
    </row>
    <row r="159" spans="1:22" ht="14.25" x14ac:dyDescent="0.2">
      <c r="A159" s="15"/>
      <c r="B159" s="16"/>
      <c r="C159" s="16" t="s">
        <v>561</v>
      </c>
      <c r="D159" s="17"/>
      <c r="E159" s="9"/>
      <c r="F159" s="19">
        <f>Source!AM172</f>
        <v>29.58</v>
      </c>
      <c r="G159" s="18" t="str">
        <f>Source!DE172</f>
        <v>*16</v>
      </c>
      <c r="H159" s="9">
        <f>Source!AV172</f>
        <v>1</v>
      </c>
      <c r="I159" s="9">
        <f>IF(Source!BB172&lt;&gt; 0, Source!BB172, 1)</f>
        <v>1</v>
      </c>
      <c r="J159" s="20">
        <f>Source!Q172</f>
        <v>964.07</v>
      </c>
      <c r="K159" s="20"/>
    </row>
    <row r="160" spans="1:22" ht="14.25" x14ac:dyDescent="0.2">
      <c r="A160" s="15"/>
      <c r="B160" s="16"/>
      <c r="C160" s="16" t="s">
        <v>567</v>
      </c>
      <c r="D160" s="17"/>
      <c r="E160" s="9"/>
      <c r="F160" s="19">
        <f>Source!AN172</f>
        <v>17.54</v>
      </c>
      <c r="G160" s="18" t="str">
        <f>Source!DF172</f>
        <v>*16</v>
      </c>
      <c r="H160" s="9">
        <f>Source!AV172</f>
        <v>1</v>
      </c>
      <c r="I160" s="9">
        <f>IF(Source!BS172&lt;&gt; 0, Source!BS172, 1)</f>
        <v>1</v>
      </c>
      <c r="J160" s="25">
        <f>Source!R172</f>
        <v>571.66</v>
      </c>
      <c r="K160" s="20"/>
    </row>
    <row r="161" spans="1:22" ht="15" x14ac:dyDescent="0.25">
      <c r="A161" s="23"/>
      <c r="B161" s="23"/>
      <c r="C161" s="23"/>
      <c r="D161" s="23"/>
      <c r="E161" s="23"/>
      <c r="F161" s="23"/>
      <c r="G161" s="23"/>
      <c r="H161" s="23"/>
      <c r="I161" s="65">
        <f>J159</f>
        <v>964.07</v>
      </c>
      <c r="J161" s="65"/>
      <c r="K161" s="24">
        <f>IF(Source!I172&lt;&gt;0, ROUND(I161/Source!I172, 2), 0)</f>
        <v>473.28</v>
      </c>
      <c r="P161" s="22">
        <f>I161</f>
        <v>964.07</v>
      </c>
    </row>
    <row r="162" spans="1:22" ht="28.5" x14ac:dyDescent="0.2">
      <c r="A162" s="15" t="str">
        <f>Source!E173</f>
        <v>30</v>
      </c>
      <c r="B162" s="16" t="str">
        <f>Source!F173</f>
        <v>21.25-0-1</v>
      </c>
      <c r="C162" s="16" t="str">
        <f>Source!G173</f>
        <v>Содержание свалки отходов строительства и сноса</v>
      </c>
      <c r="D162" s="17" t="str">
        <f>Source!H173</f>
        <v>т</v>
      </c>
      <c r="E162" s="9">
        <f>Source!I173</f>
        <v>2.0369999999999999</v>
      </c>
      <c r="F162" s="19">
        <f>Source!AL173</f>
        <v>197.96</v>
      </c>
      <c r="G162" s="18" t="str">
        <f>Source!DD173</f>
        <v/>
      </c>
      <c r="H162" s="9">
        <f>Source!AW173</f>
        <v>1</v>
      </c>
      <c r="I162" s="9">
        <f>IF(Source!BC173&lt;&gt; 0, Source!BC173, 1)</f>
        <v>1</v>
      </c>
      <c r="J162" s="20">
        <f>Source!P173</f>
        <v>403.24</v>
      </c>
      <c r="K162" s="20"/>
      <c r="Q162">
        <f>ROUND((Source!BZ173/100)*ROUND((Source!AF173*Source!AV173)*Source!I173, 2), 2)</f>
        <v>0</v>
      </c>
      <c r="R162">
        <f>Source!X173</f>
        <v>0</v>
      </c>
      <c r="S162">
        <f>ROUND((Source!CA173/100)*ROUND((Source!AF173*Source!AV173)*Source!I173, 2), 2)</f>
        <v>0</v>
      </c>
      <c r="T162">
        <f>Source!Y173</f>
        <v>0</v>
      </c>
      <c r="U162">
        <f>ROUND((175/100)*ROUND((Source!AE173*Source!AV173)*Source!I173, 2), 2)</f>
        <v>0</v>
      </c>
      <c r="V162">
        <f>ROUND((108/100)*ROUND(Source!CS173*Source!I173, 2), 2)</f>
        <v>0</v>
      </c>
    </row>
    <row r="163" spans="1:22" ht="15" x14ac:dyDescent="0.25">
      <c r="A163" s="23"/>
      <c r="B163" s="23"/>
      <c r="C163" s="23"/>
      <c r="D163" s="23"/>
      <c r="E163" s="23"/>
      <c r="F163" s="23"/>
      <c r="G163" s="23"/>
      <c r="H163" s="23"/>
      <c r="I163" s="65">
        <f>J162</f>
        <v>403.24</v>
      </c>
      <c r="J163" s="65"/>
      <c r="K163" s="24">
        <f>IF(Source!I173&lt;&gt;0, ROUND(I163/Source!I173, 2), 0)</f>
        <v>197.96</v>
      </c>
      <c r="P163" s="22">
        <f>I163</f>
        <v>403.24</v>
      </c>
    </row>
    <row r="164" spans="1:22" ht="42.75" x14ac:dyDescent="0.2">
      <c r="A164" s="15" t="str">
        <f>Source!E177</f>
        <v>34</v>
      </c>
      <c r="B164" s="16" t="str">
        <f>Source!F177</f>
        <v>2.1-3303-1-1/1</v>
      </c>
      <c r="C164" s="16" t="str">
        <f>Source!G177</f>
        <v>Устройство подстилающих и выравнивающих слоев оснований из песка</v>
      </c>
      <c r="D164" s="17" t="str">
        <f>Source!H177</f>
        <v>100 м3</v>
      </c>
      <c r="E164" s="9">
        <f>Source!I177</f>
        <v>0.33950000000000002</v>
      </c>
      <c r="F164" s="19"/>
      <c r="G164" s="18"/>
      <c r="H164" s="9"/>
      <c r="I164" s="9"/>
      <c r="J164" s="20"/>
      <c r="K164" s="20"/>
      <c r="Q164">
        <f>ROUND((Source!BZ177/100)*ROUND((Source!AF177*Source!AV177)*Source!I177, 2), 2)</f>
        <v>701.5</v>
      </c>
      <c r="R164">
        <f>Source!X177</f>
        <v>701.5</v>
      </c>
      <c r="S164">
        <f>ROUND((Source!CA177/100)*ROUND((Source!AF177*Source!AV177)*Source!I177, 2), 2)</f>
        <v>100.21</v>
      </c>
      <c r="T164">
        <f>Source!Y177</f>
        <v>100.21</v>
      </c>
      <c r="U164">
        <f>ROUND((175/100)*ROUND((Source!AE177*Source!AV177)*Source!I177, 2), 2)</f>
        <v>1986.01</v>
      </c>
      <c r="V164">
        <f>ROUND((108/100)*ROUND(Source!CS177*Source!I177, 2), 2)</f>
        <v>1225.6500000000001</v>
      </c>
    </row>
    <row r="165" spans="1:22" x14ac:dyDescent="0.2">
      <c r="C165" s="21" t="str">
        <f>"Объем: "&amp;Source!I177&amp;"=(339,5*"&amp;"0,1)/"&amp;"100"</f>
        <v>Объем: 0,3395=(339,5*0,1)/100</v>
      </c>
    </row>
    <row r="166" spans="1:22" ht="14.25" x14ac:dyDescent="0.2">
      <c r="A166" s="15"/>
      <c r="B166" s="16"/>
      <c r="C166" s="16" t="s">
        <v>560</v>
      </c>
      <c r="D166" s="17"/>
      <c r="E166" s="9"/>
      <c r="F166" s="19">
        <f>Source!AO177</f>
        <v>2951.82</v>
      </c>
      <c r="G166" s="18" t="str">
        <f>Source!DG177</f>
        <v/>
      </c>
      <c r="H166" s="9">
        <f>Source!AV177</f>
        <v>1</v>
      </c>
      <c r="I166" s="9">
        <f>IF(Source!BA177&lt;&gt; 0, Source!BA177, 1)</f>
        <v>1</v>
      </c>
      <c r="J166" s="20">
        <f>Source!S177</f>
        <v>1002.14</v>
      </c>
      <c r="K166" s="20"/>
    </row>
    <row r="167" spans="1:22" ht="14.25" x14ac:dyDescent="0.2">
      <c r="A167" s="15"/>
      <c r="B167" s="16"/>
      <c r="C167" s="16" t="s">
        <v>561</v>
      </c>
      <c r="D167" s="17"/>
      <c r="E167" s="9"/>
      <c r="F167" s="19">
        <f>Source!AM177</f>
        <v>8265.0300000000007</v>
      </c>
      <c r="G167" s="18" t="str">
        <f>Source!DE177</f>
        <v/>
      </c>
      <c r="H167" s="9">
        <f>Source!AV177</f>
        <v>1</v>
      </c>
      <c r="I167" s="9">
        <f>IF(Source!BB177&lt;&gt; 0, Source!BB177, 1)</f>
        <v>1</v>
      </c>
      <c r="J167" s="20">
        <f>Source!Q177</f>
        <v>2805.98</v>
      </c>
      <c r="K167" s="20"/>
    </row>
    <row r="168" spans="1:22" ht="14.25" x14ac:dyDescent="0.2">
      <c r="A168" s="15"/>
      <c r="B168" s="16"/>
      <c r="C168" s="16" t="s">
        <v>567</v>
      </c>
      <c r="D168" s="17"/>
      <c r="E168" s="9"/>
      <c r="F168" s="19">
        <f>Source!AN177</f>
        <v>3342.74</v>
      </c>
      <c r="G168" s="18" t="str">
        <f>Source!DF177</f>
        <v/>
      </c>
      <c r="H168" s="9">
        <f>Source!AV177</f>
        <v>1</v>
      </c>
      <c r="I168" s="9">
        <f>IF(Source!BS177&lt;&gt; 0, Source!BS177, 1)</f>
        <v>1</v>
      </c>
      <c r="J168" s="25">
        <f>Source!R177</f>
        <v>1134.8599999999999</v>
      </c>
      <c r="K168" s="20"/>
    </row>
    <row r="169" spans="1:22" ht="14.25" x14ac:dyDescent="0.2">
      <c r="A169" s="15"/>
      <c r="B169" s="16"/>
      <c r="C169" s="16" t="s">
        <v>575</v>
      </c>
      <c r="D169" s="17"/>
      <c r="E169" s="9"/>
      <c r="F169" s="19">
        <f>Source!AL177</f>
        <v>65154.45</v>
      </c>
      <c r="G169" s="18" t="str">
        <f>Source!DD177</f>
        <v/>
      </c>
      <c r="H169" s="9">
        <f>Source!AW177</f>
        <v>1</v>
      </c>
      <c r="I169" s="9">
        <f>IF(Source!BC177&lt;&gt; 0, Source!BC177, 1)</f>
        <v>1</v>
      </c>
      <c r="J169" s="20">
        <f>Source!P177</f>
        <v>22119.94</v>
      </c>
      <c r="K169" s="20"/>
    </row>
    <row r="170" spans="1:22" ht="14.25" x14ac:dyDescent="0.2">
      <c r="A170" s="15"/>
      <c r="B170" s="16"/>
      <c r="C170" s="16" t="s">
        <v>562</v>
      </c>
      <c r="D170" s="17" t="s">
        <v>563</v>
      </c>
      <c r="E170" s="9">
        <f>Source!AT177</f>
        <v>70</v>
      </c>
      <c r="F170" s="19"/>
      <c r="G170" s="18"/>
      <c r="H170" s="9"/>
      <c r="I170" s="9"/>
      <c r="J170" s="20">
        <f>SUM(R164:R169)</f>
        <v>701.5</v>
      </c>
      <c r="K170" s="20"/>
    </row>
    <row r="171" spans="1:22" ht="14.25" x14ac:dyDescent="0.2">
      <c r="A171" s="15"/>
      <c r="B171" s="16"/>
      <c r="C171" s="16" t="s">
        <v>564</v>
      </c>
      <c r="D171" s="17" t="s">
        <v>563</v>
      </c>
      <c r="E171" s="9">
        <f>Source!AU177</f>
        <v>10</v>
      </c>
      <c r="F171" s="19"/>
      <c r="G171" s="18"/>
      <c r="H171" s="9"/>
      <c r="I171" s="9"/>
      <c r="J171" s="20">
        <f>SUM(T164:T170)</f>
        <v>100.21</v>
      </c>
      <c r="K171" s="20"/>
    </row>
    <row r="172" spans="1:22" ht="14.25" x14ac:dyDescent="0.2">
      <c r="A172" s="15"/>
      <c r="B172" s="16"/>
      <c r="C172" s="16" t="s">
        <v>568</v>
      </c>
      <c r="D172" s="17" t="s">
        <v>563</v>
      </c>
      <c r="E172" s="9">
        <f>108</f>
        <v>108</v>
      </c>
      <c r="F172" s="19"/>
      <c r="G172" s="18"/>
      <c r="H172" s="9"/>
      <c r="I172" s="9"/>
      <c r="J172" s="20">
        <f>SUM(V164:V171)</f>
        <v>1225.6500000000001</v>
      </c>
      <c r="K172" s="20"/>
    </row>
    <row r="173" spans="1:22" ht="14.25" x14ac:dyDescent="0.2">
      <c r="A173" s="15"/>
      <c r="B173" s="16"/>
      <c r="C173" s="16" t="s">
        <v>565</v>
      </c>
      <c r="D173" s="17" t="s">
        <v>566</v>
      </c>
      <c r="E173" s="9">
        <f>Source!AQ177</f>
        <v>16.559999999999999</v>
      </c>
      <c r="F173" s="19"/>
      <c r="G173" s="18" t="str">
        <f>Source!DI177</f>
        <v/>
      </c>
      <c r="H173" s="9">
        <f>Source!AV177</f>
        <v>1</v>
      </c>
      <c r="I173" s="9"/>
      <c r="J173" s="20"/>
      <c r="K173" s="20">
        <f>Source!U177</f>
        <v>5.6221199999999998</v>
      </c>
    </row>
    <row r="174" spans="1:22" ht="15" x14ac:dyDescent="0.25">
      <c r="A174" s="23"/>
      <c r="B174" s="23"/>
      <c r="C174" s="23"/>
      <c r="D174" s="23"/>
      <c r="E174" s="23"/>
      <c r="F174" s="23"/>
      <c r="G174" s="23"/>
      <c r="H174" s="23"/>
      <c r="I174" s="65">
        <f>J166+J167+J169+J170+J171+J172</f>
        <v>27955.42</v>
      </c>
      <c r="J174" s="65"/>
      <c r="K174" s="24">
        <f>IF(Source!I177&lt;&gt;0, ROUND(I174/Source!I177, 2), 0)</f>
        <v>82342.92</v>
      </c>
      <c r="P174" s="22">
        <f>I174</f>
        <v>27955.42</v>
      </c>
    </row>
    <row r="176" spans="1:22" ht="15" x14ac:dyDescent="0.25">
      <c r="A176" s="64" t="str">
        <f>CONCATENATE("Итого по подразделу: ",IF(Source!G180&lt;&gt;"Новый подраздел", Source!G180, ""))</f>
        <v>Итого по подразделу: Устройство покрытия</v>
      </c>
      <c r="B176" s="64"/>
      <c r="C176" s="64"/>
      <c r="D176" s="64"/>
      <c r="E176" s="64"/>
      <c r="F176" s="64"/>
      <c r="G176" s="64"/>
      <c r="H176" s="64"/>
      <c r="I176" s="62">
        <f>SUM(P118:P175)</f>
        <v>36910.21</v>
      </c>
      <c r="J176" s="63"/>
      <c r="K176" s="26"/>
    </row>
    <row r="179" spans="1:22" ht="15" x14ac:dyDescent="0.25">
      <c r="A179" s="64" t="str">
        <f>CONCATENATE("Итого по разделу: ",IF(Source!G210&lt;&gt;"Новый раздел", Source!G210, ""))</f>
        <v>Итого по разделу: ЛЗ "Тропаревский" - 339,5 кв.м кв. 23, выд. 128</v>
      </c>
      <c r="B179" s="64"/>
      <c r="C179" s="64"/>
      <c r="D179" s="64"/>
      <c r="E179" s="64"/>
      <c r="F179" s="64"/>
      <c r="G179" s="64"/>
      <c r="H179" s="64"/>
      <c r="I179" s="62">
        <f>SUM(P33:P178)</f>
        <v>1009347.5099999998</v>
      </c>
      <c r="J179" s="63"/>
      <c r="K179" s="26"/>
    </row>
    <row r="181" spans="1:22" ht="14.25" x14ac:dyDescent="0.2">
      <c r="C181" s="67" t="str">
        <f>Source!H239</f>
        <v>НДС 20%</v>
      </c>
      <c r="D181" s="67"/>
      <c r="E181" s="67"/>
      <c r="F181" s="67"/>
      <c r="G181" s="67"/>
      <c r="H181" s="67"/>
      <c r="I181" s="68">
        <f>IF(Source!F239=0, "", Source!F239)</f>
        <v>201869.5</v>
      </c>
      <c r="J181" s="68"/>
    </row>
    <row r="182" spans="1:22" ht="14.25" x14ac:dyDescent="0.2">
      <c r="C182" s="67" t="str">
        <f>Source!H240</f>
        <v>Итого с НДС</v>
      </c>
      <c r="D182" s="67"/>
      <c r="E182" s="67"/>
      <c r="F182" s="67"/>
      <c r="G182" s="67"/>
      <c r="H182" s="67"/>
      <c r="I182" s="68">
        <f>IF(Source!F240=0, "", Source!F240)</f>
        <v>1211217.01</v>
      </c>
      <c r="J182" s="68"/>
    </row>
    <row r="184" spans="1:22" ht="16.5" x14ac:dyDescent="0.25">
      <c r="A184" s="66" t="str">
        <f>CONCATENATE("Раздел: ",IF(Source!G242&lt;&gt;"Новый раздел", Source!G242, ""))</f>
        <v>Раздел: ЛЗ "Тропаревский" - 270 кв.м. кв. 12, выд. 14</v>
      </c>
      <c r="B184" s="66"/>
      <c r="C184" s="66"/>
      <c r="D184" s="66"/>
      <c r="E184" s="66"/>
      <c r="F184" s="66"/>
      <c r="G184" s="66"/>
      <c r="H184" s="66"/>
      <c r="I184" s="66"/>
      <c r="J184" s="66"/>
      <c r="K184" s="66"/>
    </row>
    <row r="186" spans="1:22" ht="16.5" x14ac:dyDescent="0.25">
      <c r="A186" s="66" t="str">
        <f>CONCATENATE("Подраздел: ",IF(Source!G246&lt;&gt;"Новый подраздел", Source!G246, ""))</f>
        <v>Подраздел: Демонтаж</v>
      </c>
      <c r="B186" s="66"/>
      <c r="C186" s="66"/>
      <c r="D186" s="66"/>
      <c r="E186" s="66"/>
      <c r="F186" s="66"/>
      <c r="G186" s="66"/>
      <c r="H186" s="66"/>
      <c r="I186" s="66"/>
      <c r="J186" s="66"/>
      <c r="K186" s="66"/>
    </row>
    <row r="187" spans="1:22" ht="42.75" x14ac:dyDescent="0.2">
      <c r="A187" s="15" t="str">
        <f>Source!E250</f>
        <v>36</v>
      </c>
      <c r="B187" s="16" t="str">
        <f>Source!F250</f>
        <v>5.3-3204-1-1/1</v>
      </c>
      <c r="C187" s="16" t="str">
        <f>Source!G250</f>
        <v>Разборка деревянных заборов инвентарных из готовых звеньев (демонтаж МАФ)</v>
      </c>
      <c r="D187" s="17" t="str">
        <f>Source!H250</f>
        <v>100 м2</v>
      </c>
      <c r="E187" s="9">
        <f>Source!I250</f>
        <v>0.105</v>
      </c>
      <c r="F187" s="19"/>
      <c r="G187" s="18"/>
      <c r="H187" s="9"/>
      <c r="I187" s="9"/>
      <c r="J187" s="20"/>
      <c r="K187" s="20"/>
      <c r="Q187">
        <f>ROUND((Source!BZ250/100)*ROUND((Source!AF250*Source!AV250)*Source!I250, 2), 2)</f>
        <v>196.22</v>
      </c>
      <c r="R187">
        <f>Source!X250</f>
        <v>196.22</v>
      </c>
      <c r="S187">
        <f>ROUND((Source!CA250/100)*ROUND((Source!AF250*Source!AV250)*Source!I250, 2), 2)</f>
        <v>28.03</v>
      </c>
      <c r="T187">
        <f>Source!Y250</f>
        <v>28.03</v>
      </c>
      <c r="U187">
        <f>ROUND((175/100)*ROUND((Source!AE250*Source!AV250)*Source!I250, 2), 2)</f>
        <v>0</v>
      </c>
      <c r="V187">
        <f>ROUND((108/100)*ROUND(Source!CS250*Source!I250, 2), 2)</f>
        <v>0</v>
      </c>
    </row>
    <row r="188" spans="1:22" x14ac:dyDescent="0.2">
      <c r="C188" s="21" t="str">
        <f>"Объем: "&amp;Source!I250&amp;"=((1*"&amp;"2)+"&amp;"(3+"&amp;"3+"&amp;"1)+"&amp;"(3*"&amp;"0,5))/"&amp;"100"</f>
        <v>Объем: 0,105=((1*2)+(3+3+1)+(3*0,5))/100</v>
      </c>
    </row>
    <row r="189" spans="1:22" ht="14.25" x14ac:dyDescent="0.2">
      <c r="A189" s="15"/>
      <c r="B189" s="16"/>
      <c r="C189" s="16" t="s">
        <v>560</v>
      </c>
      <c r="D189" s="17"/>
      <c r="E189" s="9"/>
      <c r="F189" s="19">
        <f>Source!AO250</f>
        <v>2669.58</v>
      </c>
      <c r="G189" s="18" t="str">
        <f>Source!DG250</f>
        <v/>
      </c>
      <c r="H189" s="9">
        <f>Source!AV250</f>
        <v>1</v>
      </c>
      <c r="I189" s="9">
        <f>IF(Source!BA250&lt;&gt; 0, Source!BA250, 1)</f>
        <v>1</v>
      </c>
      <c r="J189" s="20">
        <f>Source!S250</f>
        <v>280.31</v>
      </c>
      <c r="K189" s="20"/>
    </row>
    <row r="190" spans="1:22" ht="14.25" x14ac:dyDescent="0.2">
      <c r="A190" s="15"/>
      <c r="B190" s="16"/>
      <c r="C190" s="16" t="s">
        <v>561</v>
      </c>
      <c r="D190" s="17"/>
      <c r="E190" s="9"/>
      <c r="F190" s="19">
        <f>Source!AM250</f>
        <v>0.06</v>
      </c>
      <c r="G190" s="18" t="str">
        <f>Source!DE250</f>
        <v/>
      </c>
      <c r="H190" s="9">
        <f>Source!AV250</f>
        <v>1</v>
      </c>
      <c r="I190" s="9">
        <f>IF(Source!BB250&lt;&gt; 0, Source!BB250, 1)</f>
        <v>1</v>
      </c>
      <c r="J190" s="20">
        <f>Source!Q250</f>
        <v>0.01</v>
      </c>
      <c r="K190" s="20"/>
    </row>
    <row r="191" spans="1:22" ht="14.25" x14ac:dyDescent="0.2">
      <c r="A191" s="15"/>
      <c r="B191" s="16"/>
      <c r="C191" s="16" t="s">
        <v>562</v>
      </c>
      <c r="D191" s="17" t="s">
        <v>563</v>
      </c>
      <c r="E191" s="9">
        <f>Source!AT250</f>
        <v>70</v>
      </c>
      <c r="F191" s="19"/>
      <c r="G191" s="18"/>
      <c r="H191" s="9"/>
      <c r="I191" s="9"/>
      <c r="J191" s="20">
        <f>SUM(R187:R190)</f>
        <v>196.22</v>
      </c>
      <c r="K191" s="20"/>
    </row>
    <row r="192" spans="1:22" ht="14.25" x14ac:dyDescent="0.2">
      <c r="A192" s="15"/>
      <c r="B192" s="16"/>
      <c r="C192" s="16" t="s">
        <v>564</v>
      </c>
      <c r="D192" s="17" t="s">
        <v>563</v>
      </c>
      <c r="E192" s="9">
        <f>Source!AU250</f>
        <v>10</v>
      </c>
      <c r="F192" s="19"/>
      <c r="G192" s="18"/>
      <c r="H192" s="9"/>
      <c r="I192" s="9"/>
      <c r="J192" s="20">
        <f>SUM(T187:T191)</f>
        <v>28.03</v>
      </c>
      <c r="K192" s="20"/>
    </row>
    <row r="193" spans="1:22" ht="14.25" x14ac:dyDescent="0.2">
      <c r="A193" s="15"/>
      <c r="B193" s="16"/>
      <c r="C193" s="16" t="s">
        <v>565</v>
      </c>
      <c r="D193" s="17" t="s">
        <v>566</v>
      </c>
      <c r="E193" s="9">
        <f>Source!AQ250</f>
        <v>15.15</v>
      </c>
      <c r="F193" s="19"/>
      <c r="G193" s="18" t="str">
        <f>Source!DI250</f>
        <v/>
      </c>
      <c r="H193" s="9">
        <f>Source!AV250</f>
        <v>1</v>
      </c>
      <c r="I193" s="9"/>
      <c r="J193" s="20"/>
      <c r="K193" s="20">
        <f>Source!U250</f>
        <v>1.5907499999999999</v>
      </c>
    </row>
    <row r="194" spans="1:22" ht="15" x14ac:dyDescent="0.25">
      <c r="A194" s="23"/>
      <c r="B194" s="23"/>
      <c r="C194" s="23"/>
      <c r="D194" s="23"/>
      <c r="E194" s="23"/>
      <c r="F194" s="23"/>
      <c r="G194" s="23"/>
      <c r="H194" s="23"/>
      <c r="I194" s="65">
        <f>J189+J190+J191+J192</f>
        <v>504.56999999999994</v>
      </c>
      <c r="J194" s="65"/>
      <c r="K194" s="24">
        <f>IF(Source!I250&lt;&gt;0, ROUND(I194/Source!I250, 2), 0)</f>
        <v>4805.43</v>
      </c>
      <c r="P194" s="22">
        <f>I194</f>
        <v>504.56999999999994</v>
      </c>
    </row>
    <row r="195" spans="1:22" ht="42.75" x14ac:dyDescent="0.2">
      <c r="A195" s="15" t="str">
        <f>Source!E251</f>
        <v>37</v>
      </c>
      <c r="B195" s="16" t="str">
        <f>Source!F251</f>
        <v>1.50-3305-4-1/1</v>
      </c>
      <c r="C195" s="16" t="str">
        <f>Source!G251</f>
        <v>Погрузка и выгрузка вручную строительного мусора на транспортные средства</v>
      </c>
      <c r="D195" s="17" t="str">
        <f>Source!H251</f>
        <v>т</v>
      </c>
      <c r="E195" s="9">
        <f>Source!I251</f>
        <v>6.8250000000000005E-2</v>
      </c>
      <c r="F195" s="19"/>
      <c r="G195" s="18"/>
      <c r="H195" s="9"/>
      <c r="I195" s="9"/>
      <c r="J195" s="20"/>
      <c r="K195" s="20"/>
      <c r="Q195">
        <f>ROUND((Source!BZ251/100)*ROUND((Source!AF251*Source!AV251)*Source!I251, 2), 2)</f>
        <v>5.72</v>
      </c>
      <c r="R195">
        <f>Source!X251</f>
        <v>5.72</v>
      </c>
      <c r="S195">
        <f>ROUND((Source!CA251/100)*ROUND((Source!AF251*Source!AV251)*Source!I251, 2), 2)</f>
        <v>0.82</v>
      </c>
      <c r="T195">
        <f>Source!Y251</f>
        <v>0.82</v>
      </c>
      <c r="U195">
        <f>ROUND((175/100)*ROUND((Source!AE251*Source!AV251)*Source!I251, 2), 2)</f>
        <v>0</v>
      </c>
      <c r="V195">
        <f>ROUND((108/100)*ROUND(Source!CS251*Source!I251, 2), 2)</f>
        <v>0</v>
      </c>
    </row>
    <row r="196" spans="1:22" ht="14.25" x14ac:dyDescent="0.2">
      <c r="A196" s="15"/>
      <c r="B196" s="16"/>
      <c r="C196" s="16" t="s">
        <v>560</v>
      </c>
      <c r="D196" s="17"/>
      <c r="E196" s="9"/>
      <c r="F196" s="19">
        <f>Source!AO251</f>
        <v>119.69</v>
      </c>
      <c r="G196" s="18" t="str">
        <f>Source!DG251</f>
        <v/>
      </c>
      <c r="H196" s="9">
        <f>Source!AV251</f>
        <v>1</v>
      </c>
      <c r="I196" s="9">
        <f>IF(Source!BA251&lt;&gt; 0, Source!BA251, 1)</f>
        <v>1</v>
      </c>
      <c r="J196" s="20">
        <f>Source!S251</f>
        <v>8.17</v>
      </c>
      <c r="K196" s="20"/>
    </row>
    <row r="197" spans="1:22" ht="14.25" x14ac:dyDescent="0.2">
      <c r="A197" s="15"/>
      <c r="B197" s="16"/>
      <c r="C197" s="16" t="s">
        <v>562</v>
      </c>
      <c r="D197" s="17" t="s">
        <v>563</v>
      </c>
      <c r="E197" s="9">
        <f>Source!AT251</f>
        <v>70</v>
      </c>
      <c r="F197" s="19"/>
      <c r="G197" s="18"/>
      <c r="H197" s="9"/>
      <c r="I197" s="9"/>
      <c r="J197" s="20">
        <f>SUM(R195:R196)</f>
        <v>5.72</v>
      </c>
      <c r="K197" s="20"/>
    </row>
    <row r="198" spans="1:22" ht="14.25" x14ac:dyDescent="0.2">
      <c r="A198" s="15"/>
      <c r="B198" s="16"/>
      <c r="C198" s="16" t="s">
        <v>564</v>
      </c>
      <c r="D198" s="17" t="s">
        <v>563</v>
      </c>
      <c r="E198" s="9">
        <f>Source!AU251</f>
        <v>10</v>
      </c>
      <c r="F198" s="19"/>
      <c r="G198" s="18"/>
      <c r="H198" s="9"/>
      <c r="I198" s="9"/>
      <c r="J198" s="20">
        <f>SUM(T195:T197)</f>
        <v>0.82</v>
      </c>
      <c r="K198" s="20"/>
    </row>
    <row r="199" spans="1:22" ht="14.25" x14ac:dyDescent="0.2">
      <c r="A199" s="15"/>
      <c r="B199" s="16"/>
      <c r="C199" s="16" t="s">
        <v>565</v>
      </c>
      <c r="D199" s="17" t="s">
        <v>566</v>
      </c>
      <c r="E199" s="9">
        <f>Source!AQ251</f>
        <v>1.02</v>
      </c>
      <c r="F199" s="19"/>
      <c r="G199" s="18" t="str">
        <f>Source!DI251</f>
        <v/>
      </c>
      <c r="H199" s="9">
        <f>Source!AV251</f>
        <v>1</v>
      </c>
      <c r="I199" s="9"/>
      <c r="J199" s="20"/>
      <c r="K199" s="20">
        <f>Source!U251</f>
        <v>6.961500000000001E-2</v>
      </c>
    </row>
    <row r="200" spans="1:22" ht="15" x14ac:dyDescent="0.25">
      <c r="A200" s="23"/>
      <c r="B200" s="23"/>
      <c r="C200" s="23"/>
      <c r="D200" s="23"/>
      <c r="E200" s="23"/>
      <c r="F200" s="23"/>
      <c r="G200" s="23"/>
      <c r="H200" s="23"/>
      <c r="I200" s="65">
        <f>J196+J197+J198</f>
        <v>14.71</v>
      </c>
      <c r="J200" s="65"/>
      <c r="K200" s="24">
        <f>IF(Source!I251&lt;&gt;0, ROUND(I200/Source!I251, 2), 0)</f>
        <v>215.53</v>
      </c>
      <c r="P200" s="22">
        <f>I200</f>
        <v>14.71</v>
      </c>
    </row>
    <row r="201" spans="1:22" ht="57" x14ac:dyDescent="0.2">
      <c r="A201" s="15" t="str">
        <f>Source!E253</f>
        <v>39</v>
      </c>
      <c r="B201" s="16" t="str">
        <f>Source!F253</f>
        <v>1.49-9201-1-1/1</v>
      </c>
      <c r="C201" s="16" t="str">
        <f>Source!G253</f>
        <v>Перевозка строительного мусора автосамосвалами грузоподъемностью до 10 т на расстояние 1 км - при погрузке вручную</v>
      </c>
      <c r="D201" s="17" t="str">
        <f>Source!H253</f>
        <v>т</v>
      </c>
      <c r="E201" s="9">
        <f>Source!I253</f>
        <v>6.8250000000000005E-2</v>
      </c>
      <c r="F201" s="19"/>
      <c r="G201" s="18"/>
      <c r="H201" s="9"/>
      <c r="I201" s="9"/>
      <c r="J201" s="20"/>
      <c r="K201" s="20"/>
      <c r="Q201">
        <f>ROUND((Source!BZ253/100)*ROUND((Source!AF253*Source!AV253)*Source!I253, 2), 2)</f>
        <v>0</v>
      </c>
      <c r="R201">
        <f>Source!X253</f>
        <v>0</v>
      </c>
      <c r="S201">
        <f>ROUND((Source!CA253/100)*ROUND((Source!AF253*Source!AV253)*Source!I253, 2), 2)</f>
        <v>0</v>
      </c>
      <c r="T201">
        <f>Source!Y253</f>
        <v>0</v>
      </c>
      <c r="U201">
        <f>ROUND((175/100)*ROUND((Source!AE253*Source!AV253)*Source!I253, 2), 2)</f>
        <v>12.69</v>
      </c>
      <c r="V201">
        <f>ROUND((108/100)*ROUND(Source!CS253*Source!I253, 2), 2)</f>
        <v>7.83</v>
      </c>
    </row>
    <row r="202" spans="1:22" ht="14.25" x14ac:dyDescent="0.2">
      <c r="A202" s="15"/>
      <c r="B202" s="16"/>
      <c r="C202" s="16" t="s">
        <v>561</v>
      </c>
      <c r="D202" s="17"/>
      <c r="E202" s="9"/>
      <c r="F202" s="19">
        <f>Source!AM253</f>
        <v>179.4</v>
      </c>
      <c r="G202" s="18" t="str">
        <f>Source!DE253</f>
        <v/>
      </c>
      <c r="H202" s="9">
        <f>Source!AV253</f>
        <v>1</v>
      </c>
      <c r="I202" s="9">
        <f>IF(Source!BB253&lt;&gt; 0, Source!BB253, 1)</f>
        <v>1</v>
      </c>
      <c r="J202" s="20">
        <f>Source!Q253</f>
        <v>12.24</v>
      </c>
      <c r="K202" s="20"/>
    </row>
    <row r="203" spans="1:22" ht="14.25" x14ac:dyDescent="0.2">
      <c r="A203" s="15"/>
      <c r="B203" s="16"/>
      <c r="C203" s="16" t="s">
        <v>567</v>
      </c>
      <c r="D203" s="17"/>
      <c r="E203" s="9"/>
      <c r="F203" s="19">
        <f>Source!AN253</f>
        <v>106.2</v>
      </c>
      <c r="G203" s="18" t="str">
        <f>Source!DF253</f>
        <v/>
      </c>
      <c r="H203" s="9">
        <f>Source!AV253</f>
        <v>1</v>
      </c>
      <c r="I203" s="9">
        <f>IF(Source!BS253&lt;&gt; 0, Source!BS253, 1)</f>
        <v>1</v>
      </c>
      <c r="J203" s="25">
        <f>Source!R253</f>
        <v>7.25</v>
      </c>
      <c r="K203" s="20"/>
    </row>
    <row r="204" spans="1:22" ht="15" x14ac:dyDescent="0.25">
      <c r="A204" s="23"/>
      <c r="B204" s="23"/>
      <c r="C204" s="23"/>
      <c r="D204" s="23"/>
      <c r="E204" s="23"/>
      <c r="F204" s="23"/>
      <c r="G204" s="23"/>
      <c r="H204" s="23"/>
      <c r="I204" s="65">
        <f>J202</f>
        <v>12.24</v>
      </c>
      <c r="J204" s="65"/>
      <c r="K204" s="24">
        <f>IF(Source!I253&lt;&gt;0, ROUND(I204/Source!I253, 2), 0)</f>
        <v>179.34</v>
      </c>
      <c r="P204" s="22">
        <f>I204</f>
        <v>12.24</v>
      </c>
    </row>
    <row r="205" spans="1:22" ht="57" x14ac:dyDescent="0.2">
      <c r="A205" s="15" t="str">
        <f>Source!E254</f>
        <v>40</v>
      </c>
      <c r="B205" s="16" t="str">
        <f>Source!F254</f>
        <v>1.49-9201-1-3/1</v>
      </c>
      <c r="C205" s="16" t="str">
        <f>Source!G254</f>
        <v>Перевозка строительного мусора автосамосвалами грузоподъемностью до 10 т - добавляется на каждый последующий 1 км до 100 км</v>
      </c>
      <c r="D205" s="17" t="str">
        <f>Source!H254</f>
        <v>т</v>
      </c>
      <c r="E205" s="9">
        <f>Source!I254</f>
        <v>6.8250000000000005E-2</v>
      </c>
      <c r="F205" s="19"/>
      <c r="G205" s="18"/>
      <c r="H205" s="9"/>
      <c r="I205" s="9"/>
      <c r="J205" s="20"/>
      <c r="K205" s="20"/>
      <c r="Q205">
        <f>ROUND((Source!BZ254/100)*ROUND((Source!AF254*Source!AV254)*Source!I254, 2), 2)</f>
        <v>0</v>
      </c>
      <c r="R205">
        <f>Source!X254</f>
        <v>0</v>
      </c>
      <c r="S205">
        <f>ROUND((Source!CA254/100)*ROUND((Source!AF254*Source!AV254)*Source!I254, 2), 2)</f>
        <v>0</v>
      </c>
      <c r="T205">
        <f>Source!Y254</f>
        <v>0</v>
      </c>
      <c r="U205">
        <f>ROUND((175/100)*ROUND((Source!AE254*Source!AV254)*Source!I254, 2), 2)</f>
        <v>33.51</v>
      </c>
      <c r="V205">
        <f>ROUND((108/100)*ROUND(Source!CS254*Source!I254, 2), 2)</f>
        <v>20.68</v>
      </c>
    </row>
    <row r="206" spans="1:22" ht="14.25" x14ac:dyDescent="0.2">
      <c r="A206" s="15"/>
      <c r="B206" s="16"/>
      <c r="C206" s="16" t="s">
        <v>561</v>
      </c>
      <c r="D206" s="17"/>
      <c r="E206" s="9"/>
      <c r="F206" s="19">
        <f>Source!AM254</f>
        <v>29.58</v>
      </c>
      <c r="G206" s="18" t="str">
        <f>Source!DE254</f>
        <v>*16</v>
      </c>
      <c r="H206" s="9">
        <f>Source!AV254</f>
        <v>1</v>
      </c>
      <c r="I206" s="9">
        <f>IF(Source!BB254&lt;&gt; 0, Source!BB254, 1)</f>
        <v>1</v>
      </c>
      <c r="J206" s="20">
        <f>Source!Q254</f>
        <v>32.299999999999997</v>
      </c>
      <c r="K206" s="20"/>
    </row>
    <row r="207" spans="1:22" ht="14.25" x14ac:dyDescent="0.2">
      <c r="A207" s="15"/>
      <c r="B207" s="16"/>
      <c r="C207" s="16" t="s">
        <v>567</v>
      </c>
      <c r="D207" s="17"/>
      <c r="E207" s="9"/>
      <c r="F207" s="19">
        <f>Source!AN254</f>
        <v>17.54</v>
      </c>
      <c r="G207" s="18" t="str">
        <f>Source!DF254</f>
        <v>*16</v>
      </c>
      <c r="H207" s="9">
        <f>Source!AV254</f>
        <v>1</v>
      </c>
      <c r="I207" s="9">
        <f>IF(Source!BS254&lt;&gt; 0, Source!BS254, 1)</f>
        <v>1</v>
      </c>
      <c r="J207" s="25">
        <f>Source!R254</f>
        <v>19.149999999999999</v>
      </c>
      <c r="K207" s="20"/>
    </row>
    <row r="208" spans="1:22" ht="15" x14ac:dyDescent="0.25">
      <c r="A208" s="23"/>
      <c r="B208" s="23"/>
      <c r="C208" s="23"/>
      <c r="D208" s="23"/>
      <c r="E208" s="23"/>
      <c r="F208" s="23"/>
      <c r="G208" s="23"/>
      <c r="H208" s="23"/>
      <c r="I208" s="65">
        <f>J206</f>
        <v>32.299999999999997</v>
      </c>
      <c r="J208" s="65"/>
      <c r="K208" s="24">
        <f>IF(Source!I254&lt;&gt;0, ROUND(I208/Source!I254, 2), 0)</f>
        <v>473.26</v>
      </c>
      <c r="P208" s="22">
        <f>I208</f>
        <v>32.299999999999997</v>
      </c>
    </row>
    <row r="209" spans="1:22" ht="28.5" x14ac:dyDescent="0.2">
      <c r="A209" s="15" t="str">
        <f>Source!E255</f>
        <v>41</v>
      </c>
      <c r="B209" s="16" t="str">
        <f>Source!F255</f>
        <v>21.25-0-1</v>
      </c>
      <c r="C209" s="16" t="str">
        <f>Source!G255</f>
        <v>Содержание свалки отходов строительства и сноса</v>
      </c>
      <c r="D209" s="17" t="str">
        <f>Source!H255</f>
        <v>т</v>
      </c>
      <c r="E209" s="9">
        <f>Source!I255</f>
        <v>6.8250000000000005E-2</v>
      </c>
      <c r="F209" s="19">
        <f>Source!AL255</f>
        <v>197.96</v>
      </c>
      <c r="G209" s="18" t="str">
        <f>Source!DD255</f>
        <v/>
      </c>
      <c r="H209" s="9">
        <f>Source!AW255</f>
        <v>1</v>
      </c>
      <c r="I209" s="9">
        <f>IF(Source!BC255&lt;&gt; 0, Source!BC255, 1)</f>
        <v>1</v>
      </c>
      <c r="J209" s="20">
        <f>Source!P255</f>
        <v>13.51</v>
      </c>
      <c r="K209" s="20"/>
      <c r="Q209">
        <f>ROUND((Source!BZ255/100)*ROUND((Source!AF255*Source!AV255)*Source!I255, 2), 2)</f>
        <v>0</v>
      </c>
      <c r="R209">
        <f>Source!X255</f>
        <v>0</v>
      </c>
      <c r="S209">
        <f>ROUND((Source!CA255/100)*ROUND((Source!AF255*Source!AV255)*Source!I255, 2), 2)</f>
        <v>0</v>
      </c>
      <c r="T209">
        <f>Source!Y255</f>
        <v>0</v>
      </c>
      <c r="U209">
        <f>ROUND((175/100)*ROUND((Source!AE255*Source!AV255)*Source!I255, 2), 2)</f>
        <v>0</v>
      </c>
      <c r="V209">
        <f>ROUND((108/100)*ROUND(Source!CS255*Source!I255, 2), 2)</f>
        <v>0</v>
      </c>
    </row>
    <row r="210" spans="1:22" ht="15" x14ac:dyDescent="0.25">
      <c r="A210" s="23"/>
      <c r="B210" s="23"/>
      <c r="C210" s="23"/>
      <c r="D210" s="23"/>
      <c r="E210" s="23"/>
      <c r="F210" s="23"/>
      <c r="G210" s="23"/>
      <c r="H210" s="23"/>
      <c r="I210" s="65">
        <f>J209</f>
        <v>13.51</v>
      </c>
      <c r="J210" s="65"/>
      <c r="K210" s="24">
        <f>IF(Source!I255&lt;&gt;0, ROUND(I210/Source!I255, 2), 0)</f>
        <v>197.95</v>
      </c>
      <c r="P210" s="22">
        <f>I210</f>
        <v>13.51</v>
      </c>
    </row>
    <row r="212" spans="1:22" ht="15" x14ac:dyDescent="0.25">
      <c r="A212" s="64" t="str">
        <f>CONCATENATE("Итого по подразделу: ",IF(Source!G257&lt;&gt;"Новый подраздел", Source!G257, ""))</f>
        <v>Итого по подразделу: Демонтаж</v>
      </c>
      <c r="B212" s="64"/>
      <c r="C212" s="64"/>
      <c r="D212" s="64"/>
      <c r="E212" s="64"/>
      <c r="F212" s="64"/>
      <c r="G212" s="64"/>
      <c r="H212" s="64"/>
      <c r="I212" s="62">
        <f>SUM(P186:P211)</f>
        <v>577.32999999999993</v>
      </c>
      <c r="J212" s="63"/>
      <c r="K212" s="26"/>
    </row>
    <row r="215" spans="1:22" ht="16.5" x14ac:dyDescent="0.25">
      <c r="A215" s="66" t="str">
        <f>CONCATENATE("Подраздел: ",IF(Source!G287&lt;&gt;"Новый подраздел", Source!G287, ""))</f>
        <v>Подраздел: Установка оборудования для выгула собак</v>
      </c>
      <c r="B215" s="66"/>
      <c r="C215" s="66"/>
      <c r="D215" s="66"/>
      <c r="E215" s="66"/>
      <c r="F215" s="66"/>
      <c r="G215" s="66"/>
      <c r="H215" s="66"/>
      <c r="I215" s="66"/>
      <c r="J215" s="66"/>
      <c r="K215" s="66"/>
    </row>
    <row r="216" spans="1:22" ht="28.5" x14ac:dyDescent="0.2">
      <c r="A216" s="15" t="str">
        <f>Source!E291</f>
        <v>42</v>
      </c>
      <c r="B216" s="16" t="str">
        <f>Source!F291</f>
        <v>1.50-3203-37-3/1</v>
      </c>
      <c r="C216" s="16" t="str">
        <f>Source!G291</f>
        <v>Монтаж мелких конструкций из стали различного профиля массой до 100 кг</v>
      </c>
      <c r="D216" s="17" t="str">
        <f>Source!H291</f>
        <v>т</v>
      </c>
      <c r="E216" s="9">
        <f>Source!I291</f>
        <v>0.2</v>
      </c>
      <c r="F216" s="19"/>
      <c r="G216" s="18"/>
      <c r="H216" s="9"/>
      <c r="I216" s="9"/>
      <c r="J216" s="20"/>
      <c r="K216" s="20"/>
      <c r="Q216">
        <f>ROUND((Source!BZ291/100)*ROUND((Source!AF291*Source!AV291)*Source!I291, 2), 2)</f>
        <v>2998.67</v>
      </c>
      <c r="R216">
        <f>Source!X291</f>
        <v>2998.67</v>
      </c>
      <c r="S216">
        <f>ROUND((Source!CA291/100)*ROUND((Source!AF291*Source!AV291)*Source!I291, 2), 2)</f>
        <v>428.38</v>
      </c>
      <c r="T216">
        <f>Source!Y291</f>
        <v>428.38</v>
      </c>
      <c r="U216">
        <f>ROUND((175/100)*ROUND((Source!AE291*Source!AV291)*Source!I291, 2), 2)</f>
        <v>8.58</v>
      </c>
      <c r="V216">
        <f>ROUND((108/100)*ROUND(Source!CS291*Source!I291, 2), 2)</f>
        <v>5.29</v>
      </c>
    </row>
    <row r="217" spans="1:22" ht="14.25" x14ac:dyDescent="0.2">
      <c r="A217" s="15"/>
      <c r="B217" s="16"/>
      <c r="C217" s="16" t="s">
        <v>560</v>
      </c>
      <c r="D217" s="17"/>
      <c r="E217" s="9"/>
      <c r="F217" s="19">
        <f>Source!AO291</f>
        <v>21419.119999999999</v>
      </c>
      <c r="G217" s="18" t="str">
        <f>Source!DG291</f>
        <v/>
      </c>
      <c r="H217" s="9">
        <f>Source!AV291</f>
        <v>1</v>
      </c>
      <c r="I217" s="9">
        <f>IF(Source!BA291&lt;&gt; 0, Source!BA291, 1)</f>
        <v>1</v>
      </c>
      <c r="J217" s="20">
        <f>Source!S291</f>
        <v>4283.82</v>
      </c>
      <c r="K217" s="20"/>
    </row>
    <row r="218" spans="1:22" ht="14.25" x14ac:dyDescent="0.2">
      <c r="A218" s="15"/>
      <c r="B218" s="16"/>
      <c r="C218" s="16" t="s">
        <v>561</v>
      </c>
      <c r="D218" s="17"/>
      <c r="E218" s="9"/>
      <c r="F218" s="19">
        <f>Source!AM291</f>
        <v>589.19000000000005</v>
      </c>
      <c r="G218" s="18" t="str">
        <f>Source!DE291</f>
        <v/>
      </c>
      <c r="H218" s="9">
        <f>Source!AV291</f>
        <v>1</v>
      </c>
      <c r="I218" s="9">
        <f>IF(Source!BB291&lt;&gt; 0, Source!BB291, 1)</f>
        <v>1</v>
      </c>
      <c r="J218" s="20">
        <f>Source!Q291</f>
        <v>117.84</v>
      </c>
      <c r="K218" s="20"/>
    </row>
    <row r="219" spans="1:22" ht="14.25" x14ac:dyDescent="0.2">
      <c r="A219" s="15"/>
      <c r="B219" s="16"/>
      <c r="C219" s="16" t="s">
        <v>567</v>
      </c>
      <c r="D219" s="17"/>
      <c r="E219" s="9"/>
      <c r="F219" s="19">
        <f>Source!AN291</f>
        <v>24.51</v>
      </c>
      <c r="G219" s="18" t="str">
        <f>Source!DF291</f>
        <v/>
      </c>
      <c r="H219" s="9">
        <f>Source!AV291</f>
        <v>1</v>
      </c>
      <c r="I219" s="9">
        <f>IF(Source!BS291&lt;&gt; 0, Source!BS291, 1)</f>
        <v>1</v>
      </c>
      <c r="J219" s="25">
        <f>Source!R291</f>
        <v>4.9000000000000004</v>
      </c>
      <c r="K219" s="20"/>
    </row>
    <row r="220" spans="1:22" ht="14.25" x14ac:dyDescent="0.2">
      <c r="A220" s="15"/>
      <c r="B220" s="16"/>
      <c r="C220" s="16" t="s">
        <v>562</v>
      </c>
      <c r="D220" s="17" t="s">
        <v>563</v>
      </c>
      <c r="E220" s="9">
        <f>Source!AT291</f>
        <v>70</v>
      </c>
      <c r="F220" s="19"/>
      <c r="G220" s="18"/>
      <c r="H220" s="9"/>
      <c r="I220" s="9"/>
      <c r="J220" s="20">
        <f>SUM(R216:R219)</f>
        <v>2998.67</v>
      </c>
      <c r="K220" s="20"/>
    </row>
    <row r="221" spans="1:22" ht="14.25" x14ac:dyDescent="0.2">
      <c r="A221" s="15"/>
      <c r="B221" s="16"/>
      <c r="C221" s="16" t="s">
        <v>564</v>
      </c>
      <c r="D221" s="17" t="s">
        <v>563</v>
      </c>
      <c r="E221" s="9">
        <f>Source!AU291</f>
        <v>10</v>
      </c>
      <c r="F221" s="19"/>
      <c r="G221" s="18"/>
      <c r="H221" s="9"/>
      <c r="I221" s="9"/>
      <c r="J221" s="20">
        <f>SUM(T216:T220)</f>
        <v>428.38</v>
      </c>
      <c r="K221" s="20"/>
    </row>
    <row r="222" spans="1:22" ht="14.25" x14ac:dyDescent="0.2">
      <c r="A222" s="15"/>
      <c r="B222" s="16"/>
      <c r="C222" s="16" t="s">
        <v>568</v>
      </c>
      <c r="D222" s="17" t="s">
        <v>563</v>
      </c>
      <c r="E222" s="9">
        <f>108</f>
        <v>108</v>
      </c>
      <c r="F222" s="19"/>
      <c r="G222" s="18"/>
      <c r="H222" s="9"/>
      <c r="I222" s="9"/>
      <c r="J222" s="20">
        <f>SUM(V216:V221)</f>
        <v>5.29</v>
      </c>
      <c r="K222" s="20"/>
    </row>
    <row r="223" spans="1:22" ht="14.25" x14ac:dyDescent="0.2">
      <c r="A223" s="15"/>
      <c r="B223" s="16"/>
      <c r="C223" s="16" t="s">
        <v>565</v>
      </c>
      <c r="D223" s="17" t="s">
        <v>566</v>
      </c>
      <c r="E223" s="9">
        <f>Source!AQ291</f>
        <v>87.4</v>
      </c>
      <c r="F223" s="19"/>
      <c r="G223" s="18" t="str">
        <f>Source!DI291</f>
        <v/>
      </c>
      <c r="H223" s="9">
        <f>Source!AV291</f>
        <v>1</v>
      </c>
      <c r="I223" s="9"/>
      <c r="J223" s="20"/>
      <c r="K223" s="20">
        <f>Source!U291</f>
        <v>17.48</v>
      </c>
    </row>
    <row r="224" spans="1:22" ht="15" x14ac:dyDescent="0.25">
      <c r="A224" s="23"/>
      <c r="B224" s="23"/>
      <c r="C224" s="23"/>
      <c r="D224" s="23"/>
      <c r="E224" s="23"/>
      <c r="F224" s="23"/>
      <c r="G224" s="23"/>
      <c r="H224" s="23"/>
      <c r="I224" s="65">
        <f>J217+J218+J220+J221+J222</f>
        <v>7834</v>
      </c>
      <c r="J224" s="65"/>
      <c r="K224" s="24">
        <f>IF(Source!I291&lt;&gt;0, ROUND(I224/Source!I291, 2), 0)</f>
        <v>39170</v>
      </c>
      <c r="P224" s="22">
        <f>I224</f>
        <v>7834</v>
      </c>
    </row>
    <row r="225" spans="1:22" ht="42.75" x14ac:dyDescent="0.2">
      <c r="A225" s="15" t="str">
        <f>Source!E292</f>
        <v>43</v>
      </c>
      <c r="B225" s="16" t="str">
        <f>Source!F292</f>
        <v>Цена поставщика</v>
      </c>
      <c r="C225" s="16" t="s">
        <v>569</v>
      </c>
      <c r="D225" s="17" t="str">
        <f>Source!H292</f>
        <v>шт.</v>
      </c>
      <c r="E225" s="9">
        <f>Source!I292</f>
        <v>1</v>
      </c>
      <c r="F225" s="19">
        <f>Source!AL292</f>
        <v>29364.73</v>
      </c>
      <c r="G225" s="18" t="str">
        <f>Source!DD292</f>
        <v/>
      </c>
      <c r="H225" s="9">
        <f>Source!AW292</f>
        <v>1</v>
      </c>
      <c r="I225" s="9">
        <f>IF(Source!BC292&lt;&gt; 0, Source!BC292, 1)</f>
        <v>1</v>
      </c>
      <c r="J225" s="20">
        <f>Source!P292</f>
        <v>29364.73</v>
      </c>
      <c r="K225" s="20"/>
      <c r="Q225">
        <f>ROUND((Source!BZ292/100)*ROUND((Source!AF292*Source!AV292)*Source!I292, 2), 2)</f>
        <v>0</v>
      </c>
      <c r="R225">
        <f>Source!X292</f>
        <v>0</v>
      </c>
      <c r="S225">
        <f>ROUND((Source!CA292/100)*ROUND((Source!AF292*Source!AV292)*Source!I292, 2), 2)</f>
        <v>0</v>
      </c>
      <c r="T225">
        <f>Source!Y292</f>
        <v>0</v>
      </c>
      <c r="U225">
        <f>ROUND((175/100)*ROUND((Source!AE292*Source!AV292)*Source!I292, 2), 2)</f>
        <v>0</v>
      </c>
      <c r="V225">
        <f>ROUND((108/100)*ROUND(Source!CS292*Source!I292, 2), 2)</f>
        <v>0</v>
      </c>
    </row>
    <row r="226" spans="1:22" ht="15" x14ac:dyDescent="0.25">
      <c r="A226" s="23"/>
      <c r="B226" s="23"/>
      <c r="C226" s="23"/>
      <c r="D226" s="23"/>
      <c r="E226" s="23"/>
      <c r="F226" s="23"/>
      <c r="G226" s="23"/>
      <c r="H226" s="23"/>
      <c r="I226" s="65">
        <f>J225</f>
        <v>29364.73</v>
      </c>
      <c r="J226" s="65"/>
      <c r="K226" s="24">
        <f>IF(Source!I292&lt;&gt;0, ROUND(I226/Source!I292, 2), 0)</f>
        <v>29364.73</v>
      </c>
      <c r="P226" s="22">
        <f>I226</f>
        <v>29364.73</v>
      </c>
    </row>
    <row r="227" spans="1:22" ht="42.75" x14ac:dyDescent="0.2">
      <c r="A227" s="15" t="str">
        <f>Source!E293</f>
        <v>44</v>
      </c>
      <c r="B227" s="16" t="str">
        <f>Source!F293</f>
        <v>Цена поставщика</v>
      </c>
      <c r="C227" s="16" t="s">
        <v>570</v>
      </c>
      <c r="D227" s="17" t="str">
        <f>Source!H293</f>
        <v>шт.</v>
      </c>
      <c r="E227" s="9">
        <f>Source!I293</f>
        <v>1</v>
      </c>
      <c r="F227" s="19">
        <f>Source!AL293</f>
        <v>18699.73</v>
      </c>
      <c r="G227" s="18" t="str">
        <f>Source!DD293</f>
        <v/>
      </c>
      <c r="H227" s="9">
        <f>Source!AW293</f>
        <v>1</v>
      </c>
      <c r="I227" s="9">
        <f>IF(Source!BC293&lt;&gt; 0, Source!BC293, 1)</f>
        <v>1</v>
      </c>
      <c r="J227" s="20">
        <f>Source!P293</f>
        <v>18699.73</v>
      </c>
      <c r="K227" s="20"/>
      <c r="Q227">
        <f>ROUND((Source!BZ293/100)*ROUND((Source!AF293*Source!AV293)*Source!I293, 2), 2)</f>
        <v>0</v>
      </c>
      <c r="R227">
        <f>Source!X293</f>
        <v>0</v>
      </c>
      <c r="S227">
        <f>ROUND((Source!CA293/100)*ROUND((Source!AF293*Source!AV293)*Source!I293, 2), 2)</f>
        <v>0</v>
      </c>
      <c r="T227">
        <f>Source!Y293</f>
        <v>0</v>
      </c>
      <c r="U227">
        <f>ROUND((175/100)*ROUND((Source!AE293*Source!AV293)*Source!I293, 2), 2)</f>
        <v>0</v>
      </c>
      <c r="V227">
        <f>ROUND((108/100)*ROUND(Source!CS293*Source!I293, 2), 2)</f>
        <v>0</v>
      </c>
    </row>
    <row r="228" spans="1:22" ht="15" x14ac:dyDescent="0.25">
      <c r="A228" s="23"/>
      <c r="B228" s="23"/>
      <c r="C228" s="23"/>
      <c r="D228" s="23"/>
      <c r="E228" s="23"/>
      <c r="F228" s="23"/>
      <c r="G228" s="23"/>
      <c r="H228" s="23"/>
      <c r="I228" s="65">
        <f>J227</f>
        <v>18699.73</v>
      </c>
      <c r="J228" s="65"/>
      <c r="K228" s="24">
        <f>IF(Source!I293&lt;&gt;0, ROUND(I228/Source!I293, 2), 0)</f>
        <v>18699.73</v>
      </c>
      <c r="P228" s="22">
        <f>I228</f>
        <v>18699.73</v>
      </c>
    </row>
    <row r="229" spans="1:22" ht="54" x14ac:dyDescent="0.2">
      <c r="A229" s="15" t="str">
        <f>Source!E294</f>
        <v>45</v>
      </c>
      <c r="B229" s="16" t="str">
        <f>Source!F294</f>
        <v>Цена поставщика</v>
      </c>
      <c r="C229" s="16" t="s">
        <v>571</v>
      </c>
      <c r="D229" s="17" t="str">
        <f>Source!H294</f>
        <v>шт.</v>
      </c>
      <c r="E229" s="9">
        <f>Source!I294</f>
        <v>1</v>
      </c>
      <c r="F229" s="19">
        <f>Source!AL294</f>
        <v>17050</v>
      </c>
      <c r="G229" s="18" t="str">
        <f>Source!DD294</f>
        <v/>
      </c>
      <c r="H229" s="9">
        <f>Source!AW294</f>
        <v>1</v>
      </c>
      <c r="I229" s="9">
        <f>IF(Source!BC294&lt;&gt; 0, Source!BC294, 1)</f>
        <v>1</v>
      </c>
      <c r="J229" s="20">
        <f>Source!P294</f>
        <v>17050</v>
      </c>
      <c r="K229" s="20"/>
      <c r="Q229">
        <f>ROUND((Source!BZ294/100)*ROUND((Source!AF294*Source!AV294)*Source!I294, 2), 2)</f>
        <v>0</v>
      </c>
      <c r="R229">
        <f>Source!X294</f>
        <v>0</v>
      </c>
      <c r="S229">
        <f>ROUND((Source!CA294/100)*ROUND((Source!AF294*Source!AV294)*Source!I294, 2), 2)</f>
        <v>0</v>
      </c>
      <c r="T229">
        <f>Source!Y294</f>
        <v>0</v>
      </c>
      <c r="U229">
        <f>ROUND((175/100)*ROUND((Source!AE294*Source!AV294)*Source!I294, 2), 2)</f>
        <v>0</v>
      </c>
      <c r="V229">
        <f>ROUND((108/100)*ROUND(Source!CS294*Source!I294, 2), 2)</f>
        <v>0</v>
      </c>
    </row>
    <row r="230" spans="1:22" ht="15" x14ac:dyDescent="0.25">
      <c r="A230" s="23"/>
      <c r="B230" s="23"/>
      <c r="C230" s="23"/>
      <c r="D230" s="23"/>
      <c r="E230" s="23"/>
      <c r="F230" s="23"/>
      <c r="G230" s="23"/>
      <c r="H230" s="23"/>
      <c r="I230" s="65">
        <f>J229</f>
        <v>17050</v>
      </c>
      <c r="J230" s="65"/>
      <c r="K230" s="24">
        <f>IF(Source!I294&lt;&gt;0, ROUND(I230/Source!I294, 2), 0)</f>
        <v>17050</v>
      </c>
      <c r="P230" s="22">
        <f>I230</f>
        <v>17050</v>
      </c>
    </row>
    <row r="231" spans="1:22" ht="54" x14ac:dyDescent="0.2">
      <c r="A231" s="15" t="str">
        <f>Source!E295</f>
        <v>46</v>
      </c>
      <c r="B231" s="16" t="str">
        <f>Source!F295</f>
        <v>Цена поставщика</v>
      </c>
      <c r="C231" s="16" t="s">
        <v>572</v>
      </c>
      <c r="D231" s="17" t="str">
        <f>Source!H295</f>
        <v>шт.</v>
      </c>
      <c r="E231" s="9">
        <f>Source!I295</f>
        <v>1</v>
      </c>
      <c r="F231" s="19">
        <f>Source!AL295</f>
        <v>17277.78</v>
      </c>
      <c r="G231" s="18" t="str">
        <f>Source!DD295</f>
        <v/>
      </c>
      <c r="H231" s="9">
        <f>Source!AW295</f>
        <v>1</v>
      </c>
      <c r="I231" s="9">
        <f>IF(Source!BC295&lt;&gt; 0, Source!BC295, 1)</f>
        <v>1</v>
      </c>
      <c r="J231" s="20">
        <f>Source!P295</f>
        <v>17277.78</v>
      </c>
      <c r="K231" s="20"/>
      <c r="Q231">
        <f>ROUND((Source!BZ295/100)*ROUND((Source!AF295*Source!AV295)*Source!I295, 2), 2)</f>
        <v>0</v>
      </c>
      <c r="R231">
        <f>Source!X295</f>
        <v>0</v>
      </c>
      <c r="S231">
        <f>ROUND((Source!CA295/100)*ROUND((Source!AF295*Source!AV295)*Source!I295, 2), 2)</f>
        <v>0</v>
      </c>
      <c r="T231">
        <f>Source!Y295</f>
        <v>0</v>
      </c>
      <c r="U231">
        <f>ROUND((175/100)*ROUND((Source!AE295*Source!AV295)*Source!I295, 2), 2)</f>
        <v>0</v>
      </c>
      <c r="V231">
        <f>ROUND((108/100)*ROUND(Source!CS295*Source!I295, 2), 2)</f>
        <v>0</v>
      </c>
    </row>
    <row r="232" spans="1:22" ht="15" x14ac:dyDescent="0.25">
      <c r="A232" s="23"/>
      <c r="B232" s="23"/>
      <c r="C232" s="23"/>
      <c r="D232" s="23"/>
      <c r="E232" s="23"/>
      <c r="F232" s="23"/>
      <c r="G232" s="23"/>
      <c r="H232" s="23"/>
      <c r="I232" s="65">
        <f>J231</f>
        <v>17277.78</v>
      </c>
      <c r="J232" s="65"/>
      <c r="K232" s="24">
        <f>IF(Source!I295&lt;&gt;0, ROUND(I232/Source!I295, 2), 0)</f>
        <v>17277.78</v>
      </c>
      <c r="P232" s="22">
        <f>I232</f>
        <v>17277.78</v>
      </c>
    </row>
    <row r="233" spans="1:22" ht="54" x14ac:dyDescent="0.2">
      <c r="A233" s="15" t="str">
        <f>Source!E296</f>
        <v>47</v>
      </c>
      <c r="B233" s="16" t="str">
        <f>Source!F296</f>
        <v>Цена поставщика</v>
      </c>
      <c r="C233" s="16" t="s">
        <v>573</v>
      </c>
      <c r="D233" s="17" t="str">
        <f>Source!H296</f>
        <v>шт.</v>
      </c>
      <c r="E233" s="9">
        <f>Source!I296</f>
        <v>1</v>
      </c>
      <c r="F233" s="19">
        <f>Source!AL296</f>
        <v>19411.11</v>
      </c>
      <c r="G233" s="18" t="str">
        <f>Source!DD296</f>
        <v/>
      </c>
      <c r="H233" s="9">
        <f>Source!AW296</f>
        <v>1</v>
      </c>
      <c r="I233" s="9">
        <f>IF(Source!BC296&lt;&gt; 0, Source!BC296, 1)</f>
        <v>1</v>
      </c>
      <c r="J233" s="20">
        <f>Source!P296</f>
        <v>19411.11</v>
      </c>
      <c r="K233" s="20"/>
      <c r="Q233">
        <f>ROUND((Source!BZ296/100)*ROUND((Source!AF296*Source!AV296)*Source!I296, 2), 2)</f>
        <v>0</v>
      </c>
      <c r="R233">
        <f>Source!X296</f>
        <v>0</v>
      </c>
      <c r="S233">
        <f>ROUND((Source!CA296/100)*ROUND((Source!AF296*Source!AV296)*Source!I296, 2), 2)</f>
        <v>0</v>
      </c>
      <c r="T233">
        <f>Source!Y296</f>
        <v>0</v>
      </c>
      <c r="U233">
        <f>ROUND((175/100)*ROUND((Source!AE296*Source!AV296)*Source!I296, 2), 2)</f>
        <v>0</v>
      </c>
      <c r="V233">
        <f>ROUND((108/100)*ROUND(Source!CS296*Source!I296, 2), 2)</f>
        <v>0</v>
      </c>
    </row>
    <row r="234" spans="1:22" ht="15" x14ac:dyDescent="0.25">
      <c r="A234" s="23"/>
      <c r="B234" s="23"/>
      <c r="C234" s="23"/>
      <c r="D234" s="23"/>
      <c r="E234" s="23"/>
      <c r="F234" s="23"/>
      <c r="G234" s="23"/>
      <c r="H234" s="23"/>
      <c r="I234" s="65">
        <f>J233</f>
        <v>19411.11</v>
      </c>
      <c r="J234" s="65"/>
      <c r="K234" s="24">
        <f>IF(Source!I296&lt;&gt;0, ROUND(I234/Source!I296, 2), 0)</f>
        <v>19411.11</v>
      </c>
      <c r="P234" s="22">
        <f>I234</f>
        <v>19411.11</v>
      </c>
    </row>
    <row r="235" spans="1:22" ht="54" x14ac:dyDescent="0.2">
      <c r="A235" s="15" t="str">
        <f>Source!E297</f>
        <v>48</v>
      </c>
      <c r="B235" s="16" t="str">
        <f>Source!F297</f>
        <v>Цена поставщика</v>
      </c>
      <c r="C235" s="16" t="s">
        <v>574</v>
      </c>
      <c r="D235" s="17" t="str">
        <f>Source!H297</f>
        <v>шт.</v>
      </c>
      <c r="E235" s="9">
        <f>Source!I297</f>
        <v>1</v>
      </c>
      <c r="F235" s="19">
        <f>Source!AL297</f>
        <v>9847.23</v>
      </c>
      <c r="G235" s="18" t="str">
        <f>Source!DD297</f>
        <v/>
      </c>
      <c r="H235" s="9">
        <f>Source!AW297</f>
        <v>1</v>
      </c>
      <c r="I235" s="9">
        <f>IF(Source!BC297&lt;&gt; 0, Source!BC297, 1)</f>
        <v>1</v>
      </c>
      <c r="J235" s="20">
        <f>Source!P297</f>
        <v>9847.23</v>
      </c>
      <c r="K235" s="20"/>
      <c r="Q235">
        <f>ROUND((Source!BZ297/100)*ROUND((Source!AF297*Source!AV297)*Source!I297, 2), 2)</f>
        <v>0</v>
      </c>
      <c r="R235">
        <f>Source!X297</f>
        <v>0</v>
      </c>
      <c r="S235">
        <f>ROUND((Source!CA297/100)*ROUND((Source!AF297*Source!AV297)*Source!I297, 2), 2)</f>
        <v>0</v>
      </c>
      <c r="T235">
        <f>Source!Y297</f>
        <v>0</v>
      </c>
      <c r="U235">
        <f>ROUND((175/100)*ROUND((Source!AE297*Source!AV297)*Source!I297, 2), 2)</f>
        <v>0</v>
      </c>
      <c r="V235">
        <f>ROUND((108/100)*ROUND(Source!CS297*Source!I297, 2), 2)</f>
        <v>0</v>
      </c>
    </row>
    <row r="236" spans="1:22" ht="15" x14ac:dyDescent="0.25">
      <c r="A236" s="23"/>
      <c r="B236" s="23"/>
      <c r="C236" s="23"/>
      <c r="D236" s="23"/>
      <c r="E236" s="23"/>
      <c r="F236" s="23"/>
      <c r="G236" s="23"/>
      <c r="H236" s="23"/>
      <c r="I236" s="65">
        <f>J235</f>
        <v>9847.23</v>
      </c>
      <c r="J236" s="65"/>
      <c r="K236" s="24">
        <f>IF(Source!I297&lt;&gt;0, ROUND(I236/Source!I297, 2), 0)</f>
        <v>9847.23</v>
      </c>
      <c r="P236" s="22">
        <f>I236</f>
        <v>9847.23</v>
      </c>
    </row>
    <row r="238" spans="1:22" ht="15" x14ac:dyDescent="0.25">
      <c r="A238" s="64" t="str">
        <f>CONCATENATE("Итого по подразделу: ",IF(Source!G299&lt;&gt;"Новый подраздел", Source!G299, ""))</f>
        <v>Итого по подразделу: Установка оборудования для выгула собак</v>
      </c>
      <c r="B238" s="64"/>
      <c r="C238" s="64"/>
      <c r="D238" s="64"/>
      <c r="E238" s="64"/>
      <c r="F238" s="64"/>
      <c r="G238" s="64"/>
      <c r="H238" s="64"/>
      <c r="I238" s="62">
        <f>SUM(P215:P237)</f>
        <v>119484.57999999999</v>
      </c>
      <c r="J238" s="63"/>
      <c r="K238" s="26"/>
    </row>
    <row r="241" spans="1:22" ht="16.5" x14ac:dyDescent="0.25">
      <c r="A241" s="66" t="str">
        <f>CONCATENATE("Подраздел: ",IF(Source!G329&lt;&gt;"Новый подраздел", Source!G329, ""))</f>
        <v>Подраздел: Установка ограждения</v>
      </c>
      <c r="B241" s="66"/>
      <c r="C241" s="66"/>
      <c r="D241" s="66"/>
      <c r="E241" s="66"/>
      <c r="F241" s="66"/>
      <c r="G241" s="66"/>
      <c r="H241" s="66"/>
      <c r="I241" s="66"/>
      <c r="J241" s="66"/>
      <c r="K241" s="66"/>
    </row>
    <row r="242" spans="1:22" ht="57" x14ac:dyDescent="0.2">
      <c r="A242" s="15" t="str">
        <f>Source!E333</f>
        <v>49</v>
      </c>
      <c r="B242" s="16" t="str">
        <f>Source!F333</f>
        <v>5.3-3203-16-2/1</v>
      </c>
      <c r="C242" s="16" t="str">
        <f>Source!G333</f>
        <v>Установка металлических оград высотой 2-2,5 м на металлических стойках, при количестве стоек 38 шт./100 м</v>
      </c>
      <c r="D242" s="17" t="str">
        <f>Source!H333</f>
        <v>100 м</v>
      </c>
      <c r="E242" s="9">
        <f>Source!I333</f>
        <v>1.2</v>
      </c>
      <c r="F242" s="19"/>
      <c r="G242" s="18"/>
      <c r="H242" s="9"/>
      <c r="I242" s="9"/>
      <c r="J242" s="20"/>
      <c r="K242" s="20"/>
      <c r="Q242">
        <f>ROUND((Source!BZ333/100)*ROUND((Source!AF333*Source!AV333)*Source!I333, 2), 2)</f>
        <v>59975.68</v>
      </c>
      <c r="R242">
        <f>Source!X333</f>
        <v>59975.68</v>
      </c>
      <c r="S242">
        <f>ROUND((Source!CA333/100)*ROUND((Source!AF333*Source!AV333)*Source!I333, 2), 2)</f>
        <v>8567.9500000000007</v>
      </c>
      <c r="T242">
        <f>Source!Y333</f>
        <v>8567.9500000000007</v>
      </c>
      <c r="U242">
        <f>ROUND((175/100)*ROUND((Source!AE333*Source!AV333)*Source!I333, 2), 2)</f>
        <v>7508.25</v>
      </c>
      <c r="V242">
        <f>ROUND((108/100)*ROUND(Source!CS333*Source!I333, 2), 2)</f>
        <v>4633.66</v>
      </c>
    </row>
    <row r="243" spans="1:22" x14ac:dyDescent="0.2">
      <c r="C243" s="21" t="str">
        <f>"Объем: "&amp;Source!I333&amp;"=120/"&amp;"100"</f>
        <v>Объем: 1,2=120/100</v>
      </c>
    </row>
    <row r="244" spans="1:22" ht="14.25" x14ac:dyDescent="0.2">
      <c r="A244" s="15"/>
      <c r="B244" s="16"/>
      <c r="C244" s="16" t="s">
        <v>560</v>
      </c>
      <c r="D244" s="17"/>
      <c r="E244" s="9"/>
      <c r="F244" s="19">
        <f>Source!AO333</f>
        <v>71399.62</v>
      </c>
      <c r="G244" s="18" t="str">
        <f>Source!DG333</f>
        <v/>
      </c>
      <c r="H244" s="9">
        <f>Source!AV333</f>
        <v>1</v>
      </c>
      <c r="I244" s="9">
        <f>IF(Source!BA333&lt;&gt; 0, Source!BA333, 1)</f>
        <v>1</v>
      </c>
      <c r="J244" s="20">
        <f>Source!S333</f>
        <v>85679.54</v>
      </c>
      <c r="K244" s="20"/>
    </row>
    <row r="245" spans="1:22" ht="14.25" x14ac:dyDescent="0.2">
      <c r="A245" s="15"/>
      <c r="B245" s="16"/>
      <c r="C245" s="16" t="s">
        <v>561</v>
      </c>
      <c r="D245" s="17"/>
      <c r="E245" s="9"/>
      <c r="F245" s="19">
        <f>Source!AM333</f>
        <v>19999.11</v>
      </c>
      <c r="G245" s="18" t="str">
        <f>Source!DE333</f>
        <v/>
      </c>
      <c r="H245" s="9">
        <f>Source!AV333</f>
        <v>1</v>
      </c>
      <c r="I245" s="9">
        <f>IF(Source!BB333&lt;&gt; 0, Source!BB333, 1)</f>
        <v>1</v>
      </c>
      <c r="J245" s="20">
        <f>Source!Q333</f>
        <v>23998.93</v>
      </c>
      <c r="K245" s="20"/>
    </row>
    <row r="246" spans="1:22" ht="14.25" x14ac:dyDescent="0.2">
      <c r="A246" s="15"/>
      <c r="B246" s="16"/>
      <c r="C246" s="16" t="s">
        <v>567</v>
      </c>
      <c r="D246" s="17"/>
      <c r="E246" s="9"/>
      <c r="F246" s="19">
        <f>Source!AN333</f>
        <v>3575.36</v>
      </c>
      <c r="G246" s="18" t="str">
        <f>Source!DF333</f>
        <v/>
      </c>
      <c r="H246" s="9">
        <f>Source!AV333</f>
        <v>1</v>
      </c>
      <c r="I246" s="9">
        <f>IF(Source!BS333&lt;&gt; 0, Source!BS333, 1)</f>
        <v>1</v>
      </c>
      <c r="J246" s="25">
        <f>Source!R333</f>
        <v>4290.43</v>
      </c>
      <c r="K246" s="20"/>
    </row>
    <row r="247" spans="1:22" ht="14.25" x14ac:dyDescent="0.2">
      <c r="A247" s="15"/>
      <c r="B247" s="16"/>
      <c r="C247" s="16" t="s">
        <v>575</v>
      </c>
      <c r="D247" s="17"/>
      <c r="E247" s="9"/>
      <c r="F247" s="19">
        <f>Source!AL333</f>
        <v>547940.27</v>
      </c>
      <c r="G247" s="18" t="str">
        <f>Source!DD333</f>
        <v/>
      </c>
      <c r="H247" s="9">
        <f>Source!AW333</f>
        <v>1</v>
      </c>
      <c r="I247" s="9">
        <f>IF(Source!BC333&lt;&gt; 0, Source!BC333, 1)</f>
        <v>1</v>
      </c>
      <c r="J247" s="20">
        <f>Source!P333</f>
        <v>657528.31999999995</v>
      </c>
      <c r="K247" s="20"/>
    </row>
    <row r="248" spans="1:22" ht="14.25" x14ac:dyDescent="0.2">
      <c r="A248" s="15"/>
      <c r="B248" s="16"/>
      <c r="C248" s="16" t="s">
        <v>562</v>
      </c>
      <c r="D248" s="17" t="s">
        <v>563</v>
      </c>
      <c r="E248" s="9">
        <f>Source!AT333</f>
        <v>70</v>
      </c>
      <c r="F248" s="19"/>
      <c r="G248" s="18"/>
      <c r="H248" s="9"/>
      <c r="I248" s="9"/>
      <c r="J248" s="20">
        <f>SUM(R242:R247)</f>
        <v>59975.68</v>
      </c>
      <c r="K248" s="20"/>
    </row>
    <row r="249" spans="1:22" ht="14.25" x14ac:dyDescent="0.2">
      <c r="A249" s="15"/>
      <c r="B249" s="16"/>
      <c r="C249" s="16" t="s">
        <v>564</v>
      </c>
      <c r="D249" s="17" t="s">
        <v>563</v>
      </c>
      <c r="E249" s="9">
        <f>Source!AU333</f>
        <v>10</v>
      </c>
      <c r="F249" s="19"/>
      <c r="G249" s="18"/>
      <c r="H249" s="9"/>
      <c r="I249" s="9"/>
      <c r="J249" s="20">
        <f>SUM(T242:T248)</f>
        <v>8567.9500000000007</v>
      </c>
      <c r="K249" s="20"/>
    </row>
    <row r="250" spans="1:22" ht="14.25" x14ac:dyDescent="0.2">
      <c r="A250" s="15"/>
      <c r="B250" s="16"/>
      <c r="C250" s="16" t="s">
        <v>568</v>
      </c>
      <c r="D250" s="17" t="s">
        <v>563</v>
      </c>
      <c r="E250" s="9">
        <f>108</f>
        <v>108</v>
      </c>
      <c r="F250" s="19"/>
      <c r="G250" s="18"/>
      <c r="H250" s="9"/>
      <c r="I250" s="9"/>
      <c r="J250" s="20">
        <f>SUM(V242:V249)</f>
        <v>4633.66</v>
      </c>
      <c r="K250" s="20"/>
    </row>
    <row r="251" spans="1:22" ht="14.25" x14ac:dyDescent="0.2">
      <c r="A251" s="15"/>
      <c r="B251" s="16"/>
      <c r="C251" s="16" t="s">
        <v>565</v>
      </c>
      <c r="D251" s="17" t="s">
        <v>566</v>
      </c>
      <c r="E251" s="9">
        <f>Source!AQ333</f>
        <v>340.81</v>
      </c>
      <c r="F251" s="19"/>
      <c r="G251" s="18" t="str">
        <f>Source!DI333</f>
        <v/>
      </c>
      <c r="H251" s="9">
        <f>Source!AV333</f>
        <v>1</v>
      </c>
      <c r="I251" s="9"/>
      <c r="J251" s="20"/>
      <c r="K251" s="20">
        <f>Source!U333</f>
        <v>408.97199999999998</v>
      </c>
    </row>
    <row r="252" spans="1:22" ht="15" x14ac:dyDescent="0.25">
      <c r="A252" s="23"/>
      <c r="B252" s="23"/>
      <c r="C252" s="23"/>
      <c r="D252" s="23"/>
      <c r="E252" s="23"/>
      <c r="F252" s="23"/>
      <c r="G252" s="23"/>
      <c r="H252" s="23"/>
      <c r="I252" s="65">
        <f>J244+J245+J247+J248+J249+J250</f>
        <v>840384.08</v>
      </c>
      <c r="J252" s="65"/>
      <c r="K252" s="24">
        <f>IF(Source!I333&lt;&gt;0, ROUND(I252/Source!I333, 2), 0)</f>
        <v>700320.07</v>
      </c>
      <c r="P252" s="22">
        <f>I252</f>
        <v>840384.08</v>
      </c>
    </row>
    <row r="253" spans="1:22" ht="42.75" x14ac:dyDescent="0.2">
      <c r="A253" s="15" t="str">
        <f>Source!E334</f>
        <v>50</v>
      </c>
      <c r="B253" s="16" t="str">
        <f>Source!F334</f>
        <v>5.3-3202-2-2/1</v>
      </c>
      <c r="C253" s="16" t="str">
        <f>Source!G334</f>
        <v>Ремонт металлических конструкций спортивных площадок: замена навесов калитки ограждения</v>
      </c>
      <c r="D253" s="17" t="str">
        <f>Source!H334</f>
        <v>шт.</v>
      </c>
      <c r="E253" s="9">
        <f>Source!I334</f>
        <v>1</v>
      </c>
      <c r="F253" s="19"/>
      <c r="G253" s="18"/>
      <c r="H253" s="9"/>
      <c r="I253" s="9"/>
      <c r="J253" s="20"/>
      <c r="K253" s="20"/>
      <c r="Q253">
        <f>ROUND((Source!BZ334/100)*ROUND((Source!AF334*Source!AV334)*Source!I334, 2), 2)</f>
        <v>255.27</v>
      </c>
      <c r="R253">
        <f>Source!X334</f>
        <v>255.27</v>
      </c>
      <c r="S253">
        <f>ROUND((Source!CA334/100)*ROUND((Source!AF334*Source!AV334)*Source!I334, 2), 2)</f>
        <v>36.47</v>
      </c>
      <c r="T253">
        <f>Source!Y334</f>
        <v>36.47</v>
      </c>
      <c r="U253">
        <f>ROUND((175/100)*ROUND((Source!AE334*Source!AV334)*Source!I334, 2), 2)</f>
        <v>688.92</v>
      </c>
      <c r="V253">
        <f>ROUND((108/100)*ROUND(Source!CS334*Source!I334, 2), 2)</f>
        <v>425.16</v>
      </c>
    </row>
    <row r="254" spans="1:22" ht="14.25" x14ac:dyDescent="0.2">
      <c r="A254" s="15"/>
      <c r="B254" s="16"/>
      <c r="C254" s="16" t="s">
        <v>560</v>
      </c>
      <c r="D254" s="17"/>
      <c r="E254" s="9"/>
      <c r="F254" s="19">
        <f>Source!AO334</f>
        <v>364.67</v>
      </c>
      <c r="G254" s="18" t="str">
        <f>Source!DG334</f>
        <v/>
      </c>
      <c r="H254" s="9">
        <f>Source!AV334</f>
        <v>1</v>
      </c>
      <c r="I254" s="9">
        <f>IF(Source!BA334&lt;&gt; 0, Source!BA334, 1)</f>
        <v>1</v>
      </c>
      <c r="J254" s="20">
        <f>Source!S334</f>
        <v>364.67</v>
      </c>
      <c r="K254" s="20"/>
    </row>
    <row r="255" spans="1:22" ht="14.25" x14ac:dyDescent="0.2">
      <c r="A255" s="15"/>
      <c r="B255" s="16"/>
      <c r="C255" s="16" t="s">
        <v>561</v>
      </c>
      <c r="D255" s="17"/>
      <c r="E255" s="9"/>
      <c r="F255" s="19">
        <f>Source!AM334</f>
        <v>631.02</v>
      </c>
      <c r="G255" s="18" t="str">
        <f>Source!DE334</f>
        <v/>
      </c>
      <c r="H255" s="9">
        <f>Source!AV334</f>
        <v>1</v>
      </c>
      <c r="I255" s="9">
        <f>IF(Source!BB334&lt;&gt; 0, Source!BB334, 1)</f>
        <v>1</v>
      </c>
      <c r="J255" s="20">
        <f>Source!Q334</f>
        <v>631.02</v>
      </c>
      <c r="K255" s="20"/>
    </row>
    <row r="256" spans="1:22" ht="14.25" x14ac:dyDescent="0.2">
      <c r="A256" s="15"/>
      <c r="B256" s="16"/>
      <c r="C256" s="16" t="s">
        <v>567</v>
      </c>
      <c r="D256" s="17"/>
      <c r="E256" s="9"/>
      <c r="F256" s="19">
        <f>Source!AN334</f>
        <v>393.67</v>
      </c>
      <c r="G256" s="18" t="str">
        <f>Source!DF334</f>
        <v/>
      </c>
      <c r="H256" s="9">
        <f>Source!AV334</f>
        <v>1</v>
      </c>
      <c r="I256" s="9">
        <f>IF(Source!BS334&lt;&gt; 0, Source!BS334, 1)</f>
        <v>1</v>
      </c>
      <c r="J256" s="25">
        <f>Source!R334</f>
        <v>393.67</v>
      </c>
      <c r="K256" s="20"/>
    </row>
    <row r="257" spans="1:22" ht="14.25" x14ac:dyDescent="0.2">
      <c r="A257" s="15"/>
      <c r="B257" s="16"/>
      <c r="C257" s="16" t="s">
        <v>575</v>
      </c>
      <c r="D257" s="17"/>
      <c r="E257" s="9"/>
      <c r="F257" s="19">
        <f>Source!AL334</f>
        <v>57.98</v>
      </c>
      <c r="G257" s="18" t="str">
        <f>Source!DD334</f>
        <v/>
      </c>
      <c r="H257" s="9">
        <f>Source!AW334</f>
        <v>1</v>
      </c>
      <c r="I257" s="9">
        <f>IF(Source!BC334&lt;&gt; 0, Source!BC334, 1)</f>
        <v>1</v>
      </c>
      <c r="J257" s="20">
        <f>Source!P334</f>
        <v>57.98</v>
      </c>
      <c r="K257" s="20"/>
    </row>
    <row r="258" spans="1:22" ht="14.25" x14ac:dyDescent="0.2">
      <c r="A258" s="15"/>
      <c r="B258" s="16"/>
      <c r="C258" s="16" t="s">
        <v>562</v>
      </c>
      <c r="D258" s="17" t="s">
        <v>563</v>
      </c>
      <c r="E258" s="9">
        <f>Source!AT334</f>
        <v>70</v>
      </c>
      <c r="F258" s="19"/>
      <c r="G258" s="18"/>
      <c r="H258" s="9"/>
      <c r="I258" s="9"/>
      <c r="J258" s="20">
        <f>SUM(R253:R257)</f>
        <v>255.27</v>
      </c>
      <c r="K258" s="20"/>
    </row>
    <row r="259" spans="1:22" ht="14.25" x14ac:dyDescent="0.2">
      <c r="A259" s="15"/>
      <c r="B259" s="16"/>
      <c r="C259" s="16" t="s">
        <v>564</v>
      </c>
      <c r="D259" s="17" t="s">
        <v>563</v>
      </c>
      <c r="E259" s="9">
        <f>Source!AU334</f>
        <v>10</v>
      </c>
      <c r="F259" s="19"/>
      <c r="G259" s="18"/>
      <c r="H259" s="9"/>
      <c r="I259" s="9"/>
      <c r="J259" s="20">
        <f>SUM(T253:T258)</f>
        <v>36.47</v>
      </c>
      <c r="K259" s="20"/>
    </row>
    <row r="260" spans="1:22" ht="14.25" x14ac:dyDescent="0.2">
      <c r="A260" s="15"/>
      <c r="B260" s="16"/>
      <c r="C260" s="16" t="s">
        <v>568</v>
      </c>
      <c r="D260" s="17" t="s">
        <v>563</v>
      </c>
      <c r="E260" s="9">
        <f>108</f>
        <v>108</v>
      </c>
      <c r="F260" s="19"/>
      <c r="G260" s="18"/>
      <c r="H260" s="9"/>
      <c r="I260" s="9"/>
      <c r="J260" s="20">
        <f>SUM(V253:V259)</f>
        <v>425.16</v>
      </c>
      <c r="K260" s="20"/>
    </row>
    <row r="261" spans="1:22" ht="14.25" x14ac:dyDescent="0.2">
      <c r="A261" s="15"/>
      <c r="B261" s="16"/>
      <c r="C261" s="16" t="s">
        <v>565</v>
      </c>
      <c r="D261" s="17" t="s">
        <v>566</v>
      </c>
      <c r="E261" s="9">
        <f>Source!AQ334</f>
        <v>2</v>
      </c>
      <c r="F261" s="19"/>
      <c r="G261" s="18" t="str">
        <f>Source!DI334</f>
        <v/>
      </c>
      <c r="H261" s="9">
        <f>Source!AV334</f>
        <v>1</v>
      </c>
      <c r="I261" s="9"/>
      <c r="J261" s="20"/>
      <c r="K261" s="20">
        <f>Source!U334</f>
        <v>2</v>
      </c>
    </row>
    <row r="262" spans="1:22" ht="15" x14ac:dyDescent="0.25">
      <c r="A262" s="23"/>
      <c r="B262" s="23"/>
      <c r="C262" s="23"/>
      <c r="D262" s="23"/>
      <c r="E262" s="23"/>
      <c r="F262" s="23"/>
      <c r="G262" s="23"/>
      <c r="H262" s="23"/>
      <c r="I262" s="65">
        <f>J254+J255+J257+J258+J259+J260</f>
        <v>1770.5700000000002</v>
      </c>
      <c r="J262" s="65"/>
      <c r="K262" s="24">
        <f>IF(Source!I334&lt;&gt;0, ROUND(I262/Source!I334, 2), 0)</f>
        <v>1770.57</v>
      </c>
      <c r="P262" s="22">
        <f>I262</f>
        <v>1770.5700000000002</v>
      </c>
    </row>
    <row r="263" spans="1:22" ht="57" x14ac:dyDescent="0.2">
      <c r="A263" s="15" t="str">
        <f>Source!E335</f>
        <v>51</v>
      </c>
      <c r="B263" s="16" t="str">
        <f>Source!F335</f>
        <v>21.7-14-5</v>
      </c>
      <c r="C263" s="16" t="str">
        <f>Source!G335</f>
        <v>Калитка металлическая с лаковым покрытием, размеры 1000х1500 мм (прим. калитка металическая решётчатая)</v>
      </c>
      <c r="D263" s="17" t="str">
        <f>Source!H335</f>
        <v>шт.</v>
      </c>
      <c r="E263" s="9">
        <f>Source!I335</f>
        <v>1</v>
      </c>
      <c r="F263" s="19">
        <f>Source!AL335</f>
        <v>10202.57</v>
      </c>
      <c r="G263" s="18" t="str">
        <f>Source!DD335</f>
        <v/>
      </c>
      <c r="H263" s="9">
        <f>Source!AW335</f>
        <v>1</v>
      </c>
      <c r="I263" s="9">
        <f>IF(Source!BC335&lt;&gt; 0, Source!BC335, 1)</f>
        <v>1</v>
      </c>
      <c r="J263" s="20">
        <f>Source!P335</f>
        <v>10202.57</v>
      </c>
      <c r="K263" s="20"/>
      <c r="Q263">
        <f>ROUND((Source!BZ335/100)*ROUND((Source!AF335*Source!AV335)*Source!I335, 2), 2)</f>
        <v>0</v>
      </c>
      <c r="R263">
        <f>Source!X335</f>
        <v>0</v>
      </c>
      <c r="S263">
        <f>ROUND((Source!CA335/100)*ROUND((Source!AF335*Source!AV335)*Source!I335, 2), 2)</f>
        <v>0</v>
      </c>
      <c r="T263">
        <f>Source!Y335</f>
        <v>0</v>
      </c>
      <c r="U263">
        <f>ROUND((175/100)*ROUND((Source!AE335*Source!AV335)*Source!I335, 2), 2)</f>
        <v>0</v>
      </c>
      <c r="V263">
        <f>ROUND((108/100)*ROUND(Source!CS335*Source!I335, 2), 2)</f>
        <v>0</v>
      </c>
    </row>
    <row r="264" spans="1:22" ht="15" x14ac:dyDescent="0.25">
      <c r="A264" s="23"/>
      <c r="B264" s="23"/>
      <c r="C264" s="23"/>
      <c r="D264" s="23"/>
      <c r="E264" s="23"/>
      <c r="F264" s="23"/>
      <c r="G264" s="23"/>
      <c r="H264" s="23"/>
      <c r="I264" s="65">
        <f>J263</f>
        <v>10202.57</v>
      </c>
      <c r="J264" s="65"/>
      <c r="K264" s="24">
        <f>IF(Source!I335&lt;&gt;0, ROUND(I264/Source!I335, 2), 0)</f>
        <v>10202.57</v>
      </c>
      <c r="P264" s="22">
        <f>I264</f>
        <v>10202.57</v>
      </c>
    </row>
    <row r="266" spans="1:22" ht="15" x14ac:dyDescent="0.25">
      <c r="A266" s="64" t="str">
        <f>CONCATENATE("Итого по подразделу: ",IF(Source!G339&lt;&gt;"Новый подраздел", Source!G339, ""))</f>
        <v>Итого по подразделу: Установка ограждения</v>
      </c>
      <c r="B266" s="64"/>
      <c r="C266" s="64"/>
      <c r="D266" s="64"/>
      <c r="E266" s="64"/>
      <c r="F266" s="64"/>
      <c r="G266" s="64"/>
      <c r="H266" s="64"/>
      <c r="I266" s="62">
        <f>SUM(P241:P265)</f>
        <v>852357.21999999986</v>
      </c>
      <c r="J266" s="63"/>
      <c r="K266" s="26"/>
    </row>
    <row r="269" spans="1:22" ht="16.5" x14ac:dyDescent="0.25">
      <c r="A269" s="66" t="str">
        <f>CONCATENATE("Подраздел: ",IF(Source!G369&lt;&gt;"Новый подраздел", Source!G369, ""))</f>
        <v>Подраздел: Устройство покрытия</v>
      </c>
      <c r="B269" s="66"/>
      <c r="C269" s="66"/>
      <c r="D269" s="66"/>
      <c r="E269" s="66"/>
      <c r="F269" s="66"/>
      <c r="G269" s="66"/>
      <c r="H269" s="66"/>
      <c r="I269" s="66"/>
      <c r="J269" s="66"/>
      <c r="K269" s="66"/>
    </row>
    <row r="270" spans="1:22" ht="57" x14ac:dyDescent="0.2">
      <c r="A270" s="15" t="str">
        <f>Source!E373</f>
        <v>54</v>
      </c>
      <c r="B270" s="16" t="str">
        <f>Source!F373</f>
        <v>2.49-3101-4-2/1</v>
      </c>
      <c r="C270" s="16" t="str">
        <f>Source!G373</f>
        <v>Разработка грунта с погрузкой на автомобили-самосвалы экскаваторами с ковшом вместимостью 0,25 м3, группа грунтов 1-3</v>
      </c>
      <c r="D270" s="17" t="str">
        <f>Source!H373</f>
        <v>100 м3</v>
      </c>
      <c r="E270" s="9">
        <f>Source!I373</f>
        <v>0.24299999999999999</v>
      </c>
      <c r="F270" s="19"/>
      <c r="G270" s="18"/>
      <c r="H270" s="9"/>
      <c r="I270" s="9"/>
      <c r="J270" s="20"/>
      <c r="K270" s="20"/>
      <c r="Q270">
        <f>ROUND((Source!BZ373/100)*ROUND((Source!AF373*Source!AV373)*Source!I373, 2), 2)</f>
        <v>99.26</v>
      </c>
      <c r="R270">
        <f>Source!X373</f>
        <v>99.26</v>
      </c>
      <c r="S270">
        <f>ROUND((Source!CA373/100)*ROUND((Source!AF373*Source!AV373)*Source!I373, 2), 2)</f>
        <v>14.18</v>
      </c>
      <c r="T270">
        <f>Source!Y373</f>
        <v>14.18</v>
      </c>
      <c r="U270">
        <f>ROUND((175/100)*ROUND((Source!AE373*Source!AV373)*Source!I373, 2), 2)</f>
        <v>2393.77</v>
      </c>
      <c r="V270">
        <f>ROUND((108/100)*ROUND(Source!CS373*Source!I373, 2), 2)</f>
        <v>1477.3</v>
      </c>
    </row>
    <row r="271" spans="1:22" x14ac:dyDescent="0.2">
      <c r="C271" s="21" t="str">
        <f>"Объем: "&amp;Source!I373&amp;"=((270*"&amp;"0,1)/"&amp;"100)*"&amp;"0,9"</f>
        <v>Объем: 0,243=((270*0,1)/100)*0,9</v>
      </c>
    </row>
    <row r="272" spans="1:22" ht="14.25" x14ac:dyDescent="0.2">
      <c r="A272" s="15"/>
      <c r="B272" s="16"/>
      <c r="C272" s="16" t="s">
        <v>560</v>
      </c>
      <c r="D272" s="17"/>
      <c r="E272" s="9"/>
      <c r="F272" s="19">
        <f>Source!AO373</f>
        <v>583.52</v>
      </c>
      <c r="G272" s="18" t="str">
        <f>Source!DG373</f>
        <v/>
      </c>
      <c r="H272" s="9">
        <f>Source!AV373</f>
        <v>1</v>
      </c>
      <c r="I272" s="9">
        <f>IF(Source!BA373&lt;&gt; 0, Source!BA373, 1)</f>
        <v>1</v>
      </c>
      <c r="J272" s="20">
        <f>Source!S373</f>
        <v>141.80000000000001</v>
      </c>
      <c r="K272" s="20"/>
    </row>
    <row r="273" spans="1:22" ht="14.25" x14ac:dyDescent="0.2">
      <c r="A273" s="15"/>
      <c r="B273" s="16"/>
      <c r="C273" s="16" t="s">
        <v>561</v>
      </c>
      <c r="D273" s="17"/>
      <c r="E273" s="9"/>
      <c r="F273" s="19">
        <f>Source!AM373</f>
        <v>8218.83</v>
      </c>
      <c r="G273" s="18" t="str">
        <f>Source!DE373</f>
        <v/>
      </c>
      <c r="H273" s="9">
        <f>Source!AV373</f>
        <v>1</v>
      </c>
      <c r="I273" s="9">
        <f>IF(Source!BB373&lt;&gt; 0, Source!BB373, 1)</f>
        <v>1</v>
      </c>
      <c r="J273" s="20">
        <f>Source!Q373</f>
        <v>1997.18</v>
      </c>
      <c r="K273" s="20"/>
    </row>
    <row r="274" spans="1:22" ht="14.25" x14ac:dyDescent="0.2">
      <c r="A274" s="15"/>
      <c r="B274" s="16"/>
      <c r="C274" s="16" t="s">
        <v>567</v>
      </c>
      <c r="D274" s="17"/>
      <c r="E274" s="9"/>
      <c r="F274" s="19">
        <f>Source!AN373</f>
        <v>5629.09</v>
      </c>
      <c r="G274" s="18" t="str">
        <f>Source!DF373</f>
        <v/>
      </c>
      <c r="H274" s="9">
        <f>Source!AV373</f>
        <v>1</v>
      </c>
      <c r="I274" s="9">
        <f>IF(Source!BS373&lt;&gt; 0, Source!BS373, 1)</f>
        <v>1</v>
      </c>
      <c r="J274" s="25">
        <f>Source!R373</f>
        <v>1367.87</v>
      </c>
      <c r="K274" s="20"/>
    </row>
    <row r="275" spans="1:22" ht="14.25" x14ac:dyDescent="0.2">
      <c r="A275" s="15"/>
      <c r="B275" s="16"/>
      <c r="C275" s="16" t="s">
        <v>562</v>
      </c>
      <c r="D275" s="17" t="s">
        <v>563</v>
      </c>
      <c r="E275" s="9">
        <f>Source!AT373</f>
        <v>70</v>
      </c>
      <c r="F275" s="19"/>
      <c r="G275" s="18"/>
      <c r="H275" s="9"/>
      <c r="I275" s="9"/>
      <c r="J275" s="20">
        <f>SUM(R270:R274)</f>
        <v>99.26</v>
      </c>
      <c r="K275" s="20"/>
    </row>
    <row r="276" spans="1:22" ht="14.25" x14ac:dyDescent="0.2">
      <c r="A276" s="15"/>
      <c r="B276" s="16"/>
      <c r="C276" s="16" t="s">
        <v>564</v>
      </c>
      <c r="D276" s="17" t="s">
        <v>563</v>
      </c>
      <c r="E276" s="9">
        <f>Source!AU373</f>
        <v>10</v>
      </c>
      <c r="F276" s="19"/>
      <c r="G276" s="18"/>
      <c r="H276" s="9"/>
      <c r="I276" s="9"/>
      <c r="J276" s="20">
        <f>SUM(T270:T275)</f>
        <v>14.18</v>
      </c>
      <c r="K276" s="20"/>
    </row>
    <row r="277" spans="1:22" ht="14.25" x14ac:dyDescent="0.2">
      <c r="A277" s="15"/>
      <c r="B277" s="16"/>
      <c r="C277" s="16" t="s">
        <v>568</v>
      </c>
      <c r="D277" s="17" t="s">
        <v>563</v>
      </c>
      <c r="E277" s="9">
        <f>108</f>
        <v>108</v>
      </c>
      <c r="F277" s="19"/>
      <c r="G277" s="18"/>
      <c r="H277" s="9"/>
      <c r="I277" s="9"/>
      <c r="J277" s="20">
        <f>SUM(V270:V276)</f>
        <v>1477.3</v>
      </c>
      <c r="K277" s="20"/>
    </row>
    <row r="278" spans="1:22" ht="14.25" x14ac:dyDescent="0.2">
      <c r="A278" s="15"/>
      <c r="B278" s="16"/>
      <c r="C278" s="16" t="s">
        <v>565</v>
      </c>
      <c r="D278" s="17" t="s">
        <v>566</v>
      </c>
      <c r="E278" s="9">
        <f>Source!AQ373</f>
        <v>3.39</v>
      </c>
      <c r="F278" s="19"/>
      <c r="G278" s="18" t="str">
        <f>Source!DI373</f>
        <v/>
      </c>
      <c r="H278" s="9">
        <f>Source!AV373</f>
        <v>1</v>
      </c>
      <c r="I278" s="9"/>
      <c r="J278" s="20"/>
      <c r="K278" s="20">
        <f>Source!U373</f>
        <v>0.82377</v>
      </c>
    </row>
    <row r="279" spans="1:22" ht="15" x14ac:dyDescent="0.25">
      <c r="A279" s="23"/>
      <c r="B279" s="23"/>
      <c r="C279" s="23"/>
      <c r="D279" s="23"/>
      <c r="E279" s="23"/>
      <c r="F279" s="23"/>
      <c r="G279" s="23"/>
      <c r="H279" s="23"/>
      <c r="I279" s="65">
        <f>J272+J273+J275+J276+J277</f>
        <v>3729.7200000000003</v>
      </c>
      <c r="J279" s="65"/>
      <c r="K279" s="24">
        <f>IF(Source!I373&lt;&gt;0, ROUND(I279/Source!I373, 2), 0)</f>
        <v>15348.64</v>
      </c>
      <c r="P279" s="22">
        <f>I279</f>
        <v>3729.7200000000003</v>
      </c>
    </row>
    <row r="280" spans="1:22" ht="42.75" x14ac:dyDescent="0.2">
      <c r="A280" s="15" t="str">
        <f>Source!E374</f>
        <v>55</v>
      </c>
      <c r="B280" s="16" t="str">
        <f>Source!F374</f>
        <v>2.49-3201-14-1/1</v>
      </c>
      <c r="C280" s="16" t="str">
        <f>Source!G374</f>
        <v>Разработка грунта вручную в траншеях глубиной до 2 м без креплений с откосами, группа грунтов 1-3</v>
      </c>
      <c r="D280" s="17" t="str">
        <f>Source!H374</f>
        <v>100 м3</v>
      </c>
      <c r="E280" s="9">
        <f>Source!I374</f>
        <v>2.7E-2</v>
      </c>
      <c r="F280" s="19"/>
      <c r="G280" s="18"/>
      <c r="H280" s="9"/>
      <c r="I280" s="9"/>
      <c r="J280" s="20"/>
      <c r="K280" s="20"/>
      <c r="Q280">
        <f>ROUND((Source!BZ374/100)*ROUND((Source!AF374*Source!AV374)*Source!I374, 2), 2)</f>
        <v>755.1</v>
      </c>
      <c r="R280">
        <f>Source!X374</f>
        <v>755.1</v>
      </c>
      <c r="S280">
        <f>ROUND((Source!CA374/100)*ROUND((Source!AF374*Source!AV374)*Source!I374, 2), 2)</f>
        <v>107.87</v>
      </c>
      <c r="T280">
        <f>Source!Y374</f>
        <v>107.87</v>
      </c>
      <c r="U280">
        <f>ROUND((175/100)*ROUND((Source!AE374*Source!AV374)*Source!I374, 2), 2)</f>
        <v>0</v>
      </c>
      <c r="V280">
        <f>ROUND((108/100)*ROUND(Source!CS374*Source!I374, 2), 2)</f>
        <v>0</v>
      </c>
    </row>
    <row r="281" spans="1:22" x14ac:dyDescent="0.2">
      <c r="C281" s="21" t="str">
        <f>"Объем: "&amp;Source!I374&amp;"=((270*"&amp;"0,1)/"&amp;"100)*"&amp;"0,1"</f>
        <v>Объем: 0,027=((270*0,1)/100)*0,1</v>
      </c>
    </row>
    <row r="282" spans="1:22" ht="14.25" x14ac:dyDescent="0.2">
      <c r="A282" s="15"/>
      <c r="B282" s="16"/>
      <c r="C282" s="16" t="s">
        <v>560</v>
      </c>
      <c r="D282" s="17"/>
      <c r="E282" s="9"/>
      <c r="F282" s="19">
        <f>Source!AO374</f>
        <v>39952.26</v>
      </c>
      <c r="G282" s="18" t="str">
        <f>Source!DG374</f>
        <v/>
      </c>
      <c r="H282" s="9">
        <f>Source!AV374</f>
        <v>1</v>
      </c>
      <c r="I282" s="9">
        <f>IF(Source!BA374&lt;&gt; 0, Source!BA374, 1)</f>
        <v>1</v>
      </c>
      <c r="J282" s="20">
        <f>Source!S374</f>
        <v>1078.71</v>
      </c>
      <c r="K282" s="20"/>
    </row>
    <row r="283" spans="1:22" ht="14.25" x14ac:dyDescent="0.2">
      <c r="A283" s="15"/>
      <c r="B283" s="16"/>
      <c r="C283" s="16" t="s">
        <v>562</v>
      </c>
      <c r="D283" s="17" t="s">
        <v>563</v>
      </c>
      <c r="E283" s="9">
        <f>Source!AT374</f>
        <v>70</v>
      </c>
      <c r="F283" s="19"/>
      <c r="G283" s="18"/>
      <c r="H283" s="9"/>
      <c r="I283" s="9"/>
      <c r="J283" s="20">
        <f>SUM(R280:R282)</f>
        <v>755.1</v>
      </c>
      <c r="K283" s="20"/>
    </row>
    <row r="284" spans="1:22" ht="14.25" x14ac:dyDescent="0.2">
      <c r="A284" s="15"/>
      <c r="B284" s="16"/>
      <c r="C284" s="16" t="s">
        <v>564</v>
      </c>
      <c r="D284" s="17" t="s">
        <v>563</v>
      </c>
      <c r="E284" s="9">
        <f>Source!AU374</f>
        <v>10</v>
      </c>
      <c r="F284" s="19"/>
      <c r="G284" s="18"/>
      <c r="H284" s="9"/>
      <c r="I284" s="9"/>
      <c r="J284" s="20">
        <f>SUM(T280:T283)</f>
        <v>107.87</v>
      </c>
      <c r="K284" s="20"/>
    </row>
    <row r="285" spans="1:22" ht="14.25" x14ac:dyDescent="0.2">
      <c r="A285" s="15"/>
      <c r="B285" s="16"/>
      <c r="C285" s="16" t="s">
        <v>565</v>
      </c>
      <c r="D285" s="17" t="s">
        <v>566</v>
      </c>
      <c r="E285" s="9">
        <f>Source!AQ374</f>
        <v>221.6</v>
      </c>
      <c r="F285" s="19"/>
      <c r="G285" s="18" t="str">
        <f>Source!DI374</f>
        <v/>
      </c>
      <c r="H285" s="9">
        <f>Source!AV374</f>
        <v>1</v>
      </c>
      <c r="I285" s="9"/>
      <c r="J285" s="20"/>
      <c r="K285" s="20">
        <f>Source!U374</f>
        <v>5.9832000000000001</v>
      </c>
    </row>
    <row r="286" spans="1:22" ht="15" x14ac:dyDescent="0.25">
      <c r="A286" s="23"/>
      <c r="B286" s="23"/>
      <c r="C286" s="23"/>
      <c r="D286" s="23"/>
      <c r="E286" s="23"/>
      <c r="F286" s="23"/>
      <c r="G286" s="23"/>
      <c r="H286" s="23"/>
      <c r="I286" s="65">
        <f>J282+J283+J284</f>
        <v>1941.6799999999998</v>
      </c>
      <c r="J286" s="65"/>
      <c r="K286" s="24">
        <f>IF(Source!I374&lt;&gt;0, ROUND(I286/Source!I374, 2), 0)</f>
        <v>71914.070000000007</v>
      </c>
      <c r="P286" s="22">
        <f>I286</f>
        <v>1941.6799999999998</v>
      </c>
    </row>
    <row r="287" spans="1:22" ht="42.75" x14ac:dyDescent="0.2">
      <c r="A287" s="15" t="str">
        <f>Source!E375</f>
        <v>56</v>
      </c>
      <c r="B287" s="16" t="str">
        <f>Source!F375</f>
        <v>1.49-9101-7-1/1</v>
      </c>
      <c r="C287" s="16" t="str">
        <f>Source!G375</f>
        <v>Механизированная погрузка строительного мусора в автомобили-самосвалы</v>
      </c>
      <c r="D287" s="17" t="str">
        <f>Source!H375</f>
        <v>т</v>
      </c>
      <c r="E287" s="9">
        <f>Source!I375</f>
        <v>1.2150000000000001</v>
      </c>
      <c r="F287" s="19"/>
      <c r="G287" s="18"/>
      <c r="H287" s="9"/>
      <c r="I287" s="9"/>
      <c r="J287" s="20"/>
      <c r="K287" s="20"/>
      <c r="Q287">
        <f>ROUND((Source!BZ375/100)*ROUND((Source!AF375*Source!AV375)*Source!I375, 2), 2)</f>
        <v>0</v>
      </c>
      <c r="R287">
        <f>Source!X375</f>
        <v>0</v>
      </c>
      <c r="S287">
        <f>ROUND((Source!CA375/100)*ROUND((Source!AF375*Source!AV375)*Source!I375, 2), 2)</f>
        <v>0</v>
      </c>
      <c r="T287">
        <f>Source!Y375</f>
        <v>0</v>
      </c>
      <c r="U287">
        <f>ROUND((175/100)*ROUND((Source!AE375*Source!AV375)*Source!I375, 2), 2)</f>
        <v>52.29</v>
      </c>
      <c r="V287">
        <f>ROUND((108/100)*ROUND(Source!CS375*Source!I375, 2), 2)</f>
        <v>32.270000000000003</v>
      </c>
    </row>
    <row r="288" spans="1:22" x14ac:dyDescent="0.2">
      <c r="C288" s="21" t="str">
        <f>"Объем: "&amp;Source!I375&amp;"=((("&amp;Source!I373&amp;"+"&amp;""&amp;Source!I374&amp;")*"&amp;"10)*"&amp;"0,6)*"&amp;"0,75"</f>
        <v>Объем: 1,215=(((0,243+0,027)*10)*0,6)*0,75</v>
      </c>
    </row>
    <row r="289" spans="1:22" ht="14.25" x14ac:dyDescent="0.2">
      <c r="A289" s="15"/>
      <c r="B289" s="16"/>
      <c r="C289" s="16" t="s">
        <v>561</v>
      </c>
      <c r="D289" s="17"/>
      <c r="E289" s="9"/>
      <c r="F289" s="19">
        <f>Source!AM375</f>
        <v>77.959999999999994</v>
      </c>
      <c r="G289" s="18" t="str">
        <f>Source!DE375</f>
        <v/>
      </c>
      <c r="H289" s="9">
        <f>Source!AV375</f>
        <v>1</v>
      </c>
      <c r="I289" s="9">
        <f>IF(Source!BB375&lt;&gt; 0, Source!BB375, 1)</f>
        <v>1</v>
      </c>
      <c r="J289" s="20">
        <f>Source!Q375</f>
        <v>94.72</v>
      </c>
      <c r="K289" s="20"/>
    </row>
    <row r="290" spans="1:22" ht="14.25" x14ac:dyDescent="0.2">
      <c r="A290" s="15"/>
      <c r="B290" s="16"/>
      <c r="C290" s="16" t="s">
        <v>567</v>
      </c>
      <c r="D290" s="17"/>
      <c r="E290" s="9"/>
      <c r="F290" s="19">
        <f>Source!AN375</f>
        <v>24.59</v>
      </c>
      <c r="G290" s="18" t="str">
        <f>Source!DF375</f>
        <v/>
      </c>
      <c r="H290" s="9">
        <f>Source!AV375</f>
        <v>1</v>
      </c>
      <c r="I290" s="9">
        <f>IF(Source!BS375&lt;&gt; 0, Source!BS375, 1)</f>
        <v>1</v>
      </c>
      <c r="J290" s="25">
        <f>Source!R375</f>
        <v>29.88</v>
      </c>
      <c r="K290" s="20"/>
    </row>
    <row r="291" spans="1:22" ht="14.25" x14ac:dyDescent="0.2">
      <c r="A291" s="15"/>
      <c r="B291" s="16"/>
      <c r="C291" s="16" t="s">
        <v>568</v>
      </c>
      <c r="D291" s="17" t="s">
        <v>563</v>
      </c>
      <c r="E291" s="9">
        <f>108</f>
        <v>108</v>
      </c>
      <c r="F291" s="19"/>
      <c r="G291" s="18"/>
      <c r="H291" s="9"/>
      <c r="I291" s="9"/>
      <c r="J291" s="20">
        <f>SUM(V287:V290)</f>
        <v>32.270000000000003</v>
      </c>
      <c r="K291" s="20"/>
    </row>
    <row r="292" spans="1:22" ht="15" x14ac:dyDescent="0.25">
      <c r="A292" s="23"/>
      <c r="B292" s="23"/>
      <c r="C292" s="23"/>
      <c r="D292" s="23"/>
      <c r="E292" s="23"/>
      <c r="F292" s="23"/>
      <c r="G292" s="23"/>
      <c r="H292" s="23"/>
      <c r="I292" s="65">
        <f>J289+J291</f>
        <v>126.99000000000001</v>
      </c>
      <c r="J292" s="65"/>
      <c r="K292" s="24">
        <f>IF(Source!I375&lt;&gt;0, ROUND(I292/Source!I375, 2), 0)</f>
        <v>104.52</v>
      </c>
      <c r="P292" s="22">
        <f>I292</f>
        <v>126.99000000000001</v>
      </c>
    </row>
    <row r="293" spans="1:22" ht="42.75" x14ac:dyDescent="0.2">
      <c r="A293" s="15" t="str">
        <f>Source!E376</f>
        <v>57</v>
      </c>
      <c r="B293" s="16" t="str">
        <f>Source!F376</f>
        <v>1.50-3305-4-1/1</v>
      </c>
      <c r="C293" s="16" t="str">
        <f>Source!G376</f>
        <v>Погрузка и выгрузка вручную строительного мусора на транспортные средства</v>
      </c>
      <c r="D293" s="17" t="str">
        <f>Source!H376</f>
        <v>т</v>
      </c>
      <c r="E293" s="9">
        <f>Source!I376</f>
        <v>0.40500000000000003</v>
      </c>
      <c r="F293" s="19"/>
      <c r="G293" s="18"/>
      <c r="H293" s="9"/>
      <c r="I293" s="9"/>
      <c r="J293" s="20"/>
      <c r="K293" s="20"/>
      <c r="Q293">
        <f>ROUND((Source!BZ376/100)*ROUND((Source!AF376*Source!AV376)*Source!I376, 2), 2)</f>
        <v>33.93</v>
      </c>
      <c r="R293">
        <f>Source!X376</f>
        <v>33.93</v>
      </c>
      <c r="S293">
        <f>ROUND((Source!CA376/100)*ROUND((Source!AF376*Source!AV376)*Source!I376, 2), 2)</f>
        <v>4.8499999999999996</v>
      </c>
      <c r="T293">
        <f>Source!Y376</f>
        <v>4.8499999999999996</v>
      </c>
      <c r="U293">
        <f>ROUND((175/100)*ROUND((Source!AE376*Source!AV376)*Source!I376, 2), 2)</f>
        <v>0</v>
      </c>
      <c r="V293">
        <f>ROUND((108/100)*ROUND(Source!CS376*Source!I376, 2), 2)</f>
        <v>0</v>
      </c>
    </row>
    <row r="294" spans="1:22" x14ac:dyDescent="0.2">
      <c r="C294" s="21" t="str">
        <f>"Объем: "&amp;Source!I376&amp;"=((("&amp;Source!I374&amp;"+"&amp;""&amp;Source!I373&amp;")*"&amp;"10)*"&amp;"0,6)*"&amp;"0,25"</f>
        <v>Объем: 0,405=(((0,027+0,243)*10)*0,6)*0,25</v>
      </c>
    </row>
    <row r="295" spans="1:22" ht="14.25" x14ac:dyDescent="0.2">
      <c r="A295" s="15"/>
      <c r="B295" s="16"/>
      <c r="C295" s="16" t="s">
        <v>560</v>
      </c>
      <c r="D295" s="17"/>
      <c r="E295" s="9"/>
      <c r="F295" s="19">
        <f>Source!AO376</f>
        <v>119.69</v>
      </c>
      <c r="G295" s="18" t="str">
        <f>Source!DG376</f>
        <v/>
      </c>
      <c r="H295" s="9">
        <f>Source!AV376</f>
        <v>1</v>
      </c>
      <c r="I295" s="9">
        <f>IF(Source!BA376&lt;&gt; 0, Source!BA376, 1)</f>
        <v>1</v>
      </c>
      <c r="J295" s="20">
        <f>Source!S376</f>
        <v>48.47</v>
      </c>
      <c r="K295" s="20"/>
    </row>
    <row r="296" spans="1:22" ht="14.25" x14ac:dyDescent="0.2">
      <c r="A296" s="15"/>
      <c r="B296" s="16"/>
      <c r="C296" s="16" t="s">
        <v>562</v>
      </c>
      <c r="D296" s="17" t="s">
        <v>563</v>
      </c>
      <c r="E296" s="9">
        <f>Source!AT376</f>
        <v>70</v>
      </c>
      <c r="F296" s="19"/>
      <c r="G296" s="18"/>
      <c r="H296" s="9"/>
      <c r="I296" s="9"/>
      <c r="J296" s="20">
        <f>SUM(R293:R295)</f>
        <v>33.93</v>
      </c>
      <c r="K296" s="20"/>
    </row>
    <row r="297" spans="1:22" ht="14.25" x14ac:dyDescent="0.2">
      <c r="A297" s="15"/>
      <c r="B297" s="16"/>
      <c r="C297" s="16" t="s">
        <v>564</v>
      </c>
      <c r="D297" s="17" t="s">
        <v>563</v>
      </c>
      <c r="E297" s="9">
        <f>Source!AU376</f>
        <v>10</v>
      </c>
      <c r="F297" s="19"/>
      <c r="G297" s="18"/>
      <c r="H297" s="9"/>
      <c r="I297" s="9"/>
      <c r="J297" s="20">
        <f>SUM(T293:T296)</f>
        <v>4.8499999999999996</v>
      </c>
      <c r="K297" s="20"/>
    </row>
    <row r="298" spans="1:22" ht="14.25" x14ac:dyDescent="0.2">
      <c r="A298" s="15"/>
      <c r="B298" s="16"/>
      <c r="C298" s="16" t="s">
        <v>565</v>
      </c>
      <c r="D298" s="17" t="s">
        <v>566</v>
      </c>
      <c r="E298" s="9">
        <f>Source!AQ376</f>
        <v>1.02</v>
      </c>
      <c r="F298" s="19"/>
      <c r="G298" s="18" t="str">
        <f>Source!DI376</f>
        <v/>
      </c>
      <c r="H298" s="9">
        <f>Source!AV376</f>
        <v>1</v>
      </c>
      <c r="I298" s="9"/>
      <c r="J298" s="20"/>
      <c r="K298" s="20">
        <f>Source!U376</f>
        <v>0.41310000000000002</v>
      </c>
    </row>
    <row r="299" spans="1:22" ht="15" x14ac:dyDescent="0.25">
      <c r="A299" s="23"/>
      <c r="B299" s="23"/>
      <c r="C299" s="23"/>
      <c r="D299" s="23"/>
      <c r="E299" s="23"/>
      <c r="F299" s="23"/>
      <c r="G299" s="23"/>
      <c r="H299" s="23"/>
      <c r="I299" s="65">
        <f>J295+J296+J297</f>
        <v>87.25</v>
      </c>
      <c r="J299" s="65"/>
      <c r="K299" s="24">
        <f>IF(Source!I376&lt;&gt;0, ROUND(I299/Source!I376, 2), 0)</f>
        <v>215.43</v>
      </c>
      <c r="P299" s="22">
        <f>I299</f>
        <v>87.25</v>
      </c>
    </row>
    <row r="300" spans="1:22" ht="57" x14ac:dyDescent="0.2">
      <c r="A300" s="15" t="str">
        <f>Source!E377</f>
        <v>58</v>
      </c>
      <c r="B300" s="16" t="str">
        <f>Source!F377</f>
        <v>1.49-9201-1-2/1</v>
      </c>
      <c r="C300" s="16" t="str">
        <f>Source!G377</f>
        <v>Перевозка строительного мусора автосамосвалами грузоподъемностью до 10 т на расстояние 1 км - при механизированной погрузке</v>
      </c>
      <c r="D300" s="17" t="str">
        <f>Source!H377</f>
        <v>т</v>
      </c>
      <c r="E300" s="9">
        <f>Source!I377</f>
        <v>1.2150000000000001</v>
      </c>
      <c r="F300" s="19"/>
      <c r="G300" s="18"/>
      <c r="H300" s="9"/>
      <c r="I300" s="9"/>
      <c r="J300" s="20"/>
      <c r="K300" s="20"/>
      <c r="Q300">
        <f>ROUND((Source!BZ377/100)*ROUND((Source!AF377*Source!AV377)*Source!I377, 2), 2)</f>
        <v>0</v>
      </c>
      <c r="R300">
        <f>Source!X377</f>
        <v>0</v>
      </c>
      <c r="S300">
        <f>ROUND((Source!CA377/100)*ROUND((Source!AF377*Source!AV377)*Source!I377, 2), 2)</f>
        <v>0</v>
      </c>
      <c r="T300">
        <f>Source!Y377</f>
        <v>0</v>
      </c>
      <c r="U300">
        <f>ROUND((175/100)*ROUND((Source!AE377*Source!AV377)*Source!I377, 2), 2)</f>
        <v>78.72</v>
      </c>
      <c r="V300">
        <f>ROUND((108/100)*ROUND(Source!CS377*Source!I377, 2), 2)</f>
        <v>48.58</v>
      </c>
    </row>
    <row r="301" spans="1:22" ht="14.25" x14ac:dyDescent="0.2">
      <c r="A301" s="15"/>
      <c r="B301" s="16"/>
      <c r="C301" s="16" t="s">
        <v>561</v>
      </c>
      <c r="D301" s="17"/>
      <c r="E301" s="9"/>
      <c r="F301" s="19">
        <f>Source!AM377</f>
        <v>62.5</v>
      </c>
      <c r="G301" s="18" t="str">
        <f>Source!DE377</f>
        <v/>
      </c>
      <c r="H301" s="9">
        <f>Source!AV377</f>
        <v>1</v>
      </c>
      <c r="I301" s="9">
        <f>IF(Source!BB377&lt;&gt; 0, Source!BB377, 1)</f>
        <v>1</v>
      </c>
      <c r="J301" s="20">
        <f>Source!Q377</f>
        <v>75.94</v>
      </c>
      <c r="K301" s="20"/>
    </row>
    <row r="302" spans="1:22" ht="14.25" x14ac:dyDescent="0.2">
      <c r="A302" s="15"/>
      <c r="B302" s="16"/>
      <c r="C302" s="16" t="s">
        <v>567</v>
      </c>
      <c r="D302" s="17"/>
      <c r="E302" s="9"/>
      <c r="F302" s="19">
        <f>Source!AN377</f>
        <v>37.020000000000003</v>
      </c>
      <c r="G302" s="18" t="str">
        <f>Source!DF377</f>
        <v/>
      </c>
      <c r="H302" s="9">
        <f>Source!AV377</f>
        <v>1</v>
      </c>
      <c r="I302" s="9">
        <f>IF(Source!BS377&lt;&gt; 0, Source!BS377, 1)</f>
        <v>1</v>
      </c>
      <c r="J302" s="25">
        <f>Source!R377</f>
        <v>44.98</v>
      </c>
      <c r="K302" s="20"/>
    </row>
    <row r="303" spans="1:22" ht="15" x14ac:dyDescent="0.25">
      <c r="A303" s="23"/>
      <c r="B303" s="23"/>
      <c r="C303" s="23"/>
      <c r="D303" s="23"/>
      <c r="E303" s="23"/>
      <c r="F303" s="23"/>
      <c r="G303" s="23"/>
      <c r="H303" s="23"/>
      <c r="I303" s="65">
        <f>J301</f>
        <v>75.94</v>
      </c>
      <c r="J303" s="65"/>
      <c r="K303" s="24">
        <f>IF(Source!I377&lt;&gt;0, ROUND(I303/Source!I377, 2), 0)</f>
        <v>62.5</v>
      </c>
      <c r="P303" s="22">
        <f>I303</f>
        <v>75.94</v>
      </c>
    </row>
    <row r="304" spans="1:22" ht="57" x14ac:dyDescent="0.2">
      <c r="A304" s="15" t="str">
        <f>Source!E378</f>
        <v>59</v>
      </c>
      <c r="B304" s="16" t="str">
        <f>Source!F378</f>
        <v>1.49-9201-1-1/1</v>
      </c>
      <c r="C304" s="16" t="str">
        <f>Source!G378</f>
        <v>Перевозка строительного мусора автосамосвалами грузоподъемностью до 10 т на расстояние 1 км - при погрузке вручную</v>
      </c>
      <c r="D304" s="17" t="str">
        <f>Source!H378</f>
        <v>т</v>
      </c>
      <c r="E304" s="9">
        <f>Source!I378</f>
        <v>0.40500000000000003</v>
      </c>
      <c r="F304" s="19"/>
      <c r="G304" s="18"/>
      <c r="H304" s="9"/>
      <c r="I304" s="9"/>
      <c r="J304" s="20"/>
      <c r="K304" s="20"/>
      <c r="Q304">
        <f>ROUND((Source!BZ378/100)*ROUND((Source!AF378*Source!AV378)*Source!I378, 2), 2)</f>
        <v>0</v>
      </c>
      <c r="R304">
        <f>Source!X378</f>
        <v>0</v>
      </c>
      <c r="S304">
        <f>ROUND((Source!CA378/100)*ROUND((Source!AF378*Source!AV378)*Source!I378, 2), 2)</f>
        <v>0</v>
      </c>
      <c r="T304">
        <f>Source!Y378</f>
        <v>0</v>
      </c>
      <c r="U304">
        <f>ROUND((175/100)*ROUND((Source!AE378*Source!AV378)*Source!I378, 2), 2)</f>
        <v>75.27</v>
      </c>
      <c r="V304">
        <f>ROUND((108/100)*ROUND(Source!CS378*Source!I378, 2), 2)</f>
        <v>46.45</v>
      </c>
    </row>
    <row r="305" spans="1:22" ht="14.25" x14ac:dyDescent="0.2">
      <c r="A305" s="15"/>
      <c r="B305" s="16"/>
      <c r="C305" s="16" t="s">
        <v>561</v>
      </c>
      <c r="D305" s="17"/>
      <c r="E305" s="9"/>
      <c r="F305" s="19">
        <f>Source!AM378</f>
        <v>179.4</v>
      </c>
      <c r="G305" s="18" t="str">
        <f>Source!DE378</f>
        <v/>
      </c>
      <c r="H305" s="9">
        <f>Source!AV378</f>
        <v>1</v>
      </c>
      <c r="I305" s="9">
        <f>IF(Source!BB378&lt;&gt; 0, Source!BB378, 1)</f>
        <v>1</v>
      </c>
      <c r="J305" s="20">
        <f>Source!Q378</f>
        <v>72.66</v>
      </c>
      <c r="K305" s="20"/>
    </row>
    <row r="306" spans="1:22" ht="14.25" x14ac:dyDescent="0.2">
      <c r="A306" s="15"/>
      <c r="B306" s="16"/>
      <c r="C306" s="16" t="s">
        <v>567</v>
      </c>
      <c r="D306" s="17"/>
      <c r="E306" s="9"/>
      <c r="F306" s="19">
        <f>Source!AN378</f>
        <v>106.2</v>
      </c>
      <c r="G306" s="18" t="str">
        <f>Source!DF378</f>
        <v/>
      </c>
      <c r="H306" s="9">
        <f>Source!AV378</f>
        <v>1</v>
      </c>
      <c r="I306" s="9">
        <f>IF(Source!BS378&lt;&gt; 0, Source!BS378, 1)</f>
        <v>1</v>
      </c>
      <c r="J306" s="25">
        <f>Source!R378</f>
        <v>43.01</v>
      </c>
      <c r="K306" s="20"/>
    </row>
    <row r="307" spans="1:22" ht="15" x14ac:dyDescent="0.25">
      <c r="A307" s="23"/>
      <c r="B307" s="23"/>
      <c r="C307" s="23"/>
      <c r="D307" s="23"/>
      <c r="E307" s="23"/>
      <c r="F307" s="23"/>
      <c r="G307" s="23"/>
      <c r="H307" s="23"/>
      <c r="I307" s="65">
        <f>J305</f>
        <v>72.66</v>
      </c>
      <c r="J307" s="65"/>
      <c r="K307" s="24">
        <f>IF(Source!I378&lt;&gt;0, ROUND(I307/Source!I378, 2), 0)</f>
        <v>179.41</v>
      </c>
      <c r="P307" s="22">
        <f>I307</f>
        <v>72.66</v>
      </c>
    </row>
    <row r="308" spans="1:22" ht="57" x14ac:dyDescent="0.2">
      <c r="A308" s="15" t="str">
        <f>Source!E379</f>
        <v>60</v>
      </c>
      <c r="B308" s="16" t="str">
        <f>Source!F379</f>
        <v>1.49-9201-1-3/1</v>
      </c>
      <c r="C308" s="16" t="str">
        <f>Source!G379</f>
        <v>Перевозка строительного мусора автосамосвалами грузоподъемностью до 10 т - добавляется на каждый последующий 1 км до 100 км</v>
      </c>
      <c r="D308" s="17" t="str">
        <f>Source!H379</f>
        <v>т</v>
      </c>
      <c r="E308" s="9">
        <f>Source!I379</f>
        <v>1.62</v>
      </c>
      <c r="F308" s="19"/>
      <c r="G308" s="18"/>
      <c r="H308" s="9"/>
      <c r="I308" s="9"/>
      <c r="J308" s="20"/>
      <c r="K308" s="20"/>
      <c r="Q308">
        <f>ROUND((Source!BZ379/100)*ROUND((Source!AF379*Source!AV379)*Source!I379, 2), 2)</f>
        <v>0</v>
      </c>
      <c r="R308">
        <f>Source!X379</f>
        <v>0</v>
      </c>
      <c r="S308">
        <f>ROUND((Source!CA379/100)*ROUND((Source!AF379*Source!AV379)*Source!I379, 2), 2)</f>
        <v>0</v>
      </c>
      <c r="T308">
        <f>Source!Y379</f>
        <v>0</v>
      </c>
      <c r="U308">
        <f>ROUND((175/100)*ROUND((Source!AE379*Source!AV379)*Source!I379, 2), 2)</f>
        <v>795.62</v>
      </c>
      <c r="V308">
        <f>ROUND((108/100)*ROUND(Source!CS379*Source!I379, 2), 2)</f>
        <v>491.01</v>
      </c>
    </row>
    <row r="309" spans="1:22" x14ac:dyDescent="0.2">
      <c r="C309" s="21" t="str">
        <f>"Объем: "&amp;Source!I379&amp;"="&amp;Source!I377&amp;"+"&amp;""&amp;Source!I378&amp;""</f>
        <v>Объем: 1,62=1,215+0,405</v>
      </c>
    </row>
    <row r="310" spans="1:22" ht="14.25" x14ac:dyDescent="0.2">
      <c r="A310" s="15"/>
      <c r="B310" s="16"/>
      <c r="C310" s="16" t="s">
        <v>561</v>
      </c>
      <c r="D310" s="17"/>
      <c r="E310" s="9"/>
      <c r="F310" s="19">
        <f>Source!AM379</f>
        <v>29.58</v>
      </c>
      <c r="G310" s="18" t="str">
        <f>Source!DE379</f>
        <v>*16</v>
      </c>
      <c r="H310" s="9">
        <f>Source!AV379</f>
        <v>1</v>
      </c>
      <c r="I310" s="9">
        <f>IF(Source!BB379&lt;&gt; 0, Source!BB379, 1)</f>
        <v>1</v>
      </c>
      <c r="J310" s="20">
        <f>Source!Q379</f>
        <v>766.71</v>
      </c>
      <c r="K310" s="20"/>
    </row>
    <row r="311" spans="1:22" ht="14.25" x14ac:dyDescent="0.2">
      <c r="A311" s="15"/>
      <c r="B311" s="16"/>
      <c r="C311" s="16" t="s">
        <v>567</v>
      </c>
      <c r="D311" s="17"/>
      <c r="E311" s="9"/>
      <c r="F311" s="19">
        <f>Source!AN379</f>
        <v>17.54</v>
      </c>
      <c r="G311" s="18" t="str">
        <f>Source!DF379</f>
        <v>*16</v>
      </c>
      <c r="H311" s="9">
        <f>Source!AV379</f>
        <v>1</v>
      </c>
      <c r="I311" s="9">
        <f>IF(Source!BS379&lt;&gt; 0, Source!BS379, 1)</f>
        <v>1</v>
      </c>
      <c r="J311" s="25">
        <f>Source!R379</f>
        <v>454.64</v>
      </c>
      <c r="K311" s="20"/>
    </row>
    <row r="312" spans="1:22" ht="15" x14ac:dyDescent="0.25">
      <c r="A312" s="23"/>
      <c r="B312" s="23"/>
      <c r="C312" s="23"/>
      <c r="D312" s="23"/>
      <c r="E312" s="23"/>
      <c r="F312" s="23"/>
      <c r="G312" s="23"/>
      <c r="H312" s="23"/>
      <c r="I312" s="65">
        <f>J310</f>
        <v>766.71</v>
      </c>
      <c r="J312" s="65"/>
      <c r="K312" s="24">
        <f>IF(Source!I379&lt;&gt;0, ROUND(I312/Source!I379, 2), 0)</f>
        <v>473.28</v>
      </c>
      <c r="P312" s="22">
        <f>I312</f>
        <v>766.71</v>
      </c>
    </row>
    <row r="313" spans="1:22" ht="28.5" x14ac:dyDescent="0.2">
      <c r="A313" s="15" t="str">
        <f>Source!E380</f>
        <v>61</v>
      </c>
      <c r="B313" s="16" t="str">
        <f>Source!F380</f>
        <v>21.25-0-1</v>
      </c>
      <c r="C313" s="16" t="str">
        <f>Source!G380</f>
        <v>Содержание свалки отходов строительства и сноса</v>
      </c>
      <c r="D313" s="17" t="str">
        <f>Source!H380</f>
        <v>т</v>
      </c>
      <c r="E313" s="9">
        <f>Source!I380</f>
        <v>1.62</v>
      </c>
      <c r="F313" s="19">
        <f>Source!AL380</f>
        <v>197.96</v>
      </c>
      <c r="G313" s="18" t="str">
        <f>Source!DD380</f>
        <v/>
      </c>
      <c r="H313" s="9">
        <f>Source!AW380</f>
        <v>1</v>
      </c>
      <c r="I313" s="9">
        <f>IF(Source!BC380&lt;&gt; 0, Source!BC380, 1)</f>
        <v>1</v>
      </c>
      <c r="J313" s="20">
        <f>Source!P380</f>
        <v>320.7</v>
      </c>
      <c r="K313" s="20"/>
      <c r="Q313">
        <f>ROUND((Source!BZ380/100)*ROUND((Source!AF380*Source!AV380)*Source!I380, 2), 2)</f>
        <v>0</v>
      </c>
      <c r="R313">
        <f>Source!X380</f>
        <v>0</v>
      </c>
      <c r="S313">
        <f>ROUND((Source!CA380/100)*ROUND((Source!AF380*Source!AV380)*Source!I380, 2), 2)</f>
        <v>0</v>
      </c>
      <c r="T313">
        <f>Source!Y380</f>
        <v>0</v>
      </c>
      <c r="U313">
        <f>ROUND((175/100)*ROUND((Source!AE380*Source!AV380)*Source!I380, 2), 2)</f>
        <v>0</v>
      </c>
      <c r="V313">
        <f>ROUND((108/100)*ROUND(Source!CS380*Source!I380, 2), 2)</f>
        <v>0</v>
      </c>
    </row>
    <row r="314" spans="1:22" ht="15" x14ac:dyDescent="0.25">
      <c r="A314" s="23"/>
      <c r="B314" s="23"/>
      <c r="C314" s="23"/>
      <c r="D314" s="23"/>
      <c r="E314" s="23"/>
      <c r="F314" s="23"/>
      <c r="G314" s="23"/>
      <c r="H314" s="23"/>
      <c r="I314" s="65">
        <f>J313</f>
        <v>320.7</v>
      </c>
      <c r="J314" s="65"/>
      <c r="K314" s="24">
        <f>IF(Source!I380&lt;&gt;0, ROUND(I314/Source!I380, 2), 0)</f>
        <v>197.96</v>
      </c>
      <c r="P314" s="22">
        <f>I314</f>
        <v>320.7</v>
      </c>
    </row>
    <row r="315" spans="1:22" ht="42.75" x14ac:dyDescent="0.2">
      <c r="A315" s="15" t="str">
        <f>Source!E384</f>
        <v>65</v>
      </c>
      <c r="B315" s="16" t="str">
        <f>Source!F384</f>
        <v>2.1-3303-1-1/1</v>
      </c>
      <c r="C315" s="16" t="str">
        <f>Source!G384</f>
        <v>Устройство подстилающих и выравнивающих слоев оснований из песка</v>
      </c>
      <c r="D315" s="17" t="str">
        <f>Source!H384</f>
        <v>100 м3</v>
      </c>
      <c r="E315" s="9">
        <f>Source!I384</f>
        <v>0.27</v>
      </c>
      <c r="F315" s="19"/>
      <c r="G315" s="18"/>
      <c r="H315" s="9"/>
      <c r="I315" s="9"/>
      <c r="J315" s="20"/>
      <c r="K315" s="20"/>
      <c r="Q315">
        <f>ROUND((Source!BZ384/100)*ROUND((Source!AF384*Source!AV384)*Source!I384, 2), 2)</f>
        <v>557.89</v>
      </c>
      <c r="R315">
        <f>Source!X384</f>
        <v>557.89</v>
      </c>
      <c r="S315">
        <f>ROUND((Source!CA384/100)*ROUND((Source!AF384*Source!AV384)*Source!I384, 2), 2)</f>
        <v>79.7</v>
      </c>
      <c r="T315">
        <f>Source!Y384</f>
        <v>79.7</v>
      </c>
      <c r="U315">
        <f>ROUND((175/100)*ROUND((Source!AE384*Source!AV384)*Source!I384, 2), 2)</f>
        <v>1579.45</v>
      </c>
      <c r="V315">
        <f>ROUND((108/100)*ROUND(Source!CS384*Source!I384, 2), 2)</f>
        <v>974.74</v>
      </c>
    </row>
    <row r="316" spans="1:22" x14ac:dyDescent="0.2">
      <c r="C316" s="21" t="str">
        <f>"Объем: "&amp;Source!I384&amp;"=(270*"&amp;"0,1)/"&amp;"100"</f>
        <v>Объем: 0,27=(270*0,1)/100</v>
      </c>
    </row>
    <row r="317" spans="1:22" ht="14.25" x14ac:dyDescent="0.2">
      <c r="A317" s="15"/>
      <c r="B317" s="16"/>
      <c r="C317" s="16" t="s">
        <v>560</v>
      </c>
      <c r="D317" s="17"/>
      <c r="E317" s="9"/>
      <c r="F317" s="19">
        <f>Source!AO384</f>
        <v>2951.82</v>
      </c>
      <c r="G317" s="18" t="str">
        <f>Source!DG384</f>
        <v/>
      </c>
      <c r="H317" s="9">
        <f>Source!AV384</f>
        <v>1</v>
      </c>
      <c r="I317" s="9">
        <f>IF(Source!BA384&lt;&gt; 0, Source!BA384, 1)</f>
        <v>1</v>
      </c>
      <c r="J317" s="20">
        <f>Source!S384</f>
        <v>796.99</v>
      </c>
      <c r="K317" s="20"/>
    </row>
    <row r="318" spans="1:22" ht="14.25" x14ac:dyDescent="0.2">
      <c r="A318" s="15"/>
      <c r="B318" s="16"/>
      <c r="C318" s="16" t="s">
        <v>561</v>
      </c>
      <c r="D318" s="17"/>
      <c r="E318" s="9"/>
      <c r="F318" s="19">
        <f>Source!AM384</f>
        <v>8265.0300000000007</v>
      </c>
      <c r="G318" s="18" t="str">
        <f>Source!DE384</f>
        <v/>
      </c>
      <c r="H318" s="9">
        <f>Source!AV384</f>
        <v>1</v>
      </c>
      <c r="I318" s="9">
        <f>IF(Source!BB384&lt;&gt; 0, Source!BB384, 1)</f>
        <v>1</v>
      </c>
      <c r="J318" s="20">
        <f>Source!Q384</f>
        <v>2231.56</v>
      </c>
      <c r="K318" s="20"/>
    </row>
    <row r="319" spans="1:22" ht="14.25" x14ac:dyDescent="0.2">
      <c r="A319" s="15"/>
      <c r="B319" s="16"/>
      <c r="C319" s="16" t="s">
        <v>567</v>
      </c>
      <c r="D319" s="17"/>
      <c r="E319" s="9"/>
      <c r="F319" s="19">
        <f>Source!AN384</f>
        <v>3342.74</v>
      </c>
      <c r="G319" s="18" t="str">
        <f>Source!DF384</f>
        <v/>
      </c>
      <c r="H319" s="9">
        <f>Source!AV384</f>
        <v>1</v>
      </c>
      <c r="I319" s="9">
        <f>IF(Source!BS384&lt;&gt; 0, Source!BS384, 1)</f>
        <v>1</v>
      </c>
      <c r="J319" s="25">
        <f>Source!R384</f>
        <v>902.54</v>
      </c>
      <c r="K319" s="20"/>
    </row>
    <row r="320" spans="1:22" ht="14.25" x14ac:dyDescent="0.2">
      <c r="A320" s="15"/>
      <c r="B320" s="16"/>
      <c r="C320" s="16" t="s">
        <v>575</v>
      </c>
      <c r="D320" s="17"/>
      <c r="E320" s="9"/>
      <c r="F320" s="19">
        <f>Source!AL384</f>
        <v>65154.45</v>
      </c>
      <c r="G320" s="18" t="str">
        <f>Source!DD384</f>
        <v/>
      </c>
      <c r="H320" s="9">
        <f>Source!AW384</f>
        <v>1</v>
      </c>
      <c r="I320" s="9">
        <f>IF(Source!BC384&lt;&gt; 0, Source!BC384, 1)</f>
        <v>1</v>
      </c>
      <c r="J320" s="20">
        <f>Source!P384</f>
        <v>17591.7</v>
      </c>
      <c r="K320" s="20"/>
    </row>
    <row r="321" spans="1:16" ht="14.25" x14ac:dyDescent="0.2">
      <c r="A321" s="15"/>
      <c r="B321" s="16"/>
      <c r="C321" s="16" t="s">
        <v>562</v>
      </c>
      <c r="D321" s="17" t="s">
        <v>563</v>
      </c>
      <c r="E321" s="9">
        <f>Source!AT384</f>
        <v>70</v>
      </c>
      <c r="F321" s="19"/>
      <c r="G321" s="18"/>
      <c r="H321" s="9"/>
      <c r="I321" s="9"/>
      <c r="J321" s="20">
        <f>SUM(R315:R320)</f>
        <v>557.89</v>
      </c>
      <c r="K321" s="20"/>
    </row>
    <row r="322" spans="1:16" ht="14.25" x14ac:dyDescent="0.2">
      <c r="A322" s="15"/>
      <c r="B322" s="16"/>
      <c r="C322" s="16" t="s">
        <v>564</v>
      </c>
      <c r="D322" s="17" t="s">
        <v>563</v>
      </c>
      <c r="E322" s="9">
        <f>Source!AU384</f>
        <v>10</v>
      </c>
      <c r="F322" s="19"/>
      <c r="G322" s="18"/>
      <c r="H322" s="9"/>
      <c r="I322" s="9"/>
      <c r="J322" s="20">
        <f>SUM(T315:T321)</f>
        <v>79.7</v>
      </c>
      <c r="K322" s="20"/>
    </row>
    <row r="323" spans="1:16" ht="14.25" x14ac:dyDescent="0.2">
      <c r="A323" s="15"/>
      <c r="B323" s="16"/>
      <c r="C323" s="16" t="s">
        <v>568</v>
      </c>
      <c r="D323" s="17" t="s">
        <v>563</v>
      </c>
      <c r="E323" s="9">
        <f>108</f>
        <v>108</v>
      </c>
      <c r="F323" s="19"/>
      <c r="G323" s="18"/>
      <c r="H323" s="9"/>
      <c r="I323" s="9"/>
      <c r="J323" s="20">
        <f>SUM(V315:V322)</f>
        <v>974.74</v>
      </c>
      <c r="K323" s="20"/>
    </row>
    <row r="324" spans="1:16" ht="14.25" x14ac:dyDescent="0.2">
      <c r="A324" s="15"/>
      <c r="B324" s="16"/>
      <c r="C324" s="16" t="s">
        <v>565</v>
      </c>
      <c r="D324" s="17" t="s">
        <v>566</v>
      </c>
      <c r="E324" s="9">
        <f>Source!AQ384</f>
        <v>16.559999999999999</v>
      </c>
      <c r="F324" s="19"/>
      <c r="G324" s="18" t="str">
        <f>Source!DI384</f>
        <v/>
      </c>
      <c r="H324" s="9">
        <f>Source!AV384</f>
        <v>1</v>
      </c>
      <c r="I324" s="9"/>
      <c r="J324" s="20"/>
      <c r="K324" s="20">
        <f>Source!U384</f>
        <v>4.4711999999999996</v>
      </c>
    </row>
    <row r="325" spans="1:16" ht="15" x14ac:dyDescent="0.25">
      <c r="A325" s="23"/>
      <c r="B325" s="23"/>
      <c r="C325" s="23"/>
      <c r="D325" s="23"/>
      <c r="E325" s="23"/>
      <c r="F325" s="23"/>
      <c r="G325" s="23"/>
      <c r="H325" s="23"/>
      <c r="I325" s="65">
        <f>J317+J318+J320+J321+J322+J323</f>
        <v>22232.58</v>
      </c>
      <c r="J325" s="65"/>
      <c r="K325" s="24">
        <f>IF(Source!I384&lt;&gt;0, ROUND(I325/Source!I384, 2), 0)</f>
        <v>82342.89</v>
      </c>
      <c r="P325" s="22">
        <f>I325</f>
        <v>22232.58</v>
      </c>
    </row>
    <row r="327" spans="1:16" ht="15" x14ac:dyDescent="0.25">
      <c r="A327" s="64" t="str">
        <f>CONCATENATE("Итого по подразделу: ",IF(Source!G387&lt;&gt;"Новый подраздел", Source!G387, ""))</f>
        <v>Итого по подразделу: Устройство покрытия</v>
      </c>
      <c r="B327" s="64"/>
      <c r="C327" s="64"/>
      <c r="D327" s="64"/>
      <c r="E327" s="64"/>
      <c r="F327" s="64"/>
      <c r="G327" s="64"/>
      <c r="H327" s="64"/>
      <c r="I327" s="62">
        <f>SUM(P269:P326)</f>
        <v>29354.23</v>
      </c>
      <c r="J327" s="63"/>
      <c r="K327" s="26"/>
    </row>
    <row r="330" spans="1:16" ht="15" x14ac:dyDescent="0.25">
      <c r="A330" s="64" t="str">
        <f>CONCATENATE("Итого по разделу: ",IF(Source!G417&lt;&gt;"Новый раздел", Source!G417, ""))</f>
        <v>Итого по разделу: ЛЗ "Тропаревский" - 270 кв.м. кв. 12, выд. 14</v>
      </c>
      <c r="B330" s="64"/>
      <c r="C330" s="64"/>
      <c r="D330" s="64"/>
      <c r="E330" s="64"/>
      <c r="F330" s="64"/>
      <c r="G330" s="64"/>
      <c r="H330" s="64"/>
      <c r="I330" s="62">
        <f>SUM(P184:P329)</f>
        <v>1001773.3599999998</v>
      </c>
      <c r="J330" s="63"/>
      <c r="K330" s="26"/>
    </row>
    <row r="332" spans="1:16" ht="14.25" x14ac:dyDescent="0.2">
      <c r="C332" s="67" t="str">
        <f>Source!H446</f>
        <v>НДС 20%</v>
      </c>
      <c r="D332" s="67"/>
      <c r="E332" s="67"/>
      <c r="F332" s="67"/>
      <c r="G332" s="67"/>
      <c r="H332" s="67"/>
      <c r="I332" s="68">
        <f>IF(Source!F446=0, "", Source!F446)</f>
        <v>200354.67</v>
      </c>
      <c r="J332" s="68"/>
    </row>
    <row r="333" spans="1:16" ht="14.25" x14ac:dyDescent="0.2">
      <c r="C333" s="67" t="str">
        <f>Source!H447</f>
        <v>Итого с НДС</v>
      </c>
      <c r="D333" s="67"/>
      <c r="E333" s="67"/>
      <c r="F333" s="67"/>
      <c r="G333" s="67"/>
      <c r="H333" s="67"/>
      <c r="I333" s="68">
        <f>IF(Source!F447=0, "", Source!F447)</f>
        <v>1202128.03</v>
      </c>
      <c r="J333" s="68"/>
    </row>
    <row r="335" spans="1:16" ht="16.5" x14ac:dyDescent="0.25">
      <c r="A335" s="66" t="str">
        <f>CONCATENATE("Раздел: ",IF(Source!G449&lt;&gt;"Новый раздел", Source!G449, ""))</f>
        <v>Раздел: ЛЗ "Теплый Стан" - 171 кв.м (кв. 15, выд. 75)</v>
      </c>
      <c r="B335" s="66"/>
      <c r="C335" s="66"/>
      <c r="D335" s="66"/>
      <c r="E335" s="66"/>
      <c r="F335" s="66"/>
      <c r="G335" s="66"/>
      <c r="H335" s="66"/>
      <c r="I335" s="66"/>
      <c r="J335" s="66"/>
      <c r="K335" s="66"/>
    </row>
    <row r="337" spans="1:22" ht="16.5" x14ac:dyDescent="0.25">
      <c r="A337" s="66" t="str">
        <f>CONCATENATE("Подраздел: ",IF(Source!G453&lt;&gt;"Новый подраздел", Source!G453, ""))</f>
        <v>Подраздел: Демонтаж</v>
      </c>
      <c r="B337" s="66"/>
      <c r="C337" s="66"/>
      <c r="D337" s="66"/>
      <c r="E337" s="66"/>
      <c r="F337" s="66"/>
      <c r="G337" s="66"/>
      <c r="H337" s="66"/>
      <c r="I337" s="66"/>
      <c r="J337" s="66"/>
      <c r="K337" s="66"/>
    </row>
    <row r="338" spans="1:22" ht="42.75" x14ac:dyDescent="0.2">
      <c r="A338" s="15" t="str">
        <f>Source!E457</f>
        <v>67</v>
      </c>
      <c r="B338" s="16" t="str">
        <f>Source!F457</f>
        <v>5.3-3204-1-1/1</v>
      </c>
      <c r="C338" s="16" t="str">
        <f>Source!G457</f>
        <v>Разборка деревянных заборов инвентарных из готовых звеньев (демонтаж МАФ)</v>
      </c>
      <c r="D338" s="17" t="str">
        <f>Source!H457</f>
        <v>100 м2</v>
      </c>
      <c r="E338" s="9">
        <f>Source!I457</f>
        <v>0.105</v>
      </c>
      <c r="F338" s="19"/>
      <c r="G338" s="18"/>
      <c r="H338" s="9"/>
      <c r="I338" s="9"/>
      <c r="J338" s="20"/>
      <c r="K338" s="20"/>
      <c r="Q338">
        <f>ROUND((Source!BZ457/100)*ROUND((Source!AF457*Source!AV457)*Source!I457, 2), 2)</f>
        <v>196.22</v>
      </c>
      <c r="R338">
        <f>Source!X457</f>
        <v>196.22</v>
      </c>
      <c r="S338">
        <f>ROUND((Source!CA457/100)*ROUND((Source!AF457*Source!AV457)*Source!I457, 2), 2)</f>
        <v>28.03</v>
      </c>
      <c r="T338">
        <f>Source!Y457</f>
        <v>28.03</v>
      </c>
      <c r="U338">
        <f>ROUND((175/100)*ROUND((Source!AE457*Source!AV457)*Source!I457, 2), 2)</f>
        <v>0</v>
      </c>
      <c r="V338">
        <f>ROUND((108/100)*ROUND(Source!CS457*Source!I457, 2), 2)</f>
        <v>0</v>
      </c>
    </row>
    <row r="339" spans="1:22" x14ac:dyDescent="0.2">
      <c r="C339" s="21" t="str">
        <f>"Объем: "&amp;Source!I457&amp;"=((1*"&amp;"2)+"&amp;"(3+"&amp;"3+"&amp;"1)+"&amp;"(3*"&amp;"0,5))/"&amp;"100"</f>
        <v>Объем: 0,105=((1*2)+(3+3+1)+(3*0,5))/100</v>
      </c>
    </row>
    <row r="340" spans="1:22" ht="14.25" x14ac:dyDescent="0.2">
      <c r="A340" s="15"/>
      <c r="B340" s="16"/>
      <c r="C340" s="16" t="s">
        <v>560</v>
      </c>
      <c r="D340" s="17"/>
      <c r="E340" s="9"/>
      <c r="F340" s="19">
        <f>Source!AO457</f>
        <v>2669.58</v>
      </c>
      <c r="G340" s="18" t="str">
        <f>Source!DG457</f>
        <v/>
      </c>
      <c r="H340" s="9">
        <f>Source!AV457</f>
        <v>1</v>
      </c>
      <c r="I340" s="9">
        <f>IF(Source!BA457&lt;&gt; 0, Source!BA457, 1)</f>
        <v>1</v>
      </c>
      <c r="J340" s="20">
        <f>Source!S457</f>
        <v>280.31</v>
      </c>
      <c r="K340" s="20"/>
    </row>
    <row r="341" spans="1:22" ht="14.25" x14ac:dyDescent="0.2">
      <c r="A341" s="15"/>
      <c r="B341" s="16"/>
      <c r="C341" s="16" t="s">
        <v>561</v>
      </c>
      <c r="D341" s="17"/>
      <c r="E341" s="9"/>
      <c r="F341" s="19">
        <f>Source!AM457</f>
        <v>0.06</v>
      </c>
      <c r="G341" s="18" t="str">
        <f>Source!DE457</f>
        <v/>
      </c>
      <c r="H341" s="9">
        <f>Source!AV457</f>
        <v>1</v>
      </c>
      <c r="I341" s="9">
        <f>IF(Source!BB457&lt;&gt; 0, Source!BB457, 1)</f>
        <v>1</v>
      </c>
      <c r="J341" s="20">
        <f>Source!Q457</f>
        <v>0.01</v>
      </c>
      <c r="K341" s="20"/>
    </row>
    <row r="342" spans="1:22" ht="14.25" x14ac:dyDescent="0.2">
      <c r="A342" s="15"/>
      <c r="B342" s="16"/>
      <c r="C342" s="16" t="s">
        <v>562</v>
      </c>
      <c r="D342" s="17" t="s">
        <v>563</v>
      </c>
      <c r="E342" s="9">
        <f>Source!AT457</f>
        <v>70</v>
      </c>
      <c r="F342" s="19"/>
      <c r="G342" s="18"/>
      <c r="H342" s="9"/>
      <c r="I342" s="9"/>
      <c r="J342" s="20">
        <f>SUM(R338:R341)</f>
        <v>196.22</v>
      </c>
      <c r="K342" s="20"/>
    </row>
    <row r="343" spans="1:22" ht="14.25" x14ac:dyDescent="0.2">
      <c r="A343" s="15"/>
      <c r="B343" s="16"/>
      <c r="C343" s="16" t="s">
        <v>564</v>
      </c>
      <c r="D343" s="17" t="s">
        <v>563</v>
      </c>
      <c r="E343" s="9">
        <f>Source!AU457</f>
        <v>10</v>
      </c>
      <c r="F343" s="19"/>
      <c r="G343" s="18"/>
      <c r="H343" s="9"/>
      <c r="I343" s="9"/>
      <c r="J343" s="20">
        <f>SUM(T338:T342)</f>
        <v>28.03</v>
      </c>
      <c r="K343" s="20"/>
    </row>
    <row r="344" spans="1:22" ht="14.25" x14ac:dyDescent="0.2">
      <c r="A344" s="15"/>
      <c r="B344" s="16"/>
      <c r="C344" s="16" t="s">
        <v>565</v>
      </c>
      <c r="D344" s="17" t="s">
        <v>566</v>
      </c>
      <c r="E344" s="9">
        <f>Source!AQ457</f>
        <v>15.15</v>
      </c>
      <c r="F344" s="19"/>
      <c r="G344" s="18" t="str">
        <f>Source!DI457</f>
        <v/>
      </c>
      <c r="H344" s="9">
        <f>Source!AV457</f>
        <v>1</v>
      </c>
      <c r="I344" s="9"/>
      <c r="J344" s="20"/>
      <c r="K344" s="20">
        <f>Source!U457</f>
        <v>1.5907499999999999</v>
      </c>
    </row>
    <row r="345" spans="1:22" ht="15" x14ac:dyDescent="0.25">
      <c r="A345" s="23"/>
      <c r="B345" s="23"/>
      <c r="C345" s="23"/>
      <c r="D345" s="23"/>
      <c r="E345" s="23"/>
      <c r="F345" s="23"/>
      <c r="G345" s="23"/>
      <c r="H345" s="23"/>
      <c r="I345" s="65">
        <f>J340+J341+J342+J343</f>
        <v>504.56999999999994</v>
      </c>
      <c r="J345" s="65"/>
      <c r="K345" s="24">
        <f>IF(Source!I457&lt;&gt;0, ROUND(I345/Source!I457, 2), 0)</f>
        <v>4805.43</v>
      </c>
      <c r="P345" s="22">
        <f>I345</f>
        <v>504.56999999999994</v>
      </c>
    </row>
    <row r="346" spans="1:22" ht="42.75" x14ac:dyDescent="0.2">
      <c r="A346" s="15" t="str">
        <f>Source!E459</f>
        <v>69</v>
      </c>
      <c r="B346" s="16" t="str">
        <f>Source!F459</f>
        <v>1.50-3305-4-1/1</v>
      </c>
      <c r="C346" s="16" t="str">
        <f>Source!G459</f>
        <v>Погрузка и выгрузка вручную строительного мусора на транспортные средства</v>
      </c>
      <c r="D346" s="17" t="str">
        <f>Source!H459</f>
        <v>т</v>
      </c>
      <c r="E346" s="9">
        <f>Source!I459</f>
        <v>6.8250000000000005E-2</v>
      </c>
      <c r="F346" s="19"/>
      <c r="G346" s="18"/>
      <c r="H346" s="9"/>
      <c r="I346" s="9"/>
      <c r="J346" s="20"/>
      <c r="K346" s="20"/>
      <c r="Q346">
        <f>ROUND((Source!BZ459/100)*ROUND((Source!AF459*Source!AV459)*Source!I459, 2), 2)</f>
        <v>5.72</v>
      </c>
      <c r="R346">
        <f>Source!X459</f>
        <v>5.72</v>
      </c>
      <c r="S346">
        <f>ROUND((Source!CA459/100)*ROUND((Source!AF459*Source!AV459)*Source!I459, 2), 2)</f>
        <v>0.82</v>
      </c>
      <c r="T346">
        <f>Source!Y459</f>
        <v>0.82</v>
      </c>
      <c r="U346">
        <f>ROUND((175/100)*ROUND((Source!AE459*Source!AV459)*Source!I459, 2), 2)</f>
        <v>0</v>
      </c>
      <c r="V346">
        <f>ROUND((108/100)*ROUND(Source!CS459*Source!I459, 2), 2)</f>
        <v>0</v>
      </c>
    </row>
    <row r="347" spans="1:22" ht="14.25" x14ac:dyDescent="0.2">
      <c r="A347" s="15"/>
      <c r="B347" s="16"/>
      <c r="C347" s="16" t="s">
        <v>560</v>
      </c>
      <c r="D347" s="17"/>
      <c r="E347" s="9"/>
      <c r="F347" s="19">
        <f>Source!AO459</f>
        <v>119.69</v>
      </c>
      <c r="G347" s="18" t="str">
        <f>Source!DG459</f>
        <v/>
      </c>
      <c r="H347" s="9">
        <f>Source!AV459</f>
        <v>1</v>
      </c>
      <c r="I347" s="9">
        <f>IF(Source!BA459&lt;&gt; 0, Source!BA459, 1)</f>
        <v>1</v>
      </c>
      <c r="J347" s="20">
        <f>Source!S459</f>
        <v>8.17</v>
      </c>
      <c r="K347" s="20"/>
    </row>
    <row r="348" spans="1:22" ht="14.25" x14ac:dyDescent="0.2">
      <c r="A348" s="15"/>
      <c r="B348" s="16"/>
      <c r="C348" s="16" t="s">
        <v>562</v>
      </c>
      <c r="D348" s="17" t="s">
        <v>563</v>
      </c>
      <c r="E348" s="9">
        <f>Source!AT459</f>
        <v>70</v>
      </c>
      <c r="F348" s="19"/>
      <c r="G348" s="18"/>
      <c r="H348" s="9"/>
      <c r="I348" s="9"/>
      <c r="J348" s="20">
        <f>SUM(R346:R347)</f>
        <v>5.72</v>
      </c>
      <c r="K348" s="20"/>
    </row>
    <row r="349" spans="1:22" ht="14.25" x14ac:dyDescent="0.2">
      <c r="A349" s="15"/>
      <c r="B349" s="16"/>
      <c r="C349" s="16" t="s">
        <v>564</v>
      </c>
      <c r="D349" s="17" t="s">
        <v>563</v>
      </c>
      <c r="E349" s="9">
        <f>Source!AU459</f>
        <v>10</v>
      </c>
      <c r="F349" s="19"/>
      <c r="G349" s="18"/>
      <c r="H349" s="9"/>
      <c r="I349" s="9"/>
      <c r="J349" s="20">
        <f>SUM(T346:T348)</f>
        <v>0.82</v>
      </c>
      <c r="K349" s="20"/>
    </row>
    <row r="350" spans="1:22" ht="14.25" x14ac:dyDescent="0.2">
      <c r="A350" s="15"/>
      <c r="B350" s="16"/>
      <c r="C350" s="16" t="s">
        <v>565</v>
      </c>
      <c r="D350" s="17" t="s">
        <v>566</v>
      </c>
      <c r="E350" s="9">
        <f>Source!AQ459</f>
        <v>1.02</v>
      </c>
      <c r="F350" s="19"/>
      <c r="G350" s="18" t="str">
        <f>Source!DI459</f>
        <v/>
      </c>
      <c r="H350" s="9">
        <f>Source!AV459</f>
        <v>1</v>
      </c>
      <c r="I350" s="9"/>
      <c r="J350" s="20"/>
      <c r="K350" s="20">
        <f>Source!U459</f>
        <v>6.961500000000001E-2</v>
      </c>
    </row>
    <row r="351" spans="1:22" ht="15" x14ac:dyDescent="0.25">
      <c r="A351" s="23"/>
      <c r="B351" s="23"/>
      <c r="C351" s="23"/>
      <c r="D351" s="23"/>
      <c r="E351" s="23"/>
      <c r="F351" s="23"/>
      <c r="G351" s="23"/>
      <c r="H351" s="23"/>
      <c r="I351" s="65">
        <f>J347+J348+J349</f>
        <v>14.71</v>
      </c>
      <c r="J351" s="65"/>
      <c r="K351" s="24">
        <f>IF(Source!I459&lt;&gt;0, ROUND(I351/Source!I459, 2), 0)</f>
        <v>215.53</v>
      </c>
      <c r="P351" s="22">
        <f>I351</f>
        <v>14.71</v>
      </c>
    </row>
    <row r="352" spans="1:22" ht="57" x14ac:dyDescent="0.2">
      <c r="A352" s="15" t="str">
        <f>Source!E461</f>
        <v>71</v>
      </c>
      <c r="B352" s="16" t="str">
        <f>Source!F461</f>
        <v>1.49-9201-1-1/1</v>
      </c>
      <c r="C352" s="16" t="str">
        <f>Source!G461</f>
        <v>Перевозка строительного мусора автосамосвалами грузоподъемностью до 10 т на расстояние 1 км - при погрузке вручную</v>
      </c>
      <c r="D352" s="17" t="str">
        <f>Source!H461</f>
        <v>т</v>
      </c>
      <c r="E352" s="9">
        <f>Source!I461</f>
        <v>6.8250000000000005E-2</v>
      </c>
      <c r="F352" s="19"/>
      <c r="G352" s="18"/>
      <c r="H352" s="9"/>
      <c r="I352" s="9"/>
      <c r="J352" s="20"/>
      <c r="K352" s="20"/>
      <c r="Q352">
        <f>ROUND((Source!BZ461/100)*ROUND((Source!AF461*Source!AV461)*Source!I461, 2), 2)</f>
        <v>0</v>
      </c>
      <c r="R352">
        <f>Source!X461</f>
        <v>0</v>
      </c>
      <c r="S352">
        <f>ROUND((Source!CA461/100)*ROUND((Source!AF461*Source!AV461)*Source!I461, 2), 2)</f>
        <v>0</v>
      </c>
      <c r="T352">
        <f>Source!Y461</f>
        <v>0</v>
      </c>
      <c r="U352">
        <f>ROUND((175/100)*ROUND((Source!AE461*Source!AV461)*Source!I461, 2), 2)</f>
        <v>12.69</v>
      </c>
      <c r="V352">
        <f>ROUND((108/100)*ROUND(Source!CS461*Source!I461, 2), 2)</f>
        <v>7.83</v>
      </c>
    </row>
    <row r="353" spans="1:22" ht="14.25" x14ac:dyDescent="0.2">
      <c r="A353" s="15"/>
      <c r="B353" s="16"/>
      <c r="C353" s="16" t="s">
        <v>561</v>
      </c>
      <c r="D353" s="17"/>
      <c r="E353" s="9"/>
      <c r="F353" s="19">
        <f>Source!AM461</f>
        <v>179.4</v>
      </c>
      <c r="G353" s="18" t="str">
        <f>Source!DE461</f>
        <v/>
      </c>
      <c r="H353" s="9">
        <f>Source!AV461</f>
        <v>1</v>
      </c>
      <c r="I353" s="9">
        <f>IF(Source!BB461&lt;&gt; 0, Source!BB461, 1)</f>
        <v>1</v>
      </c>
      <c r="J353" s="20">
        <f>Source!Q461</f>
        <v>12.24</v>
      </c>
      <c r="K353" s="20"/>
    </row>
    <row r="354" spans="1:22" ht="14.25" x14ac:dyDescent="0.2">
      <c r="A354" s="15"/>
      <c r="B354" s="16"/>
      <c r="C354" s="16" t="s">
        <v>567</v>
      </c>
      <c r="D354" s="17"/>
      <c r="E354" s="9"/>
      <c r="F354" s="19">
        <f>Source!AN461</f>
        <v>106.2</v>
      </c>
      <c r="G354" s="18" t="str">
        <f>Source!DF461</f>
        <v/>
      </c>
      <c r="H354" s="9">
        <f>Source!AV461</f>
        <v>1</v>
      </c>
      <c r="I354" s="9">
        <f>IF(Source!BS461&lt;&gt; 0, Source!BS461, 1)</f>
        <v>1</v>
      </c>
      <c r="J354" s="25">
        <f>Source!R461</f>
        <v>7.25</v>
      </c>
      <c r="K354" s="20"/>
    </row>
    <row r="355" spans="1:22" ht="15" x14ac:dyDescent="0.25">
      <c r="A355" s="23"/>
      <c r="B355" s="23"/>
      <c r="C355" s="23"/>
      <c r="D355" s="23"/>
      <c r="E355" s="23"/>
      <c r="F355" s="23"/>
      <c r="G355" s="23"/>
      <c r="H355" s="23"/>
      <c r="I355" s="65">
        <f>J353</f>
        <v>12.24</v>
      </c>
      <c r="J355" s="65"/>
      <c r="K355" s="24">
        <f>IF(Source!I461&lt;&gt;0, ROUND(I355/Source!I461, 2), 0)</f>
        <v>179.34</v>
      </c>
      <c r="P355" s="22">
        <f>I355</f>
        <v>12.24</v>
      </c>
    </row>
    <row r="356" spans="1:22" ht="57" x14ac:dyDescent="0.2">
      <c r="A356" s="15" t="str">
        <f>Source!E462</f>
        <v>72</v>
      </c>
      <c r="B356" s="16" t="str">
        <f>Source!F462</f>
        <v>1.49-9201-1-3/1</v>
      </c>
      <c r="C356" s="16" t="str">
        <f>Source!G462</f>
        <v>Перевозка строительного мусора автосамосвалами грузоподъемностью до 10 т - добавляется на каждый последующий 1 км до 100 км</v>
      </c>
      <c r="D356" s="17" t="str">
        <f>Source!H462</f>
        <v>т</v>
      </c>
      <c r="E356" s="9">
        <f>Source!I462</f>
        <v>6.8250000000000005E-2</v>
      </c>
      <c r="F356" s="19"/>
      <c r="G356" s="18"/>
      <c r="H356" s="9"/>
      <c r="I356" s="9"/>
      <c r="J356" s="20"/>
      <c r="K356" s="20"/>
      <c r="Q356">
        <f>ROUND((Source!BZ462/100)*ROUND((Source!AF462*Source!AV462)*Source!I462, 2), 2)</f>
        <v>0</v>
      </c>
      <c r="R356">
        <f>Source!X462</f>
        <v>0</v>
      </c>
      <c r="S356">
        <f>ROUND((Source!CA462/100)*ROUND((Source!AF462*Source!AV462)*Source!I462, 2), 2)</f>
        <v>0</v>
      </c>
      <c r="T356">
        <f>Source!Y462</f>
        <v>0</v>
      </c>
      <c r="U356">
        <f>ROUND((175/100)*ROUND((Source!AE462*Source!AV462)*Source!I462, 2), 2)</f>
        <v>33.51</v>
      </c>
      <c r="V356">
        <f>ROUND((108/100)*ROUND(Source!CS462*Source!I462, 2), 2)</f>
        <v>20.68</v>
      </c>
    </row>
    <row r="357" spans="1:22" ht="14.25" x14ac:dyDescent="0.2">
      <c r="A357" s="15"/>
      <c r="B357" s="16"/>
      <c r="C357" s="16" t="s">
        <v>561</v>
      </c>
      <c r="D357" s="17"/>
      <c r="E357" s="9"/>
      <c r="F357" s="19">
        <f>Source!AM462</f>
        <v>29.58</v>
      </c>
      <c r="G357" s="18" t="str">
        <f>Source!DE462</f>
        <v>*16</v>
      </c>
      <c r="H357" s="9">
        <f>Source!AV462</f>
        <v>1</v>
      </c>
      <c r="I357" s="9">
        <f>IF(Source!BB462&lt;&gt; 0, Source!BB462, 1)</f>
        <v>1</v>
      </c>
      <c r="J357" s="20">
        <f>Source!Q462</f>
        <v>32.299999999999997</v>
      </c>
      <c r="K357" s="20"/>
    </row>
    <row r="358" spans="1:22" ht="14.25" x14ac:dyDescent="0.2">
      <c r="A358" s="15"/>
      <c r="B358" s="16"/>
      <c r="C358" s="16" t="s">
        <v>567</v>
      </c>
      <c r="D358" s="17"/>
      <c r="E358" s="9"/>
      <c r="F358" s="19">
        <f>Source!AN462</f>
        <v>17.54</v>
      </c>
      <c r="G358" s="18" t="str">
        <f>Source!DF462</f>
        <v>*16</v>
      </c>
      <c r="H358" s="9">
        <f>Source!AV462</f>
        <v>1</v>
      </c>
      <c r="I358" s="9">
        <f>IF(Source!BS462&lt;&gt; 0, Source!BS462, 1)</f>
        <v>1</v>
      </c>
      <c r="J358" s="25">
        <f>Source!R462</f>
        <v>19.149999999999999</v>
      </c>
      <c r="K358" s="20"/>
    </row>
    <row r="359" spans="1:22" ht="15" x14ac:dyDescent="0.25">
      <c r="A359" s="23"/>
      <c r="B359" s="23"/>
      <c r="C359" s="23"/>
      <c r="D359" s="23"/>
      <c r="E359" s="23"/>
      <c r="F359" s="23"/>
      <c r="G359" s="23"/>
      <c r="H359" s="23"/>
      <c r="I359" s="65">
        <f>J357</f>
        <v>32.299999999999997</v>
      </c>
      <c r="J359" s="65"/>
      <c r="K359" s="24">
        <f>IF(Source!I462&lt;&gt;0, ROUND(I359/Source!I462, 2), 0)</f>
        <v>473.26</v>
      </c>
      <c r="P359" s="22">
        <f>I359</f>
        <v>32.299999999999997</v>
      </c>
    </row>
    <row r="360" spans="1:22" ht="28.5" x14ac:dyDescent="0.2">
      <c r="A360" s="15" t="str">
        <f>Source!E463</f>
        <v>73</v>
      </c>
      <c r="B360" s="16" t="str">
        <f>Source!F463</f>
        <v>21.25-0-1</v>
      </c>
      <c r="C360" s="16" t="str">
        <f>Source!G463</f>
        <v>Содержание свалки отходов строительства и сноса</v>
      </c>
      <c r="D360" s="17" t="str">
        <f>Source!H463</f>
        <v>т</v>
      </c>
      <c r="E360" s="9">
        <f>Source!I463</f>
        <v>6.8250000000000005E-2</v>
      </c>
      <c r="F360" s="19">
        <f>Source!AL463</f>
        <v>197.96</v>
      </c>
      <c r="G360" s="18" t="str">
        <f>Source!DD463</f>
        <v/>
      </c>
      <c r="H360" s="9">
        <f>Source!AW463</f>
        <v>1</v>
      </c>
      <c r="I360" s="9">
        <f>IF(Source!BC463&lt;&gt; 0, Source!BC463, 1)</f>
        <v>1</v>
      </c>
      <c r="J360" s="20">
        <f>Source!P463</f>
        <v>13.51</v>
      </c>
      <c r="K360" s="20"/>
      <c r="Q360">
        <f>ROUND((Source!BZ463/100)*ROUND((Source!AF463*Source!AV463)*Source!I463, 2), 2)</f>
        <v>0</v>
      </c>
      <c r="R360">
        <f>Source!X463</f>
        <v>0</v>
      </c>
      <c r="S360">
        <f>ROUND((Source!CA463/100)*ROUND((Source!AF463*Source!AV463)*Source!I463, 2), 2)</f>
        <v>0</v>
      </c>
      <c r="T360">
        <f>Source!Y463</f>
        <v>0</v>
      </c>
      <c r="U360">
        <f>ROUND((175/100)*ROUND((Source!AE463*Source!AV463)*Source!I463, 2), 2)</f>
        <v>0</v>
      </c>
      <c r="V360">
        <f>ROUND((108/100)*ROUND(Source!CS463*Source!I463, 2), 2)</f>
        <v>0</v>
      </c>
    </row>
    <row r="361" spans="1:22" ht="15" x14ac:dyDescent="0.25">
      <c r="A361" s="23"/>
      <c r="B361" s="23"/>
      <c r="C361" s="23"/>
      <c r="D361" s="23"/>
      <c r="E361" s="23"/>
      <c r="F361" s="23"/>
      <c r="G361" s="23"/>
      <c r="H361" s="23"/>
      <c r="I361" s="65">
        <f>J360</f>
        <v>13.51</v>
      </c>
      <c r="J361" s="65"/>
      <c r="K361" s="24">
        <f>IF(Source!I463&lt;&gt;0, ROUND(I361/Source!I463, 2), 0)</f>
        <v>197.95</v>
      </c>
      <c r="P361" s="22">
        <f>I361</f>
        <v>13.51</v>
      </c>
    </row>
    <row r="363" spans="1:22" ht="15" x14ac:dyDescent="0.25">
      <c r="A363" s="64" t="str">
        <f>CONCATENATE("Итого по подразделу: ",IF(Source!G465&lt;&gt;"Новый подраздел", Source!G465, ""))</f>
        <v>Итого по подразделу: Демонтаж</v>
      </c>
      <c r="B363" s="64"/>
      <c r="C363" s="64"/>
      <c r="D363" s="64"/>
      <c r="E363" s="64"/>
      <c r="F363" s="64"/>
      <c r="G363" s="64"/>
      <c r="H363" s="64"/>
      <c r="I363" s="62">
        <f>SUM(P337:P362)</f>
        <v>577.32999999999993</v>
      </c>
      <c r="J363" s="63"/>
      <c r="K363" s="26"/>
    </row>
    <row r="366" spans="1:22" ht="16.5" x14ac:dyDescent="0.25">
      <c r="A366" s="66" t="str">
        <f>CONCATENATE("Подраздел: ",IF(Source!G495&lt;&gt;"Новый подраздел", Source!G495, ""))</f>
        <v>Подраздел: Установка оборудования для выгула собак</v>
      </c>
      <c r="B366" s="66"/>
      <c r="C366" s="66"/>
      <c r="D366" s="66"/>
      <c r="E366" s="66"/>
      <c r="F366" s="66"/>
      <c r="G366" s="66"/>
      <c r="H366" s="66"/>
      <c r="I366" s="66"/>
      <c r="J366" s="66"/>
      <c r="K366" s="66"/>
    </row>
    <row r="367" spans="1:22" ht="28.5" x14ac:dyDescent="0.2">
      <c r="A367" s="15" t="str">
        <f>Source!E499</f>
        <v>74</v>
      </c>
      <c r="B367" s="16" t="str">
        <f>Source!F499</f>
        <v>1.50-3203-37-3/1</v>
      </c>
      <c r="C367" s="16" t="str">
        <f>Source!G499</f>
        <v>Монтаж мелких конструкций из стали различного профиля массой до 100 кг</v>
      </c>
      <c r="D367" s="17" t="str">
        <f>Source!H499</f>
        <v>т</v>
      </c>
      <c r="E367" s="9">
        <f>Source!I499</f>
        <v>0.33</v>
      </c>
      <c r="F367" s="19"/>
      <c r="G367" s="18"/>
      <c r="H367" s="9"/>
      <c r="I367" s="9"/>
      <c r="J367" s="20"/>
      <c r="K367" s="20"/>
      <c r="Q367">
        <f>ROUND((Source!BZ499/100)*ROUND((Source!AF499*Source!AV499)*Source!I499, 2), 2)</f>
        <v>4947.82</v>
      </c>
      <c r="R367">
        <f>Source!X499</f>
        <v>4947.82</v>
      </c>
      <c r="S367">
        <f>ROUND((Source!CA499/100)*ROUND((Source!AF499*Source!AV499)*Source!I499, 2), 2)</f>
        <v>706.83</v>
      </c>
      <c r="T367">
        <f>Source!Y499</f>
        <v>706.83</v>
      </c>
      <c r="U367">
        <f>ROUND((175/100)*ROUND((Source!AE499*Source!AV499)*Source!I499, 2), 2)</f>
        <v>0</v>
      </c>
      <c r="V367">
        <f>ROUND((108/100)*ROUND(Source!CS499*Source!I499, 2), 2)</f>
        <v>0</v>
      </c>
    </row>
    <row r="368" spans="1:22" ht="14.25" x14ac:dyDescent="0.2">
      <c r="A368" s="15"/>
      <c r="B368" s="16"/>
      <c r="C368" s="16" t="s">
        <v>560</v>
      </c>
      <c r="D368" s="17"/>
      <c r="E368" s="9"/>
      <c r="F368" s="19">
        <f>Source!AO499</f>
        <v>21419.119999999999</v>
      </c>
      <c r="G368" s="18" t="str">
        <f>Source!DG499</f>
        <v/>
      </c>
      <c r="H368" s="9">
        <f>Source!AV499</f>
        <v>1</v>
      </c>
      <c r="I368" s="9">
        <f>IF(Source!BA499&lt;&gt; 0, Source!BA499, 1)</f>
        <v>1</v>
      </c>
      <c r="J368" s="20">
        <f>Source!S499</f>
        <v>7068.31</v>
      </c>
      <c r="K368" s="20"/>
    </row>
    <row r="369" spans="1:22" ht="14.25" x14ac:dyDescent="0.2">
      <c r="A369" s="15"/>
      <c r="B369" s="16"/>
      <c r="C369" s="16" t="s">
        <v>562</v>
      </c>
      <c r="D369" s="17" t="s">
        <v>563</v>
      </c>
      <c r="E369" s="9">
        <f>Source!AT499</f>
        <v>70</v>
      </c>
      <c r="F369" s="19"/>
      <c r="G369" s="18"/>
      <c r="H369" s="9"/>
      <c r="I369" s="9"/>
      <c r="J369" s="20">
        <f>SUM(R367:R368)</f>
        <v>4947.82</v>
      </c>
      <c r="K369" s="20"/>
    </row>
    <row r="370" spans="1:22" ht="14.25" x14ac:dyDescent="0.2">
      <c r="A370" s="15"/>
      <c r="B370" s="16"/>
      <c r="C370" s="16" t="s">
        <v>564</v>
      </c>
      <c r="D370" s="17" t="s">
        <v>563</v>
      </c>
      <c r="E370" s="9">
        <f>Source!AU499</f>
        <v>10</v>
      </c>
      <c r="F370" s="19"/>
      <c r="G370" s="18"/>
      <c r="H370" s="9"/>
      <c r="I370" s="9"/>
      <c r="J370" s="20">
        <f>SUM(T367:T369)</f>
        <v>706.83</v>
      </c>
      <c r="K370" s="20"/>
    </row>
    <row r="371" spans="1:22" ht="14.25" x14ac:dyDescent="0.2">
      <c r="A371" s="15"/>
      <c r="B371" s="16"/>
      <c r="C371" s="16" t="s">
        <v>565</v>
      </c>
      <c r="D371" s="17" t="s">
        <v>566</v>
      </c>
      <c r="E371" s="9">
        <f>Source!AQ499</f>
        <v>87.4</v>
      </c>
      <c r="F371" s="19"/>
      <c r="G371" s="18" t="str">
        <f>Source!DI499</f>
        <v/>
      </c>
      <c r="H371" s="9">
        <f>Source!AV499</f>
        <v>1</v>
      </c>
      <c r="I371" s="9"/>
      <c r="J371" s="20"/>
      <c r="K371" s="20">
        <f>Source!U499</f>
        <v>28.842000000000002</v>
      </c>
    </row>
    <row r="372" spans="1:22" ht="15" x14ac:dyDescent="0.25">
      <c r="A372" s="23"/>
      <c r="B372" s="23"/>
      <c r="C372" s="23"/>
      <c r="D372" s="23"/>
      <c r="E372" s="23"/>
      <c r="F372" s="23"/>
      <c r="G372" s="23"/>
      <c r="H372" s="23"/>
      <c r="I372" s="65">
        <f>J368+J369+J370</f>
        <v>12722.960000000001</v>
      </c>
      <c r="J372" s="65"/>
      <c r="K372" s="24">
        <f>IF(Source!I499&lt;&gt;0, ROUND(I372/Source!I499, 2), 0)</f>
        <v>38554.42</v>
      </c>
      <c r="P372" s="22">
        <f>I372</f>
        <v>12722.960000000001</v>
      </c>
    </row>
    <row r="373" spans="1:22" ht="42.75" x14ac:dyDescent="0.2">
      <c r="A373" s="15" t="str">
        <f>Source!E500</f>
        <v>75</v>
      </c>
      <c r="B373" s="16" t="str">
        <f>Source!F500</f>
        <v>Цена поставщика</v>
      </c>
      <c r="C373" s="16" t="s">
        <v>569</v>
      </c>
      <c r="D373" s="17" t="str">
        <f>Source!H500</f>
        <v>шт.</v>
      </c>
      <c r="E373" s="9">
        <f>Source!I500</f>
        <v>1</v>
      </c>
      <c r="F373" s="19">
        <f>Source!AL500</f>
        <v>29364.73</v>
      </c>
      <c r="G373" s="18" t="str">
        <f>Source!DD500</f>
        <v/>
      </c>
      <c r="H373" s="9">
        <f>Source!AW500</f>
        <v>1</v>
      </c>
      <c r="I373" s="9">
        <f>IF(Source!BC500&lt;&gt; 0, Source!BC500, 1)</f>
        <v>1</v>
      </c>
      <c r="J373" s="20">
        <f>Source!P500</f>
        <v>29364.73</v>
      </c>
      <c r="K373" s="20"/>
      <c r="Q373">
        <f>ROUND((Source!BZ500/100)*ROUND((Source!AF500*Source!AV500)*Source!I500, 2), 2)</f>
        <v>0</v>
      </c>
      <c r="R373">
        <f>Source!X500</f>
        <v>0</v>
      </c>
      <c r="S373">
        <f>ROUND((Source!CA500/100)*ROUND((Source!AF500*Source!AV500)*Source!I500, 2), 2)</f>
        <v>0</v>
      </c>
      <c r="T373">
        <f>Source!Y500</f>
        <v>0</v>
      </c>
      <c r="U373">
        <f>ROUND((175/100)*ROUND((Source!AE500*Source!AV500)*Source!I500, 2), 2)</f>
        <v>0</v>
      </c>
      <c r="V373">
        <f>ROUND((108/100)*ROUND(Source!CS500*Source!I500, 2), 2)</f>
        <v>0</v>
      </c>
    </row>
    <row r="374" spans="1:22" ht="15" x14ac:dyDescent="0.25">
      <c r="A374" s="23"/>
      <c r="B374" s="23"/>
      <c r="C374" s="23"/>
      <c r="D374" s="23"/>
      <c r="E374" s="23"/>
      <c r="F374" s="23"/>
      <c r="G374" s="23"/>
      <c r="H374" s="23"/>
      <c r="I374" s="65">
        <f>J373</f>
        <v>29364.73</v>
      </c>
      <c r="J374" s="65"/>
      <c r="K374" s="24">
        <f>IF(Source!I500&lt;&gt;0, ROUND(I374/Source!I500, 2), 0)</f>
        <v>29364.73</v>
      </c>
      <c r="P374" s="22">
        <f>I374</f>
        <v>29364.73</v>
      </c>
    </row>
    <row r="375" spans="1:22" ht="42.75" x14ac:dyDescent="0.2">
      <c r="A375" s="15" t="str">
        <f>Source!E501</f>
        <v>76</v>
      </c>
      <c r="B375" s="16" t="str">
        <f>Source!F501</f>
        <v>Цена поставщика</v>
      </c>
      <c r="C375" s="16" t="s">
        <v>570</v>
      </c>
      <c r="D375" s="17" t="str">
        <f>Source!H501</f>
        <v>шт.</v>
      </c>
      <c r="E375" s="9">
        <f>Source!I501</f>
        <v>1</v>
      </c>
      <c r="F375" s="19">
        <f>Source!AL501</f>
        <v>18699.73</v>
      </c>
      <c r="G375" s="18" t="str">
        <f>Source!DD501</f>
        <v/>
      </c>
      <c r="H375" s="9">
        <f>Source!AW501</f>
        <v>1</v>
      </c>
      <c r="I375" s="9">
        <f>IF(Source!BC501&lt;&gt; 0, Source!BC501, 1)</f>
        <v>1</v>
      </c>
      <c r="J375" s="20">
        <f>Source!P501</f>
        <v>18699.73</v>
      </c>
      <c r="K375" s="20"/>
      <c r="Q375">
        <f>ROUND((Source!BZ501/100)*ROUND((Source!AF501*Source!AV501)*Source!I501, 2), 2)</f>
        <v>0</v>
      </c>
      <c r="R375">
        <f>Source!X501</f>
        <v>0</v>
      </c>
      <c r="S375">
        <f>ROUND((Source!CA501/100)*ROUND((Source!AF501*Source!AV501)*Source!I501, 2), 2)</f>
        <v>0</v>
      </c>
      <c r="T375">
        <f>Source!Y501</f>
        <v>0</v>
      </c>
      <c r="U375">
        <f>ROUND((175/100)*ROUND((Source!AE501*Source!AV501)*Source!I501, 2), 2)</f>
        <v>0</v>
      </c>
      <c r="V375">
        <f>ROUND((108/100)*ROUND(Source!CS501*Source!I501, 2), 2)</f>
        <v>0</v>
      </c>
    </row>
    <row r="376" spans="1:22" ht="15" x14ac:dyDescent="0.25">
      <c r="A376" s="23"/>
      <c r="B376" s="23"/>
      <c r="C376" s="23"/>
      <c r="D376" s="23"/>
      <c r="E376" s="23"/>
      <c r="F376" s="23"/>
      <c r="G376" s="23"/>
      <c r="H376" s="23"/>
      <c r="I376" s="65">
        <f>J375</f>
        <v>18699.73</v>
      </c>
      <c r="J376" s="65"/>
      <c r="K376" s="24">
        <f>IF(Source!I501&lt;&gt;0, ROUND(I376/Source!I501, 2), 0)</f>
        <v>18699.73</v>
      </c>
      <c r="P376" s="22">
        <f>I376</f>
        <v>18699.73</v>
      </c>
    </row>
    <row r="377" spans="1:22" ht="54" x14ac:dyDescent="0.2">
      <c r="A377" s="15" t="str">
        <f>Source!E502</f>
        <v>77</v>
      </c>
      <c r="B377" s="16" t="str">
        <f>Source!F502</f>
        <v>Цена поставщика</v>
      </c>
      <c r="C377" s="16" t="s">
        <v>571</v>
      </c>
      <c r="D377" s="17" t="str">
        <f>Source!H502</f>
        <v>шт.</v>
      </c>
      <c r="E377" s="9">
        <f>Source!I502</f>
        <v>1</v>
      </c>
      <c r="F377" s="19">
        <f>Source!AL502</f>
        <v>17050</v>
      </c>
      <c r="G377" s="18" t="str">
        <f>Source!DD502</f>
        <v/>
      </c>
      <c r="H377" s="9">
        <f>Source!AW502</f>
        <v>1</v>
      </c>
      <c r="I377" s="9">
        <f>IF(Source!BC502&lt;&gt; 0, Source!BC502, 1)</f>
        <v>1</v>
      </c>
      <c r="J377" s="20">
        <f>Source!P502</f>
        <v>17050</v>
      </c>
      <c r="K377" s="20"/>
      <c r="Q377">
        <f>ROUND((Source!BZ502/100)*ROUND((Source!AF502*Source!AV502)*Source!I502, 2), 2)</f>
        <v>0</v>
      </c>
      <c r="R377">
        <f>Source!X502</f>
        <v>0</v>
      </c>
      <c r="S377">
        <f>ROUND((Source!CA502/100)*ROUND((Source!AF502*Source!AV502)*Source!I502, 2), 2)</f>
        <v>0</v>
      </c>
      <c r="T377">
        <f>Source!Y502</f>
        <v>0</v>
      </c>
      <c r="U377">
        <f>ROUND((175/100)*ROUND((Source!AE502*Source!AV502)*Source!I502, 2), 2)</f>
        <v>0</v>
      </c>
      <c r="V377">
        <f>ROUND((108/100)*ROUND(Source!CS502*Source!I502, 2), 2)</f>
        <v>0</v>
      </c>
    </row>
    <row r="378" spans="1:22" ht="15" x14ac:dyDescent="0.25">
      <c r="A378" s="23"/>
      <c r="B378" s="23"/>
      <c r="C378" s="23"/>
      <c r="D378" s="23"/>
      <c r="E378" s="23"/>
      <c r="F378" s="23"/>
      <c r="G378" s="23"/>
      <c r="H378" s="23"/>
      <c r="I378" s="65">
        <f>J377</f>
        <v>17050</v>
      </c>
      <c r="J378" s="65"/>
      <c r="K378" s="24">
        <f>IF(Source!I502&lt;&gt;0, ROUND(I378/Source!I502, 2), 0)</f>
        <v>17050</v>
      </c>
      <c r="P378" s="22">
        <f>I378</f>
        <v>17050</v>
      </c>
    </row>
    <row r="379" spans="1:22" ht="54" x14ac:dyDescent="0.2">
      <c r="A379" s="15" t="str">
        <f>Source!E503</f>
        <v>78</v>
      </c>
      <c r="B379" s="16" t="str">
        <f>Source!F503</f>
        <v>Цена поставщика</v>
      </c>
      <c r="C379" s="16" t="s">
        <v>572</v>
      </c>
      <c r="D379" s="17" t="str">
        <f>Source!H503</f>
        <v>шт.</v>
      </c>
      <c r="E379" s="9">
        <f>Source!I503</f>
        <v>1</v>
      </c>
      <c r="F379" s="19">
        <f>Source!AL503</f>
        <v>17277.78</v>
      </c>
      <c r="G379" s="18" t="str">
        <f>Source!DD503</f>
        <v/>
      </c>
      <c r="H379" s="9">
        <f>Source!AW503</f>
        <v>1</v>
      </c>
      <c r="I379" s="9">
        <f>IF(Source!BC503&lt;&gt; 0, Source!BC503, 1)</f>
        <v>1</v>
      </c>
      <c r="J379" s="20">
        <f>Source!P503</f>
        <v>17277.78</v>
      </c>
      <c r="K379" s="20"/>
      <c r="Q379">
        <f>ROUND((Source!BZ503/100)*ROUND((Source!AF503*Source!AV503)*Source!I503, 2), 2)</f>
        <v>0</v>
      </c>
      <c r="R379">
        <f>Source!X503</f>
        <v>0</v>
      </c>
      <c r="S379">
        <f>ROUND((Source!CA503/100)*ROUND((Source!AF503*Source!AV503)*Source!I503, 2), 2)</f>
        <v>0</v>
      </c>
      <c r="T379">
        <f>Source!Y503</f>
        <v>0</v>
      </c>
      <c r="U379">
        <f>ROUND((175/100)*ROUND((Source!AE503*Source!AV503)*Source!I503, 2), 2)</f>
        <v>0</v>
      </c>
      <c r="V379">
        <f>ROUND((108/100)*ROUND(Source!CS503*Source!I503, 2), 2)</f>
        <v>0</v>
      </c>
    </row>
    <row r="380" spans="1:22" ht="15" x14ac:dyDescent="0.25">
      <c r="A380" s="23"/>
      <c r="B380" s="23"/>
      <c r="C380" s="23"/>
      <c r="D380" s="23"/>
      <c r="E380" s="23"/>
      <c r="F380" s="23"/>
      <c r="G380" s="23"/>
      <c r="H380" s="23"/>
      <c r="I380" s="65">
        <f>J379</f>
        <v>17277.78</v>
      </c>
      <c r="J380" s="65"/>
      <c r="K380" s="24">
        <f>IF(Source!I503&lt;&gt;0, ROUND(I380/Source!I503, 2), 0)</f>
        <v>17277.78</v>
      </c>
      <c r="P380" s="22">
        <f>I380</f>
        <v>17277.78</v>
      </c>
    </row>
    <row r="381" spans="1:22" ht="54" x14ac:dyDescent="0.2">
      <c r="A381" s="15" t="str">
        <f>Source!E504</f>
        <v>79</v>
      </c>
      <c r="B381" s="16" t="str">
        <f>Source!F504</f>
        <v>Цена поставщика</v>
      </c>
      <c r="C381" s="16" t="s">
        <v>573</v>
      </c>
      <c r="D381" s="17" t="str">
        <f>Source!H504</f>
        <v>шт.</v>
      </c>
      <c r="E381" s="9">
        <f>Source!I504</f>
        <v>1</v>
      </c>
      <c r="F381" s="19">
        <f>Source!AL504</f>
        <v>19411.11</v>
      </c>
      <c r="G381" s="18" t="str">
        <f>Source!DD504</f>
        <v/>
      </c>
      <c r="H381" s="9">
        <f>Source!AW504</f>
        <v>1</v>
      </c>
      <c r="I381" s="9">
        <f>IF(Source!BC504&lt;&gt; 0, Source!BC504, 1)</f>
        <v>1</v>
      </c>
      <c r="J381" s="20">
        <f>Source!P504</f>
        <v>19411.11</v>
      </c>
      <c r="K381" s="20"/>
      <c r="Q381">
        <f>ROUND((Source!BZ504/100)*ROUND((Source!AF504*Source!AV504)*Source!I504, 2), 2)</f>
        <v>0</v>
      </c>
      <c r="R381">
        <f>Source!X504</f>
        <v>0</v>
      </c>
      <c r="S381">
        <f>ROUND((Source!CA504/100)*ROUND((Source!AF504*Source!AV504)*Source!I504, 2), 2)</f>
        <v>0</v>
      </c>
      <c r="T381">
        <f>Source!Y504</f>
        <v>0</v>
      </c>
      <c r="U381">
        <f>ROUND((175/100)*ROUND((Source!AE504*Source!AV504)*Source!I504, 2), 2)</f>
        <v>0</v>
      </c>
      <c r="V381">
        <f>ROUND((108/100)*ROUND(Source!CS504*Source!I504, 2), 2)</f>
        <v>0</v>
      </c>
    </row>
    <row r="382" spans="1:22" ht="15" x14ac:dyDescent="0.25">
      <c r="A382" s="23"/>
      <c r="B382" s="23"/>
      <c r="C382" s="23"/>
      <c r="D382" s="23"/>
      <c r="E382" s="23"/>
      <c r="F382" s="23"/>
      <c r="G382" s="23"/>
      <c r="H382" s="23"/>
      <c r="I382" s="65">
        <f>J381</f>
        <v>19411.11</v>
      </c>
      <c r="J382" s="65"/>
      <c r="K382" s="24">
        <f>IF(Source!I504&lt;&gt;0, ROUND(I382/Source!I504, 2), 0)</f>
        <v>19411.11</v>
      </c>
      <c r="P382" s="22">
        <f>I382</f>
        <v>19411.11</v>
      </c>
    </row>
    <row r="383" spans="1:22" ht="54" x14ac:dyDescent="0.2">
      <c r="A383" s="15" t="str">
        <f>Source!E505</f>
        <v>80</v>
      </c>
      <c r="B383" s="16" t="str">
        <f>Source!F505</f>
        <v>Цена поставщика</v>
      </c>
      <c r="C383" s="16" t="s">
        <v>574</v>
      </c>
      <c r="D383" s="17" t="str">
        <f>Source!H505</f>
        <v>шт.</v>
      </c>
      <c r="E383" s="9">
        <f>Source!I505</f>
        <v>1</v>
      </c>
      <c r="F383" s="19">
        <f>Source!AL505</f>
        <v>9847.23</v>
      </c>
      <c r="G383" s="18" t="str">
        <f>Source!DD505</f>
        <v/>
      </c>
      <c r="H383" s="9">
        <f>Source!AW505</f>
        <v>1</v>
      </c>
      <c r="I383" s="9">
        <f>IF(Source!BC505&lt;&gt; 0, Source!BC505, 1)</f>
        <v>1</v>
      </c>
      <c r="J383" s="20">
        <f>Source!P505</f>
        <v>9847.23</v>
      </c>
      <c r="K383" s="20"/>
      <c r="Q383">
        <f>ROUND((Source!BZ505/100)*ROUND((Source!AF505*Source!AV505)*Source!I505, 2), 2)</f>
        <v>0</v>
      </c>
      <c r="R383">
        <f>Source!X505</f>
        <v>0</v>
      </c>
      <c r="S383">
        <f>ROUND((Source!CA505/100)*ROUND((Source!AF505*Source!AV505)*Source!I505, 2), 2)</f>
        <v>0</v>
      </c>
      <c r="T383">
        <f>Source!Y505</f>
        <v>0</v>
      </c>
      <c r="U383">
        <f>ROUND((175/100)*ROUND((Source!AE505*Source!AV505)*Source!I505, 2), 2)</f>
        <v>0</v>
      </c>
      <c r="V383">
        <f>ROUND((108/100)*ROUND(Source!CS505*Source!I505, 2), 2)</f>
        <v>0</v>
      </c>
    </row>
    <row r="384" spans="1:22" ht="15" x14ac:dyDescent="0.25">
      <c r="A384" s="23"/>
      <c r="B384" s="23"/>
      <c r="C384" s="23"/>
      <c r="D384" s="23"/>
      <c r="E384" s="23"/>
      <c r="F384" s="23"/>
      <c r="G384" s="23"/>
      <c r="H384" s="23"/>
      <c r="I384" s="65">
        <f>J383</f>
        <v>9847.23</v>
      </c>
      <c r="J384" s="65"/>
      <c r="K384" s="24">
        <f>IF(Source!I505&lt;&gt;0, ROUND(I384/Source!I505, 2), 0)</f>
        <v>9847.23</v>
      </c>
      <c r="P384" s="22">
        <f>I384</f>
        <v>9847.23</v>
      </c>
    </row>
    <row r="386" spans="1:22" ht="15" x14ac:dyDescent="0.25">
      <c r="A386" s="64" t="str">
        <f>CONCATENATE("Итого по подразделу: ",IF(Source!G507&lt;&gt;"Новый подраздел", Source!G507, ""))</f>
        <v>Итого по подразделу: Установка оборудования для выгула собак</v>
      </c>
      <c r="B386" s="64"/>
      <c r="C386" s="64"/>
      <c r="D386" s="64"/>
      <c r="E386" s="64"/>
      <c r="F386" s="64"/>
      <c r="G386" s="64"/>
      <c r="H386" s="64"/>
      <c r="I386" s="62">
        <f>SUM(P366:P385)</f>
        <v>124373.54</v>
      </c>
      <c r="J386" s="63"/>
      <c r="K386" s="26"/>
    </row>
    <row r="389" spans="1:22" ht="16.5" x14ac:dyDescent="0.25">
      <c r="A389" s="66" t="str">
        <f>CONCATENATE("Подраздел: ",IF(Source!G537&lt;&gt;"Новый подраздел", Source!G537, ""))</f>
        <v>Подраздел: Установка ограждения</v>
      </c>
      <c r="B389" s="66"/>
      <c r="C389" s="66"/>
      <c r="D389" s="66"/>
      <c r="E389" s="66"/>
      <c r="F389" s="66"/>
      <c r="G389" s="66"/>
      <c r="H389" s="66"/>
      <c r="I389" s="66"/>
      <c r="J389" s="66"/>
      <c r="K389" s="66"/>
    </row>
    <row r="390" spans="1:22" ht="57" x14ac:dyDescent="0.2">
      <c r="A390" s="15" t="str">
        <f>Source!E541</f>
        <v>81</v>
      </c>
      <c r="B390" s="16" t="str">
        <f>Source!F541</f>
        <v>5.3-3203-16-2/1</v>
      </c>
      <c r="C390" s="16" t="str">
        <f>Source!G541</f>
        <v>Установка металлических оград высотой 2-2,5 м на металлических стойках, при количестве стоек 38 шт./100 м</v>
      </c>
      <c r="D390" s="17" t="str">
        <f>Source!H541</f>
        <v>100 м</v>
      </c>
      <c r="E390" s="9">
        <f>Source!I541</f>
        <v>1.2</v>
      </c>
      <c r="F390" s="19"/>
      <c r="G390" s="18"/>
      <c r="H390" s="9"/>
      <c r="I390" s="9"/>
      <c r="J390" s="20"/>
      <c r="K390" s="20"/>
      <c r="Q390">
        <f>ROUND((Source!BZ541/100)*ROUND((Source!AF541*Source!AV541)*Source!I541, 2), 2)</f>
        <v>59975.68</v>
      </c>
      <c r="R390">
        <f>Source!X541</f>
        <v>59975.68</v>
      </c>
      <c r="S390">
        <f>ROUND((Source!CA541/100)*ROUND((Source!AF541*Source!AV541)*Source!I541, 2), 2)</f>
        <v>8567.9500000000007</v>
      </c>
      <c r="T390">
        <f>Source!Y541</f>
        <v>8567.9500000000007</v>
      </c>
      <c r="U390">
        <f>ROUND((175/100)*ROUND((Source!AE541*Source!AV541)*Source!I541, 2), 2)</f>
        <v>7508.25</v>
      </c>
      <c r="V390">
        <f>ROUND((108/100)*ROUND(Source!CS541*Source!I541, 2), 2)</f>
        <v>4633.66</v>
      </c>
    </row>
    <row r="391" spans="1:22" x14ac:dyDescent="0.2">
      <c r="C391" s="21" t="str">
        <f>"Объем: "&amp;Source!I541&amp;"=120/"&amp;"100"</f>
        <v>Объем: 1,2=120/100</v>
      </c>
    </row>
    <row r="392" spans="1:22" ht="14.25" x14ac:dyDescent="0.2">
      <c r="A392" s="15"/>
      <c r="B392" s="16"/>
      <c r="C392" s="16" t="s">
        <v>560</v>
      </c>
      <c r="D392" s="17"/>
      <c r="E392" s="9"/>
      <c r="F392" s="19">
        <f>Source!AO541</f>
        <v>71399.62</v>
      </c>
      <c r="G392" s="18" t="str">
        <f>Source!DG541</f>
        <v/>
      </c>
      <c r="H392" s="9">
        <f>Source!AV541</f>
        <v>1</v>
      </c>
      <c r="I392" s="9">
        <f>IF(Source!BA541&lt;&gt; 0, Source!BA541, 1)</f>
        <v>1</v>
      </c>
      <c r="J392" s="20">
        <f>Source!S541</f>
        <v>85679.54</v>
      </c>
      <c r="K392" s="20"/>
    </row>
    <row r="393" spans="1:22" ht="14.25" x14ac:dyDescent="0.2">
      <c r="A393" s="15"/>
      <c r="B393" s="16"/>
      <c r="C393" s="16" t="s">
        <v>561</v>
      </c>
      <c r="D393" s="17"/>
      <c r="E393" s="9"/>
      <c r="F393" s="19">
        <f>Source!AM541</f>
        <v>19999.11</v>
      </c>
      <c r="G393" s="18" t="str">
        <f>Source!DE541</f>
        <v/>
      </c>
      <c r="H393" s="9">
        <f>Source!AV541</f>
        <v>1</v>
      </c>
      <c r="I393" s="9">
        <f>IF(Source!BB541&lt;&gt; 0, Source!BB541, 1)</f>
        <v>1</v>
      </c>
      <c r="J393" s="20">
        <f>Source!Q541</f>
        <v>23998.93</v>
      </c>
      <c r="K393" s="20"/>
    </row>
    <row r="394" spans="1:22" ht="14.25" x14ac:dyDescent="0.2">
      <c r="A394" s="15"/>
      <c r="B394" s="16"/>
      <c r="C394" s="16" t="s">
        <v>567</v>
      </c>
      <c r="D394" s="17"/>
      <c r="E394" s="9"/>
      <c r="F394" s="19">
        <f>Source!AN541</f>
        <v>3575.36</v>
      </c>
      <c r="G394" s="18" t="str">
        <f>Source!DF541</f>
        <v/>
      </c>
      <c r="H394" s="9">
        <f>Source!AV541</f>
        <v>1</v>
      </c>
      <c r="I394" s="9">
        <f>IF(Source!BS541&lt;&gt; 0, Source!BS541, 1)</f>
        <v>1</v>
      </c>
      <c r="J394" s="25">
        <f>Source!R541</f>
        <v>4290.43</v>
      </c>
      <c r="K394" s="20"/>
    </row>
    <row r="395" spans="1:22" ht="14.25" x14ac:dyDescent="0.2">
      <c r="A395" s="15"/>
      <c r="B395" s="16"/>
      <c r="C395" s="16" t="s">
        <v>575</v>
      </c>
      <c r="D395" s="17"/>
      <c r="E395" s="9"/>
      <c r="F395" s="19">
        <f>Source!AL541</f>
        <v>547940.27</v>
      </c>
      <c r="G395" s="18" t="str">
        <f>Source!DD541</f>
        <v/>
      </c>
      <c r="H395" s="9">
        <f>Source!AW541</f>
        <v>1</v>
      </c>
      <c r="I395" s="9">
        <f>IF(Source!BC541&lt;&gt; 0, Source!BC541, 1)</f>
        <v>1</v>
      </c>
      <c r="J395" s="20">
        <f>Source!P541</f>
        <v>657528.31999999995</v>
      </c>
      <c r="K395" s="20"/>
    </row>
    <row r="396" spans="1:22" ht="14.25" x14ac:dyDescent="0.2">
      <c r="A396" s="15"/>
      <c r="B396" s="16"/>
      <c r="C396" s="16" t="s">
        <v>562</v>
      </c>
      <c r="D396" s="17" t="s">
        <v>563</v>
      </c>
      <c r="E396" s="9">
        <f>Source!AT541</f>
        <v>70</v>
      </c>
      <c r="F396" s="19"/>
      <c r="G396" s="18"/>
      <c r="H396" s="9"/>
      <c r="I396" s="9"/>
      <c r="J396" s="20">
        <f>SUM(R390:R395)</f>
        <v>59975.68</v>
      </c>
      <c r="K396" s="20"/>
    </row>
    <row r="397" spans="1:22" ht="14.25" x14ac:dyDescent="0.2">
      <c r="A397" s="15"/>
      <c r="B397" s="16"/>
      <c r="C397" s="16" t="s">
        <v>564</v>
      </c>
      <c r="D397" s="17" t="s">
        <v>563</v>
      </c>
      <c r="E397" s="9">
        <f>Source!AU541</f>
        <v>10</v>
      </c>
      <c r="F397" s="19"/>
      <c r="G397" s="18"/>
      <c r="H397" s="9"/>
      <c r="I397" s="9"/>
      <c r="J397" s="20">
        <f>SUM(T390:T396)</f>
        <v>8567.9500000000007</v>
      </c>
      <c r="K397" s="20"/>
    </row>
    <row r="398" spans="1:22" ht="14.25" x14ac:dyDescent="0.2">
      <c r="A398" s="15"/>
      <c r="B398" s="16"/>
      <c r="C398" s="16" t="s">
        <v>568</v>
      </c>
      <c r="D398" s="17" t="s">
        <v>563</v>
      </c>
      <c r="E398" s="9">
        <f>108</f>
        <v>108</v>
      </c>
      <c r="F398" s="19"/>
      <c r="G398" s="18"/>
      <c r="H398" s="9"/>
      <c r="I398" s="9"/>
      <c r="J398" s="20">
        <f>SUM(V390:V397)</f>
        <v>4633.66</v>
      </c>
      <c r="K398" s="20"/>
    </row>
    <row r="399" spans="1:22" ht="14.25" x14ac:dyDescent="0.2">
      <c r="A399" s="15"/>
      <c r="B399" s="16"/>
      <c r="C399" s="16" t="s">
        <v>565</v>
      </c>
      <c r="D399" s="17" t="s">
        <v>566</v>
      </c>
      <c r="E399" s="9">
        <f>Source!AQ541</f>
        <v>340.81</v>
      </c>
      <c r="F399" s="19"/>
      <c r="G399" s="18" t="str">
        <f>Source!DI541</f>
        <v/>
      </c>
      <c r="H399" s="9">
        <f>Source!AV541</f>
        <v>1</v>
      </c>
      <c r="I399" s="9"/>
      <c r="J399" s="20"/>
      <c r="K399" s="20">
        <f>Source!U541</f>
        <v>408.97199999999998</v>
      </c>
    </row>
    <row r="400" spans="1:22" ht="15" x14ac:dyDescent="0.25">
      <c r="A400" s="23"/>
      <c r="B400" s="23"/>
      <c r="C400" s="23"/>
      <c r="D400" s="23"/>
      <c r="E400" s="23"/>
      <c r="F400" s="23"/>
      <c r="G400" s="23"/>
      <c r="H400" s="23"/>
      <c r="I400" s="65">
        <f>J392+J393+J395+J396+J397+J398</f>
        <v>840384.08</v>
      </c>
      <c r="J400" s="65"/>
      <c r="K400" s="24">
        <f>IF(Source!I541&lt;&gt;0, ROUND(I400/Source!I541, 2), 0)</f>
        <v>700320.07</v>
      </c>
      <c r="P400" s="22">
        <f>I400</f>
        <v>840384.08</v>
      </c>
    </row>
    <row r="401" spans="1:22" ht="42.75" x14ac:dyDescent="0.2">
      <c r="A401" s="15" t="str">
        <f>Source!E542</f>
        <v>82</v>
      </c>
      <c r="B401" s="16" t="str">
        <f>Source!F542</f>
        <v>5.3-3202-2-2/1</v>
      </c>
      <c r="C401" s="16" t="str">
        <f>Source!G542</f>
        <v>Ремонт металлических конструкций спортивных площадок: замена навесов калитки ограждения</v>
      </c>
      <c r="D401" s="17" t="str">
        <f>Source!H542</f>
        <v>шт.</v>
      </c>
      <c r="E401" s="9">
        <f>Source!I542</f>
        <v>1</v>
      </c>
      <c r="F401" s="19"/>
      <c r="G401" s="18"/>
      <c r="H401" s="9"/>
      <c r="I401" s="9"/>
      <c r="J401" s="20"/>
      <c r="K401" s="20"/>
      <c r="Q401">
        <f>ROUND((Source!BZ542/100)*ROUND((Source!AF542*Source!AV542)*Source!I542, 2), 2)</f>
        <v>255.27</v>
      </c>
      <c r="R401">
        <f>Source!X542</f>
        <v>255.27</v>
      </c>
      <c r="S401">
        <f>ROUND((Source!CA542/100)*ROUND((Source!AF542*Source!AV542)*Source!I542, 2), 2)</f>
        <v>36.47</v>
      </c>
      <c r="T401">
        <f>Source!Y542</f>
        <v>36.47</v>
      </c>
      <c r="U401">
        <f>ROUND((175/100)*ROUND((Source!AE542*Source!AV542)*Source!I542, 2), 2)</f>
        <v>688.92</v>
      </c>
      <c r="V401">
        <f>ROUND((108/100)*ROUND(Source!CS542*Source!I542, 2), 2)</f>
        <v>425.16</v>
      </c>
    </row>
    <row r="402" spans="1:22" ht="14.25" x14ac:dyDescent="0.2">
      <c r="A402" s="15"/>
      <c r="B402" s="16"/>
      <c r="C402" s="16" t="s">
        <v>560</v>
      </c>
      <c r="D402" s="17"/>
      <c r="E402" s="9"/>
      <c r="F402" s="19">
        <f>Source!AO542</f>
        <v>364.67</v>
      </c>
      <c r="G402" s="18" t="str">
        <f>Source!DG542</f>
        <v/>
      </c>
      <c r="H402" s="9">
        <f>Source!AV542</f>
        <v>1</v>
      </c>
      <c r="I402" s="9">
        <f>IF(Source!BA542&lt;&gt; 0, Source!BA542, 1)</f>
        <v>1</v>
      </c>
      <c r="J402" s="20">
        <f>Source!S542</f>
        <v>364.67</v>
      </c>
      <c r="K402" s="20"/>
    </row>
    <row r="403" spans="1:22" ht="14.25" x14ac:dyDescent="0.2">
      <c r="A403" s="15"/>
      <c r="B403" s="16"/>
      <c r="C403" s="16" t="s">
        <v>561</v>
      </c>
      <c r="D403" s="17"/>
      <c r="E403" s="9"/>
      <c r="F403" s="19">
        <f>Source!AM542</f>
        <v>631.02</v>
      </c>
      <c r="G403" s="18" t="str">
        <f>Source!DE542</f>
        <v/>
      </c>
      <c r="H403" s="9">
        <f>Source!AV542</f>
        <v>1</v>
      </c>
      <c r="I403" s="9">
        <f>IF(Source!BB542&lt;&gt; 0, Source!BB542, 1)</f>
        <v>1</v>
      </c>
      <c r="J403" s="20">
        <f>Source!Q542</f>
        <v>631.02</v>
      </c>
      <c r="K403" s="20"/>
    </row>
    <row r="404" spans="1:22" ht="14.25" x14ac:dyDescent="0.2">
      <c r="A404" s="15"/>
      <c r="B404" s="16"/>
      <c r="C404" s="16" t="s">
        <v>567</v>
      </c>
      <c r="D404" s="17"/>
      <c r="E404" s="9"/>
      <c r="F404" s="19">
        <f>Source!AN542</f>
        <v>393.67</v>
      </c>
      <c r="G404" s="18" t="str">
        <f>Source!DF542</f>
        <v/>
      </c>
      <c r="H404" s="9">
        <f>Source!AV542</f>
        <v>1</v>
      </c>
      <c r="I404" s="9">
        <f>IF(Source!BS542&lt;&gt; 0, Source!BS542, 1)</f>
        <v>1</v>
      </c>
      <c r="J404" s="25">
        <f>Source!R542</f>
        <v>393.67</v>
      </c>
      <c r="K404" s="20"/>
    </row>
    <row r="405" spans="1:22" ht="14.25" x14ac:dyDescent="0.2">
      <c r="A405" s="15"/>
      <c r="B405" s="16"/>
      <c r="C405" s="16" t="s">
        <v>575</v>
      </c>
      <c r="D405" s="17"/>
      <c r="E405" s="9"/>
      <c r="F405" s="19">
        <f>Source!AL542</f>
        <v>57.98</v>
      </c>
      <c r="G405" s="18" t="str">
        <f>Source!DD542</f>
        <v/>
      </c>
      <c r="H405" s="9">
        <f>Source!AW542</f>
        <v>1</v>
      </c>
      <c r="I405" s="9">
        <f>IF(Source!BC542&lt;&gt; 0, Source!BC542, 1)</f>
        <v>1</v>
      </c>
      <c r="J405" s="20">
        <f>Source!P542</f>
        <v>57.98</v>
      </c>
      <c r="K405" s="20"/>
    </row>
    <row r="406" spans="1:22" ht="14.25" x14ac:dyDescent="0.2">
      <c r="A406" s="15"/>
      <c r="B406" s="16"/>
      <c r="C406" s="16" t="s">
        <v>562</v>
      </c>
      <c r="D406" s="17" t="s">
        <v>563</v>
      </c>
      <c r="E406" s="9">
        <f>Source!AT542</f>
        <v>70</v>
      </c>
      <c r="F406" s="19"/>
      <c r="G406" s="18"/>
      <c r="H406" s="9"/>
      <c r="I406" s="9"/>
      <c r="J406" s="20">
        <f>SUM(R401:R405)</f>
        <v>255.27</v>
      </c>
      <c r="K406" s="20"/>
    </row>
    <row r="407" spans="1:22" ht="14.25" x14ac:dyDescent="0.2">
      <c r="A407" s="15"/>
      <c r="B407" s="16"/>
      <c r="C407" s="16" t="s">
        <v>564</v>
      </c>
      <c r="D407" s="17" t="s">
        <v>563</v>
      </c>
      <c r="E407" s="9">
        <f>Source!AU542</f>
        <v>10</v>
      </c>
      <c r="F407" s="19"/>
      <c r="G407" s="18"/>
      <c r="H407" s="9"/>
      <c r="I407" s="9"/>
      <c r="J407" s="20">
        <f>SUM(T401:T406)</f>
        <v>36.47</v>
      </c>
      <c r="K407" s="20"/>
    </row>
    <row r="408" spans="1:22" ht="14.25" x14ac:dyDescent="0.2">
      <c r="A408" s="15"/>
      <c r="B408" s="16"/>
      <c r="C408" s="16" t="s">
        <v>568</v>
      </c>
      <c r="D408" s="17" t="s">
        <v>563</v>
      </c>
      <c r="E408" s="9">
        <f>108</f>
        <v>108</v>
      </c>
      <c r="F408" s="19"/>
      <c r="G408" s="18"/>
      <c r="H408" s="9"/>
      <c r="I408" s="9"/>
      <c r="J408" s="20">
        <f>SUM(V401:V407)</f>
        <v>425.16</v>
      </c>
      <c r="K408" s="20"/>
    </row>
    <row r="409" spans="1:22" ht="14.25" x14ac:dyDescent="0.2">
      <c r="A409" s="15"/>
      <c r="B409" s="16"/>
      <c r="C409" s="16" t="s">
        <v>565</v>
      </c>
      <c r="D409" s="17" t="s">
        <v>566</v>
      </c>
      <c r="E409" s="9">
        <f>Source!AQ542</f>
        <v>2</v>
      </c>
      <c r="F409" s="19"/>
      <c r="G409" s="18" t="str">
        <f>Source!DI542</f>
        <v/>
      </c>
      <c r="H409" s="9">
        <f>Source!AV542</f>
        <v>1</v>
      </c>
      <c r="I409" s="9"/>
      <c r="J409" s="20"/>
      <c r="K409" s="20">
        <f>Source!U542</f>
        <v>2</v>
      </c>
    </row>
    <row r="410" spans="1:22" ht="15" x14ac:dyDescent="0.25">
      <c r="A410" s="23"/>
      <c r="B410" s="23"/>
      <c r="C410" s="23"/>
      <c r="D410" s="23"/>
      <c r="E410" s="23"/>
      <c r="F410" s="23"/>
      <c r="G410" s="23"/>
      <c r="H410" s="23"/>
      <c r="I410" s="65">
        <f>J402+J403+J405+J406+J407+J408</f>
        <v>1770.5700000000002</v>
      </c>
      <c r="J410" s="65"/>
      <c r="K410" s="24">
        <f>IF(Source!I542&lt;&gt;0, ROUND(I410/Source!I542, 2), 0)</f>
        <v>1770.57</v>
      </c>
      <c r="P410" s="22">
        <f>I410</f>
        <v>1770.5700000000002</v>
      </c>
    </row>
    <row r="411" spans="1:22" ht="57" x14ac:dyDescent="0.2">
      <c r="A411" s="15" t="str">
        <f>Source!E543</f>
        <v>83</v>
      </c>
      <c r="B411" s="16" t="str">
        <f>Source!F543</f>
        <v>21.7-14-5</v>
      </c>
      <c r="C411" s="16" t="str">
        <f>Source!G543</f>
        <v>Калитка металлическая с лаковым покрытием, размеры 1000х1500 мм (прим. калитка металическая решётчатая)</v>
      </c>
      <c r="D411" s="17" t="str">
        <f>Source!H543</f>
        <v>шт.</v>
      </c>
      <c r="E411" s="9">
        <f>Source!I543</f>
        <v>1</v>
      </c>
      <c r="F411" s="19">
        <f>Source!AL543</f>
        <v>10202.57</v>
      </c>
      <c r="G411" s="18" t="str">
        <f>Source!DD543</f>
        <v/>
      </c>
      <c r="H411" s="9">
        <f>Source!AW543</f>
        <v>1</v>
      </c>
      <c r="I411" s="9">
        <f>IF(Source!BC543&lt;&gt; 0, Source!BC543, 1)</f>
        <v>1</v>
      </c>
      <c r="J411" s="20">
        <f>Source!P543</f>
        <v>10202.57</v>
      </c>
      <c r="K411" s="20"/>
      <c r="Q411">
        <f>ROUND((Source!BZ543/100)*ROUND((Source!AF543*Source!AV543)*Source!I543, 2), 2)</f>
        <v>0</v>
      </c>
      <c r="R411">
        <f>Source!X543</f>
        <v>0</v>
      </c>
      <c r="S411">
        <f>ROUND((Source!CA543/100)*ROUND((Source!AF543*Source!AV543)*Source!I543, 2), 2)</f>
        <v>0</v>
      </c>
      <c r="T411">
        <f>Source!Y543</f>
        <v>0</v>
      </c>
      <c r="U411">
        <f>ROUND((175/100)*ROUND((Source!AE543*Source!AV543)*Source!I543, 2), 2)</f>
        <v>0</v>
      </c>
      <c r="V411">
        <f>ROUND((108/100)*ROUND(Source!CS543*Source!I543, 2), 2)</f>
        <v>0</v>
      </c>
    </row>
    <row r="412" spans="1:22" ht="15" x14ac:dyDescent="0.25">
      <c r="A412" s="23"/>
      <c r="B412" s="23"/>
      <c r="C412" s="23"/>
      <c r="D412" s="23"/>
      <c r="E412" s="23"/>
      <c r="F412" s="23"/>
      <c r="G412" s="23"/>
      <c r="H412" s="23"/>
      <c r="I412" s="65">
        <f>J411</f>
        <v>10202.57</v>
      </c>
      <c r="J412" s="65"/>
      <c r="K412" s="24">
        <f>IF(Source!I543&lt;&gt;0, ROUND(I412/Source!I543, 2), 0)</f>
        <v>10202.57</v>
      </c>
      <c r="P412" s="22">
        <f>I412</f>
        <v>10202.57</v>
      </c>
    </row>
    <row r="414" spans="1:22" ht="15" x14ac:dyDescent="0.25">
      <c r="A414" s="64" t="str">
        <f>CONCATENATE("Итого по подразделу: ",IF(Source!G548&lt;&gt;"Новый подраздел", Source!G548, ""))</f>
        <v>Итого по подразделу: Установка ограждения</v>
      </c>
      <c r="B414" s="64"/>
      <c r="C414" s="64"/>
      <c r="D414" s="64"/>
      <c r="E414" s="64"/>
      <c r="F414" s="64"/>
      <c r="G414" s="64"/>
      <c r="H414" s="64"/>
      <c r="I414" s="62">
        <f>SUM(P389:P413)</f>
        <v>852357.21999999986</v>
      </c>
      <c r="J414" s="63"/>
      <c r="K414" s="26"/>
    </row>
    <row r="417" spans="1:22" ht="16.5" x14ac:dyDescent="0.25">
      <c r="A417" s="66" t="str">
        <f>CONCATENATE("Подраздел: ",IF(Source!G578&lt;&gt;"Новый подраздел", Source!G578, ""))</f>
        <v>Подраздел: Устройство покрытия</v>
      </c>
      <c r="B417" s="66"/>
      <c r="C417" s="66"/>
      <c r="D417" s="66"/>
      <c r="E417" s="66"/>
      <c r="F417" s="66"/>
      <c r="G417" s="66"/>
      <c r="H417" s="66"/>
      <c r="I417" s="66"/>
      <c r="J417" s="66"/>
      <c r="K417" s="66"/>
    </row>
    <row r="418" spans="1:22" ht="57" x14ac:dyDescent="0.2">
      <c r="A418" s="15" t="str">
        <f>Source!E582</f>
        <v>87</v>
      </c>
      <c r="B418" s="16" t="str">
        <f>Source!F582</f>
        <v>2.49-3101-4-2/1</v>
      </c>
      <c r="C418" s="16" t="str">
        <f>Source!G582</f>
        <v>Разработка грунта с погрузкой на автомобили-самосвалы экскаваторами с ковшом вместимостью 0,25 м3, группа грунтов 1-3</v>
      </c>
      <c r="D418" s="17" t="str">
        <f>Source!H582</f>
        <v>100 м3</v>
      </c>
      <c r="E418" s="9">
        <f>Source!I582</f>
        <v>0.15390000000000001</v>
      </c>
      <c r="F418" s="19"/>
      <c r="G418" s="18"/>
      <c r="H418" s="9"/>
      <c r="I418" s="9"/>
      <c r="J418" s="20"/>
      <c r="K418" s="20"/>
      <c r="Q418">
        <f>ROUND((Source!BZ582/100)*ROUND((Source!AF582*Source!AV582)*Source!I582, 2), 2)</f>
        <v>62.86</v>
      </c>
      <c r="R418">
        <f>Source!X582</f>
        <v>62.86</v>
      </c>
      <c r="S418">
        <f>ROUND((Source!CA582/100)*ROUND((Source!AF582*Source!AV582)*Source!I582, 2), 2)</f>
        <v>8.98</v>
      </c>
      <c r="T418">
        <f>Source!Y582</f>
        <v>8.98</v>
      </c>
      <c r="U418">
        <f>ROUND((175/100)*ROUND((Source!AE582*Source!AV582)*Source!I582, 2), 2)</f>
        <v>1516.06</v>
      </c>
      <c r="V418">
        <f>ROUND((108/100)*ROUND(Source!CS582*Source!I582, 2), 2)</f>
        <v>935.63</v>
      </c>
    </row>
    <row r="419" spans="1:22" x14ac:dyDescent="0.2">
      <c r="C419" s="21" t="str">
        <f>"Объем: "&amp;Source!I582&amp;"=((171*"&amp;"0,1)/"&amp;"100)*"&amp;"0,9"</f>
        <v>Объем: 0,1539=((171*0,1)/100)*0,9</v>
      </c>
    </row>
    <row r="420" spans="1:22" ht="14.25" x14ac:dyDescent="0.2">
      <c r="A420" s="15"/>
      <c r="B420" s="16"/>
      <c r="C420" s="16" t="s">
        <v>560</v>
      </c>
      <c r="D420" s="17"/>
      <c r="E420" s="9"/>
      <c r="F420" s="19">
        <f>Source!AO582</f>
        <v>583.52</v>
      </c>
      <c r="G420" s="18" t="str">
        <f>Source!DG582</f>
        <v/>
      </c>
      <c r="H420" s="9">
        <f>Source!AV582</f>
        <v>1</v>
      </c>
      <c r="I420" s="9">
        <f>IF(Source!BA582&lt;&gt; 0, Source!BA582, 1)</f>
        <v>1</v>
      </c>
      <c r="J420" s="20">
        <f>Source!S582</f>
        <v>89.8</v>
      </c>
      <c r="K420" s="20"/>
    </row>
    <row r="421" spans="1:22" ht="14.25" x14ac:dyDescent="0.2">
      <c r="A421" s="15"/>
      <c r="B421" s="16"/>
      <c r="C421" s="16" t="s">
        <v>561</v>
      </c>
      <c r="D421" s="17"/>
      <c r="E421" s="9"/>
      <c r="F421" s="19">
        <f>Source!AM582</f>
        <v>8218.83</v>
      </c>
      <c r="G421" s="18" t="str">
        <f>Source!DE582</f>
        <v/>
      </c>
      <c r="H421" s="9">
        <f>Source!AV582</f>
        <v>1</v>
      </c>
      <c r="I421" s="9">
        <f>IF(Source!BB582&lt;&gt; 0, Source!BB582, 1)</f>
        <v>1</v>
      </c>
      <c r="J421" s="20">
        <f>Source!Q582</f>
        <v>1264.8800000000001</v>
      </c>
      <c r="K421" s="20"/>
    </row>
    <row r="422" spans="1:22" ht="14.25" x14ac:dyDescent="0.2">
      <c r="A422" s="15"/>
      <c r="B422" s="16"/>
      <c r="C422" s="16" t="s">
        <v>567</v>
      </c>
      <c r="D422" s="17"/>
      <c r="E422" s="9"/>
      <c r="F422" s="19">
        <f>Source!AN582</f>
        <v>5629.09</v>
      </c>
      <c r="G422" s="18" t="str">
        <f>Source!DF582</f>
        <v/>
      </c>
      <c r="H422" s="9">
        <f>Source!AV582</f>
        <v>1</v>
      </c>
      <c r="I422" s="9">
        <f>IF(Source!BS582&lt;&gt; 0, Source!BS582, 1)</f>
        <v>1</v>
      </c>
      <c r="J422" s="25">
        <f>Source!R582</f>
        <v>866.32</v>
      </c>
      <c r="K422" s="20"/>
    </row>
    <row r="423" spans="1:22" ht="14.25" x14ac:dyDescent="0.2">
      <c r="A423" s="15"/>
      <c r="B423" s="16"/>
      <c r="C423" s="16" t="s">
        <v>562</v>
      </c>
      <c r="D423" s="17" t="s">
        <v>563</v>
      </c>
      <c r="E423" s="9">
        <f>Source!AT582</f>
        <v>70</v>
      </c>
      <c r="F423" s="19"/>
      <c r="G423" s="18"/>
      <c r="H423" s="9"/>
      <c r="I423" s="9"/>
      <c r="J423" s="20">
        <f>SUM(R418:R422)</f>
        <v>62.86</v>
      </c>
      <c r="K423" s="20"/>
    </row>
    <row r="424" spans="1:22" ht="14.25" x14ac:dyDescent="0.2">
      <c r="A424" s="15"/>
      <c r="B424" s="16"/>
      <c r="C424" s="16" t="s">
        <v>564</v>
      </c>
      <c r="D424" s="17" t="s">
        <v>563</v>
      </c>
      <c r="E424" s="9">
        <f>Source!AU582</f>
        <v>10</v>
      </c>
      <c r="F424" s="19"/>
      <c r="G424" s="18"/>
      <c r="H424" s="9"/>
      <c r="I424" s="9"/>
      <c r="J424" s="20">
        <f>SUM(T418:T423)</f>
        <v>8.98</v>
      </c>
      <c r="K424" s="20"/>
    </row>
    <row r="425" spans="1:22" ht="14.25" x14ac:dyDescent="0.2">
      <c r="A425" s="15"/>
      <c r="B425" s="16"/>
      <c r="C425" s="16" t="s">
        <v>568</v>
      </c>
      <c r="D425" s="17" t="s">
        <v>563</v>
      </c>
      <c r="E425" s="9">
        <f>108</f>
        <v>108</v>
      </c>
      <c r="F425" s="19"/>
      <c r="G425" s="18"/>
      <c r="H425" s="9"/>
      <c r="I425" s="9"/>
      <c r="J425" s="20">
        <f>SUM(V418:V424)</f>
        <v>935.63</v>
      </c>
      <c r="K425" s="20"/>
    </row>
    <row r="426" spans="1:22" ht="14.25" x14ac:dyDescent="0.2">
      <c r="A426" s="15"/>
      <c r="B426" s="16"/>
      <c r="C426" s="16" t="s">
        <v>565</v>
      </c>
      <c r="D426" s="17" t="s">
        <v>566</v>
      </c>
      <c r="E426" s="9">
        <f>Source!AQ582</f>
        <v>3.39</v>
      </c>
      <c r="F426" s="19"/>
      <c r="G426" s="18" t="str">
        <f>Source!DI582</f>
        <v/>
      </c>
      <c r="H426" s="9">
        <f>Source!AV582</f>
        <v>1</v>
      </c>
      <c r="I426" s="9"/>
      <c r="J426" s="20"/>
      <c r="K426" s="20">
        <f>Source!U582</f>
        <v>0.5217210000000001</v>
      </c>
    </row>
    <row r="427" spans="1:22" ht="15" x14ac:dyDescent="0.25">
      <c r="A427" s="23"/>
      <c r="B427" s="23"/>
      <c r="C427" s="23"/>
      <c r="D427" s="23"/>
      <c r="E427" s="23"/>
      <c r="F427" s="23"/>
      <c r="G427" s="23"/>
      <c r="H427" s="23"/>
      <c r="I427" s="65">
        <f>J420+J421+J423+J424+J425</f>
        <v>2362.15</v>
      </c>
      <c r="J427" s="65"/>
      <c r="K427" s="24">
        <f>IF(Source!I582&lt;&gt;0, ROUND(I427/Source!I582, 2), 0)</f>
        <v>15348.6</v>
      </c>
      <c r="P427" s="22">
        <f>I427</f>
        <v>2362.15</v>
      </c>
    </row>
    <row r="428" spans="1:22" ht="42.75" x14ac:dyDescent="0.2">
      <c r="A428" s="15" t="str">
        <f>Source!E583</f>
        <v>88</v>
      </c>
      <c r="B428" s="16" t="str">
        <f>Source!F583</f>
        <v>2.49-3201-14-1/1</v>
      </c>
      <c r="C428" s="16" t="str">
        <f>Source!G583</f>
        <v>Разработка грунта вручную в траншеях глубиной до 2 м без креплений с откосами, группа грунтов 1-3</v>
      </c>
      <c r="D428" s="17" t="str">
        <f>Source!H583</f>
        <v>100 м3</v>
      </c>
      <c r="E428" s="9">
        <f>Source!I583</f>
        <v>1.7100000000000001E-2</v>
      </c>
      <c r="F428" s="19"/>
      <c r="G428" s="18"/>
      <c r="H428" s="9"/>
      <c r="I428" s="9"/>
      <c r="J428" s="20"/>
      <c r="K428" s="20"/>
      <c r="Q428">
        <f>ROUND((Source!BZ583/100)*ROUND((Source!AF583*Source!AV583)*Source!I583, 2), 2)</f>
        <v>478.23</v>
      </c>
      <c r="R428">
        <f>Source!X583</f>
        <v>478.23</v>
      </c>
      <c r="S428">
        <f>ROUND((Source!CA583/100)*ROUND((Source!AF583*Source!AV583)*Source!I583, 2), 2)</f>
        <v>68.319999999999993</v>
      </c>
      <c r="T428">
        <f>Source!Y583</f>
        <v>68.319999999999993</v>
      </c>
      <c r="U428">
        <f>ROUND((175/100)*ROUND((Source!AE583*Source!AV583)*Source!I583, 2), 2)</f>
        <v>0</v>
      </c>
      <c r="V428">
        <f>ROUND((108/100)*ROUND(Source!CS583*Source!I583, 2), 2)</f>
        <v>0</v>
      </c>
    </row>
    <row r="429" spans="1:22" x14ac:dyDescent="0.2">
      <c r="C429" s="21" t="str">
        <f>"Объем: "&amp;Source!I583&amp;"=((171*"&amp;"0,1)/"&amp;"100)*"&amp;"0,1"</f>
        <v>Объем: 0,0171=((171*0,1)/100)*0,1</v>
      </c>
    </row>
    <row r="430" spans="1:22" ht="14.25" x14ac:dyDescent="0.2">
      <c r="A430" s="15"/>
      <c r="B430" s="16"/>
      <c r="C430" s="16" t="s">
        <v>560</v>
      </c>
      <c r="D430" s="17"/>
      <c r="E430" s="9"/>
      <c r="F430" s="19">
        <f>Source!AO583</f>
        <v>39952.26</v>
      </c>
      <c r="G430" s="18" t="str">
        <f>Source!DG583</f>
        <v/>
      </c>
      <c r="H430" s="9">
        <f>Source!AV583</f>
        <v>1</v>
      </c>
      <c r="I430" s="9">
        <f>IF(Source!BA583&lt;&gt; 0, Source!BA583, 1)</f>
        <v>1</v>
      </c>
      <c r="J430" s="20">
        <f>Source!S583</f>
        <v>683.18</v>
      </c>
      <c r="K430" s="20"/>
    </row>
    <row r="431" spans="1:22" ht="14.25" x14ac:dyDescent="0.2">
      <c r="A431" s="15"/>
      <c r="B431" s="16"/>
      <c r="C431" s="16" t="s">
        <v>562</v>
      </c>
      <c r="D431" s="17" t="s">
        <v>563</v>
      </c>
      <c r="E431" s="9">
        <f>Source!AT583</f>
        <v>70</v>
      </c>
      <c r="F431" s="19"/>
      <c r="G431" s="18"/>
      <c r="H431" s="9"/>
      <c r="I431" s="9"/>
      <c r="J431" s="20">
        <f>SUM(R428:R430)</f>
        <v>478.23</v>
      </c>
      <c r="K431" s="20"/>
    </row>
    <row r="432" spans="1:22" ht="14.25" x14ac:dyDescent="0.2">
      <c r="A432" s="15"/>
      <c r="B432" s="16"/>
      <c r="C432" s="16" t="s">
        <v>564</v>
      </c>
      <c r="D432" s="17" t="s">
        <v>563</v>
      </c>
      <c r="E432" s="9">
        <f>Source!AU583</f>
        <v>10</v>
      </c>
      <c r="F432" s="19"/>
      <c r="G432" s="18"/>
      <c r="H432" s="9"/>
      <c r="I432" s="9"/>
      <c r="J432" s="20">
        <f>SUM(T428:T431)</f>
        <v>68.319999999999993</v>
      </c>
      <c r="K432" s="20"/>
    </row>
    <row r="433" spans="1:22" ht="14.25" x14ac:dyDescent="0.2">
      <c r="A433" s="15"/>
      <c r="B433" s="16"/>
      <c r="C433" s="16" t="s">
        <v>565</v>
      </c>
      <c r="D433" s="17" t="s">
        <v>566</v>
      </c>
      <c r="E433" s="9">
        <f>Source!AQ583</f>
        <v>221.6</v>
      </c>
      <c r="F433" s="19"/>
      <c r="G433" s="18" t="str">
        <f>Source!DI583</f>
        <v/>
      </c>
      <c r="H433" s="9">
        <f>Source!AV583</f>
        <v>1</v>
      </c>
      <c r="I433" s="9"/>
      <c r="J433" s="20"/>
      <c r="K433" s="20">
        <f>Source!U583</f>
        <v>3.7893599999999998</v>
      </c>
    </row>
    <row r="434" spans="1:22" ht="15" x14ac:dyDescent="0.25">
      <c r="A434" s="23"/>
      <c r="B434" s="23"/>
      <c r="C434" s="23"/>
      <c r="D434" s="23"/>
      <c r="E434" s="23"/>
      <c r="F434" s="23"/>
      <c r="G434" s="23"/>
      <c r="H434" s="23"/>
      <c r="I434" s="65">
        <f>J430+J431+J432</f>
        <v>1229.7299999999998</v>
      </c>
      <c r="J434" s="65"/>
      <c r="K434" s="24">
        <f>IF(Source!I583&lt;&gt;0, ROUND(I434/Source!I583, 2), 0)</f>
        <v>71914.039999999994</v>
      </c>
      <c r="P434" s="22">
        <f>I434</f>
        <v>1229.7299999999998</v>
      </c>
    </row>
    <row r="435" spans="1:22" ht="42.75" x14ac:dyDescent="0.2">
      <c r="A435" s="15" t="str">
        <f>Source!E584</f>
        <v>89</v>
      </c>
      <c r="B435" s="16" t="str">
        <f>Source!F584</f>
        <v>1.49-9101-7-1/1</v>
      </c>
      <c r="C435" s="16" t="str">
        <f>Source!G584</f>
        <v>Механизированная погрузка строительного мусора в автомобили-самосвалы</v>
      </c>
      <c r="D435" s="17" t="str">
        <f>Source!H584</f>
        <v>т</v>
      </c>
      <c r="E435" s="9">
        <f>Source!I584</f>
        <v>7.6950000000000003</v>
      </c>
      <c r="F435" s="19"/>
      <c r="G435" s="18"/>
      <c r="H435" s="9"/>
      <c r="I435" s="9"/>
      <c r="J435" s="20"/>
      <c r="K435" s="20"/>
      <c r="Q435">
        <f>ROUND((Source!BZ584/100)*ROUND((Source!AF584*Source!AV584)*Source!I584, 2), 2)</f>
        <v>0</v>
      </c>
      <c r="R435">
        <f>Source!X584</f>
        <v>0</v>
      </c>
      <c r="S435">
        <f>ROUND((Source!CA584/100)*ROUND((Source!AF584*Source!AV584)*Source!I584, 2), 2)</f>
        <v>0</v>
      </c>
      <c r="T435">
        <f>Source!Y584</f>
        <v>0</v>
      </c>
      <c r="U435">
        <f>ROUND((175/100)*ROUND((Source!AE584*Source!AV584)*Source!I584, 2), 2)</f>
        <v>331.14</v>
      </c>
      <c r="V435">
        <f>ROUND((108/100)*ROUND(Source!CS584*Source!I584, 2), 2)</f>
        <v>204.36</v>
      </c>
    </row>
    <row r="436" spans="1:22" x14ac:dyDescent="0.2">
      <c r="C436" s="21" t="str">
        <f>"Объем: "&amp;Source!I584&amp;"=((171*"&amp;"0,1)*"&amp;"0,6)*"&amp;"0,75"</f>
        <v>Объем: 7,695=((171*0,1)*0,6)*0,75</v>
      </c>
    </row>
    <row r="437" spans="1:22" ht="14.25" x14ac:dyDescent="0.2">
      <c r="A437" s="15"/>
      <c r="B437" s="16"/>
      <c r="C437" s="16" t="s">
        <v>561</v>
      </c>
      <c r="D437" s="17"/>
      <c r="E437" s="9"/>
      <c r="F437" s="19">
        <f>Source!AM584</f>
        <v>77.959999999999994</v>
      </c>
      <c r="G437" s="18" t="str">
        <f>Source!DE584</f>
        <v/>
      </c>
      <c r="H437" s="9">
        <f>Source!AV584</f>
        <v>1</v>
      </c>
      <c r="I437" s="9">
        <f>IF(Source!BB584&lt;&gt; 0, Source!BB584, 1)</f>
        <v>1</v>
      </c>
      <c r="J437" s="20">
        <f>Source!Q584</f>
        <v>599.9</v>
      </c>
      <c r="K437" s="20"/>
    </row>
    <row r="438" spans="1:22" ht="14.25" x14ac:dyDescent="0.2">
      <c r="A438" s="15"/>
      <c r="B438" s="16"/>
      <c r="C438" s="16" t="s">
        <v>567</v>
      </c>
      <c r="D438" s="17"/>
      <c r="E438" s="9"/>
      <c r="F438" s="19">
        <f>Source!AN584</f>
        <v>24.59</v>
      </c>
      <c r="G438" s="18" t="str">
        <f>Source!DF584</f>
        <v/>
      </c>
      <c r="H438" s="9">
        <f>Source!AV584</f>
        <v>1</v>
      </c>
      <c r="I438" s="9">
        <f>IF(Source!BS584&lt;&gt; 0, Source!BS584, 1)</f>
        <v>1</v>
      </c>
      <c r="J438" s="25">
        <f>Source!R584</f>
        <v>189.22</v>
      </c>
      <c r="K438" s="20"/>
    </row>
    <row r="439" spans="1:22" ht="14.25" x14ac:dyDescent="0.2">
      <c r="A439" s="15"/>
      <c r="B439" s="16"/>
      <c r="C439" s="16" t="s">
        <v>568</v>
      </c>
      <c r="D439" s="17" t="s">
        <v>563</v>
      </c>
      <c r="E439" s="9">
        <f>108</f>
        <v>108</v>
      </c>
      <c r="F439" s="19"/>
      <c r="G439" s="18"/>
      <c r="H439" s="9"/>
      <c r="I439" s="9"/>
      <c r="J439" s="20">
        <f>SUM(V435:V438)</f>
        <v>204.36</v>
      </c>
      <c r="K439" s="20"/>
    </row>
    <row r="440" spans="1:22" ht="15" x14ac:dyDescent="0.25">
      <c r="A440" s="23"/>
      <c r="B440" s="23"/>
      <c r="C440" s="23"/>
      <c r="D440" s="23"/>
      <c r="E440" s="23"/>
      <c r="F440" s="23"/>
      <c r="G440" s="23"/>
      <c r="H440" s="23"/>
      <c r="I440" s="65">
        <f>J437+J439</f>
        <v>804.26</v>
      </c>
      <c r="J440" s="65"/>
      <c r="K440" s="24">
        <f>IF(Source!I584&lt;&gt;0, ROUND(I440/Source!I584, 2), 0)</f>
        <v>104.52</v>
      </c>
      <c r="P440" s="22">
        <f>I440</f>
        <v>804.26</v>
      </c>
    </row>
    <row r="441" spans="1:22" ht="42.75" x14ac:dyDescent="0.2">
      <c r="A441" s="15" t="str">
        <f>Source!E585</f>
        <v>90</v>
      </c>
      <c r="B441" s="16" t="str">
        <f>Source!F585</f>
        <v>1.50-3305-4-1/1</v>
      </c>
      <c r="C441" s="16" t="str">
        <f>Source!G585</f>
        <v>Погрузка и выгрузка вручную строительного мусора на транспортные средства</v>
      </c>
      <c r="D441" s="17" t="str">
        <f>Source!H585</f>
        <v>т</v>
      </c>
      <c r="E441" s="9">
        <f>Source!I585</f>
        <v>2.5649999999999999</v>
      </c>
      <c r="F441" s="19"/>
      <c r="G441" s="18"/>
      <c r="H441" s="9"/>
      <c r="I441" s="9"/>
      <c r="J441" s="20"/>
      <c r="K441" s="20"/>
      <c r="Q441">
        <f>ROUND((Source!BZ585/100)*ROUND((Source!AF585*Source!AV585)*Source!I585, 2), 2)</f>
        <v>214.9</v>
      </c>
      <c r="R441">
        <f>Source!X585</f>
        <v>214.9</v>
      </c>
      <c r="S441">
        <f>ROUND((Source!CA585/100)*ROUND((Source!AF585*Source!AV585)*Source!I585, 2), 2)</f>
        <v>30.7</v>
      </c>
      <c r="T441">
        <f>Source!Y585</f>
        <v>30.7</v>
      </c>
      <c r="U441">
        <f>ROUND((175/100)*ROUND((Source!AE585*Source!AV585)*Source!I585, 2), 2)</f>
        <v>0</v>
      </c>
      <c r="V441">
        <f>ROUND((108/100)*ROUND(Source!CS585*Source!I585, 2), 2)</f>
        <v>0</v>
      </c>
    </row>
    <row r="442" spans="1:22" x14ac:dyDescent="0.2">
      <c r="C442" s="21" t="str">
        <f>"Объем: "&amp;Source!I585&amp;"=((171*"&amp;"0,1)*"&amp;"0,6)*"&amp;"0,25"</f>
        <v>Объем: 2,565=((171*0,1)*0,6)*0,25</v>
      </c>
    </row>
    <row r="443" spans="1:22" ht="14.25" x14ac:dyDescent="0.2">
      <c r="A443" s="15"/>
      <c r="B443" s="16"/>
      <c r="C443" s="16" t="s">
        <v>560</v>
      </c>
      <c r="D443" s="17"/>
      <c r="E443" s="9"/>
      <c r="F443" s="19">
        <f>Source!AO585</f>
        <v>119.69</v>
      </c>
      <c r="G443" s="18" t="str">
        <f>Source!DG585</f>
        <v/>
      </c>
      <c r="H443" s="9">
        <f>Source!AV585</f>
        <v>1</v>
      </c>
      <c r="I443" s="9">
        <f>IF(Source!BA585&lt;&gt; 0, Source!BA585, 1)</f>
        <v>1</v>
      </c>
      <c r="J443" s="20">
        <f>Source!S585</f>
        <v>307</v>
      </c>
      <c r="K443" s="20"/>
    </row>
    <row r="444" spans="1:22" ht="14.25" x14ac:dyDescent="0.2">
      <c r="A444" s="15"/>
      <c r="B444" s="16"/>
      <c r="C444" s="16" t="s">
        <v>562</v>
      </c>
      <c r="D444" s="17" t="s">
        <v>563</v>
      </c>
      <c r="E444" s="9">
        <f>Source!AT585</f>
        <v>70</v>
      </c>
      <c r="F444" s="19"/>
      <c r="G444" s="18"/>
      <c r="H444" s="9"/>
      <c r="I444" s="9"/>
      <c r="J444" s="20">
        <f>SUM(R441:R443)</f>
        <v>214.9</v>
      </c>
      <c r="K444" s="20"/>
    </row>
    <row r="445" spans="1:22" ht="14.25" x14ac:dyDescent="0.2">
      <c r="A445" s="15"/>
      <c r="B445" s="16"/>
      <c r="C445" s="16" t="s">
        <v>564</v>
      </c>
      <c r="D445" s="17" t="s">
        <v>563</v>
      </c>
      <c r="E445" s="9">
        <f>Source!AU585</f>
        <v>10</v>
      </c>
      <c r="F445" s="19"/>
      <c r="G445" s="18"/>
      <c r="H445" s="9"/>
      <c r="I445" s="9"/>
      <c r="J445" s="20">
        <f>SUM(T441:T444)</f>
        <v>30.7</v>
      </c>
      <c r="K445" s="20"/>
    </row>
    <row r="446" spans="1:22" ht="14.25" x14ac:dyDescent="0.2">
      <c r="A446" s="15"/>
      <c r="B446" s="16"/>
      <c r="C446" s="16" t="s">
        <v>565</v>
      </c>
      <c r="D446" s="17" t="s">
        <v>566</v>
      </c>
      <c r="E446" s="9">
        <f>Source!AQ585</f>
        <v>1.02</v>
      </c>
      <c r="F446" s="19"/>
      <c r="G446" s="18" t="str">
        <f>Source!DI585</f>
        <v/>
      </c>
      <c r="H446" s="9">
        <f>Source!AV585</f>
        <v>1</v>
      </c>
      <c r="I446" s="9"/>
      <c r="J446" s="20"/>
      <c r="K446" s="20">
        <f>Source!U585</f>
        <v>2.6162999999999998</v>
      </c>
    </row>
    <row r="447" spans="1:22" ht="15" x14ac:dyDescent="0.25">
      <c r="A447" s="23"/>
      <c r="B447" s="23"/>
      <c r="C447" s="23"/>
      <c r="D447" s="23"/>
      <c r="E447" s="23"/>
      <c r="F447" s="23"/>
      <c r="G447" s="23"/>
      <c r="H447" s="23"/>
      <c r="I447" s="65">
        <f>J443+J444+J445</f>
        <v>552.6</v>
      </c>
      <c r="J447" s="65"/>
      <c r="K447" s="24">
        <f>IF(Source!I585&lt;&gt;0, ROUND(I447/Source!I585, 2), 0)</f>
        <v>215.44</v>
      </c>
      <c r="P447" s="22">
        <f>I447</f>
        <v>552.6</v>
      </c>
    </row>
    <row r="448" spans="1:22" ht="57" x14ac:dyDescent="0.2">
      <c r="A448" s="15" t="str">
        <f>Source!E586</f>
        <v>91</v>
      </c>
      <c r="B448" s="16" t="str">
        <f>Source!F586</f>
        <v>1.49-9201-1-2/1</v>
      </c>
      <c r="C448" s="16" t="str">
        <f>Source!G586</f>
        <v>Перевозка строительного мусора автосамосвалами грузоподъемностью до 10 т на расстояние 1 км - при механизированной погрузке</v>
      </c>
      <c r="D448" s="17" t="str">
        <f>Source!H586</f>
        <v>т</v>
      </c>
      <c r="E448" s="9">
        <f>Source!I586</f>
        <v>7.6950000000000003</v>
      </c>
      <c r="F448" s="19"/>
      <c r="G448" s="18"/>
      <c r="H448" s="9"/>
      <c r="I448" s="9"/>
      <c r="J448" s="20"/>
      <c r="K448" s="20"/>
      <c r="Q448">
        <f>ROUND((Source!BZ586/100)*ROUND((Source!AF586*Source!AV586)*Source!I586, 2), 2)</f>
        <v>0</v>
      </c>
      <c r="R448">
        <f>Source!X586</f>
        <v>0</v>
      </c>
      <c r="S448">
        <f>ROUND((Source!CA586/100)*ROUND((Source!AF586*Source!AV586)*Source!I586, 2), 2)</f>
        <v>0</v>
      </c>
      <c r="T448">
        <f>Source!Y586</f>
        <v>0</v>
      </c>
      <c r="U448">
        <f>ROUND((175/100)*ROUND((Source!AE586*Source!AV586)*Source!I586, 2), 2)</f>
        <v>498.52</v>
      </c>
      <c r="V448">
        <f>ROUND((108/100)*ROUND(Source!CS586*Source!I586, 2), 2)</f>
        <v>307.66000000000003</v>
      </c>
    </row>
    <row r="449" spans="1:22" ht="14.25" x14ac:dyDescent="0.2">
      <c r="A449" s="15"/>
      <c r="B449" s="16"/>
      <c r="C449" s="16" t="s">
        <v>561</v>
      </c>
      <c r="D449" s="17"/>
      <c r="E449" s="9"/>
      <c r="F449" s="19">
        <f>Source!AM586</f>
        <v>62.5</v>
      </c>
      <c r="G449" s="18" t="str">
        <f>Source!DE586</f>
        <v/>
      </c>
      <c r="H449" s="9">
        <f>Source!AV586</f>
        <v>1</v>
      </c>
      <c r="I449" s="9">
        <f>IF(Source!BB586&lt;&gt; 0, Source!BB586, 1)</f>
        <v>1</v>
      </c>
      <c r="J449" s="20">
        <f>Source!Q586</f>
        <v>480.94</v>
      </c>
      <c r="K449" s="20"/>
    </row>
    <row r="450" spans="1:22" ht="14.25" x14ac:dyDescent="0.2">
      <c r="A450" s="15"/>
      <c r="B450" s="16"/>
      <c r="C450" s="16" t="s">
        <v>567</v>
      </c>
      <c r="D450" s="17"/>
      <c r="E450" s="9"/>
      <c r="F450" s="19">
        <f>Source!AN586</f>
        <v>37.020000000000003</v>
      </c>
      <c r="G450" s="18" t="str">
        <f>Source!DF586</f>
        <v/>
      </c>
      <c r="H450" s="9">
        <f>Source!AV586</f>
        <v>1</v>
      </c>
      <c r="I450" s="9">
        <f>IF(Source!BS586&lt;&gt; 0, Source!BS586, 1)</f>
        <v>1</v>
      </c>
      <c r="J450" s="25">
        <f>Source!R586</f>
        <v>284.87</v>
      </c>
      <c r="K450" s="20"/>
    </row>
    <row r="451" spans="1:22" ht="15" x14ac:dyDescent="0.25">
      <c r="A451" s="23"/>
      <c r="B451" s="23"/>
      <c r="C451" s="23"/>
      <c r="D451" s="23"/>
      <c r="E451" s="23"/>
      <c r="F451" s="23"/>
      <c r="G451" s="23"/>
      <c r="H451" s="23"/>
      <c r="I451" s="65">
        <f>J449</f>
        <v>480.94</v>
      </c>
      <c r="J451" s="65"/>
      <c r="K451" s="24">
        <f>IF(Source!I586&lt;&gt;0, ROUND(I451/Source!I586, 2), 0)</f>
        <v>62.5</v>
      </c>
      <c r="P451" s="22">
        <f>I451</f>
        <v>480.94</v>
      </c>
    </row>
    <row r="452" spans="1:22" ht="57" x14ac:dyDescent="0.2">
      <c r="A452" s="15" t="str">
        <f>Source!E587</f>
        <v>92</v>
      </c>
      <c r="B452" s="16" t="str">
        <f>Source!F587</f>
        <v>1.49-9201-1-1/1</v>
      </c>
      <c r="C452" s="16" t="str">
        <f>Source!G587</f>
        <v>Перевозка строительного мусора автосамосвалами грузоподъемностью до 10 т на расстояние 1 км - при погрузке вручную</v>
      </c>
      <c r="D452" s="17" t="str">
        <f>Source!H587</f>
        <v>т</v>
      </c>
      <c r="E452" s="9">
        <f>Source!I587</f>
        <v>2.5649999999999999</v>
      </c>
      <c r="F452" s="19"/>
      <c r="G452" s="18"/>
      <c r="H452" s="9"/>
      <c r="I452" s="9"/>
      <c r="J452" s="20"/>
      <c r="K452" s="20"/>
      <c r="Q452">
        <f>ROUND((Source!BZ587/100)*ROUND((Source!AF587*Source!AV587)*Source!I587, 2), 2)</f>
        <v>0</v>
      </c>
      <c r="R452">
        <f>Source!X587</f>
        <v>0</v>
      </c>
      <c r="S452">
        <f>ROUND((Source!CA587/100)*ROUND((Source!AF587*Source!AV587)*Source!I587, 2), 2)</f>
        <v>0</v>
      </c>
      <c r="T452">
        <f>Source!Y587</f>
        <v>0</v>
      </c>
      <c r="U452">
        <f>ROUND((175/100)*ROUND((Source!AE587*Source!AV587)*Source!I587, 2), 2)</f>
        <v>476.7</v>
      </c>
      <c r="V452">
        <f>ROUND((108/100)*ROUND(Source!CS587*Source!I587, 2), 2)</f>
        <v>294.19</v>
      </c>
    </row>
    <row r="453" spans="1:22" ht="14.25" x14ac:dyDescent="0.2">
      <c r="A453" s="15"/>
      <c r="B453" s="16"/>
      <c r="C453" s="16" t="s">
        <v>561</v>
      </c>
      <c r="D453" s="17"/>
      <c r="E453" s="9"/>
      <c r="F453" s="19">
        <f>Source!AM587</f>
        <v>179.4</v>
      </c>
      <c r="G453" s="18" t="str">
        <f>Source!DE587</f>
        <v/>
      </c>
      <c r="H453" s="9">
        <f>Source!AV587</f>
        <v>1</v>
      </c>
      <c r="I453" s="9">
        <f>IF(Source!BB587&lt;&gt; 0, Source!BB587, 1)</f>
        <v>1</v>
      </c>
      <c r="J453" s="20">
        <f>Source!Q587</f>
        <v>460.16</v>
      </c>
      <c r="K453" s="20"/>
    </row>
    <row r="454" spans="1:22" ht="14.25" x14ac:dyDescent="0.2">
      <c r="A454" s="15"/>
      <c r="B454" s="16"/>
      <c r="C454" s="16" t="s">
        <v>567</v>
      </c>
      <c r="D454" s="17"/>
      <c r="E454" s="9"/>
      <c r="F454" s="19">
        <f>Source!AN587</f>
        <v>106.2</v>
      </c>
      <c r="G454" s="18" t="str">
        <f>Source!DF587</f>
        <v/>
      </c>
      <c r="H454" s="9">
        <f>Source!AV587</f>
        <v>1</v>
      </c>
      <c r="I454" s="9">
        <f>IF(Source!BS587&lt;&gt; 0, Source!BS587, 1)</f>
        <v>1</v>
      </c>
      <c r="J454" s="25">
        <f>Source!R587</f>
        <v>272.39999999999998</v>
      </c>
      <c r="K454" s="20"/>
    </row>
    <row r="455" spans="1:22" ht="15" x14ac:dyDescent="0.25">
      <c r="A455" s="23"/>
      <c r="B455" s="23"/>
      <c r="C455" s="23"/>
      <c r="D455" s="23"/>
      <c r="E455" s="23"/>
      <c r="F455" s="23"/>
      <c r="G455" s="23"/>
      <c r="H455" s="23"/>
      <c r="I455" s="65">
        <f>J453</f>
        <v>460.16</v>
      </c>
      <c r="J455" s="65"/>
      <c r="K455" s="24">
        <f>IF(Source!I587&lt;&gt;0, ROUND(I455/Source!I587, 2), 0)</f>
        <v>179.4</v>
      </c>
      <c r="P455" s="22">
        <f>I455</f>
        <v>460.16</v>
      </c>
    </row>
    <row r="456" spans="1:22" ht="57" x14ac:dyDescent="0.2">
      <c r="A456" s="15" t="str">
        <f>Source!E588</f>
        <v>93</v>
      </c>
      <c r="B456" s="16" t="str">
        <f>Source!F588</f>
        <v>1.49-9201-1-3/1</v>
      </c>
      <c r="C456" s="16" t="str">
        <f>Source!G588</f>
        <v>Перевозка строительного мусора автосамосвалами грузоподъемностью до 10 т - добавляется на каждый последующий 1 км до 100 км</v>
      </c>
      <c r="D456" s="17" t="str">
        <f>Source!H588</f>
        <v>т</v>
      </c>
      <c r="E456" s="9">
        <f>Source!I588</f>
        <v>10.26</v>
      </c>
      <c r="F456" s="19"/>
      <c r="G456" s="18"/>
      <c r="H456" s="9"/>
      <c r="I456" s="9"/>
      <c r="J456" s="20"/>
      <c r="K456" s="20"/>
      <c r="Q456">
        <f>ROUND((Source!BZ588/100)*ROUND((Source!AF588*Source!AV588)*Source!I588, 2), 2)</f>
        <v>0</v>
      </c>
      <c r="R456">
        <f>Source!X588</f>
        <v>0</v>
      </c>
      <c r="S456">
        <f>ROUND((Source!CA588/100)*ROUND((Source!AF588*Source!AV588)*Source!I588, 2), 2)</f>
        <v>0</v>
      </c>
      <c r="T456">
        <f>Source!Y588</f>
        <v>0</v>
      </c>
      <c r="U456">
        <f>ROUND((175/100)*ROUND((Source!AE588*Source!AV588)*Source!I588, 2), 2)</f>
        <v>5038.8999999999996</v>
      </c>
      <c r="V456">
        <f>ROUND((108/100)*ROUND(Source!CS588*Source!I588, 2), 2)</f>
        <v>3109.72</v>
      </c>
    </row>
    <row r="457" spans="1:22" x14ac:dyDescent="0.2">
      <c r="C457" s="21" t="str">
        <f>"Объем: "&amp;Source!I588&amp;"="&amp;Source!I586&amp;"+"&amp;""&amp;Source!I587&amp;""</f>
        <v>Объем: 10,26=7,695+2,565</v>
      </c>
    </row>
    <row r="458" spans="1:22" ht="14.25" x14ac:dyDescent="0.2">
      <c r="A458" s="15"/>
      <c r="B458" s="16"/>
      <c r="C458" s="16" t="s">
        <v>561</v>
      </c>
      <c r="D458" s="17"/>
      <c r="E458" s="9"/>
      <c r="F458" s="19">
        <f>Source!AM588</f>
        <v>29.58</v>
      </c>
      <c r="G458" s="18" t="str">
        <f>Source!DE588</f>
        <v>*16</v>
      </c>
      <c r="H458" s="9">
        <f>Source!AV588</f>
        <v>1</v>
      </c>
      <c r="I458" s="9">
        <f>IF(Source!BB588&lt;&gt; 0, Source!BB588, 1)</f>
        <v>1</v>
      </c>
      <c r="J458" s="20">
        <f>Source!Q588</f>
        <v>4855.8500000000004</v>
      </c>
      <c r="K458" s="20"/>
    </row>
    <row r="459" spans="1:22" ht="14.25" x14ac:dyDescent="0.2">
      <c r="A459" s="15"/>
      <c r="B459" s="16"/>
      <c r="C459" s="16" t="s">
        <v>567</v>
      </c>
      <c r="D459" s="17"/>
      <c r="E459" s="9"/>
      <c r="F459" s="19">
        <f>Source!AN588</f>
        <v>17.54</v>
      </c>
      <c r="G459" s="18" t="str">
        <f>Source!DF588</f>
        <v>*16</v>
      </c>
      <c r="H459" s="9">
        <f>Source!AV588</f>
        <v>1</v>
      </c>
      <c r="I459" s="9">
        <f>IF(Source!BS588&lt;&gt; 0, Source!BS588, 1)</f>
        <v>1</v>
      </c>
      <c r="J459" s="25">
        <f>Source!R588</f>
        <v>2879.37</v>
      </c>
      <c r="K459" s="20"/>
    </row>
    <row r="460" spans="1:22" ht="15" x14ac:dyDescent="0.25">
      <c r="A460" s="23"/>
      <c r="B460" s="23"/>
      <c r="C460" s="23"/>
      <c r="D460" s="23"/>
      <c r="E460" s="23"/>
      <c r="F460" s="23"/>
      <c r="G460" s="23"/>
      <c r="H460" s="23"/>
      <c r="I460" s="65">
        <f>J458</f>
        <v>4855.8500000000004</v>
      </c>
      <c r="J460" s="65"/>
      <c r="K460" s="24">
        <f>IF(Source!I588&lt;&gt;0, ROUND(I460/Source!I588, 2), 0)</f>
        <v>473.28</v>
      </c>
      <c r="P460" s="22">
        <f>I460</f>
        <v>4855.8500000000004</v>
      </c>
    </row>
    <row r="461" spans="1:22" ht="28.5" x14ac:dyDescent="0.2">
      <c r="A461" s="15" t="str">
        <f>Source!E589</f>
        <v>94</v>
      </c>
      <c r="B461" s="16" t="str">
        <f>Source!F589</f>
        <v>21.25-0-1</v>
      </c>
      <c r="C461" s="16" t="str">
        <f>Source!G589</f>
        <v>Содержание свалки отходов строительства и сноса</v>
      </c>
      <c r="D461" s="17" t="str">
        <f>Source!H589</f>
        <v>т</v>
      </c>
      <c r="E461" s="9">
        <f>Source!I589</f>
        <v>10.26</v>
      </c>
      <c r="F461" s="19">
        <f>Source!AL589</f>
        <v>197.96</v>
      </c>
      <c r="G461" s="18" t="str">
        <f>Source!DD589</f>
        <v/>
      </c>
      <c r="H461" s="9">
        <f>Source!AW589</f>
        <v>1</v>
      </c>
      <c r="I461" s="9">
        <f>IF(Source!BC589&lt;&gt; 0, Source!BC589, 1)</f>
        <v>1</v>
      </c>
      <c r="J461" s="20">
        <f>Source!P589</f>
        <v>2031.07</v>
      </c>
      <c r="K461" s="20"/>
      <c r="Q461">
        <f>ROUND((Source!BZ589/100)*ROUND((Source!AF589*Source!AV589)*Source!I589, 2), 2)</f>
        <v>0</v>
      </c>
      <c r="R461">
        <f>Source!X589</f>
        <v>0</v>
      </c>
      <c r="S461">
        <f>ROUND((Source!CA589/100)*ROUND((Source!AF589*Source!AV589)*Source!I589, 2), 2)</f>
        <v>0</v>
      </c>
      <c r="T461">
        <f>Source!Y589</f>
        <v>0</v>
      </c>
      <c r="U461">
        <f>ROUND((175/100)*ROUND((Source!AE589*Source!AV589)*Source!I589, 2), 2)</f>
        <v>0</v>
      </c>
      <c r="V461">
        <f>ROUND((108/100)*ROUND(Source!CS589*Source!I589, 2), 2)</f>
        <v>0</v>
      </c>
    </row>
    <row r="462" spans="1:22" ht="15" x14ac:dyDescent="0.25">
      <c r="A462" s="23"/>
      <c r="B462" s="23"/>
      <c r="C462" s="23"/>
      <c r="D462" s="23"/>
      <c r="E462" s="23"/>
      <c r="F462" s="23"/>
      <c r="G462" s="23"/>
      <c r="H462" s="23"/>
      <c r="I462" s="65">
        <f>J461</f>
        <v>2031.07</v>
      </c>
      <c r="J462" s="65"/>
      <c r="K462" s="24">
        <f>IF(Source!I589&lt;&gt;0, ROUND(I462/Source!I589, 2), 0)</f>
        <v>197.96</v>
      </c>
      <c r="P462" s="22">
        <f>I462</f>
        <v>2031.07</v>
      </c>
    </row>
    <row r="463" spans="1:22" ht="42.75" x14ac:dyDescent="0.2">
      <c r="A463" s="15" t="str">
        <f>Source!E593</f>
        <v>98</v>
      </c>
      <c r="B463" s="16" t="str">
        <f>Source!F593</f>
        <v>2.1-3303-1-1/1</v>
      </c>
      <c r="C463" s="16" t="str">
        <f>Source!G593</f>
        <v>Устройство подстилающих и выравнивающих слоев оснований из песка</v>
      </c>
      <c r="D463" s="17" t="str">
        <f>Source!H593</f>
        <v>100 м3</v>
      </c>
      <c r="E463" s="9">
        <f>Source!I593</f>
        <v>0.17100000000000001</v>
      </c>
      <c r="F463" s="19"/>
      <c r="G463" s="18"/>
      <c r="H463" s="9"/>
      <c r="I463" s="9"/>
      <c r="J463" s="20"/>
      <c r="K463" s="20"/>
      <c r="Q463">
        <f>ROUND((Source!BZ593/100)*ROUND((Source!AF593*Source!AV593)*Source!I593, 2), 2)</f>
        <v>353.33</v>
      </c>
      <c r="R463">
        <f>Source!X593</f>
        <v>353.33</v>
      </c>
      <c r="S463">
        <f>ROUND((Source!CA593/100)*ROUND((Source!AF593*Source!AV593)*Source!I593, 2), 2)</f>
        <v>50.48</v>
      </c>
      <c r="T463">
        <f>Source!Y593</f>
        <v>50.48</v>
      </c>
      <c r="U463">
        <f>ROUND((175/100)*ROUND((Source!AE593*Source!AV593)*Source!I593, 2), 2)</f>
        <v>1000.32</v>
      </c>
      <c r="V463">
        <f>ROUND((108/100)*ROUND(Source!CS593*Source!I593, 2), 2)</f>
        <v>617.34</v>
      </c>
    </row>
    <row r="464" spans="1:22" x14ac:dyDescent="0.2">
      <c r="C464" s="21" t="str">
        <f>"Объем: "&amp;Source!I593&amp;"=(171*"&amp;"0,1)/"&amp;"100"</f>
        <v>Объем: 0,171=(171*0,1)/100</v>
      </c>
    </row>
    <row r="465" spans="1:16" ht="14.25" x14ac:dyDescent="0.2">
      <c r="A465" s="15"/>
      <c r="B465" s="16"/>
      <c r="C465" s="16" t="s">
        <v>560</v>
      </c>
      <c r="D465" s="17"/>
      <c r="E465" s="9"/>
      <c r="F465" s="19">
        <f>Source!AO593</f>
        <v>2951.82</v>
      </c>
      <c r="G465" s="18" t="str">
        <f>Source!DG593</f>
        <v/>
      </c>
      <c r="H465" s="9">
        <f>Source!AV593</f>
        <v>1</v>
      </c>
      <c r="I465" s="9">
        <f>IF(Source!BA593&lt;&gt; 0, Source!BA593, 1)</f>
        <v>1</v>
      </c>
      <c r="J465" s="20">
        <f>Source!S593</f>
        <v>504.76</v>
      </c>
      <c r="K465" s="20"/>
    </row>
    <row r="466" spans="1:16" ht="14.25" x14ac:dyDescent="0.2">
      <c r="A466" s="15"/>
      <c r="B466" s="16"/>
      <c r="C466" s="16" t="s">
        <v>561</v>
      </c>
      <c r="D466" s="17"/>
      <c r="E466" s="9"/>
      <c r="F466" s="19">
        <f>Source!AM593</f>
        <v>8265.0300000000007</v>
      </c>
      <c r="G466" s="18" t="str">
        <f>Source!DE593</f>
        <v/>
      </c>
      <c r="H466" s="9">
        <f>Source!AV593</f>
        <v>1</v>
      </c>
      <c r="I466" s="9">
        <f>IF(Source!BB593&lt;&gt; 0, Source!BB593, 1)</f>
        <v>1</v>
      </c>
      <c r="J466" s="20">
        <f>Source!Q593</f>
        <v>1413.32</v>
      </c>
      <c r="K466" s="20"/>
    </row>
    <row r="467" spans="1:16" ht="14.25" x14ac:dyDescent="0.2">
      <c r="A467" s="15"/>
      <c r="B467" s="16"/>
      <c r="C467" s="16" t="s">
        <v>567</v>
      </c>
      <c r="D467" s="17"/>
      <c r="E467" s="9"/>
      <c r="F467" s="19">
        <f>Source!AN593</f>
        <v>3342.74</v>
      </c>
      <c r="G467" s="18" t="str">
        <f>Source!DF593</f>
        <v/>
      </c>
      <c r="H467" s="9">
        <f>Source!AV593</f>
        <v>1</v>
      </c>
      <c r="I467" s="9">
        <f>IF(Source!BS593&lt;&gt; 0, Source!BS593, 1)</f>
        <v>1</v>
      </c>
      <c r="J467" s="25">
        <f>Source!R593</f>
        <v>571.61</v>
      </c>
      <c r="K467" s="20"/>
    </row>
    <row r="468" spans="1:16" ht="14.25" x14ac:dyDescent="0.2">
      <c r="A468" s="15"/>
      <c r="B468" s="16"/>
      <c r="C468" s="16" t="s">
        <v>575</v>
      </c>
      <c r="D468" s="17"/>
      <c r="E468" s="9"/>
      <c r="F468" s="19">
        <f>Source!AL593</f>
        <v>65154.45</v>
      </c>
      <c r="G468" s="18" t="str">
        <f>Source!DD593</f>
        <v/>
      </c>
      <c r="H468" s="9">
        <f>Source!AW593</f>
        <v>1</v>
      </c>
      <c r="I468" s="9">
        <f>IF(Source!BC593&lt;&gt; 0, Source!BC593, 1)</f>
        <v>1</v>
      </c>
      <c r="J468" s="20">
        <f>Source!P593</f>
        <v>11141.41</v>
      </c>
      <c r="K468" s="20"/>
    </row>
    <row r="469" spans="1:16" ht="14.25" x14ac:dyDescent="0.2">
      <c r="A469" s="15"/>
      <c r="B469" s="16"/>
      <c r="C469" s="16" t="s">
        <v>562</v>
      </c>
      <c r="D469" s="17" t="s">
        <v>563</v>
      </c>
      <c r="E469" s="9">
        <f>Source!AT593</f>
        <v>70</v>
      </c>
      <c r="F469" s="19"/>
      <c r="G469" s="18"/>
      <c r="H469" s="9"/>
      <c r="I469" s="9"/>
      <c r="J469" s="20">
        <f>SUM(R463:R468)</f>
        <v>353.33</v>
      </c>
      <c r="K469" s="20"/>
    </row>
    <row r="470" spans="1:16" ht="14.25" x14ac:dyDescent="0.2">
      <c r="A470" s="15"/>
      <c r="B470" s="16"/>
      <c r="C470" s="16" t="s">
        <v>564</v>
      </c>
      <c r="D470" s="17" t="s">
        <v>563</v>
      </c>
      <c r="E470" s="9">
        <f>Source!AU593</f>
        <v>10</v>
      </c>
      <c r="F470" s="19"/>
      <c r="G470" s="18"/>
      <c r="H470" s="9"/>
      <c r="I470" s="9"/>
      <c r="J470" s="20">
        <f>SUM(T463:T469)</f>
        <v>50.48</v>
      </c>
      <c r="K470" s="20"/>
    </row>
    <row r="471" spans="1:16" ht="14.25" x14ac:dyDescent="0.2">
      <c r="A471" s="15"/>
      <c r="B471" s="16"/>
      <c r="C471" s="16" t="s">
        <v>568</v>
      </c>
      <c r="D471" s="17" t="s">
        <v>563</v>
      </c>
      <c r="E471" s="9">
        <f>108</f>
        <v>108</v>
      </c>
      <c r="F471" s="19"/>
      <c r="G471" s="18"/>
      <c r="H471" s="9"/>
      <c r="I471" s="9"/>
      <c r="J471" s="20">
        <f>SUM(V463:V470)</f>
        <v>617.34</v>
      </c>
      <c r="K471" s="20"/>
    </row>
    <row r="472" spans="1:16" ht="14.25" x14ac:dyDescent="0.2">
      <c r="A472" s="15"/>
      <c r="B472" s="16"/>
      <c r="C472" s="16" t="s">
        <v>565</v>
      </c>
      <c r="D472" s="17" t="s">
        <v>566</v>
      </c>
      <c r="E472" s="9">
        <f>Source!AQ593</f>
        <v>16.559999999999999</v>
      </c>
      <c r="F472" s="19"/>
      <c r="G472" s="18" t="str">
        <f>Source!DI593</f>
        <v/>
      </c>
      <c r="H472" s="9">
        <f>Source!AV593</f>
        <v>1</v>
      </c>
      <c r="I472" s="9"/>
      <c r="J472" s="20"/>
      <c r="K472" s="20">
        <f>Source!U593</f>
        <v>2.8317600000000001</v>
      </c>
    </row>
    <row r="473" spans="1:16" ht="15" x14ac:dyDescent="0.25">
      <c r="A473" s="23"/>
      <c r="B473" s="23"/>
      <c r="C473" s="23"/>
      <c r="D473" s="23"/>
      <c r="E473" s="23"/>
      <c r="F473" s="23"/>
      <c r="G473" s="23"/>
      <c r="H473" s="23"/>
      <c r="I473" s="65">
        <f>J465+J466+J468+J469+J470+J471</f>
        <v>14080.64</v>
      </c>
      <c r="J473" s="65"/>
      <c r="K473" s="24">
        <f>IF(Source!I593&lt;&gt;0, ROUND(I473/Source!I593, 2), 0)</f>
        <v>82342.92</v>
      </c>
      <c r="P473" s="22">
        <f>I473</f>
        <v>14080.64</v>
      </c>
    </row>
    <row r="475" spans="1:16" ht="15" x14ac:dyDescent="0.25">
      <c r="A475" s="64" t="str">
        <f>CONCATENATE("Итого по подразделу: ",IF(Source!G596&lt;&gt;"Новый подраздел", Source!G596, ""))</f>
        <v>Итого по подразделу: Устройство покрытия</v>
      </c>
      <c r="B475" s="64"/>
      <c r="C475" s="64"/>
      <c r="D475" s="64"/>
      <c r="E475" s="64"/>
      <c r="F475" s="64"/>
      <c r="G475" s="64"/>
      <c r="H475" s="64"/>
      <c r="I475" s="62">
        <f>SUM(P417:P474)</f>
        <v>26857.4</v>
      </c>
      <c r="J475" s="63"/>
      <c r="K475" s="26"/>
    </row>
    <row r="478" spans="1:16" ht="15" x14ac:dyDescent="0.25">
      <c r="A478" s="64" t="str">
        <f>CONCATENATE("Итого по разделу: ",IF(Source!G626&lt;&gt;"Новый раздел", Source!G626, ""))</f>
        <v>Итого по разделу: ЛЗ "Теплый Стан" - 171 кв.м (кв. 15, выд. 75)</v>
      </c>
      <c r="B478" s="64"/>
      <c r="C478" s="64"/>
      <c r="D478" s="64"/>
      <c r="E478" s="64"/>
      <c r="F478" s="64"/>
      <c r="G478" s="64"/>
      <c r="H478" s="64"/>
      <c r="I478" s="62">
        <f>SUM(P335:P477)</f>
        <v>1004165.4899999998</v>
      </c>
      <c r="J478" s="63"/>
      <c r="K478" s="26"/>
    </row>
    <row r="480" spans="1:16" ht="14.25" x14ac:dyDescent="0.2">
      <c r="C480" s="67" t="str">
        <f>Source!H655</f>
        <v>НДС 20%</v>
      </c>
      <c r="D480" s="67"/>
      <c r="E480" s="67"/>
      <c r="F480" s="67"/>
      <c r="G480" s="67"/>
      <c r="H480" s="67"/>
      <c r="I480" s="68">
        <f>IF(Source!F655=0, "", Source!F655)</f>
        <v>200833.1</v>
      </c>
      <c r="J480" s="68"/>
    </row>
    <row r="481" spans="1:11" ht="14.25" x14ac:dyDescent="0.2">
      <c r="C481" s="67" t="str">
        <f>Source!H656</f>
        <v>Итого с НДС</v>
      </c>
      <c r="D481" s="67"/>
      <c r="E481" s="67"/>
      <c r="F481" s="67"/>
      <c r="G481" s="67"/>
      <c r="H481" s="67"/>
      <c r="I481" s="68">
        <f>IF(Source!F656=0, "", Source!F656)</f>
        <v>1204998.5900000001</v>
      </c>
      <c r="J481" s="68"/>
    </row>
    <row r="483" spans="1:11" ht="16.5" x14ac:dyDescent="0.25">
      <c r="A483" s="66" t="str">
        <f>CONCATENATE("Раздел: ",IF(Source!G658&lt;&gt;"Новый раздел", Source!G658, ""))</f>
        <v>Раздел: ПК № 67 - 299,5 кв.м (кв. 18, выд. 32)</v>
      </c>
      <c r="B483" s="66"/>
      <c r="C483" s="66"/>
      <c r="D483" s="66"/>
      <c r="E483" s="66"/>
      <c r="F483" s="66"/>
      <c r="G483" s="66"/>
      <c r="H483" s="66"/>
      <c r="I483" s="66"/>
      <c r="J483" s="66"/>
      <c r="K483" s="66"/>
    </row>
    <row r="485" spans="1:11" ht="16.5" hidden="1" x14ac:dyDescent="0.25">
      <c r="A485" s="66" t="str">
        <f>CONCATENATE("Подраздел: ",IF(Source!G662&lt;&gt;"Новый подраздел", Source!G662, ""))</f>
        <v>Подраздел: Демонтаж</v>
      </c>
      <c r="B485" s="66"/>
      <c r="C485" s="66"/>
      <c r="D485" s="66"/>
      <c r="E485" s="66"/>
      <c r="F485" s="66"/>
      <c r="G485" s="66"/>
      <c r="H485" s="66"/>
      <c r="I485" s="66"/>
      <c r="J485" s="66"/>
      <c r="K485" s="66"/>
    </row>
    <row r="486" spans="1:11" hidden="1" x14ac:dyDescent="0.2"/>
    <row r="487" spans="1:11" ht="15" hidden="1" x14ac:dyDescent="0.25">
      <c r="A487" s="64" t="str">
        <f>CONCATENATE("Итого по подразделу: ",IF(Source!G666&lt;&gt;"Новый подраздел", Source!G666, ""))</f>
        <v>Итого по подразделу: Демонтаж</v>
      </c>
      <c r="B487" s="64"/>
      <c r="C487" s="64"/>
      <c r="D487" s="64"/>
      <c r="E487" s="64"/>
      <c r="F487" s="64"/>
      <c r="G487" s="64"/>
      <c r="H487" s="64"/>
      <c r="I487" s="62">
        <f>SUM(P485:P486)</f>
        <v>0</v>
      </c>
      <c r="J487" s="63"/>
      <c r="K487" s="26"/>
    </row>
    <row r="488" spans="1:11" hidden="1" x14ac:dyDescent="0.2"/>
    <row r="489" spans="1:11" hidden="1" x14ac:dyDescent="0.2"/>
    <row r="490" spans="1:11" ht="16.5" hidden="1" x14ac:dyDescent="0.25">
      <c r="A490" s="66" t="str">
        <f>CONCATENATE("Подраздел: ",IF(Source!G696&lt;&gt;"Новый подраздел", Source!G696, ""))</f>
        <v>Подраздел: Установка оборудования для выгула собак</v>
      </c>
      <c r="B490" s="66"/>
      <c r="C490" s="66"/>
      <c r="D490" s="66"/>
      <c r="E490" s="66"/>
      <c r="F490" s="66"/>
      <c r="G490" s="66"/>
      <c r="H490" s="66"/>
      <c r="I490" s="66"/>
      <c r="J490" s="66"/>
      <c r="K490" s="66"/>
    </row>
    <row r="491" spans="1:11" hidden="1" x14ac:dyDescent="0.2"/>
    <row r="492" spans="1:11" ht="15" hidden="1" x14ac:dyDescent="0.25">
      <c r="A492" s="64" t="str">
        <f>CONCATENATE("Итого по подразделу: ",IF(Source!G700&lt;&gt;"Новый подраздел", Source!G700, ""))</f>
        <v>Итого по подразделу: Установка оборудования для выгула собак</v>
      </c>
      <c r="B492" s="64"/>
      <c r="C492" s="64"/>
      <c r="D492" s="64"/>
      <c r="E492" s="64"/>
      <c r="F492" s="64"/>
      <c r="G492" s="64"/>
      <c r="H492" s="64"/>
      <c r="I492" s="62">
        <f>SUM(P490:P491)</f>
        <v>0</v>
      </c>
      <c r="J492" s="63"/>
      <c r="K492" s="26"/>
    </row>
    <row r="493" spans="1:11" hidden="1" x14ac:dyDescent="0.2"/>
    <row r="494" spans="1:11" hidden="1" x14ac:dyDescent="0.2"/>
    <row r="495" spans="1:11" ht="16.5" hidden="1" x14ac:dyDescent="0.25">
      <c r="A495" s="66" t="str">
        <f>CONCATENATE("Подраздел: ",IF(Source!G730&lt;&gt;"Новый подраздел", Source!G730, ""))</f>
        <v>Подраздел: Установка ограждения</v>
      </c>
      <c r="B495" s="66"/>
      <c r="C495" s="66"/>
      <c r="D495" s="66"/>
      <c r="E495" s="66"/>
      <c r="F495" s="66"/>
      <c r="G495" s="66"/>
      <c r="H495" s="66"/>
      <c r="I495" s="66"/>
      <c r="J495" s="66"/>
      <c r="K495" s="66"/>
    </row>
    <row r="496" spans="1:11" hidden="1" x14ac:dyDescent="0.2"/>
    <row r="497" spans="1:22" ht="15" hidden="1" x14ac:dyDescent="0.25">
      <c r="A497" s="64" t="str">
        <f>CONCATENATE("Итого по подразделу: ",IF(Source!G734&lt;&gt;"Новый подраздел", Source!G734, ""))</f>
        <v>Итого по подразделу: Установка ограждения</v>
      </c>
      <c r="B497" s="64"/>
      <c r="C497" s="64"/>
      <c r="D497" s="64"/>
      <c r="E497" s="64"/>
      <c r="F497" s="64"/>
      <c r="G497" s="64"/>
      <c r="H497" s="64"/>
      <c r="I497" s="62">
        <f>SUM(P495:P496)</f>
        <v>0</v>
      </c>
      <c r="J497" s="63"/>
      <c r="K497" s="26"/>
    </row>
    <row r="498" spans="1:22" hidden="1" x14ac:dyDescent="0.2"/>
    <row r="499" spans="1:22" hidden="1" x14ac:dyDescent="0.2"/>
    <row r="500" spans="1:22" ht="16.5" x14ac:dyDescent="0.25">
      <c r="A500" s="66" t="str">
        <f>CONCATENATE("Подраздел: ",IF(Source!G764&lt;&gt;"Новый подраздел", Source!G764, ""))</f>
        <v>Подраздел: Устройство покрытия</v>
      </c>
      <c r="B500" s="66"/>
      <c r="C500" s="66"/>
      <c r="D500" s="66"/>
      <c r="E500" s="66"/>
      <c r="F500" s="66"/>
      <c r="G500" s="66"/>
      <c r="H500" s="66"/>
      <c r="I500" s="66"/>
      <c r="J500" s="66"/>
      <c r="K500" s="66"/>
    </row>
    <row r="501" spans="1:22" ht="57" x14ac:dyDescent="0.2">
      <c r="A501" s="15" t="str">
        <f>Source!E768</f>
        <v>100</v>
      </c>
      <c r="B501" s="16" t="str">
        <f>Source!F768</f>
        <v>2.49-3101-4-2/1</v>
      </c>
      <c r="C501" s="16" t="str">
        <f>Source!G768</f>
        <v>Разработка грунта с погрузкой на автомобили-самосвалы экскаваторами с ковшом вместимостью 0,25 м3, группа грунтов 1-3</v>
      </c>
      <c r="D501" s="17" t="str">
        <f>Source!H768</f>
        <v>100 м3</v>
      </c>
      <c r="E501" s="9">
        <f>Source!I768</f>
        <v>0.26955000000000001</v>
      </c>
      <c r="F501" s="19"/>
      <c r="G501" s="18"/>
      <c r="H501" s="9"/>
      <c r="I501" s="9"/>
      <c r="J501" s="20"/>
      <c r="K501" s="20"/>
      <c r="Q501">
        <f>ROUND((Source!BZ768/100)*ROUND((Source!AF768*Source!AV768)*Source!I768, 2), 2)</f>
        <v>110.1</v>
      </c>
      <c r="R501">
        <f>Source!X768</f>
        <v>110.1</v>
      </c>
      <c r="S501">
        <f>ROUND((Source!CA768/100)*ROUND((Source!AF768*Source!AV768)*Source!I768, 2), 2)</f>
        <v>15.73</v>
      </c>
      <c r="T501">
        <f>Source!Y768</f>
        <v>15.73</v>
      </c>
      <c r="U501">
        <f>ROUND((175/100)*ROUND((Source!AE768*Source!AV768)*Source!I768, 2), 2)</f>
        <v>2655.31</v>
      </c>
      <c r="V501">
        <f>ROUND((108/100)*ROUND(Source!CS768*Source!I768, 2), 2)</f>
        <v>1638.71</v>
      </c>
    </row>
    <row r="502" spans="1:22" x14ac:dyDescent="0.2">
      <c r="C502" s="21" t="str">
        <f>"Объем: "&amp;Source!I768&amp;"=((299,5*"&amp;"0,1)/"&amp;"100)*"&amp;"0,9"</f>
        <v>Объем: 0,26955=((299,5*0,1)/100)*0,9</v>
      </c>
    </row>
    <row r="503" spans="1:22" ht="14.25" x14ac:dyDescent="0.2">
      <c r="A503" s="15"/>
      <c r="B503" s="16"/>
      <c r="C503" s="16" t="s">
        <v>560</v>
      </c>
      <c r="D503" s="17"/>
      <c r="E503" s="9"/>
      <c r="F503" s="19">
        <f>Source!AO768</f>
        <v>583.52</v>
      </c>
      <c r="G503" s="18" t="str">
        <f>Source!DG768</f>
        <v/>
      </c>
      <c r="H503" s="9">
        <f>Source!AV768</f>
        <v>1</v>
      </c>
      <c r="I503" s="9">
        <f>IF(Source!BA768&lt;&gt; 0, Source!BA768, 1)</f>
        <v>1</v>
      </c>
      <c r="J503" s="20">
        <f>Source!S768</f>
        <v>157.29</v>
      </c>
      <c r="K503" s="20"/>
    </row>
    <row r="504" spans="1:22" ht="14.25" x14ac:dyDescent="0.2">
      <c r="A504" s="15"/>
      <c r="B504" s="16"/>
      <c r="C504" s="16" t="s">
        <v>561</v>
      </c>
      <c r="D504" s="17"/>
      <c r="E504" s="9"/>
      <c r="F504" s="19">
        <f>Source!AM768</f>
        <v>8218.83</v>
      </c>
      <c r="G504" s="18" t="str">
        <f>Source!DE768</f>
        <v/>
      </c>
      <c r="H504" s="9">
        <f>Source!AV768</f>
        <v>1</v>
      </c>
      <c r="I504" s="9">
        <f>IF(Source!BB768&lt;&gt; 0, Source!BB768, 1)</f>
        <v>1</v>
      </c>
      <c r="J504" s="20">
        <f>Source!Q768</f>
        <v>2215.39</v>
      </c>
      <c r="K504" s="20"/>
    </row>
    <row r="505" spans="1:22" ht="14.25" x14ac:dyDescent="0.2">
      <c r="A505" s="15"/>
      <c r="B505" s="16"/>
      <c r="C505" s="16" t="s">
        <v>567</v>
      </c>
      <c r="D505" s="17"/>
      <c r="E505" s="9"/>
      <c r="F505" s="19">
        <f>Source!AN768</f>
        <v>5629.09</v>
      </c>
      <c r="G505" s="18" t="str">
        <f>Source!DF768</f>
        <v/>
      </c>
      <c r="H505" s="9">
        <f>Source!AV768</f>
        <v>1</v>
      </c>
      <c r="I505" s="9">
        <f>IF(Source!BS768&lt;&gt; 0, Source!BS768, 1)</f>
        <v>1</v>
      </c>
      <c r="J505" s="25">
        <f>Source!R768</f>
        <v>1517.32</v>
      </c>
      <c r="K505" s="20"/>
    </row>
    <row r="506" spans="1:22" ht="14.25" x14ac:dyDescent="0.2">
      <c r="A506" s="15"/>
      <c r="B506" s="16"/>
      <c r="C506" s="16" t="s">
        <v>562</v>
      </c>
      <c r="D506" s="17" t="s">
        <v>563</v>
      </c>
      <c r="E506" s="9">
        <f>Source!AT768</f>
        <v>70</v>
      </c>
      <c r="F506" s="19"/>
      <c r="G506" s="18"/>
      <c r="H506" s="9"/>
      <c r="I506" s="9"/>
      <c r="J506" s="20">
        <f>SUM(R501:R505)</f>
        <v>110.1</v>
      </c>
      <c r="K506" s="20"/>
    </row>
    <row r="507" spans="1:22" ht="14.25" x14ac:dyDescent="0.2">
      <c r="A507" s="15"/>
      <c r="B507" s="16"/>
      <c r="C507" s="16" t="s">
        <v>564</v>
      </c>
      <c r="D507" s="17" t="s">
        <v>563</v>
      </c>
      <c r="E507" s="9">
        <f>Source!AU768</f>
        <v>10</v>
      </c>
      <c r="F507" s="19"/>
      <c r="G507" s="18"/>
      <c r="H507" s="9"/>
      <c r="I507" s="9"/>
      <c r="J507" s="20">
        <f>SUM(T501:T506)</f>
        <v>15.73</v>
      </c>
      <c r="K507" s="20"/>
    </row>
    <row r="508" spans="1:22" ht="14.25" x14ac:dyDescent="0.2">
      <c r="A508" s="15"/>
      <c r="B508" s="16"/>
      <c r="C508" s="16" t="s">
        <v>568</v>
      </c>
      <c r="D508" s="17" t="s">
        <v>563</v>
      </c>
      <c r="E508" s="9">
        <f>108</f>
        <v>108</v>
      </c>
      <c r="F508" s="19"/>
      <c r="G508" s="18"/>
      <c r="H508" s="9"/>
      <c r="I508" s="9"/>
      <c r="J508" s="20">
        <f>SUM(V501:V507)</f>
        <v>1638.71</v>
      </c>
      <c r="K508" s="20"/>
    </row>
    <row r="509" spans="1:22" ht="14.25" x14ac:dyDescent="0.2">
      <c r="A509" s="15"/>
      <c r="B509" s="16"/>
      <c r="C509" s="16" t="s">
        <v>565</v>
      </c>
      <c r="D509" s="17" t="s">
        <v>566</v>
      </c>
      <c r="E509" s="9">
        <f>Source!AQ768</f>
        <v>3.39</v>
      </c>
      <c r="F509" s="19"/>
      <c r="G509" s="18" t="str">
        <f>Source!DI768</f>
        <v/>
      </c>
      <c r="H509" s="9">
        <f>Source!AV768</f>
        <v>1</v>
      </c>
      <c r="I509" s="9"/>
      <c r="J509" s="20"/>
      <c r="K509" s="20">
        <f>Source!U768</f>
        <v>0.91377450000000005</v>
      </c>
    </row>
    <row r="510" spans="1:22" ht="15" x14ac:dyDescent="0.25">
      <c r="A510" s="23"/>
      <c r="B510" s="23"/>
      <c r="C510" s="23"/>
      <c r="D510" s="23"/>
      <c r="E510" s="23"/>
      <c r="F510" s="23"/>
      <c r="G510" s="23"/>
      <c r="H510" s="23"/>
      <c r="I510" s="65">
        <f>J503+J504+J506+J507+J508</f>
        <v>4137.2199999999993</v>
      </c>
      <c r="J510" s="65"/>
      <c r="K510" s="24">
        <f>IF(Source!I768&lt;&gt;0, ROUND(I510/Source!I768, 2), 0)</f>
        <v>15348.62</v>
      </c>
      <c r="P510" s="22">
        <f>I510</f>
        <v>4137.2199999999993</v>
      </c>
    </row>
    <row r="511" spans="1:22" ht="42.75" x14ac:dyDescent="0.2">
      <c r="A511" s="15" t="str">
        <f>Source!E769</f>
        <v>101</v>
      </c>
      <c r="B511" s="16" t="str">
        <f>Source!F769</f>
        <v>2.49-3201-14-1/1</v>
      </c>
      <c r="C511" s="16" t="str">
        <f>Source!G769</f>
        <v>Разработка грунта вручную в траншеях глубиной до 2 м без креплений с откосами, группа грунтов 1-3</v>
      </c>
      <c r="D511" s="17" t="str">
        <f>Source!H769</f>
        <v>100 м3</v>
      </c>
      <c r="E511" s="9">
        <f>Source!I769</f>
        <v>2.9950000000000001E-2</v>
      </c>
      <c r="F511" s="19"/>
      <c r="G511" s="18"/>
      <c r="H511" s="9"/>
      <c r="I511" s="9"/>
      <c r="J511" s="20"/>
      <c r="K511" s="20"/>
      <c r="Q511">
        <f>ROUND((Source!BZ769/100)*ROUND((Source!AF769*Source!AV769)*Source!I769, 2), 2)</f>
        <v>837.6</v>
      </c>
      <c r="R511">
        <f>Source!X769</f>
        <v>837.6</v>
      </c>
      <c r="S511">
        <f>ROUND((Source!CA769/100)*ROUND((Source!AF769*Source!AV769)*Source!I769, 2), 2)</f>
        <v>119.66</v>
      </c>
      <c r="T511">
        <f>Source!Y769</f>
        <v>119.66</v>
      </c>
      <c r="U511">
        <f>ROUND((175/100)*ROUND((Source!AE769*Source!AV769)*Source!I769, 2), 2)</f>
        <v>0</v>
      </c>
      <c r="V511">
        <f>ROUND((108/100)*ROUND(Source!CS769*Source!I769, 2), 2)</f>
        <v>0</v>
      </c>
    </row>
    <row r="512" spans="1:22" x14ac:dyDescent="0.2">
      <c r="C512" s="21" t="str">
        <f>"Объем: "&amp;Source!I769&amp;"=((299,5*"&amp;"0,1)*"&amp;"0,1)/"&amp;"100"</f>
        <v>Объем: 0,02995=((299,5*0,1)*0,1)/100</v>
      </c>
    </row>
    <row r="513" spans="1:22" ht="14.25" x14ac:dyDescent="0.2">
      <c r="A513" s="15"/>
      <c r="B513" s="16"/>
      <c r="C513" s="16" t="s">
        <v>560</v>
      </c>
      <c r="D513" s="17"/>
      <c r="E513" s="9"/>
      <c r="F513" s="19">
        <f>Source!AO769</f>
        <v>39952.26</v>
      </c>
      <c r="G513" s="18" t="str">
        <f>Source!DG769</f>
        <v/>
      </c>
      <c r="H513" s="9">
        <f>Source!AV769</f>
        <v>1</v>
      </c>
      <c r="I513" s="9">
        <f>IF(Source!BA769&lt;&gt; 0, Source!BA769, 1)</f>
        <v>1</v>
      </c>
      <c r="J513" s="20">
        <f>Source!S769</f>
        <v>1196.57</v>
      </c>
      <c r="K513" s="20"/>
    </row>
    <row r="514" spans="1:22" ht="14.25" x14ac:dyDescent="0.2">
      <c r="A514" s="15"/>
      <c r="B514" s="16"/>
      <c r="C514" s="16" t="s">
        <v>562</v>
      </c>
      <c r="D514" s="17" t="s">
        <v>563</v>
      </c>
      <c r="E514" s="9">
        <f>Source!AT769</f>
        <v>70</v>
      </c>
      <c r="F514" s="19"/>
      <c r="G514" s="18"/>
      <c r="H514" s="9"/>
      <c r="I514" s="9"/>
      <c r="J514" s="20">
        <f>SUM(R511:R513)</f>
        <v>837.6</v>
      </c>
      <c r="K514" s="20"/>
    </row>
    <row r="515" spans="1:22" ht="14.25" x14ac:dyDescent="0.2">
      <c r="A515" s="15"/>
      <c r="B515" s="16"/>
      <c r="C515" s="16" t="s">
        <v>564</v>
      </c>
      <c r="D515" s="17" t="s">
        <v>563</v>
      </c>
      <c r="E515" s="9">
        <f>Source!AU769</f>
        <v>10</v>
      </c>
      <c r="F515" s="19"/>
      <c r="G515" s="18"/>
      <c r="H515" s="9"/>
      <c r="I515" s="9"/>
      <c r="J515" s="20">
        <f>SUM(T511:T514)</f>
        <v>119.66</v>
      </c>
      <c r="K515" s="20"/>
    </row>
    <row r="516" spans="1:22" ht="14.25" x14ac:dyDescent="0.2">
      <c r="A516" s="15"/>
      <c r="B516" s="16"/>
      <c r="C516" s="16" t="s">
        <v>565</v>
      </c>
      <c r="D516" s="17" t="s">
        <v>566</v>
      </c>
      <c r="E516" s="9">
        <f>Source!AQ769</f>
        <v>221.6</v>
      </c>
      <c r="F516" s="19"/>
      <c r="G516" s="18" t="str">
        <f>Source!DI769</f>
        <v/>
      </c>
      <c r="H516" s="9">
        <f>Source!AV769</f>
        <v>1</v>
      </c>
      <c r="I516" s="9"/>
      <c r="J516" s="20"/>
      <c r="K516" s="20">
        <f>Source!U769</f>
        <v>6.6369199999999999</v>
      </c>
    </row>
    <row r="517" spans="1:22" ht="15" x14ac:dyDescent="0.25">
      <c r="A517" s="23"/>
      <c r="B517" s="23"/>
      <c r="C517" s="23"/>
      <c r="D517" s="23"/>
      <c r="E517" s="23"/>
      <c r="F517" s="23"/>
      <c r="G517" s="23"/>
      <c r="H517" s="23"/>
      <c r="I517" s="65">
        <f>J513+J514+J515</f>
        <v>2153.83</v>
      </c>
      <c r="J517" s="65"/>
      <c r="K517" s="24">
        <f>IF(Source!I769&lt;&gt;0, ROUND(I517/Source!I769, 2), 0)</f>
        <v>71914.19</v>
      </c>
      <c r="P517" s="22">
        <f>I517</f>
        <v>2153.83</v>
      </c>
    </row>
    <row r="518" spans="1:22" ht="42.75" x14ac:dyDescent="0.2">
      <c r="A518" s="15" t="str">
        <f>Source!E770</f>
        <v>102</v>
      </c>
      <c r="B518" s="16" t="str">
        <f>Source!F770</f>
        <v>1.49-9101-7-1/1</v>
      </c>
      <c r="C518" s="16" t="str">
        <f>Source!G770</f>
        <v>Механизированная погрузка строительного мусора в автомобили-самосвалы</v>
      </c>
      <c r="D518" s="17" t="str">
        <f>Source!H770</f>
        <v>т</v>
      </c>
      <c r="E518" s="9">
        <f>Source!I770</f>
        <v>13.477499999999999</v>
      </c>
      <c r="F518" s="19"/>
      <c r="G518" s="18"/>
      <c r="H518" s="9"/>
      <c r="I518" s="9"/>
      <c r="J518" s="20"/>
      <c r="K518" s="20"/>
      <c r="Q518">
        <f>ROUND((Source!BZ770/100)*ROUND((Source!AF770*Source!AV770)*Source!I770, 2), 2)</f>
        <v>0</v>
      </c>
      <c r="R518">
        <f>Source!X770</f>
        <v>0</v>
      </c>
      <c r="S518">
        <f>ROUND((Source!CA770/100)*ROUND((Source!AF770*Source!AV770)*Source!I770, 2), 2)</f>
        <v>0</v>
      </c>
      <c r="T518">
        <f>Source!Y770</f>
        <v>0</v>
      </c>
      <c r="U518">
        <f>ROUND((175/100)*ROUND((Source!AE770*Source!AV770)*Source!I770, 2), 2)</f>
        <v>579.97</v>
      </c>
      <c r="V518">
        <f>ROUND((108/100)*ROUND(Source!CS770*Source!I770, 2), 2)</f>
        <v>357.92</v>
      </c>
    </row>
    <row r="519" spans="1:22" x14ac:dyDescent="0.2">
      <c r="C519" s="21" t="str">
        <f>"Объем: "&amp;Source!I770&amp;"=((299,5*"&amp;"0,1)*"&amp;"0,6)*"&amp;"0,75"</f>
        <v>Объем: 13,4775=((299,5*0,1)*0,6)*0,75</v>
      </c>
    </row>
    <row r="520" spans="1:22" ht="14.25" x14ac:dyDescent="0.2">
      <c r="A520" s="15"/>
      <c r="B520" s="16"/>
      <c r="C520" s="16" t="s">
        <v>561</v>
      </c>
      <c r="D520" s="17"/>
      <c r="E520" s="9"/>
      <c r="F520" s="19">
        <f>Source!AM770</f>
        <v>77.959999999999994</v>
      </c>
      <c r="G520" s="18" t="str">
        <f>Source!DE770</f>
        <v/>
      </c>
      <c r="H520" s="9">
        <f>Source!AV770</f>
        <v>1</v>
      </c>
      <c r="I520" s="9">
        <f>IF(Source!BB770&lt;&gt; 0, Source!BB770, 1)</f>
        <v>1</v>
      </c>
      <c r="J520" s="20">
        <f>Source!Q770</f>
        <v>1050.71</v>
      </c>
      <c r="K520" s="20"/>
    </row>
    <row r="521" spans="1:22" ht="14.25" x14ac:dyDescent="0.2">
      <c r="A521" s="15"/>
      <c r="B521" s="16"/>
      <c r="C521" s="16" t="s">
        <v>567</v>
      </c>
      <c r="D521" s="17"/>
      <c r="E521" s="9"/>
      <c r="F521" s="19">
        <f>Source!AN770</f>
        <v>24.59</v>
      </c>
      <c r="G521" s="18" t="str">
        <f>Source!DF770</f>
        <v/>
      </c>
      <c r="H521" s="9">
        <f>Source!AV770</f>
        <v>1</v>
      </c>
      <c r="I521" s="9">
        <f>IF(Source!BS770&lt;&gt; 0, Source!BS770, 1)</f>
        <v>1</v>
      </c>
      <c r="J521" s="25">
        <f>Source!R770</f>
        <v>331.41</v>
      </c>
      <c r="K521" s="20"/>
    </row>
    <row r="522" spans="1:22" ht="14.25" x14ac:dyDescent="0.2">
      <c r="A522" s="15"/>
      <c r="B522" s="16"/>
      <c r="C522" s="16" t="s">
        <v>568</v>
      </c>
      <c r="D522" s="17" t="s">
        <v>563</v>
      </c>
      <c r="E522" s="9">
        <f>108</f>
        <v>108</v>
      </c>
      <c r="F522" s="19"/>
      <c r="G522" s="18"/>
      <c r="H522" s="9"/>
      <c r="I522" s="9"/>
      <c r="J522" s="20">
        <f>SUM(V518:V521)</f>
        <v>357.92</v>
      </c>
      <c r="K522" s="20"/>
    </row>
    <row r="523" spans="1:22" ht="15" x14ac:dyDescent="0.25">
      <c r="A523" s="23"/>
      <c r="B523" s="23"/>
      <c r="C523" s="23"/>
      <c r="D523" s="23"/>
      <c r="E523" s="23"/>
      <c r="F523" s="23"/>
      <c r="G523" s="23"/>
      <c r="H523" s="23"/>
      <c r="I523" s="65">
        <f>J520+J522</f>
        <v>1408.63</v>
      </c>
      <c r="J523" s="65"/>
      <c r="K523" s="24">
        <f>IF(Source!I770&lt;&gt;0, ROUND(I523/Source!I770, 2), 0)</f>
        <v>104.52</v>
      </c>
      <c r="P523" s="22">
        <f>I523</f>
        <v>1408.63</v>
      </c>
    </row>
    <row r="524" spans="1:22" ht="42.75" x14ac:dyDescent="0.2">
      <c r="A524" s="15" t="str">
        <f>Source!E771</f>
        <v>103</v>
      </c>
      <c r="B524" s="16" t="str">
        <f>Source!F771</f>
        <v>1.50-3305-4-1/1</v>
      </c>
      <c r="C524" s="16" t="str">
        <f>Source!G771</f>
        <v>Погрузка и выгрузка вручную строительного мусора на транспортные средства</v>
      </c>
      <c r="D524" s="17" t="str">
        <f>Source!H771</f>
        <v>т</v>
      </c>
      <c r="E524" s="9">
        <f>Source!I771</f>
        <v>4.4924999999999997</v>
      </c>
      <c r="F524" s="19"/>
      <c r="G524" s="18"/>
      <c r="H524" s="9"/>
      <c r="I524" s="9"/>
      <c r="J524" s="20"/>
      <c r="K524" s="20"/>
      <c r="Q524">
        <f>ROUND((Source!BZ771/100)*ROUND((Source!AF771*Source!AV771)*Source!I771, 2), 2)</f>
        <v>376.4</v>
      </c>
      <c r="R524">
        <f>Source!X771</f>
        <v>376.4</v>
      </c>
      <c r="S524">
        <f>ROUND((Source!CA771/100)*ROUND((Source!AF771*Source!AV771)*Source!I771, 2), 2)</f>
        <v>53.77</v>
      </c>
      <c r="T524">
        <f>Source!Y771</f>
        <v>53.77</v>
      </c>
      <c r="U524">
        <f>ROUND((175/100)*ROUND((Source!AE771*Source!AV771)*Source!I771, 2), 2)</f>
        <v>0</v>
      </c>
      <c r="V524">
        <f>ROUND((108/100)*ROUND(Source!CS771*Source!I771, 2), 2)</f>
        <v>0</v>
      </c>
    </row>
    <row r="525" spans="1:22" x14ac:dyDescent="0.2">
      <c r="C525" s="21" t="str">
        <f>"Объем: "&amp;Source!I771&amp;"=((299,5*"&amp;"0,1)*"&amp;"0,6)*"&amp;"0,25"</f>
        <v>Объем: 4,4925=((299,5*0,1)*0,6)*0,25</v>
      </c>
    </row>
    <row r="526" spans="1:22" ht="14.25" x14ac:dyDescent="0.2">
      <c r="A526" s="15"/>
      <c r="B526" s="16"/>
      <c r="C526" s="16" t="s">
        <v>560</v>
      </c>
      <c r="D526" s="17"/>
      <c r="E526" s="9"/>
      <c r="F526" s="19">
        <f>Source!AO771</f>
        <v>119.69</v>
      </c>
      <c r="G526" s="18" t="str">
        <f>Source!DG771</f>
        <v/>
      </c>
      <c r="H526" s="9">
        <f>Source!AV771</f>
        <v>1</v>
      </c>
      <c r="I526" s="9">
        <f>IF(Source!BA771&lt;&gt; 0, Source!BA771, 1)</f>
        <v>1</v>
      </c>
      <c r="J526" s="20">
        <f>Source!S771</f>
        <v>537.71</v>
      </c>
      <c r="K526" s="20"/>
    </row>
    <row r="527" spans="1:22" ht="14.25" x14ac:dyDescent="0.2">
      <c r="A527" s="15"/>
      <c r="B527" s="16"/>
      <c r="C527" s="16" t="s">
        <v>562</v>
      </c>
      <c r="D527" s="17" t="s">
        <v>563</v>
      </c>
      <c r="E527" s="9">
        <f>Source!AT771</f>
        <v>70</v>
      </c>
      <c r="F527" s="19"/>
      <c r="G527" s="18"/>
      <c r="H527" s="9"/>
      <c r="I527" s="9"/>
      <c r="J527" s="20">
        <f>SUM(R524:R526)</f>
        <v>376.4</v>
      </c>
      <c r="K527" s="20"/>
    </row>
    <row r="528" spans="1:22" ht="14.25" x14ac:dyDescent="0.2">
      <c r="A528" s="15"/>
      <c r="B528" s="16"/>
      <c r="C528" s="16" t="s">
        <v>564</v>
      </c>
      <c r="D528" s="17" t="s">
        <v>563</v>
      </c>
      <c r="E528" s="9">
        <f>Source!AU771</f>
        <v>10</v>
      </c>
      <c r="F528" s="19"/>
      <c r="G528" s="18"/>
      <c r="H528" s="9"/>
      <c r="I528" s="9"/>
      <c r="J528" s="20">
        <f>SUM(T524:T527)</f>
        <v>53.77</v>
      </c>
      <c r="K528" s="20"/>
    </row>
    <row r="529" spans="1:22" ht="14.25" x14ac:dyDescent="0.2">
      <c r="A529" s="15"/>
      <c r="B529" s="16"/>
      <c r="C529" s="16" t="s">
        <v>565</v>
      </c>
      <c r="D529" s="17" t="s">
        <v>566</v>
      </c>
      <c r="E529" s="9">
        <f>Source!AQ771</f>
        <v>1.02</v>
      </c>
      <c r="F529" s="19"/>
      <c r="G529" s="18" t="str">
        <f>Source!DI771</f>
        <v/>
      </c>
      <c r="H529" s="9">
        <f>Source!AV771</f>
        <v>1</v>
      </c>
      <c r="I529" s="9"/>
      <c r="J529" s="20"/>
      <c r="K529" s="20">
        <f>Source!U771</f>
        <v>4.5823499999999999</v>
      </c>
    </row>
    <row r="530" spans="1:22" ht="15" x14ac:dyDescent="0.25">
      <c r="A530" s="23"/>
      <c r="B530" s="23"/>
      <c r="C530" s="23"/>
      <c r="D530" s="23"/>
      <c r="E530" s="23"/>
      <c r="F530" s="23"/>
      <c r="G530" s="23"/>
      <c r="H530" s="23"/>
      <c r="I530" s="65">
        <f>J526+J527+J528</f>
        <v>967.88</v>
      </c>
      <c r="J530" s="65"/>
      <c r="K530" s="24">
        <f>IF(Source!I771&lt;&gt;0, ROUND(I530/Source!I771, 2), 0)</f>
        <v>215.44</v>
      </c>
      <c r="P530" s="22">
        <f>I530</f>
        <v>967.88</v>
      </c>
    </row>
    <row r="531" spans="1:22" ht="57" x14ac:dyDescent="0.2">
      <c r="A531" s="15" t="str">
        <f>Source!E772</f>
        <v>104</v>
      </c>
      <c r="B531" s="16" t="str">
        <f>Source!F772</f>
        <v>1.49-9201-1-2/1</v>
      </c>
      <c r="C531" s="16" t="str">
        <f>Source!G772</f>
        <v>Перевозка строительного мусора автосамосвалами грузоподъемностью до 10 т на расстояние 1 км - при механизированной погрузке</v>
      </c>
      <c r="D531" s="17" t="str">
        <f>Source!H772</f>
        <v>т</v>
      </c>
      <c r="E531" s="9">
        <f>Source!I772</f>
        <v>13.477499999999999</v>
      </c>
      <c r="F531" s="19"/>
      <c r="G531" s="18"/>
      <c r="H531" s="9"/>
      <c r="I531" s="9"/>
      <c r="J531" s="20"/>
      <c r="K531" s="20"/>
      <c r="Q531">
        <f>ROUND((Source!BZ772/100)*ROUND((Source!AF772*Source!AV772)*Source!I772, 2), 2)</f>
        <v>0</v>
      </c>
      <c r="R531">
        <f>Source!X772</f>
        <v>0</v>
      </c>
      <c r="S531">
        <f>ROUND((Source!CA772/100)*ROUND((Source!AF772*Source!AV772)*Source!I772, 2), 2)</f>
        <v>0</v>
      </c>
      <c r="T531">
        <f>Source!Y772</f>
        <v>0</v>
      </c>
      <c r="U531">
        <f>ROUND((175/100)*ROUND((Source!AE772*Source!AV772)*Source!I772, 2), 2)</f>
        <v>873.15</v>
      </c>
      <c r="V531">
        <f>ROUND((108/100)*ROUND(Source!CS772*Source!I772, 2), 2)</f>
        <v>538.86</v>
      </c>
    </row>
    <row r="532" spans="1:22" ht="14.25" x14ac:dyDescent="0.2">
      <c r="A532" s="15"/>
      <c r="B532" s="16"/>
      <c r="C532" s="16" t="s">
        <v>561</v>
      </c>
      <c r="D532" s="17"/>
      <c r="E532" s="9"/>
      <c r="F532" s="19">
        <f>Source!AM772</f>
        <v>62.5</v>
      </c>
      <c r="G532" s="18" t="str">
        <f>Source!DE772</f>
        <v/>
      </c>
      <c r="H532" s="9">
        <f>Source!AV772</f>
        <v>1</v>
      </c>
      <c r="I532" s="9">
        <f>IF(Source!BB772&lt;&gt; 0, Source!BB772, 1)</f>
        <v>1</v>
      </c>
      <c r="J532" s="20">
        <f>Source!Q772</f>
        <v>842.34</v>
      </c>
      <c r="K532" s="20"/>
    </row>
    <row r="533" spans="1:22" ht="14.25" x14ac:dyDescent="0.2">
      <c r="A533" s="15"/>
      <c r="B533" s="16"/>
      <c r="C533" s="16" t="s">
        <v>567</v>
      </c>
      <c r="D533" s="17"/>
      <c r="E533" s="9"/>
      <c r="F533" s="19">
        <f>Source!AN772</f>
        <v>37.020000000000003</v>
      </c>
      <c r="G533" s="18" t="str">
        <f>Source!DF772</f>
        <v/>
      </c>
      <c r="H533" s="9">
        <f>Source!AV772</f>
        <v>1</v>
      </c>
      <c r="I533" s="9">
        <f>IF(Source!BS772&lt;&gt; 0, Source!BS772, 1)</f>
        <v>1</v>
      </c>
      <c r="J533" s="25">
        <f>Source!R772</f>
        <v>498.94</v>
      </c>
      <c r="K533" s="20"/>
    </row>
    <row r="534" spans="1:22" ht="15" x14ac:dyDescent="0.25">
      <c r="A534" s="23"/>
      <c r="B534" s="23"/>
      <c r="C534" s="23"/>
      <c r="D534" s="23"/>
      <c r="E534" s="23"/>
      <c r="F534" s="23"/>
      <c r="G534" s="23"/>
      <c r="H534" s="23"/>
      <c r="I534" s="65">
        <f>J532</f>
        <v>842.34</v>
      </c>
      <c r="J534" s="65"/>
      <c r="K534" s="24">
        <f>IF(Source!I772&lt;&gt;0, ROUND(I534/Source!I772, 2), 0)</f>
        <v>62.5</v>
      </c>
      <c r="P534" s="22">
        <f>I534</f>
        <v>842.34</v>
      </c>
    </row>
    <row r="535" spans="1:22" ht="57" x14ac:dyDescent="0.2">
      <c r="A535" s="15" t="str">
        <f>Source!E773</f>
        <v>105</v>
      </c>
      <c r="B535" s="16" t="str">
        <f>Source!F773</f>
        <v>1.49-9201-1-1/1</v>
      </c>
      <c r="C535" s="16" t="str">
        <f>Source!G773</f>
        <v>Перевозка строительного мусора автосамосвалами грузоподъемностью до 10 т на расстояние 1 км - при погрузке вручную</v>
      </c>
      <c r="D535" s="17" t="str">
        <f>Source!H773</f>
        <v>т</v>
      </c>
      <c r="E535" s="9">
        <f>Source!I773</f>
        <v>4.4924999999999997</v>
      </c>
      <c r="F535" s="19"/>
      <c r="G535" s="18"/>
      <c r="H535" s="9"/>
      <c r="I535" s="9"/>
      <c r="J535" s="20"/>
      <c r="K535" s="20"/>
      <c r="Q535">
        <f>ROUND((Source!BZ773/100)*ROUND((Source!AF773*Source!AV773)*Source!I773, 2), 2)</f>
        <v>0</v>
      </c>
      <c r="R535">
        <f>Source!X773</f>
        <v>0</v>
      </c>
      <c r="S535">
        <f>ROUND((Source!CA773/100)*ROUND((Source!AF773*Source!AV773)*Source!I773, 2), 2)</f>
        <v>0</v>
      </c>
      <c r="T535">
        <f>Source!Y773</f>
        <v>0</v>
      </c>
      <c r="U535">
        <f>ROUND((175/100)*ROUND((Source!AE773*Source!AV773)*Source!I773, 2), 2)</f>
        <v>834.93</v>
      </c>
      <c r="V535">
        <f>ROUND((108/100)*ROUND(Source!CS773*Source!I773, 2), 2)</f>
        <v>515.27</v>
      </c>
    </row>
    <row r="536" spans="1:22" ht="14.25" x14ac:dyDescent="0.2">
      <c r="A536" s="15"/>
      <c r="B536" s="16"/>
      <c r="C536" s="16" t="s">
        <v>561</v>
      </c>
      <c r="D536" s="17"/>
      <c r="E536" s="9"/>
      <c r="F536" s="19">
        <f>Source!AM773</f>
        <v>179.4</v>
      </c>
      <c r="G536" s="18" t="str">
        <f>Source!DE773</f>
        <v/>
      </c>
      <c r="H536" s="9">
        <f>Source!AV773</f>
        <v>1</v>
      </c>
      <c r="I536" s="9">
        <f>IF(Source!BB773&lt;&gt; 0, Source!BB773, 1)</f>
        <v>1</v>
      </c>
      <c r="J536" s="20">
        <f>Source!Q773</f>
        <v>805.95</v>
      </c>
      <c r="K536" s="20"/>
    </row>
    <row r="537" spans="1:22" ht="14.25" x14ac:dyDescent="0.2">
      <c r="A537" s="15"/>
      <c r="B537" s="16"/>
      <c r="C537" s="16" t="s">
        <v>567</v>
      </c>
      <c r="D537" s="17"/>
      <c r="E537" s="9"/>
      <c r="F537" s="19">
        <f>Source!AN773</f>
        <v>106.2</v>
      </c>
      <c r="G537" s="18" t="str">
        <f>Source!DF773</f>
        <v/>
      </c>
      <c r="H537" s="9">
        <f>Source!AV773</f>
        <v>1</v>
      </c>
      <c r="I537" s="9">
        <f>IF(Source!BS773&lt;&gt; 0, Source!BS773, 1)</f>
        <v>1</v>
      </c>
      <c r="J537" s="25">
        <f>Source!R773</f>
        <v>477.1</v>
      </c>
      <c r="K537" s="20"/>
    </row>
    <row r="538" spans="1:22" ht="15" x14ac:dyDescent="0.25">
      <c r="A538" s="23"/>
      <c r="B538" s="23"/>
      <c r="C538" s="23"/>
      <c r="D538" s="23"/>
      <c r="E538" s="23"/>
      <c r="F538" s="23"/>
      <c r="G538" s="23"/>
      <c r="H538" s="23"/>
      <c r="I538" s="65">
        <f>J536</f>
        <v>805.95</v>
      </c>
      <c r="J538" s="65"/>
      <c r="K538" s="24">
        <f>IF(Source!I773&lt;&gt;0, ROUND(I538/Source!I773, 2), 0)</f>
        <v>179.4</v>
      </c>
      <c r="P538" s="22">
        <f>I538</f>
        <v>805.95</v>
      </c>
    </row>
    <row r="539" spans="1:22" ht="57" x14ac:dyDescent="0.2">
      <c r="A539" s="15" t="str">
        <f>Source!E774</f>
        <v>106</v>
      </c>
      <c r="B539" s="16" t="str">
        <f>Source!F774</f>
        <v>1.49-9201-1-3/1</v>
      </c>
      <c r="C539" s="16" t="str">
        <f>Source!G774</f>
        <v>Перевозка строительного мусора автосамосвалами грузоподъемностью до 10 т - добавляется на каждый последующий 1 км до 100 км</v>
      </c>
      <c r="D539" s="17" t="str">
        <f>Source!H774</f>
        <v>т</v>
      </c>
      <c r="E539" s="9">
        <f>Source!I774</f>
        <v>17.97</v>
      </c>
      <c r="F539" s="19"/>
      <c r="G539" s="18"/>
      <c r="H539" s="9"/>
      <c r="I539" s="9"/>
      <c r="J539" s="20"/>
      <c r="K539" s="20"/>
      <c r="Q539">
        <f>ROUND((Source!BZ774/100)*ROUND((Source!AF774*Source!AV774)*Source!I774, 2), 2)</f>
        <v>0</v>
      </c>
      <c r="R539">
        <f>Source!X774</f>
        <v>0</v>
      </c>
      <c r="S539">
        <f>ROUND((Source!CA774/100)*ROUND((Source!AF774*Source!AV774)*Source!I774, 2), 2)</f>
        <v>0</v>
      </c>
      <c r="T539">
        <f>Source!Y774</f>
        <v>0</v>
      </c>
      <c r="U539">
        <f>ROUND((175/100)*ROUND((Source!AE774*Source!AV774)*Source!I774, 2), 2)</f>
        <v>8825.43</v>
      </c>
      <c r="V539">
        <f>ROUND((108/100)*ROUND(Source!CS774*Source!I774, 2), 2)</f>
        <v>5446.55</v>
      </c>
    </row>
    <row r="540" spans="1:22" x14ac:dyDescent="0.2">
      <c r="C540" s="21" t="str">
        <f>"Объем: "&amp;Source!I774&amp;"="&amp;Source!I772&amp;"+"&amp;""&amp;Source!I773&amp;""</f>
        <v>Объем: 17,97=13,4775+4,4925</v>
      </c>
    </row>
    <row r="541" spans="1:22" ht="14.25" x14ac:dyDescent="0.2">
      <c r="A541" s="15"/>
      <c r="B541" s="16"/>
      <c r="C541" s="16" t="s">
        <v>561</v>
      </c>
      <c r="D541" s="17"/>
      <c r="E541" s="9"/>
      <c r="F541" s="19">
        <f>Source!AM774</f>
        <v>29.58</v>
      </c>
      <c r="G541" s="18" t="str">
        <f>Source!DE774</f>
        <v>*16</v>
      </c>
      <c r="H541" s="9">
        <f>Source!AV774</f>
        <v>1</v>
      </c>
      <c r="I541" s="9">
        <f>IF(Source!BB774&lt;&gt; 0, Source!BB774, 1)</f>
        <v>1</v>
      </c>
      <c r="J541" s="20">
        <f>Source!Q774</f>
        <v>8504.84</v>
      </c>
      <c r="K541" s="20"/>
    </row>
    <row r="542" spans="1:22" ht="14.25" x14ac:dyDescent="0.2">
      <c r="A542" s="15"/>
      <c r="B542" s="16"/>
      <c r="C542" s="16" t="s">
        <v>567</v>
      </c>
      <c r="D542" s="17"/>
      <c r="E542" s="9"/>
      <c r="F542" s="19">
        <f>Source!AN774</f>
        <v>17.54</v>
      </c>
      <c r="G542" s="18" t="str">
        <f>Source!DF774</f>
        <v>*16</v>
      </c>
      <c r="H542" s="9">
        <f>Source!AV774</f>
        <v>1</v>
      </c>
      <c r="I542" s="9">
        <f>IF(Source!BS774&lt;&gt; 0, Source!BS774, 1)</f>
        <v>1</v>
      </c>
      <c r="J542" s="25">
        <f>Source!R774</f>
        <v>5043.1000000000004</v>
      </c>
      <c r="K542" s="20"/>
    </row>
    <row r="543" spans="1:22" ht="15" x14ac:dyDescent="0.25">
      <c r="A543" s="23"/>
      <c r="B543" s="23"/>
      <c r="C543" s="23"/>
      <c r="D543" s="23"/>
      <c r="E543" s="23"/>
      <c r="F543" s="23"/>
      <c r="G543" s="23"/>
      <c r="H543" s="23"/>
      <c r="I543" s="65">
        <f>J541</f>
        <v>8504.84</v>
      </c>
      <c r="J543" s="65"/>
      <c r="K543" s="24">
        <f>IF(Source!I774&lt;&gt;0, ROUND(I543/Source!I774, 2), 0)</f>
        <v>473.28</v>
      </c>
      <c r="P543" s="22">
        <f>I543</f>
        <v>8504.84</v>
      </c>
    </row>
    <row r="544" spans="1:22" ht="28.5" x14ac:dyDescent="0.2">
      <c r="A544" s="15" t="str">
        <f>Source!E775</f>
        <v>107</v>
      </c>
      <c r="B544" s="16" t="str">
        <f>Source!F775</f>
        <v>21.25-0-1</v>
      </c>
      <c r="C544" s="16" t="str">
        <f>Source!G775</f>
        <v>Содержание свалки отходов строительства и сноса</v>
      </c>
      <c r="D544" s="17" t="str">
        <f>Source!H775</f>
        <v>т</v>
      </c>
      <c r="E544" s="9">
        <f>Source!I775</f>
        <v>17.97</v>
      </c>
      <c r="F544" s="19">
        <f>Source!AL775</f>
        <v>197.96</v>
      </c>
      <c r="G544" s="18" t="str">
        <f>Source!DD775</f>
        <v/>
      </c>
      <c r="H544" s="9">
        <f>Source!AW775</f>
        <v>1</v>
      </c>
      <c r="I544" s="9">
        <f>IF(Source!BC775&lt;&gt; 0, Source!BC775, 1)</f>
        <v>1</v>
      </c>
      <c r="J544" s="20">
        <f>Source!P775</f>
        <v>3557.34</v>
      </c>
      <c r="K544" s="20"/>
      <c r="Q544">
        <f>ROUND((Source!BZ775/100)*ROUND((Source!AF775*Source!AV775)*Source!I775, 2), 2)</f>
        <v>0</v>
      </c>
      <c r="R544">
        <f>Source!X775</f>
        <v>0</v>
      </c>
      <c r="S544">
        <f>ROUND((Source!CA775/100)*ROUND((Source!AF775*Source!AV775)*Source!I775, 2), 2)</f>
        <v>0</v>
      </c>
      <c r="T544">
        <f>Source!Y775</f>
        <v>0</v>
      </c>
      <c r="U544">
        <f>ROUND((175/100)*ROUND((Source!AE775*Source!AV775)*Source!I775, 2), 2)</f>
        <v>0</v>
      </c>
      <c r="V544">
        <f>ROUND((108/100)*ROUND(Source!CS775*Source!I775, 2), 2)</f>
        <v>0</v>
      </c>
    </row>
    <row r="545" spans="1:22" ht="15" x14ac:dyDescent="0.25">
      <c r="A545" s="23"/>
      <c r="B545" s="23"/>
      <c r="C545" s="23"/>
      <c r="D545" s="23"/>
      <c r="E545" s="23"/>
      <c r="F545" s="23"/>
      <c r="G545" s="23"/>
      <c r="H545" s="23"/>
      <c r="I545" s="65">
        <f>J544</f>
        <v>3557.34</v>
      </c>
      <c r="J545" s="65"/>
      <c r="K545" s="24">
        <f>IF(Source!I775&lt;&gt;0, ROUND(I545/Source!I775, 2), 0)</f>
        <v>197.96</v>
      </c>
      <c r="P545" s="22">
        <f>I545</f>
        <v>3557.34</v>
      </c>
    </row>
    <row r="546" spans="1:22" ht="42.75" x14ac:dyDescent="0.2">
      <c r="A546" s="15" t="str">
        <f>Source!E779</f>
        <v>111</v>
      </c>
      <c r="B546" s="16" t="str">
        <f>Source!F779</f>
        <v>2.1-3303-1-1/1</v>
      </c>
      <c r="C546" s="16" t="str">
        <f>Source!G779</f>
        <v>Устройство подстилающих и выравнивающих слоев оснований из песка</v>
      </c>
      <c r="D546" s="17" t="str">
        <f>Source!H779</f>
        <v>100 м3</v>
      </c>
      <c r="E546" s="9">
        <f>Source!I779</f>
        <v>0.29899999999999999</v>
      </c>
      <c r="F546" s="19"/>
      <c r="G546" s="18"/>
      <c r="H546" s="9"/>
      <c r="I546" s="9"/>
      <c r="J546" s="20"/>
      <c r="K546" s="20"/>
      <c r="Q546">
        <f>ROUND((Source!BZ779/100)*ROUND((Source!AF779*Source!AV779)*Source!I779, 2), 2)</f>
        <v>617.80999999999995</v>
      </c>
      <c r="R546">
        <f>Source!X779</f>
        <v>617.80999999999995</v>
      </c>
      <c r="S546">
        <f>ROUND((Source!CA779/100)*ROUND((Source!AF779*Source!AV779)*Source!I779, 2), 2)</f>
        <v>88.26</v>
      </c>
      <c r="T546">
        <f>Source!Y779</f>
        <v>88.26</v>
      </c>
      <c r="U546">
        <f>ROUND((175/100)*ROUND((Source!AE779*Source!AV779)*Source!I779, 2), 2)</f>
        <v>1749.09</v>
      </c>
      <c r="V546">
        <f>ROUND((108/100)*ROUND(Source!CS779*Source!I779, 2), 2)</f>
        <v>1079.44</v>
      </c>
    </row>
    <row r="547" spans="1:22" x14ac:dyDescent="0.2">
      <c r="C547" s="21" t="str">
        <f>"Объем: "&amp;Source!I779&amp;"=(299*"&amp;"0,1)/"&amp;"100"</f>
        <v>Объем: 0,299=(299*0,1)/100</v>
      </c>
    </row>
    <row r="548" spans="1:22" ht="14.25" x14ac:dyDescent="0.2">
      <c r="A548" s="15"/>
      <c r="B548" s="16"/>
      <c r="C548" s="16" t="s">
        <v>560</v>
      </c>
      <c r="D548" s="17"/>
      <c r="E548" s="9"/>
      <c r="F548" s="19">
        <f>Source!AO779</f>
        <v>2951.82</v>
      </c>
      <c r="G548" s="18" t="str">
        <f>Source!DG779</f>
        <v/>
      </c>
      <c r="H548" s="9">
        <f>Source!AV779</f>
        <v>1</v>
      </c>
      <c r="I548" s="9">
        <f>IF(Source!BA779&lt;&gt; 0, Source!BA779, 1)</f>
        <v>1</v>
      </c>
      <c r="J548" s="20">
        <f>Source!S779</f>
        <v>882.59</v>
      </c>
      <c r="K548" s="20"/>
    </row>
    <row r="549" spans="1:22" ht="14.25" x14ac:dyDescent="0.2">
      <c r="A549" s="15"/>
      <c r="B549" s="16"/>
      <c r="C549" s="16" t="s">
        <v>561</v>
      </c>
      <c r="D549" s="17"/>
      <c r="E549" s="9"/>
      <c r="F549" s="19">
        <f>Source!AM779</f>
        <v>8265.0300000000007</v>
      </c>
      <c r="G549" s="18" t="str">
        <f>Source!DE779</f>
        <v/>
      </c>
      <c r="H549" s="9">
        <f>Source!AV779</f>
        <v>1</v>
      </c>
      <c r="I549" s="9">
        <f>IF(Source!BB779&lt;&gt; 0, Source!BB779, 1)</f>
        <v>1</v>
      </c>
      <c r="J549" s="20">
        <f>Source!Q779</f>
        <v>2471.2399999999998</v>
      </c>
      <c r="K549" s="20"/>
    </row>
    <row r="550" spans="1:22" ht="14.25" x14ac:dyDescent="0.2">
      <c r="A550" s="15"/>
      <c r="B550" s="16"/>
      <c r="C550" s="16" t="s">
        <v>567</v>
      </c>
      <c r="D550" s="17"/>
      <c r="E550" s="9"/>
      <c r="F550" s="19">
        <f>Source!AN779</f>
        <v>3342.74</v>
      </c>
      <c r="G550" s="18" t="str">
        <f>Source!DF779</f>
        <v/>
      </c>
      <c r="H550" s="9">
        <f>Source!AV779</f>
        <v>1</v>
      </c>
      <c r="I550" s="9">
        <f>IF(Source!BS779&lt;&gt; 0, Source!BS779, 1)</f>
        <v>1</v>
      </c>
      <c r="J550" s="25">
        <f>Source!R779</f>
        <v>999.48</v>
      </c>
      <c r="K550" s="20"/>
    </row>
    <row r="551" spans="1:22" ht="14.25" x14ac:dyDescent="0.2">
      <c r="A551" s="15"/>
      <c r="B551" s="16"/>
      <c r="C551" s="16" t="s">
        <v>575</v>
      </c>
      <c r="D551" s="17"/>
      <c r="E551" s="9"/>
      <c r="F551" s="19">
        <f>Source!AL779</f>
        <v>65154.45</v>
      </c>
      <c r="G551" s="18" t="str">
        <f>Source!DD779</f>
        <v/>
      </c>
      <c r="H551" s="9">
        <f>Source!AW779</f>
        <v>1</v>
      </c>
      <c r="I551" s="9">
        <f>IF(Source!BC779&lt;&gt; 0, Source!BC779, 1)</f>
        <v>1</v>
      </c>
      <c r="J551" s="20">
        <f>Source!P779</f>
        <v>19481.18</v>
      </c>
      <c r="K551" s="20"/>
    </row>
    <row r="552" spans="1:22" ht="14.25" x14ac:dyDescent="0.2">
      <c r="A552" s="15"/>
      <c r="B552" s="16"/>
      <c r="C552" s="16" t="s">
        <v>562</v>
      </c>
      <c r="D552" s="17" t="s">
        <v>563</v>
      </c>
      <c r="E552" s="9">
        <f>Source!AT779</f>
        <v>70</v>
      </c>
      <c r="F552" s="19"/>
      <c r="G552" s="18"/>
      <c r="H552" s="9"/>
      <c r="I552" s="9"/>
      <c r="J552" s="20">
        <f>SUM(R546:R551)</f>
        <v>617.80999999999995</v>
      </c>
      <c r="K552" s="20"/>
    </row>
    <row r="553" spans="1:22" ht="14.25" x14ac:dyDescent="0.2">
      <c r="A553" s="15"/>
      <c r="B553" s="16"/>
      <c r="C553" s="16" t="s">
        <v>564</v>
      </c>
      <c r="D553" s="17" t="s">
        <v>563</v>
      </c>
      <c r="E553" s="9">
        <f>Source!AU779</f>
        <v>10</v>
      </c>
      <c r="F553" s="19"/>
      <c r="G553" s="18"/>
      <c r="H553" s="9"/>
      <c r="I553" s="9"/>
      <c r="J553" s="20">
        <f>SUM(T546:T552)</f>
        <v>88.26</v>
      </c>
      <c r="K553" s="20"/>
    </row>
    <row r="554" spans="1:22" ht="14.25" x14ac:dyDescent="0.2">
      <c r="A554" s="15"/>
      <c r="B554" s="16"/>
      <c r="C554" s="16" t="s">
        <v>568</v>
      </c>
      <c r="D554" s="17" t="s">
        <v>563</v>
      </c>
      <c r="E554" s="9">
        <f>108</f>
        <v>108</v>
      </c>
      <c r="F554" s="19"/>
      <c r="G554" s="18"/>
      <c r="H554" s="9"/>
      <c r="I554" s="9"/>
      <c r="J554" s="20">
        <f>SUM(V546:V553)</f>
        <v>1079.44</v>
      </c>
      <c r="K554" s="20"/>
    </row>
    <row r="555" spans="1:22" ht="14.25" x14ac:dyDescent="0.2">
      <c r="A555" s="15"/>
      <c r="B555" s="16"/>
      <c r="C555" s="16" t="s">
        <v>565</v>
      </c>
      <c r="D555" s="17" t="s">
        <v>566</v>
      </c>
      <c r="E555" s="9">
        <f>Source!AQ779</f>
        <v>16.559999999999999</v>
      </c>
      <c r="F555" s="19"/>
      <c r="G555" s="18" t="str">
        <f>Source!DI779</f>
        <v/>
      </c>
      <c r="H555" s="9">
        <f>Source!AV779</f>
        <v>1</v>
      </c>
      <c r="I555" s="9"/>
      <c r="J555" s="20"/>
      <c r="K555" s="20">
        <f>Source!U779</f>
        <v>4.9514399999999998</v>
      </c>
    </row>
    <row r="556" spans="1:22" ht="15" x14ac:dyDescent="0.25">
      <c r="A556" s="23"/>
      <c r="B556" s="23"/>
      <c r="C556" s="23"/>
      <c r="D556" s="23"/>
      <c r="E556" s="23"/>
      <c r="F556" s="23"/>
      <c r="G556" s="23"/>
      <c r="H556" s="23"/>
      <c r="I556" s="65">
        <f>J548+J549+J551+J552+J553+J554</f>
        <v>24620.52</v>
      </c>
      <c r="J556" s="65"/>
      <c r="K556" s="24">
        <f>IF(Source!I779&lt;&gt;0, ROUND(I556/Source!I779, 2), 0)</f>
        <v>82342.880000000005</v>
      </c>
      <c r="P556" s="22">
        <f>I556</f>
        <v>24620.52</v>
      </c>
    </row>
    <row r="558" spans="1:22" ht="15" x14ac:dyDescent="0.25">
      <c r="A558" s="64" t="str">
        <f>CONCATENATE("Итого по подразделу: ",IF(Source!G783&lt;&gt;"Новый подраздел", Source!G783, ""))</f>
        <v>Итого по подразделу: Устройство покрытия</v>
      </c>
      <c r="B558" s="64"/>
      <c r="C558" s="64"/>
      <c r="D558" s="64"/>
      <c r="E558" s="64"/>
      <c r="F558" s="64"/>
      <c r="G558" s="64"/>
      <c r="H558" s="64"/>
      <c r="I558" s="62">
        <f>SUM(P500:P557)</f>
        <v>46998.55</v>
      </c>
      <c r="J558" s="63"/>
      <c r="K558" s="26"/>
    </row>
    <row r="561" spans="1:31" ht="15" x14ac:dyDescent="0.25">
      <c r="A561" s="64" t="str">
        <f>CONCATENATE("Итого по разделу: ",IF(Source!G813&lt;&gt;"Новый раздел", Source!G813, ""))</f>
        <v>Итого по разделу: ПК № 67 - 299,5 кв.м (кв. 18, выд. 32)</v>
      </c>
      <c r="B561" s="64"/>
      <c r="C561" s="64"/>
      <c r="D561" s="64"/>
      <c r="E561" s="64"/>
      <c r="F561" s="64"/>
      <c r="G561" s="64"/>
      <c r="H561" s="64"/>
      <c r="I561" s="62">
        <f>SUM(P483:P560)</f>
        <v>46998.55</v>
      </c>
      <c r="J561" s="63"/>
      <c r="K561" s="26"/>
    </row>
    <row r="563" spans="1:31" ht="14.25" x14ac:dyDescent="0.2">
      <c r="C563" s="67" t="str">
        <f>Source!H842</f>
        <v>НДС 20%</v>
      </c>
      <c r="D563" s="67"/>
      <c r="E563" s="67"/>
      <c r="F563" s="67"/>
      <c r="G563" s="67"/>
      <c r="H563" s="67"/>
      <c r="I563" s="68">
        <f>IF(Source!F842=0, "", Source!F842)</f>
        <v>9399.7099999999991</v>
      </c>
      <c r="J563" s="68"/>
    </row>
    <row r="564" spans="1:31" ht="14.25" x14ac:dyDescent="0.2">
      <c r="C564" s="67" t="str">
        <f>Source!H843</f>
        <v>Итого с НДС</v>
      </c>
      <c r="D564" s="67"/>
      <c r="E564" s="67"/>
      <c r="F564" s="67"/>
      <c r="G564" s="67"/>
      <c r="H564" s="67"/>
      <c r="I564" s="68">
        <f>IF(Source!F843=0, "", Source!F843)</f>
        <v>56398.26</v>
      </c>
      <c r="J564" s="68"/>
    </row>
    <row r="567" spans="1:31" ht="33" x14ac:dyDescent="0.25">
      <c r="A567" s="66" t="s">
        <v>640</v>
      </c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AE567" s="27" t="str">
        <f>CONCATENATE("Локальная смета: ",IF(Source!G877&lt;&gt;"Новая локальная смета", Source!G877, ""))</f>
        <v>Локальная смета: Ремонт экотроп (ЛЗ "Тропаревский" - 2,77 км (деревянные настилы - 4080 кв.м,деревянные перила - 315 кв.м, деревянная лестница - 208 кв.м) с демонтажем и монтажем МАФ</v>
      </c>
    </row>
    <row r="569" spans="1:31" ht="16.5" x14ac:dyDescent="0.25">
      <c r="A569" s="66" t="str">
        <f>CONCATENATE("Раздел: ",IF(Source!G881&lt;&gt;"Новый раздел", Source!G881, ""))</f>
        <v>Раздел: Деревянный настил</v>
      </c>
      <c r="B569" s="66"/>
      <c r="C569" s="66"/>
      <c r="D569" s="66"/>
      <c r="E569" s="66"/>
      <c r="F569" s="66"/>
      <c r="G569" s="66"/>
      <c r="H569" s="66"/>
      <c r="I569" s="66"/>
      <c r="J569" s="66"/>
      <c r="K569" s="66"/>
    </row>
    <row r="571" spans="1:31" ht="16.5" x14ac:dyDescent="0.25">
      <c r="A571" s="66" t="str">
        <f>CONCATENATE("Подраздел: ",IF(Source!G885&lt;&gt;"Новый подраздел", Source!G885, ""))</f>
        <v>Подраздел: Демонтажные работы</v>
      </c>
      <c r="B571" s="66"/>
      <c r="C571" s="66"/>
      <c r="D571" s="66"/>
      <c r="E571" s="66"/>
      <c r="F571" s="66"/>
      <c r="G571" s="66"/>
      <c r="H571" s="66"/>
      <c r="I571" s="66"/>
      <c r="J571" s="66"/>
      <c r="K571" s="66"/>
    </row>
    <row r="572" spans="1:31" ht="42.75" x14ac:dyDescent="0.2">
      <c r="A572" s="15" t="str">
        <f>Source!E889</f>
        <v>1</v>
      </c>
      <c r="B572" s="16" t="str">
        <f>Source!F889</f>
        <v>1.50-3205-12-1/1</v>
      </c>
      <c r="C572" s="16" t="str">
        <f>Source!G889</f>
        <v>Устройство деревянных настилов, ходов, переходов, мостиков (демонтаж)</v>
      </c>
      <c r="D572" s="17" t="str">
        <f>Source!H889</f>
        <v>100 м2</v>
      </c>
      <c r="E572" s="9">
        <f>Source!I889</f>
        <v>42.88</v>
      </c>
      <c r="F572" s="19"/>
      <c r="G572" s="18"/>
      <c r="H572" s="9"/>
      <c r="I572" s="9"/>
      <c r="J572" s="20"/>
      <c r="K572" s="20"/>
      <c r="Q572">
        <f>ROUND((Source!BZ889/100)*ROUND((Source!AF889*Source!AV889)*Source!I889, 2), 2)</f>
        <v>18044.54</v>
      </c>
      <c r="R572">
        <f>Source!X889</f>
        <v>18044.54</v>
      </c>
      <c r="S572">
        <f>ROUND((Source!CA889/100)*ROUND((Source!AF889*Source!AV889)*Source!I889, 2), 2)</f>
        <v>2577.79</v>
      </c>
      <c r="T572">
        <f>Source!Y889</f>
        <v>2577.79</v>
      </c>
      <c r="U572">
        <f>ROUND((175/100)*ROUND((Source!AE889*Source!AV889)*Source!I889, 2), 2)</f>
        <v>0</v>
      </c>
      <c r="V572">
        <f>ROUND((108/100)*ROUND(Source!CS889*Source!I889, 2), 2)</f>
        <v>0</v>
      </c>
    </row>
    <row r="573" spans="1:31" x14ac:dyDescent="0.2">
      <c r="C573" s="21" t="str">
        <f>"Объем: "&amp;Source!I889&amp;"=(4080+"&amp;"208)/"&amp;"100"</f>
        <v>Объем: 42,88=(4080+208)/100</v>
      </c>
    </row>
    <row r="574" spans="1:31" ht="14.25" x14ac:dyDescent="0.2">
      <c r="A574" s="15"/>
      <c r="B574" s="16"/>
      <c r="C574" s="16" t="s">
        <v>560</v>
      </c>
      <c r="D574" s="17"/>
      <c r="E574" s="9"/>
      <c r="F574" s="19">
        <f>Source!AO889</f>
        <v>3005.82</v>
      </c>
      <c r="G574" s="18" t="str">
        <f>Source!DG889</f>
        <v>*0,2</v>
      </c>
      <c r="H574" s="9">
        <f>Source!AV889</f>
        <v>1</v>
      </c>
      <c r="I574" s="9">
        <f>IF(Source!BA889&lt;&gt; 0, Source!BA889, 1)</f>
        <v>1</v>
      </c>
      <c r="J574" s="20">
        <f>Source!S889</f>
        <v>25777.91</v>
      </c>
      <c r="K574" s="20"/>
    </row>
    <row r="575" spans="1:31" ht="14.25" x14ac:dyDescent="0.2">
      <c r="A575" s="15"/>
      <c r="B575" s="16"/>
      <c r="C575" s="16" t="s">
        <v>562</v>
      </c>
      <c r="D575" s="17" t="s">
        <v>563</v>
      </c>
      <c r="E575" s="9">
        <f>Source!AT889</f>
        <v>70</v>
      </c>
      <c r="F575" s="19"/>
      <c r="G575" s="18"/>
      <c r="H575" s="9"/>
      <c r="I575" s="9"/>
      <c r="J575" s="20">
        <f>SUM(R572:R574)</f>
        <v>18044.54</v>
      </c>
      <c r="K575" s="20"/>
    </row>
    <row r="576" spans="1:31" ht="14.25" x14ac:dyDescent="0.2">
      <c r="A576" s="15"/>
      <c r="B576" s="16"/>
      <c r="C576" s="16" t="s">
        <v>564</v>
      </c>
      <c r="D576" s="17" t="s">
        <v>563</v>
      </c>
      <c r="E576" s="9">
        <f>Source!AU889</f>
        <v>10</v>
      </c>
      <c r="F576" s="19"/>
      <c r="G576" s="18"/>
      <c r="H576" s="9"/>
      <c r="I576" s="9"/>
      <c r="J576" s="20">
        <f>SUM(T572:T575)</f>
        <v>2577.79</v>
      </c>
      <c r="K576" s="20"/>
    </row>
    <row r="577" spans="1:22" ht="14.25" x14ac:dyDescent="0.2">
      <c r="A577" s="15"/>
      <c r="B577" s="16"/>
      <c r="C577" s="16" t="s">
        <v>565</v>
      </c>
      <c r="D577" s="17" t="s">
        <v>566</v>
      </c>
      <c r="E577" s="9">
        <f>Source!AQ889</f>
        <v>18.649999999999999</v>
      </c>
      <c r="F577" s="19"/>
      <c r="G577" s="18" t="str">
        <f>Source!DI889</f>
        <v>*0,2</v>
      </c>
      <c r="H577" s="9">
        <f>Source!AV889</f>
        <v>1</v>
      </c>
      <c r="I577" s="9"/>
      <c r="J577" s="20"/>
      <c r="K577" s="20">
        <f>Source!U889</f>
        <v>159.94240000000002</v>
      </c>
    </row>
    <row r="578" spans="1:22" ht="15" x14ac:dyDescent="0.25">
      <c r="A578" s="23"/>
      <c r="B578" s="23"/>
      <c r="C578" s="23"/>
      <c r="D578" s="23"/>
      <c r="E578" s="23"/>
      <c r="F578" s="23"/>
      <c r="G578" s="23"/>
      <c r="H578" s="23"/>
      <c r="I578" s="65">
        <f>J574+J575+J576</f>
        <v>46400.24</v>
      </c>
      <c r="J578" s="65"/>
      <c r="K578" s="24">
        <f>IF(Source!I889&lt;&gt;0, ROUND(I578/Source!I889, 2), 0)</f>
        <v>1082.0999999999999</v>
      </c>
      <c r="P578" s="22">
        <f>I578</f>
        <v>46400.24</v>
      </c>
    </row>
    <row r="579" spans="1:22" ht="28.5" x14ac:dyDescent="0.2">
      <c r="A579" s="15" t="str">
        <f>Source!E890</f>
        <v>2</v>
      </c>
      <c r="B579" s="16" t="str">
        <f>Source!F890</f>
        <v>5.3-3204-1-1/1</v>
      </c>
      <c r="C579" s="16" t="str">
        <f>Source!G890</f>
        <v>Разборка деревянных заборов инвентарных из готовых звеньев</v>
      </c>
      <c r="D579" s="17" t="str">
        <f>Source!H890</f>
        <v>100 м2</v>
      </c>
      <c r="E579" s="9">
        <f>Source!I890</f>
        <v>3.15</v>
      </c>
      <c r="F579" s="19"/>
      <c r="G579" s="18"/>
      <c r="H579" s="9"/>
      <c r="I579" s="9"/>
      <c r="J579" s="20"/>
      <c r="K579" s="20"/>
      <c r="Q579">
        <f>ROUND((Source!BZ890/100)*ROUND((Source!AF890*Source!AV890)*Source!I890, 2), 2)</f>
        <v>5886.43</v>
      </c>
      <c r="R579">
        <f>Source!X890</f>
        <v>5886.43</v>
      </c>
      <c r="S579">
        <f>ROUND((Source!CA890/100)*ROUND((Source!AF890*Source!AV890)*Source!I890, 2), 2)</f>
        <v>840.92</v>
      </c>
      <c r="T579">
        <f>Source!Y890</f>
        <v>840.92</v>
      </c>
      <c r="U579">
        <f>ROUND((175/100)*ROUND((Source!AE890*Source!AV890)*Source!I890, 2), 2)</f>
        <v>0</v>
      </c>
      <c r="V579">
        <f>ROUND((108/100)*ROUND(Source!CS890*Source!I890, 2), 2)</f>
        <v>0</v>
      </c>
    </row>
    <row r="580" spans="1:22" x14ac:dyDescent="0.2">
      <c r="C580" s="21" t="str">
        <f>"Объем: "&amp;Source!I890&amp;"=315/"&amp;"100"</f>
        <v>Объем: 3,15=315/100</v>
      </c>
    </row>
    <row r="581" spans="1:22" ht="14.25" x14ac:dyDescent="0.2">
      <c r="A581" s="15"/>
      <c r="B581" s="16"/>
      <c r="C581" s="16" t="s">
        <v>560</v>
      </c>
      <c r="D581" s="17"/>
      <c r="E581" s="9"/>
      <c r="F581" s="19">
        <f>Source!AO890</f>
        <v>2669.58</v>
      </c>
      <c r="G581" s="18" t="str">
        <f>Source!DG890</f>
        <v/>
      </c>
      <c r="H581" s="9">
        <f>Source!AV890</f>
        <v>1</v>
      </c>
      <c r="I581" s="9">
        <f>IF(Source!BA890&lt;&gt; 0, Source!BA890, 1)</f>
        <v>1</v>
      </c>
      <c r="J581" s="20">
        <f>Source!S890</f>
        <v>8409.18</v>
      </c>
      <c r="K581" s="20"/>
    </row>
    <row r="582" spans="1:22" ht="14.25" x14ac:dyDescent="0.2">
      <c r="A582" s="15"/>
      <c r="B582" s="16"/>
      <c r="C582" s="16" t="s">
        <v>561</v>
      </c>
      <c r="D582" s="17"/>
      <c r="E582" s="9"/>
      <c r="F582" s="19">
        <f>Source!AM890</f>
        <v>0.06</v>
      </c>
      <c r="G582" s="18" t="str">
        <f>Source!DE890</f>
        <v/>
      </c>
      <c r="H582" s="9">
        <f>Source!AV890</f>
        <v>1</v>
      </c>
      <c r="I582" s="9">
        <f>IF(Source!BB890&lt;&gt; 0, Source!BB890, 1)</f>
        <v>1</v>
      </c>
      <c r="J582" s="20">
        <f>Source!Q890</f>
        <v>0.19</v>
      </c>
      <c r="K582" s="20"/>
    </row>
    <row r="583" spans="1:22" ht="14.25" x14ac:dyDescent="0.2">
      <c r="A583" s="15"/>
      <c r="B583" s="16"/>
      <c r="C583" s="16" t="s">
        <v>562</v>
      </c>
      <c r="D583" s="17" t="s">
        <v>563</v>
      </c>
      <c r="E583" s="9">
        <f>Source!AT890</f>
        <v>70</v>
      </c>
      <c r="F583" s="19"/>
      <c r="G583" s="18"/>
      <c r="H583" s="9"/>
      <c r="I583" s="9"/>
      <c r="J583" s="20">
        <f>SUM(R579:R582)</f>
        <v>5886.43</v>
      </c>
      <c r="K583" s="20"/>
    </row>
    <row r="584" spans="1:22" ht="14.25" x14ac:dyDescent="0.2">
      <c r="A584" s="15"/>
      <c r="B584" s="16"/>
      <c r="C584" s="16" t="s">
        <v>564</v>
      </c>
      <c r="D584" s="17" t="s">
        <v>563</v>
      </c>
      <c r="E584" s="9">
        <f>Source!AU890</f>
        <v>10</v>
      </c>
      <c r="F584" s="19"/>
      <c r="G584" s="18"/>
      <c r="H584" s="9"/>
      <c r="I584" s="9"/>
      <c r="J584" s="20">
        <f>SUM(T579:T583)</f>
        <v>840.92</v>
      </c>
      <c r="K584" s="20"/>
    </row>
    <row r="585" spans="1:22" ht="14.25" x14ac:dyDescent="0.2">
      <c r="A585" s="15"/>
      <c r="B585" s="16"/>
      <c r="C585" s="16" t="s">
        <v>565</v>
      </c>
      <c r="D585" s="17" t="s">
        <v>566</v>
      </c>
      <c r="E585" s="9">
        <f>Source!AQ890</f>
        <v>15.15</v>
      </c>
      <c r="F585" s="19"/>
      <c r="G585" s="18" t="str">
        <f>Source!DI890</f>
        <v/>
      </c>
      <c r="H585" s="9">
        <f>Source!AV890</f>
        <v>1</v>
      </c>
      <c r="I585" s="9"/>
      <c r="J585" s="20"/>
      <c r="K585" s="20">
        <f>Source!U890</f>
        <v>47.722499999999997</v>
      </c>
    </row>
    <row r="586" spans="1:22" ht="15" x14ac:dyDescent="0.25">
      <c r="A586" s="23"/>
      <c r="B586" s="23"/>
      <c r="C586" s="23"/>
      <c r="D586" s="23"/>
      <c r="E586" s="23"/>
      <c r="F586" s="23"/>
      <c r="G586" s="23"/>
      <c r="H586" s="23"/>
      <c r="I586" s="65">
        <f>J581+J582+J583+J584</f>
        <v>15136.720000000001</v>
      </c>
      <c r="J586" s="65"/>
      <c r="K586" s="24">
        <f>IF(Source!I890&lt;&gt;0, ROUND(I586/Source!I890, 2), 0)</f>
        <v>4805.3100000000004</v>
      </c>
      <c r="P586" s="22">
        <f>I586</f>
        <v>15136.720000000001</v>
      </c>
    </row>
    <row r="587" spans="1:22" ht="28.5" x14ac:dyDescent="0.2">
      <c r="A587" s="15" t="str">
        <f>Source!E891</f>
        <v>3</v>
      </c>
      <c r="B587" s="16" t="str">
        <f>Source!F891</f>
        <v>1.10-3404-1-2/1</v>
      </c>
      <c r="C587" s="16" t="str">
        <f>Source!G891</f>
        <v>Разборка лаг из досок и брусков</v>
      </c>
      <c r="D587" s="17" t="str">
        <f>Source!H891</f>
        <v>100 м2</v>
      </c>
      <c r="E587" s="9">
        <f>Source!I891</f>
        <v>6.259836</v>
      </c>
      <c r="F587" s="19"/>
      <c r="G587" s="18"/>
      <c r="H587" s="9"/>
      <c r="I587" s="9"/>
      <c r="J587" s="20"/>
      <c r="K587" s="20"/>
      <c r="Q587">
        <f>ROUND((Source!BZ891/100)*ROUND((Source!AF891*Source!AV891)*Source!I891, 2), 2)</f>
        <v>5785.14</v>
      </c>
      <c r="R587">
        <f>Source!X891</f>
        <v>5785.14</v>
      </c>
      <c r="S587">
        <f>ROUND((Source!CA891/100)*ROUND((Source!AF891*Source!AV891)*Source!I891, 2), 2)</f>
        <v>826.45</v>
      </c>
      <c r="T587">
        <f>Source!Y891</f>
        <v>826.45</v>
      </c>
      <c r="U587">
        <f>ROUND((175/100)*ROUND((Source!AE891*Source!AV891)*Source!I891, 2), 2)</f>
        <v>0</v>
      </c>
      <c r="V587">
        <f>ROUND((108/100)*ROUND(Source!CS891*Source!I891, 2), 2)</f>
        <v>0</v>
      </c>
    </row>
    <row r="588" spans="1:22" ht="14.25" x14ac:dyDescent="0.2">
      <c r="A588" s="15"/>
      <c r="B588" s="16"/>
      <c r="C588" s="16" t="s">
        <v>560</v>
      </c>
      <c r="D588" s="17"/>
      <c r="E588" s="9"/>
      <c r="F588" s="19">
        <f>Source!AO891</f>
        <v>1320.24</v>
      </c>
      <c r="G588" s="18" t="str">
        <f>Source!DG891</f>
        <v/>
      </c>
      <c r="H588" s="9">
        <f>Source!AV891</f>
        <v>1</v>
      </c>
      <c r="I588" s="9">
        <f>IF(Source!BA891&lt;&gt; 0, Source!BA891, 1)</f>
        <v>1</v>
      </c>
      <c r="J588" s="20">
        <f>Source!S891</f>
        <v>8264.49</v>
      </c>
      <c r="K588" s="20"/>
    </row>
    <row r="589" spans="1:22" ht="14.25" x14ac:dyDescent="0.2">
      <c r="A589" s="15"/>
      <c r="B589" s="16"/>
      <c r="C589" s="16" t="s">
        <v>562</v>
      </c>
      <c r="D589" s="17" t="s">
        <v>563</v>
      </c>
      <c r="E589" s="9">
        <f>Source!AT891</f>
        <v>70</v>
      </c>
      <c r="F589" s="19"/>
      <c r="G589" s="18"/>
      <c r="H589" s="9"/>
      <c r="I589" s="9"/>
      <c r="J589" s="20">
        <f>SUM(R587:R588)</f>
        <v>5785.14</v>
      </c>
      <c r="K589" s="20"/>
    </row>
    <row r="590" spans="1:22" ht="14.25" x14ac:dyDescent="0.2">
      <c r="A590" s="15"/>
      <c r="B590" s="16"/>
      <c r="C590" s="16" t="s">
        <v>564</v>
      </c>
      <c r="D590" s="17" t="s">
        <v>563</v>
      </c>
      <c r="E590" s="9">
        <f>Source!AU891</f>
        <v>10</v>
      </c>
      <c r="F590" s="19"/>
      <c r="G590" s="18"/>
      <c r="H590" s="9"/>
      <c r="I590" s="9"/>
      <c r="J590" s="20">
        <f>SUM(T587:T589)</f>
        <v>826.45</v>
      </c>
      <c r="K590" s="20"/>
    </row>
    <row r="591" spans="1:22" ht="14.25" x14ac:dyDescent="0.2">
      <c r="A591" s="15"/>
      <c r="B591" s="16"/>
      <c r="C591" s="16" t="s">
        <v>565</v>
      </c>
      <c r="D591" s="17" t="s">
        <v>566</v>
      </c>
      <c r="E591" s="9">
        <f>Source!AQ891</f>
        <v>7.67</v>
      </c>
      <c r="F591" s="19"/>
      <c r="G591" s="18" t="str">
        <f>Source!DI891</f>
        <v/>
      </c>
      <c r="H591" s="9">
        <f>Source!AV891</f>
        <v>1</v>
      </c>
      <c r="I591" s="9"/>
      <c r="J591" s="20"/>
      <c r="K591" s="20">
        <f>Source!U891</f>
        <v>48.012942119999998</v>
      </c>
    </row>
    <row r="592" spans="1:22" ht="15" x14ac:dyDescent="0.25">
      <c r="A592" s="23"/>
      <c r="B592" s="23"/>
      <c r="C592" s="23"/>
      <c r="D592" s="23"/>
      <c r="E592" s="23"/>
      <c r="F592" s="23"/>
      <c r="G592" s="23"/>
      <c r="H592" s="23"/>
      <c r="I592" s="65">
        <f>J588+J589+J590</f>
        <v>14876.080000000002</v>
      </c>
      <c r="J592" s="65"/>
      <c r="K592" s="24">
        <f>IF(Source!I891&lt;&gt;0, ROUND(I592/Source!I891, 2), 0)</f>
        <v>2376.4299999999998</v>
      </c>
      <c r="P592" s="22">
        <f>I592</f>
        <v>14876.080000000002</v>
      </c>
    </row>
    <row r="593" spans="1:22" ht="42.75" x14ac:dyDescent="0.2">
      <c r="A593" s="15" t="str">
        <f>Source!E892</f>
        <v>4</v>
      </c>
      <c r="B593" s="16" t="str">
        <f>Source!F892</f>
        <v>1.49-9101-7-1/1</v>
      </c>
      <c r="C593" s="16" t="str">
        <f>Source!G892</f>
        <v>Механизированная погрузка строительного мусора в автомобили-самосвалы</v>
      </c>
      <c r="D593" s="17" t="str">
        <f>Source!H892</f>
        <v>т</v>
      </c>
      <c r="E593" s="9">
        <f>Source!I892</f>
        <v>70.802802</v>
      </c>
      <c r="F593" s="19"/>
      <c r="G593" s="18"/>
      <c r="H593" s="9"/>
      <c r="I593" s="9"/>
      <c r="J593" s="20"/>
      <c r="K593" s="20"/>
      <c r="Q593">
        <f>ROUND((Source!BZ892/100)*ROUND((Source!AF892*Source!AV892)*Source!I892, 2), 2)</f>
        <v>0</v>
      </c>
      <c r="R593">
        <f>Source!X892</f>
        <v>0</v>
      </c>
      <c r="S593">
        <f>ROUND((Source!CA892/100)*ROUND((Source!AF892*Source!AV892)*Source!I892, 2), 2)</f>
        <v>0</v>
      </c>
      <c r="T593">
        <f>Source!Y892</f>
        <v>0</v>
      </c>
      <c r="U593">
        <f>ROUND((175/100)*ROUND((Source!AE892*Source!AV892)*Source!I892, 2), 2)</f>
        <v>3046.82</v>
      </c>
      <c r="V593">
        <f>ROUND((108/100)*ROUND(Source!CS892*Source!I892, 2), 2)</f>
        <v>1880.32</v>
      </c>
    </row>
    <row r="594" spans="1:22" ht="25.5" x14ac:dyDescent="0.2">
      <c r="C594" s="21" t="str">
        <f>"Объем: "&amp;Source!I892&amp;"=((129,0688+"&amp;"2,0475)*"&amp;"0,6)*"&amp;"0,9"</f>
        <v>Объем: 70,802802=((129,0688+2,0475)*0,6)*0,9</v>
      </c>
    </row>
    <row r="595" spans="1:22" ht="14.25" x14ac:dyDescent="0.2">
      <c r="A595" s="15"/>
      <c r="B595" s="16"/>
      <c r="C595" s="16" t="s">
        <v>561</v>
      </c>
      <c r="D595" s="17"/>
      <c r="E595" s="9"/>
      <c r="F595" s="19">
        <f>Source!AM892</f>
        <v>77.959999999999994</v>
      </c>
      <c r="G595" s="18" t="str">
        <f>Source!DE892</f>
        <v/>
      </c>
      <c r="H595" s="9">
        <f>Source!AV892</f>
        <v>1</v>
      </c>
      <c r="I595" s="9">
        <f>IF(Source!BB892&lt;&gt; 0, Source!BB892, 1)</f>
        <v>1</v>
      </c>
      <c r="J595" s="20">
        <f>Source!Q892</f>
        <v>5519.79</v>
      </c>
      <c r="K595" s="20"/>
    </row>
    <row r="596" spans="1:22" ht="14.25" x14ac:dyDescent="0.2">
      <c r="A596" s="15"/>
      <c r="B596" s="16"/>
      <c r="C596" s="16" t="s">
        <v>567</v>
      </c>
      <c r="D596" s="17"/>
      <c r="E596" s="9"/>
      <c r="F596" s="19">
        <f>Source!AN892</f>
        <v>24.59</v>
      </c>
      <c r="G596" s="18" t="str">
        <f>Source!DF892</f>
        <v/>
      </c>
      <c r="H596" s="9">
        <f>Source!AV892</f>
        <v>1</v>
      </c>
      <c r="I596" s="9">
        <f>IF(Source!BS892&lt;&gt; 0, Source!BS892, 1)</f>
        <v>1</v>
      </c>
      <c r="J596" s="25">
        <f>Source!R892</f>
        <v>1741.04</v>
      </c>
      <c r="K596" s="20"/>
    </row>
    <row r="597" spans="1:22" ht="14.25" x14ac:dyDescent="0.2">
      <c r="A597" s="15"/>
      <c r="B597" s="16"/>
      <c r="C597" s="16" t="s">
        <v>568</v>
      </c>
      <c r="D597" s="17" t="s">
        <v>563</v>
      </c>
      <c r="E597" s="9">
        <f>108</f>
        <v>108</v>
      </c>
      <c r="F597" s="19"/>
      <c r="G597" s="18"/>
      <c r="H597" s="9"/>
      <c r="I597" s="9"/>
      <c r="J597" s="20">
        <f>SUM(V593:V596)</f>
        <v>1880.32</v>
      </c>
      <c r="K597" s="20"/>
    </row>
    <row r="598" spans="1:22" ht="15" x14ac:dyDescent="0.25">
      <c r="A598" s="23"/>
      <c r="B598" s="23"/>
      <c r="C598" s="23"/>
      <c r="D598" s="23"/>
      <c r="E598" s="23"/>
      <c r="F598" s="23"/>
      <c r="G598" s="23"/>
      <c r="H598" s="23"/>
      <c r="I598" s="65">
        <f>J595+J597</f>
        <v>7400.11</v>
      </c>
      <c r="J598" s="65"/>
      <c r="K598" s="24">
        <f>IF(Source!I892&lt;&gt;0, ROUND(I598/Source!I892, 2), 0)</f>
        <v>104.52</v>
      </c>
      <c r="P598" s="22">
        <f>I598</f>
        <v>7400.11</v>
      </c>
    </row>
    <row r="599" spans="1:22" ht="42.75" x14ac:dyDescent="0.2">
      <c r="A599" s="15" t="str">
        <f>Source!E893</f>
        <v>5</v>
      </c>
      <c r="B599" s="16" t="str">
        <f>Source!F893</f>
        <v>1.50-3305-4-1/1</v>
      </c>
      <c r="C599" s="16" t="str">
        <f>Source!G893</f>
        <v>Погрузка и выгрузка вручную строительного мусора на транспортные средства</v>
      </c>
      <c r="D599" s="17" t="str">
        <f>Source!H893</f>
        <v>т</v>
      </c>
      <c r="E599" s="9">
        <f>Source!I893</f>
        <v>7.8669779999999996</v>
      </c>
      <c r="F599" s="19"/>
      <c r="G599" s="18"/>
      <c r="H599" s="9"/>
      <c r="I599" s="9"/>
      <c r="J599" s="20"/>
      <c r="K599" s="20"/>
      <c r="Q599">
        <f>ROUND((Source!BZ893/100)*ROUND((Source!AF893*Source!AV893)*Source!I893, 2), 2)</f>
        <v>659.12</v>
      </c>
      <c r="R599">
        <f>Source!X893</f>
        <v>659.12</v>
      </c>
      <c r="S599">
        <f>ROUND((Source!CA893/100)*ROUND((Source!AF893*Source!AV893)*Source!I893, 2), 2)</f>
        <v>94.16</v>
      </c>
      <c r="T599">
        <f>Source!Y893</f>
        <v>94.16</v>
      </c>
      <c r="U599">
        <f>ROUND((175/100)*ROUND((Source!AE893*Source!AV893)*Source!I893, 2), 2)</f>
        <v>0</v>
      </c>
      <c r="V599">
        <f>ROUND((108/100)*ROUND(Source!CS893*Source!I893, 2), 2)</f>
        <v>0</v>
      </c>
    </row>
    <row r="600" spans="1:22" ht="25.5" x14ac:dyDescent="0.2">
      <c r="C600" s="21" t="str">
        <f>"Объем: "&amp;Source!I893&amp;"=((129,0688+"&amp;"2,0475)*"&amp;"0,6)*"&amp;"0,1"</f>
        <v>Объем: 7,866978=((129,0688+2,0475)*0,6)*0,1</v>
      </c>
    </row>
    <row r="601" spans="1:22" ht="14.25" x14ac:dyDescent="0.2">
      <c r="A601" s="15"/>
      <c r="B601" s="16"/>
      <c r="C601" s="16" t="s">
        <v>560</v>
      </c>
      <c r="D601" s="17"/>
      <c r="E601" s="9"/>
      <c r="F601" s="19">
        <f>Source!AO893</f>
        <v>119.69</v>
      </c>
      <c r="G601" s="18" t="str">
        <f>Source!DG893</f>
        <v/>
      </c>
      <c r="H601" s="9">
        <f>Source!AV893</f>
        <v>1</v>
      </c>
      <c r="I601" s="9">
        <f>IF(Source!BA893&lt;&gt; 0, Source!BA893, 1)</f>
        <v>1</v>
      </c>
      <c r="J601" s="20">
        <f>Source!S893</f>
        <v>941.6</v>
      </c>
      <c r="K601" s="20"/>
    </row>
    <row r="602" spans="1:22" ht="14.25" x14ac:dyDescent="0.2">
      <c r="A602" s="15"/>
      <c r="B602" s="16"/>
      <c r="C602" s="16" t="s">
        <v>562</v>
      </c>
      <c r="D602" s="17" t="s">
        <v>563</v>
      </c>
      <c r="E602" s="9">
        <f>Source!AT893</f>
        <v>70</v>
      </c>
      <c r="F602" s="19"/>
      <c r="G602" s="18"/>
      <c r="H602" s="9"/>
      <c r="I602" s="9"/>
      <c r="J602" s="20">
        <f>SUM(R599:R601)</f>
        <v>659.12</v>
      </c>
      <c r="K602" s="20"/>
    </row>
    <row r="603" spans="1:22" ht="14.25" x14ac:dyDescent="0.2">
      <c r="A603" s="15"/>
      <c r="B603" s="16"/>
      <c r="C603" s="16" t="s">
        <v>564</v>
      </c>
      <c r="D603" s="17" t="s">
        <v>563</v>
      </c>
      <c r="E603" s="9">
        <f>Source!AU893</f>
        <v>10</v>
      </c>
      <c r="F603" s="19"/>
      <c r="G603" s="18"/>
      <c r="H603" s="9"/>
      <c r="I603" s="9"/>
      <c r="J603" s="20">
        <f>SUM(T599:T602)</f>
        <v>94.16</v>
      </c>
      <c r="K603" s="20"/>
    </row>
    <row r="604" spans="1:22" ht="14.25" x14ac:dyDescent="0.2">
      <c r="A604" s="15"/>
      <c r="B604" s="16"/>
      <c r="C604" s="16" t="s">
        <v>565</v>
      </c>
      <c r="D604" s="17" t="s">
        <v>566</v>
      </c>
      <c r="E604" s="9">
        <f>Source!AQ893</f>
        <v>1.02</v>
      </c>
      <c r="F604" s="19"/>
      <c r="G604" s="18" t="str">
        <f>Source!DI893</f>
        <v/>
      </c>
      <c r="H604" s="9">
        <f>Source!AV893</f>
        <v>1</v>
      </c>
      <c r="I604" s="9"/>
      <c r="J604" s="20"/>
      <c r="K604" s="20">
        <f>Source!U893</f>
        <v>8.0243175600000001</v>
      </c>
    </row>
    <row r="605" spans="1:22" ht="15" x14ac:dyDescent="0.25">
      <c r="A605" s="23"/>
      <c r="B605" s="23"/>
      <c r="C605" s="23"/>
      <c r="D605" s="23"/>
      <c r="E605" s="23"/>
      <c r="F605" s="23"/>
      <c r="G605" s="23"/>
      <c r="H605" s="23"/>
      <c r="I605" s="65">
        <f>J601+J602+J603</f>
        <v>1694.88</v>
      </c>
      <c r="J605" s="65"/>
      <c r="K605" s="24">
        <f>IF(Source!I893&lt;&gt;0, ROUND(I605/Source!I893, 2), 0)</f>
        <v>215.44</v>
      </c>
      <c r="P605" s="22">
        <f>I605</f>
        <v>1694.88</v>
      </c>
    </row>
    <row r="606" spans="1:22" ht="57" x14ac:dyDescent="0.2">
      <c r="A606" s="15" t="str">
        <f>Source!E894</f>
        <v>6</v>
      </c>
      <c r="B606" s="16" t="str">
        <f>Source!F894</f>
        <v>1.49-9201-1-2/1</v>
      </c>
      <c r="C606" s="16" t="str">
        <f>Source!G894</f>
        <v>Перевозка строительного мусора автосамосвалами грузоподъемностью до 10 т на расстояние 1 км - при механизированной погрузке</v>
      </c>
      <c r="D606" s="17" t="str">
        <f>Source!H894</f>
        <v>т</v>
      </c>
      <c r="E606" s="9">
        <f>Source!I894</f>
        <v>70.802802</v>
      </c>
      <c r="F606" s="19"/>
      <c r="G606" s="18"/>
      <c r="H606" s="9"/>
      <c r="I606" s="9"/>
      <c r="J606" s="20"/>
      <c r="K606" s="20"/>
      <c r="Q606">
        <f>ROUND((Source!BZ894/100)*ROUND((Source!AF894*Source!AV894)*Source!I894, 2), 2)</f>
        <v>0</v>
      </c>
      <c r="R606">
        <f>Source!X894</f>
        <v>0</v>
      </c>
      <c r="S606">
        <f>ROUND((Source!CA894/100)*ROUND((Source!AF894*Source!AV894)*Source!I894, 2), 2)</f>
        <v>0</v>
      </c>
      <c r="T606">
        <f>Source!Y894</f>
        <v>0</v>
      </c>
      <c r="U606">
        <f>ROUND((175/100)*ROUND((Source!AE894*Source!AV894)*Source!I894, 2), 2)</f>
        <v>4586.96</v>
      </c>
      <c r="V606">
        <f>ROUND((108/100)*ROUND(Source!CS894*Source!I894, 2), 2)</f>
        <v>2830.81</v>
      </c>
    </row>
    <row r="607" spans="1:22" ht="14.25" x14ac:dyDescent="0.2">
      <c r="A607" s="15"/>
      <c r="B607" s="16"/>
      <c r="C607" s="16" t="s">
        <v>561</v>
      </c>
      <c r="D607" s="17"/>
      <c r="E607" s="9"/>
      <c r="F607" s="19">
        <f>Source!AM894</f>
        <v>62.5</v>
      </c>
      <c r="G607" s="18" t="str">
        <f>Source!DE894</f>
        <v/>
      </c>
      <c r="H607" s="9">
        <f>Source!AV894</f>
        <v>1</v>
      </c>
      <c r="I607" s="9">
        <f>IF(Source!BB894&lt;&gt; 0, Source!BB894, 1)</f>
        <v>1</v>
      </c>
      <c r="J607" s="20">
        <f>Source!Q894</f>
        <v>4425.18</v>
      </c>
      <c r="K607" s="20"/>
    </row>
    <row r="608" spans="1:22" ht="14.25" x14ac:dyDescent="0.2">
      <c r="A608" s="15"/>
      <c r="B608" s="16"/>
      <c r="C608" s="16" t="s">
        <v>567</v>
      </c>
      <c r="D608" s="17"/>
      <c r="E608" s="9"/>
      <c r="F608" s="19">
        <f>Source!AN894</f>
        <v>37.020000000000003</v>
      </c>
      <c r="G608" s="18" t="str">
        <f>Source!DF894</f>
        <v/>
      </c>
      <c r="H608" s="9">
        <f>Source!AV894</f>
        <v>1</v>
      </c>
      <c r="I608" s="9">
        <f>IF(Source!BS894&lt;&gt; 0, Source!BS894, 1)</f>
        <v>1</v>
      </c>
      <c r="J608" s="25">
        <f>Source!R894</f>
        <v>2621.12</v>
      </c>
      <c r="K608" s="20"/>
    </row>
    <row r="609" spans="1:22" ht="15" x14ac:dyDescent="0.25">
      <c r="A609" s="23"/>
      <c r="B609" s="23"/>
      <c r="C609" s="23"/>
      <c r="D609" s="23"/>
      <c r="E609" s="23"/>
      <c r="F609" s="23"/>
      <c r="G609" s="23"/>
      <c r="H609" s="23"/>
      <c r="I609" s="65">
        <f>J607</f>
        <v>4425.18</v>
      </c>
      <c r="J609" s="65"/>
      <c r="K609" s="24">
        <f>IF(Source!I894&lt;&gt;0, ROUND(I609/Source!I894, 2), 0)</f>
        <v>62.5</v>
      </c>
      <c r="P609" s="22">
        <f>I609</f>
        <v>4425.18</v>
      </c>
    </row>
    <row r="610" spans="1:22" ht="57" x14ac:dyDescent="0.2">
      <c r="A610" s="15" t="str">
        <f>Source!E895</f>
        <v>7</v>
      </c>
      <c r="B610" s="16" t="str">
        <f>Source!F895</f>
        <v>1.49-9201-1-1/1</v>
      </c>
      <c r="C610" s="16" t="str">
        <f>Source!G895</f>
        <v>Перевозка строительного мусора автосамосвалами грузоподъемностью до 10 т на расстояние 1 км - при погрузке вручную</v>
      </c>
      <c r="D610" s="17" t="str">
        <f>Source!H895</f>
        <v>т</v>
      </c>
      <c r="E610" s="9">
        <f>Source!I895</f>
        <v>7.8669779999999996</v>
      </c>
      <c r="F610" s="19"/>
      <c r="G610" s="18"/>
      <c r="H610" s="9"/>
      <c r="I610" s="9"/>
      <c r="J610" s="20"/>
      <c r="K610" s="20"/>
      <c r="Q610">
        <f>ROUND((Source!BZ895/100)*ROUND((Source!AF895*Source!AV895)*Source!I895, 2), 2)</f>
        <v>0</v>
      </c>
      <c r="R610">
        <f>Source!X895</f>
        <v>0</v>
      </c>
      <c r="S610">
        <f>ROUND((Source!CA895/100)*ROUND((Source!AF895*Source!AV895)*Source!I895, 2), 2)</f>
        <v>0</v>
      </c>
      <c r="T610">
        <f>Source!Y895</f>
        <v>0</v>
      </c>
      <c r="U610">
        <f>ROUND((175/100)*ROUND((Source!AE895*Source!AV895)*Source!I895, 2), 2)</f>
        <v>1462.07</v>
      </c>
      <c r="V610">
        <f>ROUND((108/100)*ROUND(Source!CS895*Source!I895, 2), 2)</f>
        <v>902.31</v>
      </c>
    </row>
    <row r="611" spans="1:22" ht="14.25" x14ac:dyDescent="0.2">
      <c r="A611" s="15"/>
      <c r="B611" s="16"/>
      <c r="C611" s="16" t="s">
        <v>561</v>
      </c>
      <c r="D611" s="17"/>
      <c r="E611" s="9"/>
      <c r="F611" s="19">
        <f>Source!AM895</f>
        <v>179.4</v>
      </c>
      <c r="G611" s="18" t="str">
        <f>Source!DE895</f>
        <v/>
      </c>
      <c r="H611" s="9">
        <f>Source!AV895</f>
        <v>1</v>
      </c>
      <c r="I611" s="9">
        <f>IF(Source!BB895&lt;&gt; 0, Source!BB895, 1)</f>
        <v>1</v>
      </c>
      <c r="J611" s="20">
        <f>Source!Q895</f>
        <v>1411.34</v>
      </c>
      <c r="K611" s="20"/>
    </row>
    <row r="612" spans="1:22" ht="14.25" x14ac:dyDescent="0.2">
      <c r="A612" s="15"/>
      <c r="B612" s="16"/>
      <c r="C612" s="16" t="s">
        <v>567</v>
      </c>
      <c r="D612" s="17"/>
      <c r="E612" s="9"/>
      <c r="F612" s="19">
        <f>Source!AN895</f>
        <v>106.2</v>
      </c>
      <c r="G612" s="18" t="str">
        <f>Source!DF895</f>
        <v/>
      </c>
      <c r="H612" s="9">
        <f>Source!AV895</f>
        <v>1</v>
      </c>
      <c r="I612" s="9">
        <f>IF(Source!BS895&lt;&gt; 0, Source!BS895, 1)</f>
        <v>1</v>
      </c>
      <c r="J612" s="25">
        <f>Source!R895</f>
        <v>835.47</v>
      </c>
      <c r="K612" s="20"/>
    </row>
    <row r="613" spans="1:22" ht="15" x14ac:dyDescent="0.25">
      <c r="A613" s="23"/>
      <c r="B613" s="23"/>
      <c r="C613" s="23"/>
      <c r="D613" s="23"/>
      <c r="E613" s="23"/>
      <c r="F613" s="23"/>
      <c r="G613" s="23"/>
      <c r="H613" s="23"/>
      <c r="I613" s="65">
        <f>J611</f>
        <v>1411.34</v>
      </c>
      <c r="J613" s="65"/>
      <c r="K613" s="24">
        <f>IF(Source!I895&lt;&gt;0, ROUND(I613/Source!I895, 2), 0)</f>
        <v>179.4</v>
      </c>
      <c r="P613" s="22">
        <f>I613</f>
        <v>1411.34</v>
      </c>
    </row>
    <row r="614" spans="1:22" ht="57" x14ac:dyDescent="0.2">
      <c r="A614" s="15" t="str">
        <f>Source!E896</f>
        <v>8</v>
      </c>
      <c r="B614" s="16" t="str">
        <f>Source!F896</f>
        <v>1.49-9201-1-3/1</v>
      </c>
      <c r="C614" s="16" t="str">
        <f>Source!G896</f>
        <v>Перевозка строительного мусора автосамосвалами грузоподъемностью до 10 т - добавляется на каждый последующий 1 км до 100 км</v>
      </c>
      <c r="D614" s="17" t="str">
        <f>Source!H896</f>
        <v>т</v>
      </c>
      <c r="E614" s="9">
        <f>Source!I896</f>
        <v>78.669780000000003</v>
      </c>
      <c r="F614" s="19"/>
      <c r="G614" s="18"/>
      <c r="H614" s="9"/>
      <c r="I614" s="9"/>
      <c r="J614" s="20"/>
      <c r="K614" s="20"/>
      <c r="Q614">
        <f>ROUND((Source!BZ896/100)*ROUND((Source!AF896*Source!AV896)*Source!I896, 2), 2)</f>
        <v>0</v>
      </c>
      <c r="R614">
        <f>Source!X896</f>
        <v>0</v>
      </c>
      <c r="S614">
        <f>ROUND((Source!CA896/100)*ROUND((Source!AF896*Source!AV896)*Source!I896, 2), 2)</f>
        <v>0</v>
      </c>
      <c r="T614">
        <f>Source!Y896</f>
        <v>0</v>
      </c>
      <c r="U614">
        <f>ROUND((175/100)*ROUND((Source!AE896*Source!AV896)*Source!I896, 2), 2)</f>
        <v>57954.45</v>
      </c>
      <c r="V614">
        <f>ROUND((108/100)*ROUND(Source!CS896*Source!I896, 2), 2)</f>
        <v>35766.18</v>
      </c>
    </row>
    <row r="615" spans="1:22" x14ac:dyDescent="0.2">
      <c r="C615" s="21" t="str">
        <f>"Объем: "&amp;Source!I896&amp;"="&amp;Source!I894&amp;"+"&amp;""&amp;Source!I895&amp;""</f>
        <v>Объем: 78,66978=70,802802+7,866978</v>
      </c>
    </row>
    <row r="616" spans="1:22" ht="14.25" x14ac:dyDescent="0.2">
      <c r="A616" s="15"/>
      <c r="B616" s="16"/>
      <c r="C616" s="16" t="s">
        <v>561</v>
      </c>
      <c r="D616" s="17"/>
      <c r="E616" s="9"/>
      <c r="F616" s="19">
        <f>Source!AM896</f>
        <v>29.58</v>
      </c>
      <c r="G616" s="18" t="str">
        <f>Source!DE896</f>
        <v>*24</v>
      </c>
      <c r="H616" s="9">
        <f>Source!AV896</f>
        <v>1</v>
      </c>
      <c r="I616" s="9">
        <f>IF(Source!BB896&lt;&gt; 0, Source!BB896, 1)</f>
        <v>1</v>
      </c>
      <c r="J616" s="20">
        <f>Source!Q896</f>
        <v>55849.25</v>
      </c>
      <c r="K616" s="20"/>
    </row>
    <row r="617" spans="1:22" ht="14.25" x14ac:dyDescent="0.2">
      <c r="A617" s="15"/>
      <c r="B617" s="16"/>
      <c r="C617" s="16" t="s">
        <v>567</v>
      </c>
      <c r="D617" s="17"/>
      <c r="E617" s="9"/>
      <c r="F617" s="19">
        <f>Source!AN896</f>
        <v>17.54</v>
      </c>
      <c r="G617" s="18" t="str">
        <f>Source!DF896</f>
        <v>*24</v>
      </c>
      <c r="H617" s="9">
        <f>Source!AV896</f>
        <v>1</v>
      </c>
      <c r="I617" s="9">
        <f>IF(Source!BS896&lt;&gt; 0, Source!BS896, 1)</f>
        <v>1</v>
      </c>
      <c r="J617" s="25">
        <f>Source!R896</f>
        <v>33116.83</v>
      </c>
      <c r="K617" s="20"/>
    </row>
    <row r="618" spans="1:22" ht="15" x14ac:dyDescent="0.25">
      <c r="A618" s="23"/>
      <c r="B618" s="23"/>
      <c r="C618" s="23"/>
      <c r="D618" s="23"/>
      <c r="E618" s="23"/>
      <c r="F618" s="23"/>
      <c r="G618" s="23"/>
      <c r="H618" s="23"/>
      <c r="I618" s="65">
        <f>J616</f>
        <v>55849.25</v>
      </c>
      <c r="J618" s="65"/>
      <c r="K618" s="24">
        <f>IF(Source!I896&lt;&gt;0, ROUND(I618/Source!I896, 2), 0)</f>
        <v>709.92</v>
      </c>
      <c r="P618" s="22">
        <f>I618</f>
        <v>55849.25</v>
      </c>
    </row>
    <row r="619" spans="1:22" ht="28.5" x14ac:dyDescent="0.2">
      <c r="A619" s="15" t="str">
        <f>Source!E897</f>
        <v>9</v>
      </c>
      <c r="B619" s="16" t="str">
        <f>Source!F897</f>
        <v>21.25-0-1</v>
      </c>
      <c r="C619" s="16" t="str">
        <f>Source!G897</f>
        <v>Содержание свалки отходов строительства и сноса</v>
      </c>
      <c r="D619" s="17" t="str">
        <f>Source!H897</f>
        <v>т</v>
      </c>
      <c r="E619" s="9">
        <f>Source!I897</f>
        <v>78.669780000000003</v>
      </c>
      <c r="F619" s="19">
        <f>Source!AL897</f>
        <v>197.96</v>
      </c>
      <c r="G619" s="18" t="str">
        <f>Source!DD897</f>
        <v/>
      </c>
      <c r="H619" s="9">
        <f>Source!AW897</f>
        <v>1</v>
      </c>
      <c r="I619" s="9">
        <f>IF(Source!BC897&lt;&gt; 0, Source!BC897, 1)</f>
        <v>1</v>
      </c>
      <c r="J619" s="20">
        <f>Source!P897</f>
        <v>15573.47</v>
      </c>
      <c r="K619" s="20"/>
      <c r="Q619">
        <f>ROUND((Source!BZ897/100)*ROUND((Source!AF897*Source!AV897)*Source!I897, 2), 2)</f>
        <v>0</v>
      </c>
      <c r="R619">
        <f>Source!X897</f>
        <v>0</v>
      </c>
      <c r="S619">
        <f>ROUND((Source!CA897/100)*ROUND((Source!AF897*Source!AV897)*Source!I897, 2), 2)</f>
        <v>0</v>
      </c>
      <c r="T619">
        <f>Source!Y897</f>
        <v>0</v>
      </c>
      <c r="U619">
        <f>ROUND((175/100)*ROUND((Source!AE897*Source!AV897)*Source!I897, 2), 2)</f>
        <v>0</v>
      </c>
      <c r="V619">
        <f>ROUND((108/100)*ROUND(Source!CS897*Source!I897, 2), 2)</f>
        <v>0</v>
      </c>
    </row>
    <row r="620" spans="1:22" ht="15" x14ac:dyDescent="0.25">
      <c r="A620" s="23"/>
      <c r="B620" s="23"/>
      <c r="C620" s="23"/>
      <c r="D620" s="23"/>
      <c r="E620" s="23"/>
      <c r="F620" s="23"/>
      <c r="G620" s="23"/>
      <c r="H620" s="23"/>
      <c r="I620" s="65">
        <f>J619</f>
        <v>15573.47</v>
      </c>
      <c r="J620" s="65"/>
      <c r="K620" s="24">
        <f>IF(Source!I897&lt;&gt;0, ROUND(I620/Source!I897, 2), 0)</f>
        <v>197.96</v>
      </c>
      <c r="P620" s="22">
        <f>I620</f>
        <v>15573.47</v>
      </c>
    </row>
    <row r="622" spans="1:22" ht="15" x14ac:dyDescent="0.25">
      <c r="A622" s="64" t="str">
        <f>CONCATENATE("Итого по подразделу: ",IF(Source!G900&lt;&gt;"Новый подраздел", Source!G900, ""))</f>
        <v>Итого по подразделу: Демонтажные работы</v>
      </c>
      <c r="B622" s="64"/>
      <c r="C622" s="64"/>
      <c r="D622" s="64"/>
      <c r="E622" s="64"/>
      <c r="F622" s="64"/>
      <c r="G622" s="64"/>
      <c r="H622" s="64"/>
      <c r="I622" s="62">
        <f>SUM(P571:P621)</f>
        <v>162767.27000000002</v>
      </c>
      <c r="J622" s="63"/>
      <c r="K622" s="26"/>
    </row>
    <row r="625" spans="1:22" ht="16.5" x14ac:dyDescent="0.25">
      <c r="A625" s="66" t="str">
        <f>CONCATENATE("Подраздел: ",IF(Source!G930&lt;&gt;"Новый подраздел", Source!G930, ""))</f>
        <v>Подраздел: Монтажные работы</v>
      </c>
      <c r="B625" s="66"/>
      <c r="C625" s="66"/>
      <c r="D625" s="66"/>
      <c r="E625" s="66"/>
      <c r="F625" s="66"/>
      <c r="G625" s="66"/>
      <c r="H625" s="66"/>
      <c r="I625" s="66"/>
      <c r="J625" s="66"/>
      <c r="K625" s="66"/>
    </row>
    <row r="626" spans="1:22" ht="42.75" x14ac:dyDescent="0.2">
      <c r="A626" s="15" t="str">
        <f>Source!E934</f>
        <v>11</v>
      </c>
      <c r="B626" s="16" t="str">
        <f>Source!F934</f>
        <v>5.3-3204-1-1/1</v>
      </c>
      <c r="C626" s="16" t="str">
        <f>Source!G934</f>
        <v>Разборка деревянных заборов инвентарных из готовых звеньев (прим. демонтаж МАФ)</v>
      </c>
      <c r="D626" s="17" t="str">
        <f>Source!H934</f>
        <v>100 м2</v>
      </c>
      <c r="E626" s="9">
        <f>Source!I934</f>
        <v>3.38</v>
      </c>
      <c r="F626" s="19"/>
      <c r="G626" s="18"/>
      <c r="H626" s="9"/>
      <c r="I626" s="9"/>
      <c r="J626" s="20"/>
      <c r="K626" s="20"/>
      <c r="Q626">
        <f>ROUND((Source!BZ934/100)*ROUND((Source!AF934*Source!AV934)*Source!I934, 2), 2)</f>
        <v>6316.23</v>
      </c>
      <c r="R626">
        <f>Source!X934</f>
        <v>6316.23</v>
      </c>
      <c r="S626">
        <f>ROUND((Source!CA934/100)*ROUND((Source!AF934*Source!AV934)*Source!I934, 2), 2)</f>
        <v>902.32</v>
      </c>
      <c r="T626">
        <f>Source!Y934</f>
        <v>902.32</v>
      </c>
      <c r="U626">
        <f>ROUND((175/100)*ROUND((Source!AE934*Source!AV934)*Source!I934, 2), 2)</f>
        <v>0</v>
      </c>
      <c r="V626">
        <f>ROUND((108/100)*ROUND(Source!CS934*Source!I934, 2), 2)</f>
        <v>0</v>
      </c>
    </row>
    <row r="627" spans="1:22" x14ac:dyDescent="0.2">
      <c r="C627" s="21" t="str">
        <f>"Объем: "&amp;Source!I934&amp;"=338/"&amp;"100"</f>
        <v>Объем: 3,38=338/100</v>
      </c>
    </row>
    <row r="628" spans="1:22" ht="14.25" x14ac:dyDescent="0.2">
      <c r="A628" s="15"/>
      <c r="B628" s="16"/>
      <c r="C628" s="16" t="s">
        <v>560</v>
      </c>
      <c r="D628" s="17"/>
      <c r="E628" s="9"/>
      <c r="F628" s="19">
        <f>Source!AO934</f>
        <v>2669.58</v>
      </c>
      <c r="G628" s="18" t="str">
        <f>Source!DG934</f>
        <v/>
      </c>
      <c r="H628" s="9">
        <f>Source!AV934</f>
        <v>1</v>
      </c>
      <c r="I628" s="9">
        <f>IF(Source!BA934&lt;&gt; 0, Source!BA934, 1)</f>
        <v>1</v>
      </c>
      <c r="J628" s="20">
        <f>Source!S934</f>
        <v>9023.18</v>
      </c>
      <c r="K628" s="20"/>
    </row>
    <row r="629" spans="1:22" ht="14.25" x14ac:dyDescent="0.2">
      <c r="A629" s="15"/>
      <c r="B629" s="16"/>
      <c r="C629" s="16" t="s">
        <v>561</v>
      </c>
      <c r="D629" s="17"/>
      <c r="E629" s="9"/>
      <c r="F629" s="19">
        <f>Source!AM934</f>
        <v>0.06</v>
      </c>
      <c r="G629" s="18" t="str">
        <f>Source!DE934</f>
        <v/>
      </c>
      <c r="H629" s="9">
        <f>Source!AV934</f>
        <v>1</v>
      </c>
      <c r="I629" s="9">
        <f>IF(Source!BB934&lt;&gt; 0, Source!BB934, 1)</f>
        <v>1</v>
      </c>
      <c r="J629" s="20">
        <f>Source!Q934</f>
        <v>0.2</v>
      </c>
      <c r="K629" s="20"/>
    </row>
    <row r="630" spans="1:22" ht="14.25" x14ac:dyDescent="0.2">
      <c r="A630" s="15"/>
      <c r="B630" s="16"/>
      <c r="C630" s="16" t="s">
        <v>562</v>
      </c>
      <c r="D630" s="17" t="s">
        <v>563</v>
      </c>
      <c r="E630" s="9">
        <f>Source!AT934</f>
        <v>70</v>
      </c>
      <c r="F630" s="19"/>
      <c r="G630" s="18"/>
      <c r="H630" s="9"/>
      <c r="I630" s="9"/>
      <c r="J630" s="20">
        <f>SUM(R626:R629)</f>
        <v>6316.23</v>
      </c>
      <c r="K630" s="20"/>
    </row>
    <row r="631" spans="1:22" ht="14.25" x14ac:dyDescent="0.2">
      <c r="A631" s="15"/>
      <c r="B631" s="16"/>
      <c r="C631" s="16" t="s">
        <v>564</v>
      </c>
      <c r="D631" s="17" t="s">
        <v>563</v>
      </c>
      <c r="E631" s="9">
        <f>Source!AU934</f>
        <v>10</v>
      </c>
      <c r="F631" s="19"/>
      <c r="G631" s="18"/>
      <c r="H631" s="9"/>
      <c r="I631" s="9"/>
      <c r="J631" s="20">
        <f>SUM(T626:T630)</f>
        <v>902.32</v>
      </c>
      <c r="K631" s="20"/>
    </row>
    <row r="632" spans="1:22" ht="14.25" x14ac:dyDescent="0.2">
      <c r="A632" s="15"/>
      <c r="B632" s="16"/>
      <c r="C632" s="16" t="s">
        <v>565</v>
      </c>
      <c r="D632" s="17" t="s">
        <v>566</v>
      </c>
      <c r="E632" s="9">
        <f>Source!AQ934</f>
        <v>15.15</v>
      </c>
      <c r="F632" s="19"/>
      <c r="G632" s="18" t="str">
        <f>Source!DI934</f>
        <v/>
      </c>
      <c r="H632" s="9">
        <f>Source!AV934</f>
        <v>1</v>
      </c>
      <c r="I632" s="9"/>
      <c r="J632" s="20"/>
      <c r="K632" s="20">
        <f>Source!U934</f>
        <v>51.207000000000001</v>
      </c>
    </row>
    <row r="633" spans="1:22" ht="15" x14ac:dyDescent="0.25">
      <c r="A633" s="23"/>
      <c r="B633" s="23"/>
      <c r="C633" s="23"/>
      <c r="D633" s="23"/>
      <c r="E633" s="23"/>
      <c r="F633" s="23"/>
      <c r="G633" s="23"/>
      <c r="H633" s="23"/>
      <c r="I633" s="65">
        <f>J628+J629+J630+J631</f>
        <v>16241.93</v>
      </c>
      <c r="J633" s="65"/>
      <c r="K633" s="24">
        <f>IF(Source!I934&lt;&gt;0, ROUND(I633/Source!I934, 2), 0)</f>
        <v>4805.3</v>
      </c>
      <c r="P633" s="22">
        <f>I633</f>
        <v>16241.93</v>
      </c>
    </row>
    <row r="634" spans="1:22" ht="42.75" x14ac:dyDescent="0.2">
      <c r="A634" s="15" t="str">
        <f>Source!E935</f>
        <v>12</v>
      </c>
      <c r="B634" s="16" t="str">
        <f>Source!F935</f>
        <v>5.3-3203-1-2/1</v>
      </c>
      <c r="C634" s="16" t="str">
        <f>Source!G935</f>
        <v>Устройство деревянных заборов инвентарных из готовых звеньев (прим. монтаж   МАФ)</v>
      </c>
      <c r="D634" s="17" t="str">
        <f>Source!H935</f>
        <v>100 м2</v>
      </c>
      <c r="E634" s="9">
        <f>Source!I935</f>
        <v>3.38</v>
      </c>
      <c r="F634" s="19"/>
      <c r="G634" s="18"/>
      <c r="H634" s="9"/>
      <c r="I634" s="9"/>
      <c r="J634" s="20"/>
      <c r="K634" s="20"/>
      <c r="Q634">
        <f>ROUND((Source!BZ935/100)*ROUND((Source!AF935*Source!AV935)*Source!I935, 2), 2)</f>
        <v>15119.03</v>
      </c>
      <c r="R634">
        <f>Source!X935</f>
        <v>15119.03</v>
      </c>
      <c r="S634">
        <f>ROUND((Source!CA935/100)*ROUND((Source!AF935*Source!AV935)*Source!I935, 2), 2)</f>
        <v>2159.86</v>
      </c>
      <c r="T634">
        <f>Source!Y935</f>
        <v>2159.86</v>
      </c>
      <c r="U634">
        <f>ROUND((175/100)*ROUND((Source!AE935*Source!AV935)*Source!I935, 2), 2)</f>
        <v>0</v>
      </c>
      <c r="V634">
        <f>ROUND((108/100)*ROUND(Source!CS935*Source!I935, 2), 2)</f>
        <v>0</v>
      </c>
    </row>
    <row r="635" spans="1:22" x14ac:dyDescent="0.2">
      <c r="C635" s="21" t="str">
        <f>"Объем: "&amp;Source!I935&amp;"=338/"&amp;"100"</f>
        <v>Объем: 3,38=338/100</v>
      </c>
    </row>
    <row r="636" spans="1:22" ht="14.25" x14ac:dyDescent="0.2">
      <c r="A636" s="15"/>
      <c r="B636" s="16"/>
      <c r="C636" s="16" t="s">
        <v>560</v>
      </c>
      <c r="D636" s="17"/>
      <c r="E636" s="9"/>
      <c r="F636" s="19">
        <f>Source!AO935</f>
        <v>6390.12</v>
      </c>
      <c r="G636" s="18" t="str">
        <f>Source!DG935</f>
        <v/>
      </c>
      <c r="H636" s="9">
        <f>Source!AV935</f>
        <v>1</v>
      </c>
      <c r="I636" s="9">
        <f>IF(Source!BA935&lt;&gt; 0, Source!BA935, 1)</f>
        <v>1</v>
      </c>
      <c r="J636" s="20">
        <f>Source!S935</f>
        <v>21598.61</v>
      </c>
      <c r="K636" s="20"/>
    </row>
    <row r="637" spans="1:22" ht="14.25" x14ac:dyDescent="0.2">
      <c r="A637" s="15"/>
      <c r="B637" s="16"/>
      <c r="C637" s="16" t="s">
        <v>562</v>
      </c>
      <c r="D637" s="17" t="s">
        <v>563</v>
      </c>
      <c r="E637" s="9">
        <f>Source!AT935</f>
        <v>70</v>
      </c>
      <c r="F637" s="19"/>
      <c r="G637" s="18"/>
      <c r="H637" s="9"/>
      <c r="I637" s="9"/>
      <c r="J637" s="20">
        <f>SUM(R634:R636)</f>
        <v>15119.03</v>
      </c>
      <c r="K637" s="20"/>
    </row>
    <row r="638" spans="1:22" ht="14.25" x14ac:dyDescent="0.2">
      <c r="A638" s="15"/>
      <c r="B638" s="16"/>
      <c r="C638" s="16" t="s">
        <v>564</v>
      </c>
      <c r="D638" s="17" t="s">
        <v>563</v>
      </c>
      <c r="E638" s="9">
        <f>Source!AU935</f>
        <v>10</v>
      </c>
      <c r="F638" s="19"/>
      <c r="G638" s="18"/>
      <c r="H638" s="9"/>
      <c r="I638" s="9"/>
      <c r="J638" s="20">
        <f>SUM(T634:T637)</f>
        <v>2159.86</v>
      </c>
      <c r="K638" s="20"/>
    </row>
    <row r="639" spans="1:22" ht="14.25" x14ac:dyDescent="0.2">
      <c r="A639" s="15"/>
      <c r="B639" s="16"/>
      <c r="C639" s="16" t="s">
        <v>565</v>
      </c>
      <c r="D639" s="17" t="s">
        <v>566</v>
      </c>
      <c r="E639" s="9">
        <f>Source!AQ935</f>
        <v>32.479999999999997</v>
      </c>
      <c r="F639" s="19"/>
      <c r="G639" s="18" t="str">
        <f>Source!DI935</f>
        <v/>
      </c>
      <c r="H639" s="9">
        <f>Source!AV935</f>
        <v>1</v>
      </c>
      <c r="I639" s="9"/>
      <c r="J639" s="20"/>
      <c r="K639" s="20">
        <f>Source!U935</f>
        <v>109.78239999999998</v>
      </c>
    </row>
    <row r="640" spans="1:22" ht="15" x14ac:dyDescent="0.25">
      <c r="A640" s="23"/>
      <c r="B640" s="23"/>
      <c r="C640" s="23"/>
      <c r="D640" s="23"/>
      <c r="E640" s="23"/>
      <c r="F640" s="23"/>
      <c r="G640" s="23"/>
      <c r="H640" s="23"/>
      <c r="I640" s="65">
        <f>J636+J637+J638</f>
        <v>38877.5</v>
      </c>
      <c r="J640" s="65"/>
      <c r="K640" s="24">
        <f>IF(Source!I935&lt;&gt;0, ROUND(I640/Source!I935, 2), 0)</f>
        <v>11502.22</v>
      </c>
      <c r="P640" s="22">
        <f>I640</f>
        <v>38877.5</v>
      </c>
    </row>
    <row r="641" spans="1:22" ht="28.5" x14ac:dyDescent="0.2">
      <c r="A641" s="15" t="str">
        <f>Source!E936</f>
        <v>13</v>
      </c>
      <c r="B641" s="16" t="str">
        <f>Source!F936</f>
        <v>1.10-3403-1-3/1</v>
      </c>
      <c r="C641" s="16" t="str">
        <f>Source!G936</f>
        <v>Укладка лаг по плитам перекрытий</v>
      </c>
      <c r="D641" s="17" t="str">
        <f>Source!H936</f>
        <v>100 м2</v>
      </c>
      <c r="E641" s="58">
        <f>Source!I936</f>
        <v>6.259836</v>
      </c>
      <c r="F641" s="19"/>
      <c r="G641" s="18"/>
      <c r="H641" s="9"/>
      <c r="I641" s="9"/>
      <c r="J641" s="20"/>
      <c r="K641" s="20"/>
      <c r="Q641">
        <f>ROUND((Source!BZ936/100)*ROUND((Source!AF936*Source!AV936)*Source!I936, 2), 2)</f>
        <v>31923.26</v>
      </c>
      <c r="R641">
        <f>Source!X936</f>
        <v>31923.26</v>
      </c>
      <c r="S641">
        <f>ROUND((Source!CA936/100)*ROUND((Source!AF936*Source!AV936)*Source!I936, 2), 2)</f>
        <v>4560.47</v>
      </c>
      <c r="T641">
        <f>Source!Y936</f>
        <v>4560.47</v>
      </c>
      <c r="U641">
        <f>ROUND((175/100)*ROUND((Source!AE936*Source!AV936)*Source!I936, 2), 2)</f>
        <v>0</v>
      </c>
      <c r="V641">
        <f>ROUND((108/100)*ROUND(Source!CS936*Source!I936, 2), 2)</f>
        <v>0</v>
      </c>
    </row>
    <row r="642" spans="1:22" x14ac:dyDescent="0.2">
      <c r="C642" s="21" t="str">
        <f>"Объем: "&amp;Source!I936&amp;"=588/"&amp;"100"</f>
        <v>Объем: 6,259836=588/100</v>
      </c>
    </row>
    <row r="643" spans="1:22" ht="14.25" x14ac:dyDescent="0.2">
      <c r="A643" s="15"/>
      <c r="B643" s="16"/>
      <c r="C643" s="16" t="s">
        <v>560</v>
      </c>
      <c r="D643" s="17"/>
      <c r="E643" s="9"/>
      <c r="F643" s="19">
        <f>Source!AO936</f>
        <v>7285.28</v>
      </c>
      <c r="G643" s="18" t="str">
        <f>Source!DG936</f>
        <v/>
      </c>
      <c r="H643" s="9">
        <f>Source!AV936</f>
        <v>1</v>
      </c>
      <c r="I643" s="9">
        <f>IF(Source!BA936&lt;&gt; 0, Source!BA936, 1)</f>
        <v>1</v>
      </c>
      <c r="J643" s="20">
        <f>Source!S936</f>
        <v>45604.66</v>
      </c>
      <c r="K643" s="20"/>
    </row>
    <row r="644" spans="1:22" ht="14.25" x14ac:dyDescent="0.2">
      <c r="A644" s="15"/>
      <c r="B644" s="16"/>
      <c r="C644" s="16" t="s">
        <v>561</v>
      </c>
      <c r="D644" s="17"/>
      <c r="E644" s="9"/>
      <c r="F644" s="19">
        <f>Source!AM936</f>
        <v>1.58</v>
      </c>
      <c r="G644" s="18" t="str">
        <f>Source!DE936</f>
        <v/>
      </c>
      <c r="H644" s="9">
        <f>Source!AV936</f>
        <v>1</v>
      </c>
      <c r="I644" s="9">
        <f>IF(Source!BB936&lt;&gt; 0, Source!BB936, 1)</f>
        <v>1</v>
      </c>
      <c r="J644" s="20">
        <f>Source!Q936</f>
        <v>9.89</v>
      </c>
      <c r="K644" s="20"/>
    </row>
    <row r="645" spans="1:22" ht="14.25" x14ac:dyDescent="0.2">
      <c r="A645" s="15"/>
      <c r="B645" s="16"/>
      <c r="C645" s="16" t="s">
        <v>575</v>
      </c>
      <c r="D645" s="17"/>
      <c r="E645" s="9"/>
      <c r="F645" s="19">
        <f>Source!AL936</f>
        <v>7690.68</v>
      </c>
      <c r="G645" s="18" t="str">
        <f>Source!DD936</f>
        <v/>
      </c>
      <c r="H645" s="9">
        <f>Source!AW936</f>
        <v>1</v>
      </c>
      <c r="I645" s="9">
        <f>IF(Source!BC936&lt;&gt; 0, Source!BC936, 1)</f>
        <v>1</v>
      </c>
      <c r="J645" s="20">
        <f>Source!P936</f>
        <v>48142.400000000001</v>
      </c>
      <c r="K645" s="20"/>
    </row>
    <row r="646" spans="1:22" ht="42.75" x14ac:dyDescent="0.2">
      <c r="A646" s="15" t="str">
        <f>Source!E937</f>
        <v>13,1</v>
      </c>
      <c r="B646" s="16" t="str">
        <f>Source!F937</f>
        <v>21.9-12-55</v>
      </c>
      <c r="C646" s="16" t="str">
        <f>Source!G937</f>
        <v>Лаги для полов, сечение (80-100)х40 мм, антисептированные, хвойных пород</v>
      </c>
      <c r="D646" s="17" t="str">
        <f>Source!H937</f>
        <v>м3</v>
      </c>
      <c r="E646" s="9">
        <f>Source!I937</f>
        <v>-5.1330655200000006</v>
      </c>
      <c r="F646" s="19">
        <f>Source!AK937</f>
        <v>7499.67</v>
      </c>
      <c r="G646" s="28" t="s">
        <v>3</v>
      </c>
      <c r="H646" s="9">
        <f>Source!AW937</f>
        <v>1</v>
      </c>
      <c r="I646" s="9">
        <f>IF(Source!BC937&lt;&gt; 0, Source!BC937, 1)</f>
        <v>1</v>
      </c>
      <c r="J646" s="20">
        <f>Source!O937</f>
        <v>-38496.300000000003</v>
      </c>
      <c r="K646" s="20"/>
      <c r="Q646">
        <f>ROUND((Source!BZ937/100)*ROUND((Source!AF937*Source!AV937)*Source!I937, 2), 2)</f>
        <v>0</v>
      </c>
      <c r="R646">
        <f>Source!X937</f>
        <v>0</v>
      </c>
      <c r="S646">
        <f>ROUND((Source!CA937/100)*ROUND((Source!AF937*Source!AV937)*Source!I937, 2), 2)</f>
        <v>0</v>
      </c>
      <c r="T646">
        <f>Source!Y937</f>
        <v>0</v>
      </c>
      <c r="U646">
        <f>ROUND((175/100)*ROUND((Source!AE937*Source!AV937)*Source!I937, 2), 2)</f>
        <v>0</v>
      </c>
      <c r="V646">
        <f>ROUND((108/100)*ROUND(Source!CS937*Source!I937, 2), 2)</f>
        <v>0</v>
      </c>
    </row>
    <row r="647" spans="1:22" ht="14.25" x14ac:dyDescent="0.2">
      <c r="A647" s="15"/>
      <c r="B647" s="16"/>
      <c r="C647" s="16" t="s">
        <v>562</v>
      </c>
      <c r="D647" s="17" t="s">
        <v>563</v>
      </c>
      <c r="E647" s="9">
        <f>Source!AT936</f>
        <v>70</v>
      </c>
      <c r="F647" s="19"/>
      <c r="G647" s="18"/>
      <c r="H647" s="9"/>
      <c r="I647" s="9"/>
      <c r="J647" s="20">
        <f>SUM(R641:R646)</f>
        <v>31923.26</v>
      </c>
      <c r="K647" s="20"/>
    </row>
    <row r="648" spans="1:22" ht="14.25" x14ac:dyDescent="0.2">
      <c r="A648" s="15"/>
      <c r="B648" s="16"/>
      <c r="C648" s="16" t="s">
        <v>564</v>
      </c>
      <c r="D648" s="17" t="s">
        <v>563</v>
      </c>
      <c r="E648" s="9">
        <f>Source!AU936</f>
        <v>10</v>
      </c>
      <c r="F648" s="19"/>
      <c r="G648" s="18"/>
      <c r="H648" s="9"/>
      <c r="I648" s="9"/>
      <c r="J648" s="20">
        <f>SUM(T641:T647)</f>
        <v>4560.47</v>
      </c>
      <c r="K648" s="20"/>
    </row>
    <row r="649" spans="1:22" ht="14.25" x14ac:dyDescent="0.2">
      <c r="A649" s="15"/>
      <c r="B649" s="16"/>
      <c r="C649" s="16" t="s">
        <v>565</v>
      </c>
      <c r="D649" s="17" t="s">
        <v>566</v>
      </c>
      <c r="E649" s="9">
        <f>Source!AQ936</f>
        <v>37.03</v>
      </c>
      <c r="F649" s="19"/>
      <c r="G649" s="18" t="str">
        <f>Source!DI936</f>
        <v/>
      </c>
      <c r="H649" s="9">
        <f>Source!AV936</f>
        <v>1</v>
      </c>
      <c r="I649" s="9"/>
      <c r="J649" s="20"/>
      <c r="K649" s="20">
        <f>Source!U936</f>
        <v>231.80172708000001</v>
      </c>
    </row>
    <row r="650" spans="1:22" ht="15" x14ac:dyDescent="0.25">
      <c r="A650" s="23"/>
      <c r="B650" s="23"/>
      <c r="C650" s="23"/>
      <c r="D650" s="23"/>
      <c r="E650" s="23"/>
      <c r="F650" s="23"/>
      <c r="G650" s="23"/>
      <c r="H650" s="23"/>
      <c r="I650" s="65">
        <f>J643+J644+J645+J647+J648+SUM(J646:J646)</f>
        <v>91744.38</v>
      </c>
      <c r="J650" s="65"/>
      <c r="K650" s="24">
        <f>IF(Source!I936&lt;&gt;0, ROUND(I650/Source!I936, 2), 0)</f>
        <v>14656.04</v>
      </c>
      <c r="P650" s="22">
        <f>I650</f>
        <v>91744.38</v>
      </c>
    </row>
    <row r="651" spans="1:22" ht="54" hidden="1" x14ac:dyDescent="0.2">
      <c r="A651" s="15" t="str">
        <f>Source!E938</f>
        <v>14</v>
      </c>
      <c r="B651" s="16" t="str">
        <f>Source!F938</f>
        <v>Цена поставщика</v>
      </c>
      <c r="C651" s="16" t="s">
        <v>576</v>
      </c>
      <c r="D651" s="17" t="str">
        <f>Source!H938</f>
        <v>м3</v>
      </c>
      <c r="E651" s="9">
        <f>Source!I938</f>
        <v>0</v>
      </c>
      <c r="F651" s="19">
        <f>Source!AL938</f>
        <v>14022.17</v>
      </c>
      <c r="G651" s="18" t="str">
        <f>Source!DD938</f>
        <v/>
      </c>
      <c r="H651" s="9">
        <f>Source!AW938</f>
        <v>1</v>
      </c>
      <c r="I651" s="9">
        <f>IF(Source!BC938&lt;&gt; 0, Source!BC938, 1)</f>
        <v>1</v>
      </c>
      <c r="J651" s="20">
        <f>Source!P938</f>
        <v>0</v>
      </c>
      <c r="K651" s="20"/>
      <c r="Q651">
        <f>ROUND((Source!BZ938/100)*ROUND((Source!AF938*Source!AV938)*Source!I938, 2), 2)</f>
        <v>0</v>
      </c>
      <c r="R651">
        <f>Source!X938</f>
        <v>0</v>
      </c>
      <c r="S651">
        <f>ROUND((Source!CA938/100)*ROUND((Source!AF938*Source!AV938)*Source!I938, 2), 2)</f>
        <v>0</v>
      </c>
      <c r="T651">
        <f>Source!Y938</f>
        <v>0</v>
      </c>
      <c r="U651">
        <f>ROUND((175/100)*ROUND((Source!AE938*Source!AV938)*Source!I938, 2), 2)</f>
        <v>0</v>
      </c>
      <c r="V651">
        <f>ROUND((108/100)*ROUND(Source!CS938*Source!I938, 2), 2)</f>
        <v>0</v>
      </c>
    </row>
    <row r="652" spans="1:22" ht="15" hidden="1" x14ac:dyDescent="0.25">
      <c r="A652" s="23"/>
      <c r="B652" s="23"/>
      <c r="C652" s="23"/>
      <c r="D652" s="23"/>
      <c r="E652" s="23"/>
      <c r="F652" s="23"/>
      <c r="G652" s="23"/>
      <c r="H652" s="23"/>
      <c r="I652" s="65">
        <f>J651</f>
        <v>0</v>
      </c>
      <c r="J652" s="65"/>
      <c r="K652" s="24">
        <f>IF(Source!I938&lt;&gt;0, ROUND(I652/Source!I938, 2), 0)</f>
        <v>0</v>
      </c>
      <c r="P652" s="22">
        <f>I652</f>
        <v>0</v>
      </c>
    </row>
    <row r="653" spans="1:22" ht="54" x14ac:dyDescent="0.2">
      <c r="A653" s="15" t="str">
        <f>Source!E939</f>
        <v>15</v>
      </c>
      <c r="B653" s="16" t="str">
        <f>Source!F939</f>
        <v>Цена поставщика</v>
      </c>
      <c r="C653" s="16" t="s">
        <v>577</v>
      </c>
      <c r="D653" s="17" t="str">
        <f>Source!H939</f>
        <v>м3</v>
      </c>
      <c r="E653" s="9">
        <f>Source!I939</f>
        <v>78.599999999999994</v>
      </c>
      <c r="F653" s="19">
        <f>Source!AL939</f>
        <v>14022.17</v>
      </c>
      <c r="G653" s="18" t="str">
        <f>Source!DD939</f>
        <v/>
      </c>
      <c r="H653" s="9">
        <f>Source!AW939</f>
        <v>1</v>
      </c>
      <c r="I653" s="9">
        <f>IF(Source!BC939&lt;&gt; 0, Source!BC939, 1)</f>
        <v>1</v>
      </c>
      <c r="J653" s="20">
        <f>Source!P939</f>
        <v>1102142.56</v>
      </c>
      <c r="K653" s="20"/>
      <c r="Q653">
        <f>ROUND((Source!BZ939/100)*ROUND((Source!AF939*Source!AV939)*Source!I939, 2), 2)</f>
        <v>0</v>
      </c>
      <c r="R653">
        <f>Source!X939</f>
        <v>0</v>
      </c>
      <c r="S653">
        <f>ROUND((Source!CA939/100)*ROUND((Source!AF939*Source!AV939)*Source!I939, 2), 2)</f>
        <v>0</v>
      </c>
      <c r="T653">
        <f>Source!Y939</f>
        <v>0</v>
      </c>
      <c r="U653">
        <f>ROUND((175/100)*ROUND((Source!AE939*Source!AV939)*Source!I939, 2), 2)</f>
        <v>0</v>
      </c>
      <c r="V653">
        <f>ROUND((108/100)*ROUND(Source!CS939*Source!I939, 2), 2)</f>
        <v>0</v>
      </c>
    </row>
    <row r="654" spans="1:22" ht="15" x14ac:dyDescent="0.25">
      <c r="A654" s="23"/>
      <c r="B654" s="23"/>
      <c r="C654" s="23"/>
      <c r="D654" s="23"/>
      <c r="E654" s="23"/>
      <c r="F654" s="23"/>
      <c r="G654" s="23"/>
      <c r="H654" s="23"/>
      <c r="I654" s="65">
        <f>J653</f>
        <v>1102142.56</v>
      </c>
      <c r="J654" s="65"/>
      <c r="K654" s="24">
        <f>IF(Source!I939&lt;&gt;0, ROUND(I654/Source!I939, 2), 0)</f>
        <v>14022.17</v>
      </c>
      <c r="P654" s="22">
        <f>I654</f>
        <v>1102142.56</v>
      </c>
    </row>
    <row r="655" spans="1:22" ht="28.5" x14ac:dyDescent="0.2">
      <c r="A655" s="15" t="str">
        <f>Source!E940</f>
        <v>16</v>
      </c>
      <c r="B655" s="16" t="str">
        <f>Source!F940</f>
        <v>1.50-3205-12-1/1</v>
      </c>
      <c r="C655" s="16" t="str">
        <f>Source!G940</f>
        <v>Устройство деревянных настилов, ходов, переходов, мостиков</v>
      </c>
      <c r="D655" s="17" t="str">
        <f>Source!H940</f>
        <v>100 м2</v>
      </c>
      <c r="E655" s="9">
        <f>Source!I940</f>
        <v>42.88</v>
      </c>
      <c r="F655" s="19"/>
      <c r="G655" s="18"/>
      <c r="H655" s="9"/>
      <c r="I655" s="9"/>
      <c r="J655" s="20"/>
      <c r="K655" s="20"/>
      <c r="Q655">
        <f>ROUND((Source!BZ940/100)*ROUND((Source!AF940*Source!AV940)*Source!I940, 2), 2)</f>
        <v>90222.69</v>
      </c>
      <c r="R655">
        <f>Source!X940</f>
        <v>90222.69</v>
      </c>
      <c r="S655">
        <f>ROUND((Source!CA940/100)*ROUND((Source!AF940*Source!AV940)*Source!I940, 2), 2)</f>
        <v>12888.96</v>
      </c>
      <c r="T655">
        <f>Source!Y940</f>
        <v>12888.96</v>
      </c>
      <c r="U655">
        <f>ROUND((175/100)*ROUND((Source!AE940*Source!AV940)*Source!I940, 2), 2)</f>
        <v>0</v>
      </c>
      <c r="V655">
        <f>ROUND((108/100)*ROUND(Source!CS940*Source!I940, 2), 2)</f>
        <v>0</v>
      </c>
    </row>
    <row r="656" spans="1:22" ht="14.25" x14ac:dyDescent="0.2">
      <c r="A656" s="15"/>
      <c r="B656" s="16"/>
      <c r="C656" s="16" t="s">
        <v>560</v>
      </c>
      <c r="D656" s="17"/>
      <c r="E656" s="9"/>
      <c r="F656" s="19">
        <f>Source!AO940</f>
        <v>3005.82</v>
      </c>
      <c r="G656" s="18" t="str">
        <f>Source!DG940</f>
        <v/>
      </c>
      <c r="H656" s="9">
        <f>Source!AV940</f>
        <v>1</v>
      </c>
      <c r="I656" s="9">
        <f>IF(Source!BA940&lt;&gt; 0, Source!BA940, 1)</f>
        <v>1</v>
      </c>
      <c r="J656" s="20">
        <f>Source!S940</f>
        <v>128889.56</v>
      </c>
      <c r="K656" s="20"/>
    </row>
    <row r="657" spans="1:22" ht="14.25" x14ac:dyDescent="0.2">
      <c r="A657" s="15"/>
      <c r="B657" s="16"/>
      <c r="C657" s="16" t="s">
        <v>575</v>
      </c>
      <c r="D657" s="17"/>
      <c r="E657" s="9"/>
      <c r="F657" s="19">
        <f>Source!AL940</f>
        <v>25592.65</v>
      </c>
      <c r="G657" s="18" t="str">
        <f>Source!DD940</f>
        <v/>
      </c>
      <c r="H657" s="9">
        <f>Source!AW940</f>
        <v>1</v>
      </c>
      <c r="I657" s="9">
        <f>IF(Source!BC940&lt;&gt; 0, Source!BC940, 1)</f>
        <v>1</v>
      </c>
      <c r="J657" s="20">
        <f>Source!P940</f>
        <v>1097412.83</v>
      </c>
      <c r="K657" s="20"/>
    </row>
    <row r="658" spans="1:22" ht="28.5" x14ac:dyDescent="0.2">
      <c r="A658" s="15" t="str">
        <f>Source!E941</f>
        <v>16,1</v>
      </c>
      <c r="B658" s="16" t="str">
        <f>Source!F941</f>
        <v>21.1-9-56</v>
      </c>
      <c r="C658" s="16" t="str">
        <f>Source!G941</f>
        <v>Доски хвойных пород, обрезные, длина 2-6,5 м, сорт III, толщина 25-32 мм</v>
      </c>
      <c r="D658" s="17" t="str">
        <f>Source!H941</f>
        <v>м3</v>
      </c>
      <c r="E658" s="9">
        <f>Source!I941</f>
        <v>-129.06880000000001</v>
      </c>
      <c r="F658" s="19">
        <f>Source!AK941</f>
        <v>6701.58</v>
      </c>
      <c r="G658" s="28" t="s">
        <v>3</v>
      </c>
      <c r="H658" s="9">
        <f>Source!AW941</f>
        <v>1</v>
      </c>
      <c r="I658" s="9">
        <f>IF(Source!BC941&lt;&gt; 0, Source!BC941, 1)</f>
        <v>1</v>
      </c>
      <c r="J658" s="20">
        <f>Source!O941</f>
        <v>-864964.89</v>
      </c>
      <c r="K658" s="20"/>
      <c r="Q658">
        <f>ROUND((Source!BZ941/100)*ROUND((Source!AF941*Source!AV941)*Source!I941, 2), 2)</f>
        <v>0</v>
      </c>
      <c r="R658">
        <f>Source!X941</f>
        <v>0</v>
      </c>
      <c r="S658">
        <f>ROUND((Source!CA941/100)*ROUND((Source!AF941*Source!AV941)*Source!I941, 2), 2)</f>
        <v>0</v>
      </c>
      <c r="T658">
        <f>Source!Y941</f>
        <v>0</v>
      </c>
      <c r="U658">
        <f>ROUND((175/100)*ROUND((Source!AE941*Source!AV941)*Source!I941, 2), 2)</f>
        <v>0</v>
      </c>
      <c r="V658">
        <f>ROUND((108/100)*ROUND(Source!CS941*Source!I941, 2), 2)</f>
        <v>0</v>
      </c>
    </row>
    <row r="659" spans="1:22" ht="14.25" x14ac:dyDescent="0.2">
      <c r="A659" s="15"/>
      <c r="B659" s="16"/>
      <c r="C659" s="16" t="s">
        <v>562</v>
      </c>
      <c r="D659" s="17" t="s">
        <v>563</v>
      </c>
      <c r="E659" s="9">
        <f>Source!AT940</f>
        <v>70</v>
      </c>
      <c r="F659" s="19"/>
      <c r="G659" s="18"/>
      <c r="H659" s="9"/>
      <c r="I659" s="9"/>
      <c r="J659" s="20">
        <f>SUM(R655:R658)</f>
        <v>90222.69</v>
      </c>
      <c r="K659" s="20"/>
    </row>
    <row r="660" spans="1:22" ht="14.25" x14ac:dyDescent="0.2">
      <c r="A660" s="15"/>
      <c r="B660" s="16"/>
      <c r="C660" s="16" t="s">
        <v>564</v>
      </c>
      <c r="D660" s="17" t="s">
        <v>563</v>
      </c>
      <c r="E660" s="9">
        <f>Source!AU940</f>
        <v>10</v>
      </c>
      <c r="F660" s="19"/>
      <c r="G660" s="18"/>
      <c r="H660" s="9"/>
      <c r="I660" s="9"/>
      <c r="J660" s="20">
        <f>SUM(T655:T659)</f>
        <v>12888.96</v>
      </c>
      <c r="K660" s="20"/>
    </row>
    <row r="661" spans="1:22" ht="14.25" x14ac:dyDescent="0.2">
      <c r="A661" s="15"/>
      <c r="B661" s="16"/>
      <c r="C661" s="16" t="s">
        <v>565</v>
      </c>
      <c r="D661" s="17" t="s">
        <v>566</v>
      </c>
      <c r="E661" s="9">
        <f>Source!AQ940</f>
        <v>18.649999999999999</v>
      </c>
      <c r="F661" s="19"/>
      <c r="G661" s="18" t="str">
        <f>Source!DI940</f>
        <v/>
      </c>
      <c r="H661" s="9">
        <f>Source!AV940</f>
        <v>1</v>
      </c>
      <c r="I661" s="9"/>
      <c r="J661" s="20"/>
      <c r="K661" s="20">
        <f>Source!U940</f>
        <v>799.71199999999999</v>
      </c>
    </row>
    <row r="662" spans="1:22" ht="15" x14ac:dyDescent="0.25">
      <c r="A662" s="23"/>
      <c r="B662" s="23"/>
      <c r="C662" s="23"/>
      <c r="D662" s="23"/>
      <c r="E662" s="23"/>
      <c r="F662" s="23"/>
      <c r="G662" s="23"/>
      <c r="H662" s="23"/>
      <c r="I662" s="65">
        <f>J656+J657+J659+J660+SUM(J658:J658)</f>
        <v>464449.15</v>
      </c>
      <c r="J662" s="65"/>
      <c r="K662" s="24">
        <f>IF(Source!I940&lt;&gt;0, ROUND(I662/Source!I940, 2), 0)</f>
        <v>10831.37</v>
      </c>
      <c r="P662" s="22">
        <f>I662</f>
        <v>464449.15</v>
      </c>
    </row>
    <row r="663" spans="1:22" ht="54" x14ac:dyDescent="0.2">
      <c r="A663" s="15" t="str">
        <f>Source!E943</f>
        <v>17</v>
      </c>
      <c r="B663" s="16" t="str">
        <f>Source!F943</f>
        <v>Цена поставщика</v>
      </c>
      <c r="C663" s="16" t="s">
        <v>578</v>
      </c>
      <c r="D663" s="17" t="str">
        <f>Source!H943</f>
        <v>м3</v>
      </c>
      <c r="E663" s="9">
        <f>Source!I943</f>
        <v>162</v>
      </c>
      <c r="F663" s="19">
        <f>Source!AL943</f>
        <v>19263.830000000002</v>
      </c>
      <c r="G663" s="18" t="str">
        <f>Source!DD943</f>
        <v/>
      </c>
      <c r="H663" s="9">
        <f>Source!AW943</f>
        <v>1</v>
      </c>
      <c r="I663" s="9">
        <f>IF(Source!BC943&lt;&gt; 0, Source!BC943, 1)</f>
        <v>1</v>
      </c>
      <c r="J663" s="20">
        <f>Source!P943</f>
        <v>3120740.46</v>
      </c>
      <c r="K663" s="20"/>
      <c r="Q663">
        <f>ROUND((Source!BZ943/100)*ROUND((Source!AF943*Source!AV943)*Source!I943, 2), 2)</f>
        <v>0</v>
      </c>
      <c r="R663">
        <f>Source!X943</f>
        <v>0</v>
      </c>
      <c r="S663">
        <f>ROUND((Source!CA943/100)*ROUND((Source!AF943*Source!AV943)*Source!I943, 2), 2)</f>
        <v>0</v>
      </c>
      <c r="T663">
        <f>Source!Y943</f>
        <v>0</v>
      </c>
      <c r="U663">
        <f>ROUND((175/100)*ROUND((Source!AE943*Source!AV943)*Source!I943, 2), 2)</f>
        <v>0</v>
      </c>
      <c r="V663">
        <f>ROUND((108/100)*ROUND(Source!CS943*Source!I943, 2), 2)</f>
        <v>0</v>
      </c>
    </row>
    <row r="664" spans="1:22" ht="15" x14ac:dyDescent="0.25">
      <c r="A664" s="23"/>
      <c r="B664" s="23"/>
      <c r="C664" s="23"/>
      <c r="D664" s="23"/>
      <c r="E664" s="23"/>
      <c r="F664" s="23"/>
      <c r="G664" s="23"/>
      <c r="H664" s="23"/>
      <c r="I664" s="65">
        <f>J663</f>
        <v>3120740.46</v>
      </c>
      <c r="J664" s="65"/>
      <c r="K664" s="24">
        <f>IF(Source!I943&lt;&gt;0, ROUND(I664/Source!I943, 2), 0)</f>
        <v>19263.830000000002</v>
      </c>
      <c r="P664" s="22">
        <f>I664</f>
        <v>3120740.46</v>
      </c>
    </row>
    <row r="665" spans="1:22" ht="42.75" x14ac:dyDescent="0.2">
      <c r="A665" s="15" t="str">
        <f>Source!E944</f>
        <v>18</v>
      </c>
      <c r="B665" s="16" t="str">
        <f>Source!F944</f>
        <v>5.3-3203-9-6/1</v>
      </c>
      <c r="C665" s="16" t="str">
        <f>Source!G944</f>
        <v>Устройство заборов решетчатых при установленных столбах высотой до 1,2 м</v>
      </c>
      <c r="D665" s="17" t="str">
        <f>Source!H944</f>
        <v>100 м2</v>
      </c>
      <c r="E665" s="9">
        <f>Source!I944</f>
        <v>3.15</v>
      </c>
      <c r="F665" s="19"/>
      <c r="G665" s="18"/>
      <c r="H665" s="9"/>
      <c r="I665" s="9"/>
      <c r="J665" s="20"/>
      <c r="K665" s="20"/>
      <c r="Q665">
        <f>ROUND((Source!BZ944/100)*ROUND((Source!AF944*Source!AV944)*Source!I944, 2), 2)</f>
        <v>46873.1</v>
      </c>
      <c r="R665">
        <f>Source!X944</f>
        <v>46873.1</v>
      </c>
      <c r="S665">
        <f>ROUND((Source!CA944/100)*ROUND((Source!AF944*Source!AV944)*Source!I944, 2), 2)</f>
        <v>6696.16</v>
      </c>
      <c r="T665">
        <f>Source!Y944</f>
        <v>6696.16</v>
      </c>
      <c r="U665">
        <f>ROUND((175/100)*ROUND((Source!AE944*Source!AV944)*Source!I944, 2), 2)</f>
        <v>37.26</v>
      </c>
      <c r="V665">
        <f>ROUND((108/100)*ROUND(Source!CS944*Source!I944, 2), 2)</f>
        <v>22.99</v>
      </c>
    </row>
    <row r="666" spans="1:22" ht="14.25" x14ac:dyDescent="0.2">
      <c r="A666" s="15"/>
      <c r="B666" s="16"/>
      <c r="C666" s="16" t="s">
        <v>560</v>
      </c>
      <c r="D666" s="17"/>
      <c r="E666" s="9"/>
      <c r="F666" s="19">
        <f>Source!AO944</f>
        <v>21257.64</v>
      </c>
      <c r="G666" s="18" t="str">
        <f>Source!DG944</f>
        <v/>
      </c>
      <c r="H666" s="9">
        <f>Source!AV944</f>
        <v>1</v>
      </c>
      <c r="I666" s="9">
        <f>IF(Source!BA944&lt;&gt; 0, Source!BA944, 1)</f>
        <v>1</v>
      </c>
      <c r="J666" s="20">
        <f>Source!S944</f>
        <v>66961.570000000007</v>
      </c>
      <c r="K666" s="20"/>
    </row>
    <row r="667" spans="1:22" ht="14.25" x14ac:dyDescent="0.2">
      <c r="A667" s="15"/>
      <c r="B667" s="16"/>
      <c r="C667" s="16" t="s">
        <v>561</v>
      </c>
      <c r="D667" s="17"/>
      <c r="E667" s="9"/>
      <c r="F667" s="19">
        <f>Source!AM944</f>
        <v>68.17</v>
      </c>
      <c r="G667" s="18" t="str">
        <f>Source!DE944</f>
        <v/>
      </c>
      <c r="H667" s="9">
        <f>Source!AV944</f>
        <v>1</v>
      </c>
      <c r="I667" s="9">
        <f>IF(Source!BB944&lt;&gt; 0, Source!BB944, 1)</f>
        <v>1</v>
      </c>
      <c r="J667" s="20">
        <f>Source!Q944</f>
        <v>214.74</v>
      </c>
      <c r="K667" s="20"/>
    </row>
    <row r="668" spans="1:22" ht="14.25" x14ac:dyDescent="0.2">
      <c r="A668" s="15"/>
      <c r="B668" s="16"/>
      <c r="C668" s="16" t="s">
        <v>567</v>
      </c>
      <c r="D668" s="17"/>
      <c r="E668" s="9"/>
      <c r="F668" s="19">
        <f>Source!AN944</f>
        <v>6.76</v>
      </c>
      <c r="G668" s="18" t="str">
        <f>Source!DF944</f>
        <v/>
      </c>
      <c r="H668" s="9">
        <f>Source!AV944</f>
        <v>1</v>
      </c>
      <c r="I668" s="9">
        <f>IF(Source!BS944&lt;&gt; 0, Source!BS944, 1)</f>
        <v>1</v>
      </c>
      <c r="J668" s="25">
        <f>Source!R944</f>
        <v>21.29</v>
      </c>
      <c r="K668" s="20"/>
    </row>
    <row r="669" spans="1:22" ht="14.25" x14ac:dyDescent="0.2">
      <c r="A669" s="15"/>
      <c r="B669" s="16"/>
      <c r="C669" s="16" t="s">
        <v>575</v>
      </c>
      <c r="D669" s="17"/>
      <c r="E669" s="9"/>
      <c r="F669" s="19">
        <f>Source!AL944</f>
        <v>22199.62</v>
      </c>
      <c r="G669" s="18" t="str">
        <f>Source!DD944</f>
        <v/>
      </c>
      <c r="H669" s="9">
        <f>Source!AW944</f>
        <v>1</v>
      </c>
      <c r="I669" s="9">
        <f>IF(Source!BC944&lt;&gt; 0, Source!BC944, 1)</f>
        <v>1</v>
      </c>
      <c r="J669" s="20">
        <f>Source!P944</f>
        <v>69928.800000000003</v>
      </c>
      <c r="K669" s="20"/>
    </row>
    <row r="670" spans="1:22" ht="14.25" x14ac:dyDescent="0.2">
      <c r="A670" s="15"/>
      <c r="B670" s="16"/>
      <c r="C670" s="16" t="s">
        <v>562</v>
      </c>
      <c r="D670" s="17" t="s">
        <v>563</v>
      </c>
      <c r="E670" s="9">
        <f>Source!AT944</f>
        <v>70</v>
      </c>
      <c r="F670" s="19"/>
      <c r="G670" s="18"/>
      <c r="H670" s="9"/>
      <c r="I670" s="9"/>
      <c r="J670" s="20">
        <f>SUM(R665:R669)</f>
        <v>46873.1</v>
      </c>
      <c r="K670" s="20"/>
    </row>
    <row r="671" spans="1:22" ht="14.25" x14ac:dyDescent="0.2">
      <c r="A671" s="15"/>
      <c r="B671" s="16"/>
      <c r="C671" s="16" t="s">
        <v>564</v>
      </c>
      <c r="D671" s="17" t="s">
        <v>563</v>
      </c>
      <c r="E671" s="9">
        <f>Source!AU944</f>
        <v>10</v>
      </c>
      <c r="F671" s="19"/>
      <c r="G671" s="18"/>
      <c r="H671" s="9"/>
      <c r="I671" s="9"/>
      <c r="J671" s="20">
        <f>SUM(T665:T670)</f>
        <v>6696.16</v>
      </c>
      <c r="K671" s="20"/>
    </row>
    <row r="672" spans="1:22" ht="14.25" x14ac:dyDescent="0.2">
      <c r="A672" s="15"/>
      <c r="B672" s="16"/>
      <c r="C672" s="16" t="s">
        <v>568</v>
      </c>
      <c r="D672" s="17" t="s">
        <v>563</v>
      </c>
      <c r="E672" s="9">
        <f>108</f>
        <v>108</v>
      </c>
      <c r="F672" s="19"/>
      <c r="G672" s="18"/>
      <c r="H672" s="9"/>
      <c r="I672" s="9"/>
      <c r="J672" s="20">
        <f>SUM(V665:V671)</f>
        <v>22.99</v>
      </c>
      <c r="K672" s="20"/>
    </row>
    <row r="673" spans="1:22" ht="14.25" x14ac:dyDescent="0.2">
      <c r="A673" s="15"/>
      <c r="B673" s="16"/>
      <c r="C673" s="16" t="s">
        <v>565</v>
      </c>
      <c r="D673" s="17" t="s">
        <v>566</v>
      </c>
      <c r="E673" s="9">
        <f>Source!AQ944</f>
        <v>103.62</v>
      </c>
      <c r="F673" s="19"/>
      <c r="G673" s="18" t="str">
        <f>Source!DI944</f>
        <v/>
      </c>
      <c r="H673" s="9">
        <f>Source!AV944</f>
        <v>1</v>
      </c>
      <c r="I673" s="9"/>
      <c r="J673" s="20"/>
      <c r="K673" s="20">
        <f>Source!U944</f>
        <v>326.40300000000002</v>
      </c>
    </row>
    <row r="674" spans="1:22" ht="15" x14ac:dyDescent="0.25">
      <c r="A674" s="23"/>
      <c r="B674" s="23"/>
      <c r="C674" s="23"/>
      <c r="D674" s="23"/>
      <c r="E674" s="23"/>
      <c r="F674" s="23"/>
      <c r="G674" s="23"/>
      <c r="H674" s="23"/>
      <c r="I674" s="65">
        <f>J666+J667+J669+J670+J671+J672</f>
        <v>190697.36000000002</v>
      </c>
      <c r="J674" s="65"/>
      <c r="K674" s="24">
        <f>IF(Source!I944&lt;&gt;0, ROUND(I674/Source!I944, 2), 0)</f>
        <v>60538.84</v>
      </c>
      <c r="P674" s="22">
        <f>I674</f>
        <v>190697.36000000002</v>
      </c>
    </row>
    <row r="675" spans="1:22" ht="28.5" x14ac:dyDescent="0.2">
      <c r="A675" s="15" t="str">
        <f>Source!E945</f>
        <v>19</v>
      </c>
      <c r="B675" s="16" t="str">
        <f>Source!F945</f>
        <v>1.13-3203-10-3/1</v>
      </c>
      <c r="C675" s="16" t="str">
        <f>Source!G945</f>
        <v>Простая окраска колером масляным разбеленным по дереву полов</v>
      </c>
      <c r="D675" s="17" t="str">
        <f>Source!H945</f>
        <v>100 м2</v>
      </c>
      <c r="E675" s="9">
        <f>Source!I945</f>
        <v>1.575</v>
      </c>
      <c r="F675" s="19"/>
      <c r="G675" s="18"/>
      <c r="H675" s="9"/>
      <c r="I675" s="9"/>
      <c r="J675" s="20"/>
      <c r="K675" s="20"/>
      <c r="Q675">
        <f>ROUND((Source!BZ945/100)*ROUND((Source!AF945*Source!AV945)*Source!I945, 2), 2)</f>
        <v>5554.2</v>
      </c>
      <c r="R675">
        <f>Source!X945</f>
        <v>5554.2</v>
      </c>
      <c r="S675">
        <f>ROUND((Source!CA945/100)*ROUND((Source!AF945*Source!AV945)*Source!I945, 2), 2)</f>
        <v>793.46</v>
      </c>
      <c r="T675">
        <f>Source!Y945</f>
        <v>793.46</v>
      </c>
      <c r="U675">
        <f>ROUND((175/100)*ROUND((Source!AE945*Source!AV945)*Source!I945, 2), 2)</f>
        <v>1.52</v>
      </c>
      <c r="V675">
        <f>ROUND((108/100)*ROUND(Source!CS945*Source!I945, 2), 2)</f>
        <v>0.94</v>
      </c>
    </row>
    <row r="676" spans="1:22" x14ac:dyDescent="0.2">
      <c r="C676" s="21" t="str">
        <f>"Объем: "&amp;Source!I945&amp;"="&amp;Source!I944&amp;"*"&amp;"0,5"</f>
        <v>Объем: 1,575=3,15*0,5</v>
      </c>
    </row>
    <row r="677" spans="1:22" ht="14.25" x14ac:dyDescent="0.2">
      <c r="A677" s="15"/>
      <c r="B677" s="16"/>
      <c r="C677" s="16" t="s">
        <v>560</v>
      </c>
      <c r="D677" s="17"/>
      <c r="E677" s="9"/>
      <c r="F677" s="19">
        <f>Source!AO945</f>
        <v>5037.82</v>
      </c>
      <c r="G677" s="18" t="str">
        <f>Source!DG945</f>
        <v/>
      </c>
      <c r="H677" s="9">
        <f>Source!AV945</f>
        <v>1</v>
      </c>
      <c r="I677" s="9">
        <f>IF(Source!BA945&lt;&gt; 0, Source!BA945, 1)</f>
        <v>1</v>
      </c>
      <c r="J677" s="20">
        <f>Source!S945</f>
        <v>7934.57</v>
      </c>
      <c r="K677" s="20"/>
    </row>
    <row r="678" spans="1:22" ht="14.25" x14ac:dyDescent="0.2">
      <c r="A678" s="15"/>
      <c r="B678" s="16"/>
      <c r="C678" s="16" t="s">
        <v>561</v>
      </c>
      <c r="D678" s="17"/>
      <c r="E678" s="9"/>
      <c r="F678" s="19">
        <f>Source!AM945</f>
        <v>133.06</v>
      </c>
      <c r="G678" s="18" t="str">
        <f>Source!DE945</f>
        <v/>
      </c>
      <c r="H678" s="9">
        <f>Source!AV945</f>
        <v>1</v>
      </c>
      <c r="I678" s="9">
        <f>IF(Source!BB945&lt;&gt; 0, Source!BB945, 1)</f>
        <v>1</v>
      </c>
      <c r="J678" s="20">
        <f>Source!Q945</f>
        <v>209.57</v>
      </c>
      <c r="K678" s="20"/>
    </row>
    <row r="679" spans="1:22" ht="14.25" x14ac:dyDescent="0.2">
      <c r="A679" s="15"/>
      <c r="B679" s="16"/>
      <c r="C679" s="16" t="s">
        <v>567</v>
      </c>
      <c r="D679" s="17"/>
      <c r="E679" s="9"/>
      <c r="F679" s="19">
        <f>Source!AN945</f>
        <v>0.55000000000000004</v>
      </c>
      <c r="G679" s="18" t="str">
        <f>Source!DF945</f>
        <v/>
      </c>
      <c r="H679" s="9">
        <f>Source!AV945</f>
        <v>1</v>
      </c>
      <c r="I679" s="9">
        <f>IF(Source!BS945&lt;&gt; 0, Source!BS945, 1)</f>
        <v>1</v>
      </c>
      <c r="J679" s="25">
        <f>Source!R945</f>
        <v>0.87</v>
      </c>
      <c r="K679" s="20"/>
    </row>
    <row r="680" spans="1:22" ht="14.25" x14ac:dyDescent="0.2">
      <c r="A680" s="15"/>
      <c r="B680" s="16"/>
      <c r="C680" s="16" t="s">
        <v>575</v>
      </c>
      <c r="D680" s="17"/>
      <c r="E680" s="9"/>
      <c r="F680" s="19">
        <f>Source!AL945</f>
        <v>3004.25</v>
      </c>
      <c r="G680" s="18" t="str">
        <f>Source!DD945</f>
        <v/>
      </c>
      <c r="H680" s="9">
        <f>Source!AW945</f>
        <v>1</v>
      </c>
      <c r="I680" s="9">
        <f>IF(Source!BC945&lt;&gt; 0, Source!BC945, 1)</f>
        <v>1</v>
      </c>
      <c r="J680" s="20">
        <f>Source!P945</f>
        <v>4731.6899999999996</v>
      </c>
      <c r="K680" s="20"/>
    </row>
    <row r="681" spans="1:22" ht="14.25" x14ac:dyDescent="0.2">
      <c r="A681" s="15"/>
      <c r="B681" s="16"/>
      <c r="C681" s="16" t="s">
        <v>562</v>
      </c>
      <c r="D681" s="17" t="s">
        <v>563</v>
      </c>
      <c r="E681" s="9">
        <f>Source!AT945</f>
        <v>70</v>
      </c>
      <c r="F681" s="19"/>
      <c r="G681" s="18"/>
      <c r="H681" s="9"/>
      <c r="I681" s="9"/>
      <c r="J681" s="20">
        <f>SUM(R675:R680)</f>
        <v>5554.2</v>
      </c>
      <c r="K681" s="20"/>
    </row>
    <row r="682" spans="1:22" ht="14.25" x14ac:dyDescent="0.2">
      <c r="A682" s="15"/>
      <c r="B682" s="16"/>
      <c r="C682" s="16" t="s">
        <v>564</v>
      </c>
      <c r="D682" s="17" t="s">
        <v>563</v>
      </c>
      <c r="E682" s="9">
        <f>Source!AU945</f>
        <v>10</v>
      </c>
      <c r="F682" s="19"/>
      <c r="G682" s="18"/>
      <c r="H682" s="9"/>
      <c r="I682" s="9"/>
      <c r="J682" s="20">
        <f>SUM(T675:T681)</f>
        <v>793.46</v>
      </c>
      <c r="K682" s="20"/>
    </row>
    <row r="683" spans="1:22" ht="14.25" x14ac:dyDescent="0.2">
      <c r="A683" s="15"/>
      <c r="B683" s="16"/>
      <c r="C683" s="16" t="s">
        <v>568</v>
      </c>
      <c r="D683" s="17" t="s">
        <v>563</v>
      </c>
      <c r="E683" s="9">
        <f>108</f>
        <v>108</v>
      </c>
      <c r="F683" s="19"/>
      <c r="G683" s="18"/>
      <c r="H683" s="9"/>
      <c r="I683" s="9"/>
      <c r="J683" s="20">
        <f>SUM(V675:V682)</f>
        <v>0.94</v>
      </c>
      <c r="K683" s="20"/>
    </row>
    <row r="684" spans="1:22" ht="14.25" x14ac:dyDescent="0.2">
      <c r="A684" s="15"/>
      <c r="B684" s="16"/>
      <c r="C684" s="16" t="s">
        <v>565</v>
      </c>
      <c r="D684" s="17" t="s">
        <v>566</v>
      </c>
      <c r="E684" s="9">
        <f>Source!AQ945</f>
        <v>25.07</v>
      </c>
      <c r="F684" s="19"/>
      <c r="G684" s="18" t="str">
        <f>Source!DI945</f>
        <v/>
      </c>
      <c r="H684" s="9">
        <f>Source!AV945</f>
        <v>1</v>
      </c>
      <c r="I684" s="9"/>
      <c r="J684" s="20"/>
      <c r="K684" s="20">
        <f>Source!U945</f>
        <v>39.485250000000001</v>
      </c>
    </row>
    <row r="685" spans="1:22" ht="15" x14ac:dyDescent="0.25">
      <c r="A685" s="23"/>
      <c r="B685" s="23"/>
      <c r="C685" s="23"/>
      <c r="D685" s="23"/>
      <c r="E685" s="23"/>
      <c r="F685" s="23"/>
      <c r="G685" s="23"/>
      <c r="H685" s="23"/>
      <c r="I685" s="65">
        <f>J677+J678+J680+J681+J682+J683</f>
        <v>19224.429999999997</v>
      </c>
      <c r="J685" s="65"/>
      <c r="K685" s="24">
        <f>IF(Source!I945&lt;&gt;0, ROUND(I685/Source!I945, 2), 0)</f>
        <v>12205.99</v>
      </c>
      <c r="P685" s="22">
        <f>I685</f>
        <v>19224.429999999997</v>
      </c>
    </row>
    <row r="687" spans="1:22" ht="15" x14ac:dyDescent="0.25">
      <c r="A687" s="64" t="str">
        <f>CONCATENATE("Итого по подразделу: ",IF(Source!G955&lt;&gt;"Новый подраздел", Source!G955, ""))</f>
        <v>Итого по подразделу: Монтажные работы</v>
      </c>
      <c r="B687" s="64"/>
      <c r="C687" s="64"/>
      <c r="D687" s="64"/>
      <c r="E687" s="64"/>
      <c r="F687" s="64"/>
      <c r="G687" s="64"/>
      <c r="H687" s="64"/>
      <c r="I687" s="62">
        <f>SUM(P625:P686)</f>
        <v>5044117.7700000005</v>
      </c>
      <c r="J687" s="63"/>
      <c r="K687" s="26"/>
    </row>
    <row r="690" spans="1:32" ht="15" x14ac:dyDescent="0.25">
      <c r="A690" s="64" t="str">
        <f>CONCATENATE("Итого по разделу: ",IF(Source!G985&lt;&gt;"Новый раздел", Source!G985, ""))</f>
        <v>Итого по разделу: Деревянный настил</v>
      </c>
      <c r="B690" s="64"/>
      <c r="C690" s="64"/>
      <c r="D690" s="64"/>
      <c r="E690" s="64"/>
      <c r="F690" s="64"/>
      <c r="G690" s="64"/>
      <c r="H690" s="64"/>
      <c r="I690" s="62">
        <f>SUM(P569:P689)</f>
        <v>5206885.04</v>
      </c>
      <c r="J690" s="63"/>
      <c r="K690" s="26"/>
    </row>
    <row r="693" spans="1:32" ht="30" x14ac:dyDescent="0.25">
      <c r="A693" s="64" t="str">
        <f>CONCATENATE("Итого: ",IF(Source!G1015&lt;&gt;"Новая локальная смета", Source!G1015, ""))</f>
        <v>Итого: Ремонт экотроп (ЛЗ "Тропаревский" - 2,77 км (деревянные настилы - 4080 кв.м,деревянные перила - 315 кв.м, деревянная лестница - 208 кв.м) с демонтажем и монтажем МАФ</v>
      </c>
      <c r="B693" s="64"/>
      <c r="C693" s="64"/>
      <c r="D693" s="64"/>
      <c r="E693" s="64"/>
      <c r="F693" s="64"/>
      <c r="G693" s="64"/>
      <c r="H693" s="64"/>
      <c r="I693" s="62">
        <f>SUM(P567:P692)</f>
        <v>5206885.04</v>
      </c>
      <c r="J693" s="63"/>
      <c r="K693" s="26"/>
      <c r="AF693" s="29" t="str">
        <f>CONCATENATE("Итого по локальной смете: ",IF(Source!G1015&lt;&gt;"Новая локальная смета", Source!G1015, ""))</f>
        <v>Итого по локальной смете: Ремонт экотроп (ЛЗ "Тропаревский" - 2,77 км (деревянные настилы - 4080 кв.м,деревянные перила - 315 кв.м, деревянная лестница - 208 кв.м) с демонтажем и монтажем МАФ</v>
      </c>
    </row>
    <row r="695" spans="1:32" ht="14.25" x14ac:dyDescent="0.2">
      <c r="C695" s="67" t="str">
        <f>Source!H1044</f>
        <v>НДС 20%</v>
      </c>
      <c r="D695" s="67"/>
      <c r="E695" s="67"/>
      <c r="F695" s="67"/>
      <c r="G695" s="67"/>
      <c r="H695" s="67"/>
      <c r="I695" s="68">
        <f>IF(Source!F1044=0, "", Source!F1044)</f>
        <v>1041377.01</v>
      </c>
      <c r="J695" s="68"/>
    </row>
    <row r="696" spans="1:32" ht="14.25" x14ac:dyDescent="0.2">
      <c r="C696" s="67" t="str">
        <f>Source!H1045</f>
        <v>Итого с НДС</v>
      </c>
      <c r="D696" s="67"/>
      <c r="E696" s="67"/>
      <c r="F696" s="67"/>
      <c r="G696" s="67"/>
      <c r="H696" s="67"/>
      <c r="I696" s="68">
        <f>IF(Source!F1045=0, "", Source!F1045)</f>
        <v>6248262.0499999998</v>
      </c>
      <c r="J696" s="68"/>
    </row>
    <row r="698" spans="1:32" ht="15" x14ac:dyDescent="0.25">
      <c r="A698" s="64" t="s">
        <v>641</v>
      </c>
      <c r="B698" s="64"/>
      <c r="C698" s="64"/>
      <c r="D698" s="64"/>
      <c r="E698" s="64"/>
      <c r="F698" s="64"/>
      <c r="G698" s="64"/>
      <c r="H698" s="64"/>
      <c r="I698" s="62">
        <f>SUM(P1:P697)</f>
        <v>8269169.9500000002</v>
      </c>
      <c r="J698" s="63"/>
      <c r="K698" s="26"/>
    </row>
    <row r="699" spans="1:32" ht="14.25" x14ac:dyDescent="0.2">
      <c r="C699" s="67" t="str">
        <f>Source!H1076</f>
        <v>НДС 20%</v>
      </c>
      <c r="D699" s="67"/>
      <c r="E699" s="67"/>
      <c r="F699" s="67"/>
      <c r="G699" s="67"/>
      <c r="H699" s="67"/>
      <c r="I699" s="68">
        <f>IF(Source!F1076=0, "", Source!F1076)</f>
        <v>1653833.99</v>
      </c>
      <c r="J699" s="68"/>
    </row>
    <row r="700" spans="1:32" ht="14.25" x14ac:dyDescent="0.2">
      <c r="C700" s="67" t="str">
        <f>Source!H1077</f>
        <v>Итого с НДС</v>
      </c>
      <c r="D700" s="67"/>
      <c r="E700" s="67"/>
      <c r="F700" s="67"/>
      <c r="G700" s="67"/>
      <c r="H700" s="67"/>
      <c r="I700" s="68">
        <f>IF(Source!F1077=0, "", Source!F1077)</f>
        <v>9923003.9399999995</v>
      </c>
      <c r="J700" s="68"/>
    </row>
    <row r="703" spans="1:32" ht="14.25" x14ac:dyDescent="0.2">
      <c r="A703" s="60" t="s">
        <v>579</v>
      </c>
      <c r="B703" s="60"/>
      <c r="C703" s="30" t="str">
        <f>IF(Source!AC12&lt;&gt;"", Source!AC12," ")</f>
        <v xml:space="preserve"> </v>
      </c>
      <c r="D703" s="30"/>
      <c r="E703" s="30"/>
      <c r="F703" s="30"/>
      <c r="G703" s="30"/>
      <c r="H703" s="10" t="str">
        <f>IF(Source!AB12&lt;&gt;"", Source!AB12," ")</f>
        <v xml:space="preserve"> </v>
      </c>
      <c r="I703" s="10"/>
      <c r="J703" s="10"/>
      <c r="K703" s="10"/>
    </row>
    <row r="704" spans="1:32" ht="14.25" x14ac:dyDescent="0.2">
      <c r="A704" s="10"/>
      <c r="B704" s="10"/>
      <c r="C704" s="61" t="s">
        <v>580</v>
      </c>
      <c r="D704" s="61"/>
      <c r="E704" s="61"/>
      <c r="F704" s="61"/>
      <c r="G704" s="61"/>
      <c r="H704" s="10"/>
      <c r="I704" s="10"/>
      <c r="J704" s="10"/>
      <c r="K704" s="10"/>
    </row>
    <row r="705" spans="1:11" ht="14.25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</row>
    <row r="706" spans="1:11" ht="14.25" x14ac:dyDescent="0.2">
      <c r="A706" s="60" t="s">
        <v>581</v>
      </c>
      <c r="B706" s="60"/>
      <c r="C706" s="30" t="str">
        <f>IF(Source!AE12&lt;&gt;"", Source!AE12," ")</f>
        <v xml:space="preserve"> </v>
      </c>
      <c r="D706" s="30"/>
      <c r="E706" s="30"/>
      <c r="F706" s="30"/>
      <c r="G706" s="30"/>
      <c r="H706" s="10" t="str">
        <f>IF(Source!AD12&lt;&gt;"", Source!AD12," ")</f>
        <v xml:space="preserve"> </v>
      </c>
      <c r="I706" s="10"/>
      <c r="J706" s="10"/>
      <c r="K706" s="10"/>
    </row>
    <row r="707" spans="1:11" ht="14.25" x14ac:dyDescent="0.2">
      <c r="A707" s="10"/>
      <c r="B707" s="10"/>
      <c r="C707" s="61" t="s">
        <v>580</v>
      </c>
      <c r="D707" s="61"/>
      <c r="E707" s="61"/>
      <c r="F707" s="61"/>
      <c r="G707" s="61"/>
      <c r="H707" s="10"/>
      <c r="I707" s="10"/>
      <c r="J707" s="10"/>
      <c r="K707" s="10"/>
    </row>
  </sheetData>
  <mergeCells count="239">
    <mergeCell ref="J2:K2"/>
    <mergeCell ref="F22:H22"/>
    <mergeCell ref="I22:J22"/>
    <mergeCell ref="F23:H23"/>
    <mergeCell ref="I23:J23"/>
    <mergeCell ref="F24:H24"/>
    <mergeCell ref="I24:J24"/>
    <mergeCell ref="A16:K16"/>
    <mergeCell ref="A18:K18"/>
    <mergeCell ref="F20:H20"/>
    <mergeCell ref="I20:J20"/>
    <mergeCell ref="F21:H21"/>
    <mergeCell ref="I21:J21"/>
    <mergeCell ref="B3:E3"/>
    <mergeCell ref="G3:K3"/>
    <mergeCell ref="B4:E4"/>
    <mergeCell ref="G4:K4"/>
    <mergeCell ref="B6:E6"/>
    <mergeCell ref="G6:K6"/>
    <mergeCell ref="G5:K5"/>
    <mergeCell ref="I27:I29"/>
    <mergeCell ref="J27:J29"/>
    <mergeCell ref="A33:K33"/>
    <mergeCell ref="A35:K35"/>
    <mergeCell ref="I43:J43"/>
    <mergeCell ref="F25:H25"/>
    <mergeCell ref="I25:J25"/>
    <mergeCell ref="A27:A29"/>
    <mergeCell ref="B27:B29"/>
    <mergeCell ref="C27:C29"/>
    <mergeCell ref="D27:D29"/>
    <mergeCell ref="E27:E29"/>
    <mergeCell ref="F27:F29"/>
    <mergeCell ref="G27:G29"/>
    <mergeCell ref="H27:H29"/>
    <mergeCell ref="A64:K64"/>
    <mergeCell ref="I73:J73"/>
    <mergeCell ref="I75:J75"/>
    <mergeCell ref="I77:J77"/>
    <mergeCell ref="I79:J79"/>
    <mergeCell ref="I81:J81"/>
    <mergeCell ref="I49:J49"/>
    <mergeCell ref="I53:J53"/>
    <mergeCell ref="I57:J57"/>
    <mergeCell ref="I59:J59"/>
    <mergeCell ref="I61:J61"/>
    <mergeCell ref="A61:H61"/>
    <mergeCell ref="A115:H115"/>
    <mergeCell ref="A118:K118"/>
    <mergeCell ref="I128:J128"/>
    <mergeCell ref="I83:J83"/>
    <mergeCell ref="I85:J85"/>
    <mergeCell ref="I87:J87"/>
    <mergeCell ref="A87:H87"/>
    <mergeCell ref="A90:K90"/>
    <mergeCell ref="I101:J101"/>
    <mergeCell ref="I135:J135"/>
    <mergeCell ref="I141:J141"/>
    <mergeCell ref="I148:J148"/>
    <mergeCell ref="I152:J152"/>
    <mergeCell ref="I156:J156"/>
    <mergeCell ref="I161:J161"/>
    <mergeCell ref="I111:J111"/>
    <mergeCell ref="I113:J113"/>
    <mergeCell ref="I115:J115"/>
    <mergeCell ref="C181:H181"/>
    <mergeCell ref="I181:J181"/>
    <mergeCell ref="C182:H182"/>
    <mergeCell ref="I182:J182"/>
    <mergeCell ref="A184:K184"/>
    <mergeCell ref="A186:K186"/>
    <mergeCell ref="I163:J163"/>
    <mergeCell ref="I174:J174"/>
    <mergeCell ref="I176:J176"/>
    <mergeCell ref="A176:H176"/>
    <mergeCell ref="I179:J179"/>
    <mergeCell ref="A179:H179"/>
    <mergeCell ref="A212:H212"/>
    <mergeCell ref="A215:K215"/>
    <mergeCell ref="I224:J224"/>
    <mergeCell ref="I226:J226"/>
    <mergeCell ref="I228:J228"/>
    <mergeCell ref="I230:J230"/>
    <mergeCell ref="I194:J194"/>
    <mergeCell ref="I200:J200"/>
    <mergeCell ref="I204:J204"/>
    <mergeCell ref="I208:J208"/>
    <mergeCell ref="I210:J210"/>
    <mergeCell ref="I212:J212"/>
    <mergeCell ref="I252:J252"/>
    <mergeCell ref="I262:J262"/>
    <mergeCell ref="I264:J264"/>
    <mergeCell ref="I266:J266"/>
    <mergeCell ref="A266:H266"/>
    <mergeCell ref="A269:K269"/>
    <mergeCell ref="I232:J232"/>
    <mergeCell ref="I234:J234"/>
    <mergeCell ref="I236:J236"/>
    <mergeCell ref="I238:J238"/>
    <mergeCell ref="A238:H238"/>
    <mergeCell ref="A241:K241"/>
    <mergeCell ref="I312:J312"/>
    <mergeCell ref="I314:J314"/>
    <mergeCell ref="I325:J325"/>
    <mergeCell ref="I327:J327"/>
    <mergeCell ref="A327:H327"/>
    <mergeCell ref="I330:J330"/>
    <mergeCell ref="A330:H330"/>
    <mergeCell ref="I279:J279"/>
    <mergeCell ref="I286:J286"/>
    <mergeCell ref="I292:J292"/>
    <mergeCell ref="I299:J299"/>
    <mergeCell ref="I303:J303"/>
    <mergeCell ref="I307:J307"/>
    <mergeCell ref="I345:J345"/>
    <mergeCell ref="I351:J351"/>
    <mergeCell ref="I355:J355"/>
    <mergeCell ref="I359:J359"/>
    <mergeCell ref="I361:J361"/>
    <mergeCell ref="I363:J363"/>
    <mergeCell ref="C332:H332"/>
    <mergeCell ref="I332:J332"/>
    <mergeCell ref="C333:H333"/>
    <mergeCell ref="I333:J333"/>
    <mergeCell ref="A335:K335"/>
    <mergeCell ref="A337:K337"/>
    <mergeCell ref="A414:H414"/>
    <mergeCell ref="A417:K417"/>
    <mergeCell ref="I380:J380"/>
    <mergeCell ref="I382:J382"/>
    <mergeCell ref="I384:J384"/>
    <mergeCell ref="I386:J386"/>
    <mergeCell ref="A386:H386"/>
    <mergeCell ref="A389:K389"/>
    <mergeCell ref="A363:H363"/>
    <mergeCell ref="A366:K366"/>
    <mergeCell ref="I372:J372"/>
    <mergeCell ref="I374:J374"/>
    <mergeCell ref="I376:J376"/>
    <mergeCell ref="I378:J378"/>
    <mergeCell ref="I427:J427"/>
    <mergeCell ref="I434:J434"/>
    <mergeCell ref="I440:J440"/>
    <mergeCell ref="I447:J447"/>
    <mergeCell ref="I451:J451"/>
    <mergeCell ref="I455:J455"/>
    <mergeCell ref="I400:J400"/>
    <mergeCell ref="I410:J410"/>
    <mergeCell ref="I412:J412"/>
    <mergeCell ref="I414:J414"/>
    <mergeCell ref="C480:H480"/>
    <mergeCell ref="I480:J480"/>
    <mergeCell ref="C481:H481"/>
    <mergeCell ref="I481:J481"/>
    <mergeCell ref="A483:K483"/>
    <mergeCell ref="A485:K485"/>
    <mergeCell ref="I460:J460"/>
    <mergeCell ref="I462:J462"/>
    <mergeCell ref="I473:J473"/>
    <mergeCell ref="I475:J475"/>
    <mergeCell ref="A475:H475"/>
    <mergeCell ref="I478:J478"/>
    <mergeCell ref="A478:H478"/>
    <mergeCell ref="I497:J497"/>
    <mergeCell ref="A497:H497"/>
    <mergeCell ref="A500:K500"/>
    <mergeCell ref="I510:J510"/>
    <mergeCell ref="I517:J517"/>
    <mergeCell ref="I523:J523"/>
    <mergeCell ref="I487:J487"/>
    <mergeCell ref="A487:H487"/>
    <mergeCell ref="A490:K490"/>
    <mergeCell ref="I492:J492"/>
    <mergeCell ref="A492:H492"/>
    <mergeCell ref="A495:K495"/>
    <mergeCell ref="I558:J558"/>
    <mergeCell ref="A558:H558"/>
    <mergeCell ref="I561:J561"/>
    <mergeCell ref="A561:H561"/>
    <mergeCell ref="C563:H563"/>
    <mergeCell ref="I563:J563"/>
    <mergeCell ref="I530:J530"/>
    <mergeCell ref="I534:J534"/>
    <mergeCell ref="I538:J538"/>
    <mergeCell ref="I543:J543"/>
    <mergeCell ref="I545:J545"/>
    <mergeCell ref="I556:J556"/>
    <mergeCell ref="A567:K567"/>
    <mergeCell ref="A569:K569"/>
    <mergeCell ref="A571:K571"/>
    <mergeCell ref="I578:J578"/>
    <mergeCell ref="C564:H564"/>
    <mergeCell ref="I564:J564"/>
    <mergeCell ref="C707:G707"/>
    <mergeCell ref="B7:E7"/>
    <mergeCell ref="G7:K7"/>
    <mergeCell ref="A10:K10"/>
    <mergeCell ref="A11:K11"/>
    <mergeCell ref="A13:K13"/>
    <mergeCell ref="A15:K15"/>
    <mergeCell ref="I698:J698"/>
    <mergeCell ref="A698:H698"/>
    <mergeCell ref="C699:H699"/>
    <mergeCell ref="I699:J699"/>
    <mergeCell ref="C700:H700"/>
    <mergeCell ref="I700:J700"/>
    <mergeCell ref="C695:H695"/>
    <mergeCell ref="I695:J695"/>
    <mergeCell ref="C696:H696"/>
    <mergeCell ref="I696:J696"/>
    <mergeCell ref="A622:H622"/>
    <mergeCell ref="A625:K625"/>
    <mergeCell ref="I633:J633"/>
    <mergeCell ref="I586:J586"/>
    <mergeCell ref="I618:J618"/>
    <mergeCell ref="I620:J620"/>
    <mergeCell ref="I622:J622"/>
    <mergeCell ref="I592:J592"/>
    <mergeCell ref="I598:J598"/>
    <mergeCell ref="I605:J605"/>
    <mergeCell ref="I609:J609"/>
    <mergeCell ref="I613:J613"/>
    <mergeCell ref="A703:B703"/>
    <mergeCell ref="C704:G704"/>
    <mergeCell ref="A706:B706"/>
    <mergeCell ref="I690:J690"/>
    <mergeCell ref="A690:H690"/>
    <mergeCell ref="I640:J640"/>
    <mergeCell ref="I650:J650"/>
    <mergeCell ref="I652:J652"/>
    <mergeCell ref="I654:J654"/>
    <mergeCell ref="I662:J662"/>
    <mergeCell ref="I664:J664"/>
    <mergeCell ref="I693:J693"/>
    <mergeCell ref="A693:H693"/>
    <mergeCell ref="I674:J674"/>
    <mergeCell ref="I685:J685"/>
    <mergeCell ref="I687:J687"/>
    <mergeCell ref="A687:H687"/>
  </mergeCells>
  <pageMargins left="0.4" right="0.2" top="0.2" bottom="0.4" header="0.2" footer="0.2"/>
  <pageSetup paperSize="9" scale="65" fitToHeight="0" orientation="portrait" verticalDpi="0" r:id="rId1"/>
  <headerFooter>
    <oddHeader>&amp;L&amp;8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42"/>
  <sheetViews>
    <sheetView zoomScaleNormal="100" workbookViewId="0">
      <selection activeCell="H13" sqref="H13"/>
    </sheetView>
  </sheetViews>
  <sheetFormatPr defaultRowHeight="12.75" x14ac:dyDescent="0.2"/>
  <cols>
    <col min="1" max="1" width="6.7109375" customWidth="1"/>
    <col min="2" max="2" width="75.7109375" customWidth="1"/>
    <col min="3" max="5" width="15.7109375" customWidth="1"/>
    <col min="30" max="30" width="0" hidden="1" customWidth="1"/>
    <col min="31" max="31" width="129.7109375" hidden="1" customWidth="1"/>
  </cols>
  <sheetData>
    <row r="1" spans="1:31" x14ac:dyDescent="0.2">
      <c r="A1" s="8" t="str">
        <f>Source!B1</f>
        <v>Smeta.RU  (495) 974-1589</v>
      </c>
    </row>
    <row r="2" spans="1:31" ht="14.25" x14ac:dyDescent="0.2">
      <c r="C2" s="10"/>
      <c r="D2" s="10"/>
    </row>
    <row r="3" spans="1:31" ht="15.75" x14ac:dyDescent="0.25">
      <c r="A3" s="52"/>
      <c r="B3" s="52"/>
      <c r="C3" s="86" t="s">
        <v>535</v>
      </c>
      <c r="D3" s="86"/>
      <c r="E3" s="86"/>
      <c r="F3" s="55"/>
      <c r="G3" s="5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1" ht="15" x14ac:dyDescent="0.25">
      <c r="A4" s="52"/>
      <c r="B4" s="52"/>
      <c r="C4" s="87" t="s">
        <v>635</v>
      </c>
      <c r="D4" s="87"/>
      <c r="E4" s="87"/>
      <c r="F4" s="56"/>
      <c r="G4" s="56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</row>
    <row r="5" spans="1:31" ht="15" x14ac:dyDescent="0.25">
      <c r="A5" s="52"/>
      <c r="B5" s="52"/>
      <c r="C5" s="87" t="s">
        <v>636</v>
      </c>
      <c r="D5" s="87"/>
      <c r="E5" s="87"/>
      <c r="F5" s="56"/>
      <c r="G5" s="56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</row>
    <row r="6" spans="1:31" ht="15" x14ac:dyDescent="0.25">
      <c r="A6" s="52"/>
      <c r="B6" s="52"/>
      <c r="C6" s="87" t="s">
        <v>637</v>
      </c>
      <c r="D6" s="87"/>
      <c r="E6" s="87"/>
      <c r="F6" s="56"/>
      <c r="G6" s="56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</row>
    <row r="7" spans="1:31" ht="15" x14ac:dyDescent="0.25">
      <c r="A7" s="52"/>
      <c r="B7" s="52"/>
      <c r="C7" s="88" t="s">
        <v>537</v>
      </c>
      <c r="D7" s="88"/>
      <c r="E7" s="88"/>
      <c r="F7" s="57"/>
      <c r="G7" s="57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</row>
    <row r="8" spans="1:31" ht="15" x14ac:dyDescent="0.25">
      <c r="A8" s="52"/>
      <c r="B8" s="52"/>
      <c r="C8" s="54"/>
      <c r="D8" s="54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</row>
    <row r="9" spans="1:31" ht="15.75" x14ac:dyDescent="0.25">
      <c r="A9" s="90" t="s">
        <v>639</v>
      </c>
      <c r="B9" s="90"/>
      <c r="C9" s="90"/>
      <c r="D9" s="90"/>
      <c r="E9" s="53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</row>
    <row r="10" spans="1:31" ht="45" customHeight="1" x14ac:dyDescent="0.25">
      <c r="A10" s="91" t="s">
        <v>638</v>
      </c>
      <c r="B10" s="91"/>
      <c r="C10" s="91"/>
      <c r="D10" s="91"/>
      <c r="E10" s="91"/>
      <c r="F10" s="103"/>
      <c r="G10" s="103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</row>
    <row r="11" spans="1:31" ht="14.25" x14ac:dyDescent="0.2">
      <c r="A11" s="10"/>
      <c r="B11" s="10"/>
      <c r="C11" s="10"/>
      <c r="D11" s="10"/>
      <c r="E11" s="10"/>
    </row>
    <row r="12" spans="1:31" ht="28.5" x14ac:dyDescent="0.2">
      <c r="A12" s="14" t="s">
        <v>582</v>
      </c>
      <c r="B12" s="14" t="s">
        <v>548</v>
      </c>
      <c r="C12" s="14" t="s">
        <v>549</v>
      </c>
      <c r="D12" s="14" t="s">
        <v>583</v>
      </c>
      <c r="E12" s="31" t="s">
        <v>584</v>
      </c>
    </row>
    <row r="13" spans="1:31" ht="14.25" x14ac:dyDescent="0.2">
      <c r="A13" s="32">
        <v>1</v>
      </c>
      <c r="B13" s="32">
        <v>2</v>
      </c>
      <c r="C13" s="32">
        <v>3</v>
      </c>
      <c r="D13" s="32">
        <v>4</v>
      </c>
      <c r="E13" s="33">
        <v>5</v>
      </c>
    </row>
    <row r="14" spans="1:31" ht="16.5" x14ac:dyDescent="0.25">
      <c r="A14" s="89" t="str">
        <f>CONCATENATE("Локальная смета: ", Source!G20)</f>
        <v>Локальная смета: Локальная смета</v>
      </c>
      <c r="B14" s="89"/>
      <c r="C14" s="89"/>
      <c r="D14" s="89"/>
      <c r="E14" s="89"/>
    </row>
    <row r="15" spans="1:31" ht="16.5" x14ac:dyDescent="0.25">
      <c r="A15" s="89" t="str">
        <f>CONCATENATE("Раздел: ", Source!G24)</f>
        <v>Раздел: ЛЗ "Тропаревский" - 339,5 кв.м кв. 23, выд. 128</v>
      </c>
      <c r="B15" s="89"/>
      <c r="C15" s="89"/>
      <c r="D15" s="89"/>
      <c r="E15" s="89"/>
    </row>
    <row r="16" spans="1:31" ht="16.5" x14ac:dyDescent="0.25">
      <c r="A16" s="89" t="str">
        <f>CONCATENATE("Подраздел: ", Source!G28)</f>
        <v>Подраздел: Демонтаж</v>
      </c>
      <c r="B16" s="89"/>
      <c r="C16" s="89"/>
      <c r="D16" s="89"/>
      <c r="E16" s="89"/>
    </row>
    <row r="17" spans="1:5" ht="28.5" x14ac:dyDescent="0.2">
      <c r="A17" s="38" t="str">
        <f>Source!E32</f>
        <v>1</v>
      </c>
      <c r="B17" s="39" t="str">
        <f>Source!G32</f>
        <v>Разборка деревянных заборов инвентарных из готовых звеньев (демонтаж МАФ)</v>
      </c>
      <c r="C17" s="40" t="str">
        <f>Source!H32</f>
        <v>100 м2</v>
      </c>
      <c r="D17" s="41">
        <f>Source!I32</f>
        <v>0.105</v>
      </c>
      <c r="E17" s="39"/>
    </row>
    <row r="18" spans="1:5" ht="28.5" x14ac:dyDescent="0.2">
      <c r="A18" s="38" t="str">
        <f>Source!E34</f>
        <v>3</v>
      </c>
      <c r="B18" s="39" t="str">
        <f>Source!G34</f>
        <v>Погрузка и выгрузка вручную строительного мусора на транспортные средства</v>
      </c>
      <c r="C18" s="40" t="str">
        <f>Source!H34</f>
        <v>т</v>
      </c>
      <c r="D18" s="41">
        <f>Source!I34</f>
        <v>6.8250000000000005E-2</v>
      </c>
      <c r="E18" s="39"/>
    </row>
    <row r="19" spans="1:5" ht="28.5" x14ac:dyDescent="0.2">
      <c r="A19" s="38" t="str">
        <f>Source!E36</f>
        <v>5</v>
      </c>
      <c r="B19" s="39" t="str">
        <f>Source!G36</f>
        <v>Перевозка строительного мусора автосамосвалами грузоподъемностью до 10 т на расстояние 1 км - при погрузке вручную</v>
      </c>
      <c r="C19" s="40" t="str">
        <f>Source!H36</f>
        <v>т</v>
      </c>
      <c r="D19" s="41">
        <f>Source!I36</f>
        <v>6.8250000000000005E-2</v>
      </c>
      <c r="E19" s="39"/>
    </row>
    <row r="20" spans="1:5" ht="28.5" x14ac:dyDescent="0.2">
      <c r="A20" s="38" t="str">
        <f>Source!E37</f>
        <v>6</v>
      </c>
      <c r="B20" s="39" t="str">
        <f>Source!G37</f>
        <v>Перевозка строительного мусора автосамосвалами грузоподъемностью до 10 т - добавляется на каждый последующий 1 км до 100 км</v>
      </c>
      <c r="C20" s="40" t="str">
        <f>Source!H37</f>
        <v>т</v>
      </c>
      <c r="D20" s="41">
        <f>Source!I37</f>
        <v>6.8250000000000005E-2</v>
      </c>
      <c r="E20" s="39"/>
    </row>
    <row r="21" spans="1:5" ht="14.25" x14ac:dyDescent="0.2">
      <c r="A21" s="38" t="str">
        <f>Source!E38</f>
        <v>7</v>
      </c>
      <c r="B21" s="39" t="str">
        <f>Source!G38</f>
        <v>Содержание свалки отходов строительства и сноса</v>
      </c>
      <c r="C21" s="40" t="str">
        <f>Source!H38</f>
        <v>т</v>
      </c>
      <c r="D21" s="41">
        <f>Source!I38</f>
        <v>6.8250000000000005E-2</v>
      </c>
      <c r="E21" s="39"/>
    </row>
    <row r="22" spans="1:5" ht="16.5" x14ac:dyDescent="0.25">
      <c r="A22" s="89" t="str">
        <f>CONCATENATE("Подраздел: ", Source!G70)</f>
        <v>Подраздел: Установка оборудования для выгула собак</v>
      </c>
      <c r="B22" s="89"/>
      <c r="C22" s="89"/>
      <c r="D22" s="89"/>
      <c r="E22" s="89"/>
    </row>
    <row r="23" spans="1:5" ht="28.5" x14ac:dyDescent="0.2">
      <c r="A23" s="38" t="str">
        <f>Source!E74</f>
        <v>8</v>
      </c>
      <c r="B23" s="39" t="str">
        <f>Source!G74</f>
        <v>Монтаж мелких конструкций из стали различного профиля массой до 100 кг (прим. монтаж МАФ)</v>
      </c>
      <c r="C23" s="40" t="str">
        <f>Source!H74</f>
        <v>т</v>
      </c>
      <c r="D23" s="41">
        <f>Source!I74</f>
        <v>0.2</v>
      </c>
      <c r="E23" s="39"/>
    </row>
    <row r="24" spans="1:5" ht="14.25" x14ac:dyDescent="0.2">
      <c r="A24" s="38" t="str">
        <f>Source!E87</f>
        <v>14</v>
      </c>
      <c r="B24" s="39" t="str">
        <f>Source!G87</f>
        <v>Горка СП009 для собачьих площадок</v>
      </c>
      <c r="C24" s="40" t="str">
        <f>Source!H87</f>
        <v>шт.</v>
      </c>
      <c r="D24" s="41">
        <f>Source!I87</f>
        <v>1</v>
      </c>
      <c r="E24" s="39"/>
    </row>
    <row r="25" spans="1:5" ht="14.25" x14ac:dyDescent="0.2">
      <c r="A25" s="38" t="str">
        <f>Source!E88</f>
        <v>15</v>
      </c>
      <c r="B25" s="39" t="str">
        <f>Source!G88</f>
        <v>Слалом СП016 для собачьих площадок</v>
      </c>
      <c r="C25" s="40" t="str">
        <f>Source!H88</f>
        <v>шт.</v>
      </c>
      <c r="D25" s="41">
        <f>Source!I88</f>
        <v>1</v>
      </c>
      <c r="E25" s="39"/>
    </row>
    <row r="26" spans="1:5" ht="14.25" x14ac:dyDescent="0.2">
      <c r="A26" s="38" t="str">
        <f>Source!E89</f>
        <v>16</v>
      </c>
      <c r="B26" s="39" t="str">
        <f>Source!G89</f>
        <v>Барьер 500 СП001 для собачьих площадок</v>
      </c>
      <c r="C26" s="40" t="str">
        <f>Source!H89</f>
        <v>шт.</v>
      </c>
      <c r="D26" s="41">
        <f>Source!I89</f>
        <v>1</v>
      </c>
      <c r="E26" s="39"/>
    </row>
    <row r="27" spans="1:5" ht="14.25" x14ac:dyDescent="0.2">
      <c r="A27" s="38" t="str">
        <f>Source!E90</f>
        <v>17</v>
      </c>
      <c r="B27" s="39" t="str">
        <f>Source!G90</f>
        <v>Барьер 1000 СП002 для собачьих площадок</v>
      </c>
      <c r="C27" s="40" t="str">
        <f>Source!H90</f>
        <v>шт.</v>
      </c>
      <c r="D27" s="41">
        <f>Source!I90</f>
        <v>1</v>
      </c>
      <c r="E27" s="39"/>
    </row>
    <row r="28" spans="1:5" ht="14.25" x14ac:dyDescent="0.2">
      <c r="A28" s="38" t="str">
        <f>Source!E91</f>
        <v>18</v>
      </c>
      <c r="B28" s="39" t="str">
        <f>Source!G91</f>
        <v>Снаряд Покрышка СП013 для собачьих площадок</v>
      </c>
      <c r="C28" s="40" t="str">
        <f>Source!H91</f>
        <v>шт.</v>
      </c>
      <c r="D28" s="41">
        <f>Source!I91</f>
        <v>1</v>
      </c>
      <c r="E28" s="39"/>
    </row>
    <row r="29" spans="1:5" ht="14.25" x14ac:dyDescent="0.2">
      <c r="A29" s="38" t="str">
        <f>Source!E92</f>
        <v>19</v>
      </c>
      <c r="B29" s="39" t="str">
        <f>Source!G92</f>
        <v>Урна для собачьих площадок №1 УС1 Разноцветный</v>
      </c>
      <c r="C29" s="40" t="str">
        <f>Source!H92</f>
        <v>шт.</v>
      </c>
      <c r="D29" s="41">
        <f>Source!I92</f>
        <v>1</v>
      </c>
      <c r="E29" s="39"/>
    </row>
    <row r="30" spans="1:5" ht="16.5" x14ac:dyDescent="0.25">
      <c r="A30" s="89" t="str">
        <f>CONCATENATE("Подраздел: ", Source!G124)</f>
        <v>Подраздел: Установка ограждения</v>
      </c>
      <c r="B30" s="89"/>
      <c r="C30" s="89"/>
      <c r="D30" s="89"/>
      <c r="E30" s="89"/>
    </row>
    <row r="31" spans="1:5" ht="28.5" x14ac:dyDescent="0.2">
      <c r="A31" s="38" t="str">
        <f>Source!E128</f>
        <v>20</v>
      </c>
      <c r="B31" s="39" t="str">
        <f>Source!G128</f>
        <v>Установка металлических оград высотой 2-2,5 м на металлических стойках, при количестве стоек 38 шт./100 м</v>
      </c>
      <c r="C31" s="40" t="str">
        <f>Source!H128</f>
        <v>100 м</v>
      </c>
      <c r="D31" s="41">
        <f>Source!I128</f>
        <v>1.2</v>
      </c>
      <c r="E31" s="39"/>
    </row>
    <row r="32" spans="1:5" ht="28.5" x14ac:dyDescent="0.2">
      <c r="A32" s="38" t="str">
        <f>Source!E129</f>
        <v>21</v>
      </c>
      <c r="B32" s="39" t="str">
        <f>Source!G129</f>
        <v>Ремонт металлических конструкций спортивных площадок: замена навесов калитки ограждения</v>
      </c>
      <c r="C32" s="40" t="str">
        <f>Source!H129</f>
        <v>шт.</v>
      </c>
      <c r="D32" s="41">
        <f>Source!I129</f>
        <v>1</v>
      </c>
      <c r="E32" s="39"/>
    </row>
    <row r="33" spans="1:5" ht="28.5" x14ac:dyDescent="0.2">
      <c r="A33" s="38" t="str">
        <f>Source!E130</f>
        <v>22</v>
      </c>
      <c r="B33" s="39" t="str">
        <f>Source!G130</f>
        <v>Калитка металлическая с лаковым покрытием, размеры 1000х1500 мм (прим. калитка металическая решётчатая)</v>
      </c>
      <c r="C33" s="40" t="str">
        <f>Source!H130</f>
        <v>шт.</v>
      </c>
      <c r="D33" s="41">
        <f>Source!I130</f>
        <v>1</v>
      </c>
      <c r="E33" s="39"/>
    </row>
    <row r="34" spans="1:5" ht="16.5" x14ac:dyDescent="0.25">
      <c r="A34" s="89" t="str">
        <f>CONCATENATE("Подраздел: ", Source!G162)</f>
        <v>Подраздел: Устройство покрытия</v>
      </c>
      <c r="B34" s="89"/>
      <c r="C34" s="89"/>
      <c r="D34" s="89"/>
      <c r="E34" s="89"/>
    </row>
    <row r="35" spans="1:5" ht="28.5" x14ac:dyDescent="0.2">
      <c r="A35" s="38" t="str">
        <f>Source!E166</f>
        <v>23</v>
      </c>
      <c r="B35" s="39" t="str">
        <f>Source!G166</f>
        <v>Разработка грунта с погрузкой на автомобили-самосвалы экскаваторами с ковшом вместимостью 0,25 м3, группа грунтов 1-3</v>
      </c>
      <c r="C35" s="40" t="str">
        <f>Source!H166</f>
        <v>100 м3</v>
      </c>
      <c r="D35" s="41">
        <f>Source!I166</f>
        <v>0.30554999999999999</v>
      </c>
      <c r="E35" s="39"/>
    </row>
    <row r="36" spans="1:5" ht="28.5" x14ac:dyDescent="0.2">
      <c r="A36" s="38" t="str">
        <f>Source!E167</f>
        <v>24</v>
      </c>
      <c r="B36" s="39" t="str">
        <f>Source!G167</f>
        <v>Разработка грунта вручную в траншеях глубиной до 2 м без креплений с откосами, группа грунтов 1-3</v>
      </c>
      <c r="C36" s="40" t="str">
        <f>Source!H167</f>
        <v>100 м3</v>
      </c>
      <c r="D36" s="41">
        <f>Source!I167</f>
        <v>3.3950000000000001E-2</v>
      </c>
      <c r="E36" s="39"/>
    </row>
    <row r="37" spans="1:5" ht="28.5" x14ac:dyDescent="0.2">
      <c r="A37" s="38" t="str">
        <f>Source!E168</f>
        <v>25</v>
      </c>
      <c r="B37" s="39" t="str">
        <f>Source!G168</f>
        <v>Механизированная погрузка строительного мусора в автомобили-самосвалы</v>
      </c>
      <c r="C37" s="40" t="str">
        <f>Source!H168</f>
        <v>т</v>
      </c>
      <c r="D37" s="41">
        <f>Source!I168</f>
        <v>1.5277499999999999</v>
      </c>
      <c r="E37" s="39"/>
    </row>
    <row r="38" spans="1:5" ht="28.5" x14ac:dyDescent="0.2">
      <c r="A38" s="38" t="str">
        <f>Source!E169</f>
        <v>26</v>
      </c>
      <c r="B38" s="39" t="str">
        <f>Source!G169</f>
        <v>Погрузка и выгрузка вручную строительного мусора на транспортные средства</v>
      </c>
      <c r="C38" s="40" t="str">
        <f>Source!H169</f>
        <v>т</v>
      </c>
      <c r="D38" s="41">
        <f>Source!I169</f>
        <v>0.50924999999999998</v>
      </c>
      <c r="E38" s="39"/>
    </row>
    <row r="39" spans="1:5" ht="28.5" x14ac:dyDescent="0.2">
      <c r="A39" s="38" t="str">
        <f>Source!E170</f>
        <v>27</v>
      </c>
      <c r="B39" s="39" t="str">
        <f>Source!G170</f>
        <v>Перевозка строительного мусора автосамосвалами грузоподъемностью до 10 т на расстояние 1 км - при механизированной погрузке</v>
      </c>
      <c r="C39" s="40" t="str">
        <f>Source!H170</f>
        <v>т</v>
      </c>
      <c r="D39" s="41">
        <f>Source!I170</f>
        <v>1.5277499999999999</v>
      </c>
      <c r="E39" s="39"/>
    </row>
    <row r="40" spans="1:5" ht="28.5" x14ac:dyDescent="0.2">
      <c r="A40" s="38" t="str">
        <f>Source!E171</f>
        <v>28</v>
      </c>
      <c r="B40" s="39" t="str">
        <f>Source!G171</f>
        <v>Перевозка строительного мусора автосамосвалами грузоподъемностью до 10 т на расстояние 1 км - при погрузке вручную</v>
      </c>
      <c r="C40" s="40" t="str">
        <f>Source!H171</f>
        <v>т</v>
      </c>
      <c r="D40" s="41">
        <f>Source!I171</f>
        <v>0.50924999999999998</v>
      </c>
      <c r="E40" s="39"/>
    </row>
    <row r="41" spans="1:5" ht="28.5" x14ac:dyDescent="0.2">
      <c r="A41" s="38" t="str">
        <f>Source!E172</f>
        <v>29</v>
      </c>
      <c r="B41" s="39" t="str">
        <f>Source!G172</f>
        <v>Перевозка строительного мусора автосамосвалами грузоподъемностью до 10 т - добавляется на каждый последующий 1 км до 100 км</v>
      </c>
      <c r="C41" s="40" t="str">
        <f>Source!H172</f>
        <v>т</v>
      </c>
      <c r="D41" s="41">
        <f>Source!I172</f>
        <v>2.0369999999999999</v>
      </c>
      <c r="E41" s="39"/>
    </row>
    <row r="42" spans="1:5" ht="14.25" x14ac:dyDescent="0.2">
      <c r="A42" s="38" t="str">
        <f>Source!E173</f>
        <v>30</v>
      </c>
      <c r="B42" s="39" t="str">
        <f>Source!G173</f>
        <v>Содержание свалки отходов строительства и сноса</v>
      </c>
      <c r="C42" s="40" t="str">
        <f>Source!H173</f>
        <v>т</v>
      </c>
      <c r="D42" s="41">
        <f>Source!I173</f>
        <v>2.0369999999999999</v>
      </c>
      <c r="E42" s="39"/>
    </row>
    <row r="43" spans="1:5" ht="14.25" x14ac:dyDescent="0.2">
      <c r="A43" s="38" t="str">
        <f>Source!E177</f>
        <v>34</v>
      </c>
      <c r="B43" s="39" t="str">
        <f>Source!G177</f>
        <v>Устройство подстилающих и выравнивающих слоев оснований из песка</v>
      </c>
      <c r="C43" s="40" t="str">
        <f>Source!H177</f>
        <v>100 м3</v>
      </c>
      <c r="D43" s="41">
        <f>Source!I177</f>
        <v>0.33950000000000002</v>
      </c>
      <c r="E43" s="39"/>
    </row>
    <row r="44" spans="1:5" ht="16.5" x14ac:dyDescent="0.25">
      <c r="A44" s="89" t="str">
        <f>CONCATENATE("Раздел: ", Source!G242)</f>
        <v>Раздел: ЛЗ "Тропаревский" - 270 кв.м. кв. 12, выд. 14</v>
      </c>
      <c r="B44" s="89"/>
      <c r="C44" s="89"/>
      <c r="D44" s="89"/>
      <c r="E44" s="89"/>
    </row>
    <row r="45" spans="1:5" ht="16.5" x14ac:dyDescent="0.25">
      <c r="A45" s="89" t="str">
        <f>CONCATENATE("Подраздел: ", Source!G246)</f>
        <v>Подраздел: Демонтаж</v>
      </c>
      <c r="B45" s="89"/>
      <c r="C45" s="89"/>
      <c r="D45" s="89"/>
      <c r="E45" s="89"/>
    </row>
    <row r="46" spans="1:5" ht="28.5" x14ac:dyDescent="0.2">
      <c r="A46" s="38" t="str">
        <f>Source!E250</f>
        <v>36</v>
      </c>
      <c r="B46" s="39" t="str">
        <f>Source!G250</f>
        <v>Разборка деревянных заборов инвентарных из готовых звеньев (демонтаж МАФ)</v>
      </c>
      <c r="C46" s="40" t="str">
        <f>Source!H250</f>
        <v>100 м2</v>
      </c>
      <c r="D46" s="41">
        <f>Source!I250</f>
        <v>0.105</v>
      </c>
      <c r="E46" s="39"/>
    </row>
    <row r="47" spans="1:5" ht="28.5" x14ac:dyDescent="0.2">
      <c r="A47" s="38" t="str">
        <f>Source!E251</f>
        <v>37</v>
      </c>
      <c r="B47" s="39" t="str">
        <f>Source!G251</f>
        <v>Погрузка и выгрузка вручную строительного мусора на транспортные средства</v>
      </c>
      <c r="C47" s="40" t="str">
        <f>Source!H251</f>
        <v>т</v>
      </c>
      <c r="D47" s="41">
        <f>Source!I251</f>
        <v>6.8250000000000005E-2</v>
      </c>
      <c r="E47" s="39"/>
    </row>
    <row r="48" spans="1:5" ht="28.5" x14ac:dyDescent="0.2">
      <c r="A48" s="38" t="str">
        <f>Source!E253</f>
        <v>39</v>
      </c>
      <c r="B48" s="39" t="str">
        <f>Source!G253</f>
        <v>Перевозка строительного мусора автосамосвалами грузоподъемностью до 10 т на расстояние 1 км - при погрузке вручную</v>
      </c>
      <c r="C48" s="40" t="str">
        <f>Source!H253</f>
        <v>т</v>
      </c>
      <c r="D48" s="41">
        <f>Source!I253</f>
        <v>6.8250000000000005E-2</v>
      </c>
      <c r="E48" s="39"/>
    </row>
    <row r="49" spans="1:5" ht="28.5" x14ac:dyDescent="0.2">
      <c r="A49" s="38" t="str">
        <f>Source!E254</f>
        <v>40</v>
      </c>
      <c r="B49" s="39" t="str">
        <f>Source!G254</f>
        <v>Перевозка строительного мусора автосамосвалами грузоподъемностью до 10 т - добавляется на каждый последующий 1 км до 100 км</v>
      </c>
      <c r="C49" s="40" t="str">
        <f>Source!H254</f>
        <v>т</v>
      </c>
      <c r="D49" s="41">
        <f>Source!I254</f>
        <v>6.8250000000000005E-2</v>
      </c>
      <c r="E49" s="39"/>
    </row>
    <row r="50" spans="1:5" ht="14.25" x14ac:dyDescent="0.2">
      <c r="A50" s="38" t="str">
        <f>Source!E255</f>
        <v>41</v>
      </c>
      <c r="B50" s="39" t="str">
        <f>Source!G255</f>
        <v>Содержание свалки отходов строительства и сноса</v>
      </c>
      <c r="C50" s="40" t="str">
        <f>Source!H255</f>
        <v>т</v>
      </c>
      <c r="D50" s="41">
        <f>Source!I255</f>
        <v>6.8250000000000005E-2</v>
      </c>
      <c r="E50" s="39"/>
    </row>
    <row r="51" spans="1:5" ht="16.5" x14ac:dyDescent="0.25">
      <c r="A51" s="89" t="str">
        <f>CONCATENATE("Подраздел: ", Source!G287)</f>
        <v>Подраздел: Установка оборудования для выгула собак</v>
      </c>
      <c r="B51" s="89"/>
      <c r="C51" s="89"/>
      <c r="D51" s="89"/>
      <c r="E51" s="89"/>
    </row>
    <row r="52" spans="1:5" ht="28.5" x14ac:dyDescent="0.2">
      <c r="A52" s="38" t="str">
        <f>Source!E291</f>
        <v>42</v>
      </c>
      <c r="B52" s="39" t="str">
        <f>Source!G291</f>
        <v>Монтаж мелких конструкций из стали различного профиля массой до 100 кг</v>
      </c>
      <c r="C52" s="40" t="str">
        <f>Source!H291</f>
        <v>т</v>
      </c>
      <c r="D52" s="41">
        <f>Source!I291</f>
        <v>0.2</v>
      </c>
      <c r="E52" s="39"/>
    </row>
    <row r="53" spans="1:5" ht="14.25" x14ac:dyDescent="0.2">
      <c r="A53" s="38" t="str">
        <f>Source!E292</f>
        <v>43</v>
      </c>
      <c r="B53" s="39" t="str">
        <f>Source!G292</f>
        <v>Горка СП009 для собачьих площадок</v>
      </c>
      <c r="C53" s="40" t="str">
        <f>Source!H292</f>
        <v>шт.</v>
      </c>
      <c r="D53" s="41">
        <f>Source!I292</f>
        <v>1</v>
      </c>
      <c r="E53" s="39"/>
    </row>
    <row r="54" spans="1:5" ht="14.25" x14ac:dyDescent="0.2">
      <c r="A54" s="38" t="str">
        <f>Source!E293</f>
        <v>44</v>
      </c>
      <c r="B54" s="39" t="str">
        <f>Source!G293</f>
        <v>Слалом СП016 для собачьих площадок</v>
      </c>
      <c r="C54" s="40" t="str">
        <f>Source!H293</f>
        <v>шт.</v>
      </c>
      <c r="D54" s="41">
        <f>Source!I293</f>
        <v>1</v>
      </c>
      <c r="E54" s="39"/>
    </row>
    <row r="55" spans="1:5" ht="14.25" x14ac:dyDescent="0.2">
      <c r="A55" s="38" t="str">
        <f>Source!E294</f>
        <v>45</v>
      </c>
      <c r="B55" s="39" t="str">
        <f>Source!G294</f>
        <v>Барьер 500 СП001 для собачьих площадок</v>
      </c>
      <c r="C55" s="40" t="str">
        <f>Source!H294</f>
        <v>шт.</v>
      </c>
      <c r="D55" s="41">
        <f>Source!I294</f>
        <v>1</v>
      </c>
      <c r="E55" s="39"/>
    </row>
    <row r="56" spans="1:5" ht="14.25" x14ac:dyDescent="0.2">
      <c r="A56" s="38" t="str">
        <f>Source!E295</f>
        <v>46</v>
      </c>
      <c r="B56" s="39" t="str">
        <f>Source!G295</f>
        <v>Барьер 1000 СП002 для собачьих площадок</v>
      </c>
      <c r="C56" s="40" t="str">
        <f>Source!H295</f>
        <v>шт.</v>
      </c>
      <c r="D56" s="41">
        <f>Source!I295</f>
        <v>1</v>
      </c>
      <c r="E56" s="39"/>
    </row>
    <row r="57" spans="1:5" ht="14.25" x14ac:dyDescent="0.2">
      <c r="A57" s="38" t="str">
        <f>Source!E296</f>
        <v>47</v>
      </c>
      <c r="B57" s="39" t="str">
        <f>Source!G296</f>
        <v>Снаряд Покрышка СП013 для собачьих площадок</v>
      </c>
      <c r="C57" s="40" t="str">
        <f>Source!H296</f>
        <v>шт.</v>
      </c>
      <c r="D57" s="41">
        <f>Source!I296</f>
        <v>1</v>
      </c>
      <c r="E57" s="39"/>
    </row>
    <row r="58" spans="1:5" ht="14.25" x14ac:dyDescent="0.2">
      <c r="A58" s="38" t="str">
        <f>Source!E297</f>
        <v>48</v>
      </c>
      <c r="B58" s="39" t="str">
        <f>Source!G297</f>
        <v>Урна для собачьих площадок №1 УС1 Разноцветный</v>
      </c>
      <c r="C58" s="40" t="str">
        <f>Source!H297</f>
        <v>шт.</v>
      </c>
      <c r="D58" s="41">
        <f>Source!I297</f>
        <v>1</v>
      </c>
      <c r="E58" s="39"/>
    </row>
    <row r="59" spans="1:5" ht="16.5" x14ac:dyDescent="0.25">
      <c r="A59" s="89" t="str">
        <f>CONCATENATE("Подраздел: ", Source!G329)</f>
        <v>Подраздел: Установка ограждения</v>
      </c>
      <c r="B59" s="89"/>
      <c r="C59" s="89"/>
      <c r="D59" s="89"/>
      <c r="E59" s="89"/>
    </row>
    <row r="60" spans="1:5" ht="28.5" x14ac:dyDescent="0.2">
      <c r="A60" s="38" t="str">
        <f>Source!E333</f>
        <v>49</v>
      </c>
      <c r="B60" s="39" t="str">
        <f>Source!G333</f>
        <v>Установка металлических оград высотой 2-2,5 м на металлических стойках, при количестве стоек 38 шт./100 м</v>
      </c>
      <c r="C60" s="40" t="str">
        <f>Source!H333</f>
        <v>100 м</v>
      </c>
      <c r="D60" s="41">
        <f>Source!I333</f>
        <v>1.2</v>
      </c>
      <c r="E60" s="39"/>
    </row>
    <row r="61" spans="1:5" ht="28.5" x14ac:dyDescent="0.2">
      <c r="A61" s="38" t="str">
        <f>Source!E334</f>
        <v>50</v>
      </c>
      <c r="B61" s="39" t="str">
        <f>Source!G334</f>
        <v>Ремонт металлических конструкций спортивных площадок: замена навесов калитки ограждения</v>
      </c>
      <c r="C61" s="40" t="str">
        <f>Source!H334</f>
        <v>шт.</v>
      </c>
      <c r="D61" s="41">
        <f>Source!I334</f>
        <v>1</v>
      </c>
      <c r="E61" s="39"/>
    </row>
    <row r="62" spans="1:5" ht="28.5" x14ac:dyDescent="0.2">
      <c r="A62" s="38" t="str">
        <f>Source!E335</f>
        <v>51</v>
      </c>
      <c r="B62" s="39" t="str">
        <f>Source!G335</f>
        <v>Калитка металлическая с лаковым покрытием, размеры 1000х1500 мм (прим. калитка металическая решётчатая)</v>
      </c>
      <c r="C62" s="40" t="str">
        <f>Source!H335</f>
        <v>шт.</v>
      </c>
      <c r="D62" s="41">
        <f>Source!I335</f>
        <v>1</v>
      </c>
      <c r="E62" s="39"/>
    </row>
    <row r="63" spans="1:5" ht="16.5" x14ac:dyDescent="0.25">
      <c r="A63" s="89" t="str">
        <f>CONCATENATE("Подраздел: ", Source!G369)</f>
        <v>Подраздел: Устройство покрытия</v>
      </c>
      <c r="B63" s="89"/>
      <c r="C63" s="89"/>
      <c r="D63" s="89"/>
      <c r="E63" s="89"/>
    </row>
    <row r="64" spans="1:5" ht="28.5" x14ac:dyDescent="0.2">
      <c r="A64" s="38" t="str">
        <f>Source!E373</f>
        <v>54</v>
      </c>
      <c r="B64" s="39" t="str">
        <f>Source!G373</f>
        <v>Разработка грунта с погрузкой на автомобили-самосвалы экскаваторами с ковшом вместимостью 0,25 м3, группа грунтов 1-3</v>
      </c>
      <c r="C64" s="40" t="str">
        <f>Source!H373</f>
        <v>100 м3</v>
      </c>
      <c r="D64" s="41">
        <f>Source!I373</f>
        <v>0.24299999999999999</v>
      </c>
      <c r="E64" s="39"/>
    </row>
    <row r="65" spans="1:5" ht="28.5" x14ac:dyDescent="0.2">
      <c r="A65" s="38" t="str">
        <f>Source!E374</f>
        <v>55</v>
      </c>
      <c r="B65" s="39" t="str">
        <f>Source!G374</f>
        <v>Разработка грунта вручную в траншеях глубиной до 2 м без креплений с откосами, группа грунтов 1-3</v>
      </c>
      <c r="C65" s="40" t="str">
        <f>Source!H374</f>
        <v>100 м3</v>
      </c>
      <c r="D65" s="41">
        <f>Source!I374</f>
        <v>2.7E-2</v>
      </c>
      <c r="E65" s="39"/>
    </row>
    <row r="66" spans="1:5" ht="28.5" x14ac:dyDescent="0.2">
      <c r="A66" s="38" t="str">
        <f>Source!E375</f>
        <v>56</v>
      </c>
      <c r="B66" s="39" t="str">
        <f>Source!G375</f>
        <v>Механизированная погрузка строительного мусора в автомобили-самосвалы</v>
      </c>
      <c r="C66" s="40" t="str">
        <f>Source!H375</f>
        <v>т</v>
      </c>
      <c r="D66" s="41">
        <f>Source!I375</f>
        <v>1.2150000000000001</v>
      </c>
      <c r="E66" s="39"/>
    </row>
    <row r="67" spans="1:5" ht="28.5" x14ac:dyDescent="0.2">
      <c r="A67" s="38" t="str">
        <f>Source!E376</f>
        <v>57</v>
      </c>
      <c r="B67" s="39" t="str">
        <f>Source!G376</f>
        <v>Погрузка и выгрузка вручную строительного мусора на транспортные средства</v>
      </c>
      <c r="C67" s="40" t="str">
        <f>Source!H376</f>
        <v>т</v>
      </c>
      <c r="D67" s="41">
        <f>Source!I376</f>
        <v>0.40500000000000003</v>
      </c>
      <c r="E67" s="39"/>
    </row>
    <row r="68" spans="1:5" ht="28.5" x14ac:dyDescent="0.2">
      <c r="A68" s="38" t="str">
        <f>Source!E377</f>
        <v>58</v>
      </c>
      <c r="B68" s="39" t="str">
        <f>Source!G377</f>
        <v>Перевозка строительного мусора автосамосвалами грузоподъемностью до 10 т на расстояние 1 км - при механизированной погрузке</v>
      </c>
      <c r="C68" s="40" t="str">
        <f>Source!H377</f>
        <v>т</v>
      </c>
      <c r="D68" s="41">
        <f>Source!I377</f>
        <v>1.2150000000000001</v>
      </c>
      <c r="E68" s="39"/>
    </row>
    <row r="69" spans="1:5" ht="28.5" x14ac:dyDescent="0.2">
      <c r="A69" s="38" t="str">
        <f>Source!E378</f>
        <v>59</v>
      </c>
      <c r="B69" s="39" t="str">
        <f>Source!G378</f>
        <v>Перевозка строительного мусора автосамосвалами грузоподъемностью до 10 т на расстояние 1 км - при погрузке вручную</v>
      </c>
      <c r="C69" s="40" t="str">
        <f>Source!H378</f>
        <v>т</v>
      </c>
      <c r="D69" s="41">
        <f>Source!I378</f>
        <v>0.40500000000000003</v>
      </c>
      <c r="E69" s="39"/>
    </row>
    <row r="70" spans="1:5" ht="28.5" x14ac:dyDescent="0.2">
      <c r="A70" s="38" t="str">
        <f>Source!E379</f>
        <v>60</v>
      </c>
      <c r="B70" s="39" t="str">
        <f>Source!G379</f>
        <v>Перевозка строительного мусора автосамосвалами грузоподъемностью до 10 т - добавляется на каждый последующий 1 км до 100 км</v>
      </c>
      <c r="C70" s="40" t="str">
        <f>Source!H379</f>
        <v>т</v>
      </c>
      <c r="D70" s="41">
        <f>Source!I379</f>
        <v>1.62</v>
      </c>
      <c r="E70" s="39"/>
    </row>
    <row r="71" spans="1:5" ht="14.25" x14ac:dyDescent="0.2">
      <c r="A71" s="38" t="str">
        <f>Source!E380</f>
        <v>61</v>
      </c>
      <c r="B71" s="39" t="str">
        <f>Source!G380</f>
        <v>Содержание свалки отходов строительства и сноса</v>
      </c>
      <c r="C71" s="40" t="str">
        <f>Source!H380</f>
        <v>т</v>
      </c>
      <c r="D71" s="41">
        <f>Source!I380</f>
        <v>1.62</v>
      </c>
      <c r="E71" s="39"/>
    </row>
    <row r="72" spans="1:5" ht="14.25" x14ac:dyDescent="0.2">
      <c r="A72" s="38" t="str">
        <f>Source!E384</f>
        <v>65</v>
      </c>
      <c r="B72" s="39" t="str">
        <f>Source!G384</f>
        <v>Устройство подстилающих и выравнивающих слоев оснований из песка</v>
      </c>
      <c r="C72" s="40" t="str">
        <f>Source!H384</f>
        <v>100 м3</v>
      </c>
      <c r="D72" s="41">
        <f>Source!I384</f>
        <v>0.27</v>
      </c>
      <c r="E72" s="39"/>
    </row>
    <row r="73" spans="1:5" ht="16.5" x14ac:dyDescent="0.25">
      <c r="A73" s="89" t="str">
        <f>CONCATENATE("Раздел: ", Source!G449)</f>
        <v>Раздел: ЛЗ "Теплый Стан" - 171 кв.м (кв. 15, выд. 75)</v>
      </c>
      <c r="B73" s="89"/>
      <c r="C73" s="89"/>
      <c r="D73" s="89"/>
      <c r="E73" s="89"/>
    </row>
    <row r="74" spans="1:5" ht="16.5" x14ac:dyDescent="0.25">
      <c r="A74" s="89" t="str">
        <f>CONCATENATE("Подраздел: ", Source!G453)</f>
        <v>Подраздел: Демонтаж</v>
      </c>
      <c r="B74" s="89"/>
      <c r="C74" s="89"/>
      <c r="D74" s="89"/>
      <c r="E74" s="89"/>
    </row>
    <row r="75" spans="1:5" ht="28.5" x14ac:dyDescent="0.2">
      <c r="A75" s="38" t="str">
        <f>Source!E457</f>
        <v>67</v>
      </c>
      <c r="B75" s="39" t="str">
        <f>Source!G457</f>
        <v>Разборка деревянных заборов инвентарных из готовых звеньев (демонтаж МАФ)</v>
      </c>
      <c r="C75" s="40" t="str">
        <f>Source!H457</f>
        <v>100 м2</v>
      </c>
      <c r="D75" s="41">
        <f>Source!I457</f>
        <v>0.105</v>
      </c>
      <c r="E75" s="39"/>
    </row>
    <row r="76" spans="1:5" ht="28.5" x14ac:dyDescent="0.2">
      <c r="A76" s="38" t="str">
        <f>Source!E459</f>
        <v>69</v>
      </c>
      <c r="B76" s="39" t="str">
        <f>Source!G459</f>
        <v>Погрузка и выгрузка вручную строительного мусора на транспортные средства</v>
      </c>
      <c r="C76" s="40" t="str">
        <f>Source!H459</f>
        <v>т</v>
      </c>
      <c r="D76" s="41">
        <f>Source!I459</f>
        <v>6.8250000000000005E-2</v>
      </c>
      <c r="E76" s="39"/>
    </row>
    <row r="77" spans="1:5" ht="28.5" x14ac:dyDescent="0.2">
      <c r="A77" s="38" t="str">
        <f>Source!E461</f>
        <v>71</v>
      </c>
      <c r="B77" s="39" t="str">
        <f>Source!G461</f>
        <v>Перевозка строительного мусора автосамосвалами грузоподъемностью до 10 т на расстояние 1 км - при погрузке вручную</v>
      </c>
      <c r="C77" s="40" t="str">
        <f>Source!H461</f>
        <v>т</v>
      </c>
      <c r="D77" s="41">
        <f>Source!I461</f>
        <v>6.8250000000000005E-2</v>
      </c>
      <c r="E77" s="39"/>
    </row>
    <row r="78" spans="1:5" ht="28.5" x14ac:dyDescent="0.2">
      <c r="A78" s="38" t="str">
        <f>Source!E462</f>
        <v>72</v>
      </c>
      <c r="B78" s="39" t="str">
        <f>Source!G462</f>
        <v>Перевозка строительного мусора автосамосвалами грузоподъемностью до 10 т - добавляется на каждый последующий 1 км до 100 км</v>
      </c>
      <c r="C78" s="40" t="str">
        <f>Source!H462</f>
        <v>т</v>
      </c>
      <c r="D78" s="41">
        <f>Source!I462</f>
        <v>6.8250000000000005E-2</v>
      </c>
      <c r="E78" s="39"/>
    </row>
    <row r="79" spans="1:5" ht="14.25" x14ac:dyDescent="0.2">
      <c r="A79" s="38" t="str">
        <f>Source!E463</f>
        <v>73</v>
      </c>
      <c r="B79" s="39" t="str">
        <f>Source!G463</f>
        <v>Содержание свалки отходов строительства и сноса</v>
      </c>
      <c r="C79" s="40" t="str">
        <f>Source!H463</f>
        <v>т</v>
      </c>
      <c r="D79" s="41">
        <f>Source!I463</f>
        <v>6.8250000000000005E-2</v>
      </c>
      <c r="E79" s="39"/>
    </row>
    <row r="80" spans="1:5" ht="16.5" x14ac:dyDescent="0.25">
      <c r="A80" s="89" t="str">
        <f>CONCATENATE("Подраздел: ", Source!G495)</f>
        <v>Подраздел: Установка оборудования для выгула собак</v>
      </c>
      <c r="B80" s="89"/>
      <c r="C80" s="89"/>
      <c r="D80" s="89"/>
      <c r="E80" s="89"/>
    </row>
    <row r="81" spans="1:5" ht="28.5" x14ac:dyDescent="0.2">
      <c r="A81" s="38" t="str">
        <f>Source!E499</f>
        <v>74</v>
      </c>
      <c r="B81" s="39" t="str">
        <f>Source!G499</f>
        <v>Монтаж мелких конструкций из стали различного профиля массой до 100 кг</v>
      </c>
      <c r="C81" s="40" t="str">
        <f>Source!H499</f>
        <v>т</v>
      </c>
      <c r="D81" s="41">
        <f>Source!I499</f>
        <v>0.33</v>
      </c>
      <c r="E81" s="39"/>
    </row>
    <row r="82" spans="1:5" ht="14.25" x14ac:dyDescent="0.2">
      <c r="A82" s="38" t="str">
        <f>Source!E500</f>
        <v>75</v>
      </c>
      <c r="B82" s="39" t="str">
        <f>Source!G500</f>
        <v>Горка СП009 для собачьих площадок</v>
      </c>
      <c r="C82" s="40" t="str">
        <f>Source!H500</f>
        <v>шт.</v>
      </c>
      <c r="D82" s="41">
        <f>Source!I500</f>
        <v>1</v>
      </c>
      <c r="E82" s="39"/>
    </row>
    <row r="83" spans="1:5" ht="14.25" x14ac:dyDescent="0.2">
      <c r="A83" s="38" t="str">
        <f>Source!E501</f>
        <v>76</v>
      </c>
      <c r="B83" s="39" t="str">
        <f>Source!G501</f>
        <v>Слалом СП016 для собачьих площадок</v>
      </c>
      <c r="C83" s="40" t="str">
        <f>Source!H501</f>
        <v>шт.</v>
      </c>
      <c r="D83" s="41">
        <f>Source!I501</f>
        <v>1</v>
      </c>
      <c r="E83" s="39"/>
    </row>
    <row r="84" spans="1:5" ht="14.25" x14ac:dyDescent="0.2">
      <c r="A84" s="38" t="str">
        <f>Source!E502</f>
        <v>77</v>
      </c>
      <c r="B84" s="39" t="str">
        <f>Source!G502</f>
        <v>Барьер 500 СП001 для собачьих площадок</v>
      </c>
      <c r="C84" s="40" t="str">
        <f>Source!H502</f>
        <v>шт.</v>
      </c>
      <c r="D84" s="41">
        <f>Source!I502</f>
        <v>1</v>
      </c>
      <c r="E84" s="39"/>
    </row>
    <row r="85" spans="1:5" ht="14.25" x14ac:dyDescent="0.2">
      <c r="A85" s="38" t="str">
        <f>Source!E503</f>
        <v>78</v>
      </c>
      <c r="B85" s="39" t="str">
        <f>Source!G503</f>
        <v>Барьер 1000 СП002 для собачьих площадок</v>
      </c>
      <c r="C85" s="40" t="str">
        <f>Source!H503</f>
        <v>шт.</v>
      </c>
      <c r="D85" s="41">
        <f>Source!I503</f>
        <v>1</v>
      </c>
      <c r="E85" s="39"/>
    </row>
    <row r="86" spans="1:5" ht="14.25" x14ac:dyDescent="0.2">
      <c r="A86" s="38" t="str">
        <f>Source!E504</f>
        <v>79</v>
      </c>
      <c r="B86" s="39" t="str">
        <f>Source!G504</f>
        <v>Снаряд Покрышка СП013 для собачьих площадок</v>
      </c>
      <c r="C86" s="40" t="str">
        <f>Source!H504</f>
        <v>шт.</v>
      </c>
      <c r="D86" s="41">
        <f>Source!I504</f>
        <v>1</v>
      </c>
      <c r="E86" s="39"/>
    </row>
    <row r="87" spans="1:5" ht="14.25" x14ac:dyDescent="0.2">
      <c r="A87" s="38" t="str">
        <f>Source!E505</f>
        <v>80</v>
      </c>
      <c r="B87" s="39" t="str">
        <f>Source!G505</f>
        <v>Урна для собачьих площадок №1 УС1 Разноцветный</v>
      </c>
      <c r="C87" s="40" t="str">
        <f>Source!H505</f>
        <v>шт.</v>
      </c>
      <c r="D87" s="41">
        <f>Source!I505</f>
        <v>1</v>
      </c>
      <c r="E87" s="39"/>
    </row>
    <row r="88" spans="1:5" ht="16.5" x14ac:dyDescent="0.25">
      <c r="A88" s="89" t="str">
        <f>CONCATENATE("Подраздел: ", Source!G537)</f>
        <v>Подраздел: Установка ограждения</v>
      </c>
      <c r="B88" s="89"/>
      <c r="C88" s="89"/>
      <c r="D88" s="89"/>
      <c r="E88" s="89"/>
    </row>
    <row r="89" spans="1:5" ht="28.5" x14ac:dyDescent="0.2">
      <c r="A89" s="38" t="str">
        <f>Source!E541</f>
        <v>81</v>
      </c>
      <c r="B89" s="39" t="str">
        <f>Source!G541</f>
        <v>Установка металлических оград высотой 2-2,5 м на металлических стойках, при количестве стоек 38 шт./100 м</v>
      </c>
      <c r="C89" s="40" t="str">
        <f>Source!H541</f>
        <v>100 м</v>
      </c>
      <c r="D89" s="41">
        <f>Source!I541</f>
        <v>1.2</v>
      </c>
      <c r="E89" s="39"/>
    </row>
    <row r="90" spans="1:5" ht="28.5" x14ac:dyDescent="0.2">
      <c r="A90" s="38" t="str">
        <f>Source!E542</f>
        <v>82</v>
      </c>
      <c r="B90" s="39" t="str">
        <f>Source!G542</f>
        <v>Ремонт металлических конструкций спортивных площадок: замена навесов калитки ограждения</v>
      </c>
      <c r="C90" s="40" t="str">
        <f>Source!H542</f>
        <v>шт.</v>
      </c>
      <c r="D90" s="41">
        <f>Source!I542</f>
        <v>1</v>
      </c>
      <c r="E90" s="39"/>
    </row>
    <row r="91" spans="1:5" ht="28.5" x14ac:dyDescent="0.2">
      <c r="A91" s="38" t="str">
        <f>Source!E543</f>
        <v>83</v>
      </c>
      <c r="B91" s="39" t="str">
        <f>Source!G543</f>
        <v>Калитка металлическая с лаковым покрытием, размеры 1000х1500 мм (прим. калитка металическая решётчатая)</v>
      </c>
      <c r="C91" s="40" t="str">
        <f>Source!H543</f>
        <v>шт.</v>
      </c>
      <c r="D91" s="41">
        <f>Source!I543</f>
        <v>1</v>
      </c>
      <c r="E91" s="39"/>
    </row>
    <row r="92" spans="1:5" ht="16.5" x14ac:dyDescent="0.25">
      <c r="A92" s="89" t="str">
        <f>CONCATENATE("Подраздел: ", Source!G578)</f>
        <v>Подраздел: Устройство покрытия</v>
      </c>
      <c r="B92" s="89"/>
      <c r="C92" s="89"/>
      <c r="D92" s="89"/>
      <c r="E92" s="89"/>
    </row>
    <row r="93" spans="1:5" ht="28.5" x14ac:dyDescent="0.2">
      <c r="A93" s="38" t="str">
        <f>Source!E582</f>
        <v>87</v>
      </c>
      <c r="B93" s="39" t="str">
        <f>Source!G582</f>
        <v>Разработка грунта с погрузкой на автомобили-самосвалы экскаваторами с ковшом вместимостью 0,25 м3, группа грунтов 1-3</v>
      </c>
      <c r="C93" s="40" t="str">
        <f>Source!H582</f>
        <v>100 м3</v>
      </c>
      <c r="D93" s="41">
        <f>Source!I582</f>
        <v>0.15390000000000001</v>
      </c>
      <c r="E93" s="39"/>
    </row>
    <row r="94" spans="1:5" ht="28.5" x14ac:dyDescent="0.2">
      <c r="A94" s="38" t="str">
        <f>Source!E583</f>
        <v>88</v>
      </c>
      <c r="B94" s="39" t="str">
        <f>Source!G583</f>
        <v>Разработка грунта вручную в траншеях глубиной до 2 м без креплений с откосами, группа грунтов 1-3</v>
      </c>
      <c r="C94" s="40" t="str">
        <f>Source!H583</f>
        <v>100 м3</v>
      </c>
      <c r="D94" s="41">
        <f>Source!I583</f>
        <v>1.7100000000000001E-2</v>
      </c>
      <c r="E94" s="39"/>
    </row>
    <row r="95" spans="1:5" ht="28.5" x14ac:dyDescent="0.2">
      <c r="A95" s="38" t="str">
        <f>Source!E584</f>
        <v>89</v>
      </c>
      <c r="B95" s="39" t="str">
        <f>Source!G584</f>
        <v>Механизированная погрузка строительного мусора в автомобили-самосвалы</v>
      </c>
      <c r="C95" s="40" t="str">
        <f>Source!H584</f>
        <v>т</v>
      </c>
      <c r="D95" s="41">
        <f>Source!I584</f>
        <v>7.6950000000000003</v>
      </c>
      <c r="E95" s="39"/>
    </row>
    <row r="96" spans="1:5" ht="28.5" x14ac:dyDescent="0.2">
      <c r="A96" s="38" t="str">
        <f>Source!E585</f>
        <v>90</v>
      </c>
      <c r="B96" s="39" t="str">
        <f>Source!G585</f>
        <v>Погрузка и выгрузка вручную строительного мусора на транспортные средства</v>
      </c>
      <c r="C96" s="40" t="str">
        <f>Source!H585</f>
        <v>т</v>
      </c>
      <c r="D96" s="41">
        <f>Source!I585</f>
        <v>2.5649999999999999</v>
      </c>
      <c r="E96" s="39"/>
    </row>
    <row r="97" spans="1:5" ht="28.5" x14ac:dyDescent="0.2">
      <c r="A97" s="38" t="str">
        <f>Source!E586</f>
        <v>91</v>
      </c>
      <c r="B97" s="39" t="str">
        <f>Source!G586</f>
        <v>Перевозка строительного мусора автосамосвалами грузоподъемностью до 10 т на расстояние 1 км - при механизированной погрузке</v>
      </c>
      <c r="C97" s="40" t="str">
        <f>Source!H586</f>
        <v>т</v>
      </c>
      <c r="D97" s="41">
        <f>Source!I586</f>
        <v>7.6950000000000003</v>
      </c>
      <c r="E97" s="39"/>
    </row>
    <row r="98" spans="1:5" ht="28.5" x14ac:dyDescent="0.2">
      <c r="A98" s="38" t="str">
        <f>Source!E587</f>
        <v>92</v>
      </c>
      <c r="B98" s="39" t="str">
        <f>Source!G587</f>
        <v>Перевозка строительного мусора автосамосвалами грузоподъемностью до 10 т на расстояние 1 км - при погрузке вручную</v>
      </c>
      <c r="C98" s="40" t="str">
        <f>Source!H587</f>
        <v>т</v>
      </c>
      <c r="D98" s="41">
        <f>Source!I587</f>
        <v>2.5649999999999999</v>
      </c>
      <c r="E98" s="39"/>
    </row>
    <row r="99" spans="1:5" ht="28.5" x14ac:dyDescent="0.2">
      <c r="A99" s="38" t="str">
        <f>Source!E588</f>
        <v>93</v>
      </c>
      <c r="B99" s="39" t="str">
        <f>Source!G588</f>
        <v>Перевозка строительного мусора автосамосвалами грузоподъемностью до 10 т - добавляется на каждый последующий 1 км до 100 км</v>
      </c>
      <c r="C99" s="40" t="str">
        <f>Source!H588</f>
        <v>т</v>
      </c>
      <c r="D99" s="41">
        <f>Source!I588</f>
        <v>10.26</v>
      </c>
      <c r="E99" s="39"/>
    </row>
    <row r="100" spans="1:5" ht="14.25" x14ac:dyDescent="0.2">
      <c r="A100" s="38" t="str">
        <f>Source!E589</f>
        <v>94</v>
      </c>
      <c r="B100" s="39" t="str">
        <f>Source!G589</f>
        <v>Содержание свалки отходов строительства и сноса</v>
      </c>
      <c r="C100" s="40" t="str">
        <f>Source!H589</f>
        <v>т</v>
      </c>
      <c r="D100" s="41">
        <f>Source!I589</f>
        <v>10.26</v>
      </c>
      <c r="E100" s="39"/>
    </row>
    <row r="101" spans="1:5" ht="14.25" x14ac:dyDescent="0.2">
      <c r="A101" s="38" t="str">
        <f>Source!E593</f>
        <v>98</v>
      </c>
      <c r="B101" s="39" t="str">
        <f>Source!G593</f>
        <v>Устройство подстилающих и выравнивающих слоев оснований из песка</v>
      </c>
      <c r="C101" s="40" t="str">
        <f>Source!H593</f>
        <v>100 м3</v>
      </c>
      <c r="D101" s="41">
        <f>Source!I593</f>
        <v>0.17100000000000001</v>
      </c>
      <c r="E101" s="39"/>
    </row>
    <row r="102" spans="1:5" ht="16.5" x14ac:dyDescent="0.25">
      <c r="A102" s="89" t="str">
        <f>CONCATENATE("Раздел: ", Source!G658)</f>
        <v>Раздел: ПК № 67 - 299,5 кв.м (кв. 18, выд. 32)</v>
      </c>
      <c r="B102" s="89"/>
      <c r="C102" s="89"/>
      <c r="D102" s="89"/>
      <c r="E102" s="89"/>
    </row>
    <row r="103" spans="1:5" ht="16.5" x14ac:dyDescent="0.25">
      <c r="A103" s="89" t="str">
        <f>CONCATENATE("Подраздел: ", Source!G662)</f>
        <v>Подраздел: Демонтаж</v>
      </c>
      <c r="B103" s="89"/>
      <c r="C103" s="89"/>
      <c r="D103" s="89"/>
      <c r="E103" s="89"/>
    </row>
    <row r="104" spans="1:5" ht="16.5" x14ac:dyDescent="0.25">
      <c r="A104" s="89" t="str">
        <f>CONCATENATE("Подраздел: ", Source!G696)</f>
        <v>Подраздел: Установка оборудования для выгула собак</v>
      </c>
      <c r="B104" s="89"/>
      <c r="C104" s="89"/>
      <c r="D104" s="89"/>
      <c r="E104" s="89"/>
    </row>
    <row r="105" spans="1:5" ht="16.5" x14ac:dyDescent="0.25">
      <c r="A105" s="89" t="str">
        <f>CONCATENATE("Подраздел: ", Source!G730)</f>
        <v>Подраздел: Установка ограждения</v>
      </c>
      <c r="B105" s="89"/>
      <c r="C105" s="89"/>
      <c r="D105" s="89"/>
      <c r="E105" s="89"/>
    </row>
    <row r="106" spans="1:5" ht="16.5" x14ac:dyDescent="0.25">
      <c r="A106" s="89" t="str">
        <f>CONCATENATE("Подраздел: ", Source!G764)</f>
        <v>Подраздел: Устройство покрытия</v>
      </c>
      <c r="B106" s="89"/>
      <c r="C106" s="89"/>
      <c r="D106" s="89"/>
      <c r="E106" s="89"/>
    </row>
    <row r="107" spans="1:5" ht="28.5" x14ac:dyDescent="0.2">
      <c r="A107" s="38" t="str">
        <f>Source!E768</f>
        <v>100</v>
      </c>
      <c r="B107" s="39" t="str">
        <f>Source!G768</f>
        <v>Разработка грунта с погрузкой на автомобили-самосвалы экскаваторами с ковшом вместимостью 0,25 м3, группа грунтов 1-3</v>
      </c>
      <c r="C107" s="40" t="str">
        <f>Source!H768</f>
        <v>100 м3</v>
      </c>
      <c r="D107" s="41">
        <f>Source!I768</f>
        <v>0.26955000000000001</v>
      </c>
      <c r="E107" s="39"/>
    </row>
    <row r="108" spans="1:5" ht="28.5" x14ac:dyDescent="0.2">
      <c r="A108" s="38" t="str">
        <f>Source!E769</f>
        <v>101</v>
      </c>
      <c r="B108" s="39" t="str">
        <f>Source!G769</f>
        <v>Разработка грунта вручную в траншеях глубиной до 2 м без креплений с откосами, группа грунтов 1-3</v>
      </c>
      <c r="C108" s="40" t="str">
        <f>Source!H769</f>
        <v>100 м3</v>
      </c>
      <c r="D108" s="41">
        <f>Source!I769</f>
        <v>2.9950000000000001E-2</v>
      </c>
      <c r="E108" s="39"/>
    </row>
    <row r="109" spans="1:5" ht="28.5" x14ac:dyDescent="0.2">
      <c r="A109" s="38" t="str">
        <f>Source!E770</f>
        <v>102</v>
      </c>
      <c r="B109" s="39" t="str">
        <f>Source!G770</f>
        <v>Механизированная погрузка строительного мусора в автомобили-самосвалы</v>
      </c>
      <c r="C109" s="40" t="str">
        <f>Source!H770</f>
        <v>т</v>
      </c>
      <c r="D109" s="41">
        <f>Source!I770</f>
        <v>13.477499999999999</v>
      </c>
      <c r="E109" s="39"/>
    </row>
    <row r="110" spans="1:5" ht="28.5" x14ac:dyDescent="0.2">
      <c r="A110" s="38" t="str">
        <f>Source!E771</f>
        <v>103</v>
      </c>
      <c r="B110" s="39" t="str">
        <f>Source!G771</f>
        <v>Погрузка и выгрузка вручную строительного мусора на транспортные средства</v>
      </c>
      <c r="C110" s="40" t="str">
        <f>Source!H771</f>
        <v>т</v>
      </c>
      <c r="D110" s="41">
        <f>Source!I771</f>
        <v>4.4924999999999997</v>
      </c>
      <c r="E110" s="39"/>
    </row>
    <row r="111" spans="1:5" ht="28.5" x14ac:dyDescent="0.2">
      <c r="A111" s="38" t="str">
        <f>Source!E772</f>
        <v>104</v>
      </c>
      <c r="B111" s="39" t="str">
        <f>Source!G772</f>
        <v>Перевозка строительного мусора автосамосвалами грузоподъемностью до 10 т на расстояние 1 км - при механизированной погрузке</v>
      </c>
      <c r="C111" s="40" t="str">
        <f>Source!H772</f>
        <v>т</v>
      </c>
      <c r="D111" s="41">
        <f>Source!I772</f>
        <v>13.477499999999999</v>
      </c>
      <c r="E111" s="39"/>
    </row>
    <row r="112" spans="1:5" ht="28.5" x14ac:dyDescent="0.2">
      <c r="A112" s="38" t="str">
        <f>Source!E773</f>
        <v>105</v>
      </c>
      <c r="B112" s="39" t="str">
        <f>Source!G773</f>
        <v>Перевозка строительного мусора автосамосвалами грузоподъемностью до 10 т на расстояние 1 км - при погрузке вручную</v>
      </c>
      <c r="C112" s="40" t="str">
        <f>Source!H773</f>
        <v>т</v>
      </c>
      <c r="D112" s="41">
        <f>Source!I773</f>
        <v>4.4924999999999997</v>
      </c>
      <c r="E112" s="39"/>
    </row>
    <row r="113" spans="1:31" ht="28.5" x14ac:dyDescent="0.2">
      <c r="A113" s="38" t="str">
        <f>Source!E774</f>
        <v>106</v>
      </c>
      <c r="B113" s="39" t="str">
        <f>Source!G774</f>
        <v>Перевозка строительного мусора автосамосвалами грузоподъемностью до 10 т - добавляется на каждый последующий 1 км до 100 км</v>
      </c>
      <c r="C113" s="40" t="str">
        <f>Source!H774</f>
        <v>т</v>
      </c>
      <c r="D113" s="41">
        <f>Source!I774</f>
        <v>17.97</v>
      </c>
      <c r="E113" s="39"/>
    </row>
    <row r="114" spans="1:31" ht="14.25" x14ac:dyDescent="0.2">
      <c r="A114" s="38" t="str">
        <f>Source!E775</f>
        <v>107</v>
      </c>
      <c r="B114" s="39" t="str">
        <f>Source!G775</f>
        <v>Содержание свалки отходов строительства и сноса</v>
      </c>
      <c r="C114" s="40" t="str">
        <f>Source!H775</f>
        <v>т</v>
      </c>
      <c r="D114" s="41">
        <f>Source!I775</f>
        <v>17.97</v>
      </c>
      <c r="E114" s="39"/>
    </row>
    <row r="115" spans="1:31" ht="14.25" x14ac:dyDescent="0.2">
      <c r="A115" s="38" t="str">
        <f>Source!E779</f>
        <v>111</v>
      </c>
      <c r="B115" s="39" t="str">
        <f>Source!G779</f>
        <v>Устройство подстилающих и выравнивающих слоев оснований из песка</v>
      </c>
      <c r="C115" s="40" t="str">
        <f>Source!H779</f>
        <v>100 м3</v>
      </c>
      <c r="D115" s="41">
        <f>Source!I779</f>
        <v>0.29899999999999999</v>
      </c>
      <c r="E115" s="39"/>
    </row>
    <row r="116" spans="1:31" ht="33" x14ac:dyDescent="0.25">
      <c r="A116" s="89" t="str">
        <f>CONCATENATE("Локальная смета: ", Source!G877)</f>
        <v>Локальная смета: Ремонт экотроп (ЛЗ "Тропаревский" - 2,77 км (деревянные настилы - 4080 кв.м,деревянные перила - 315 кв.м, деревянная лестница - 208 кв.м) с демонтажем и монтажем МАФ</v>
      </c>
      <c r="B116" s="89"/>
      <c r="C116" s="89"/>
      <c r="D116" s="89"/>
      <c r="E116" s="89"/>
      <c r="AE116" s="42" t="str">
        <f>CONCATENATE("Локальная смета: ", Source!G877)</f>
        <v>Локальная смета: Ремонт экотроп (ЛЗ "Тропаревский" - 2,77 км (деревянные настилы - 4080 кв.м,деревянные перила - 315 кв.м, деревянная лестница - 208 кв.м) с демонтажем и монтажем МАФ</v>
      </c>
    </row>
    <row r="117" spans="1:31" ht="16.5" x14ac:dyDescent="0.25">
      <c r="A117" s="89" t="str">
        <f>CONCATENATE("Раздел: ", Source!G881)</f>
        <v>Раздел: Деревянный настил</v>
      </c>
      <c r="B117" s="89"/>
      <c r="C117" s="89"/>
      <c r="D117" s="89"/>
      <c r="E117" s="89"/>
    </row>
    <row r="118" spans="1:31" ht="16.5" x14ac:dyDescent="0.25">
      <c r="A118" s="89" t="str">
        <f>CONCATENATE("Подраздел: ", Source!G885)</f>
        <v>Подраздел: Демонтажные работы</v>
      </c>
      <c r="B118" s="89"/>
      <c r="C118" s="89"/>
      <c r="D118" s="89"/>
      <c r="E118" s="89"/>
    </row>
    <row r="119" spans="1:31" ht="28.5" x14ac:dyDescent="0.2">
      <c r="A119" s="38" t="str">
        <f>Source!E889</f>
        <v>1</v>
      </c>
      <c r="B119" s="39" t="str">
        <f>Source!G889</f>
        <v>Устройство деревянных настилов, ходов, переходов, мостиков (демонтаж)</v>
      </c>
      <c r="C119" s="40" t="str">
        <f>Source!H889</f>
        <v>100 м2</v>
      </c>
      <c r="D119" s="41">
        <f>Source!I889</f>
        <v>42.88</v>
      </c>
      <c r="E119" s="39"/>
    </row>
    <row r="120" spans="1:31" ht="14.25" x14ac:dyDescent="0.2">
      <c r="A120" s="38" t="str">
        <f>Source!E890</f>
        <v>2</v>
      </c>
      <c r="B120" s="39" t="str">
        <f>Source!G890</f>
        <v>Разборка деревянных заборов инвентарных из готовых звеньев</v>
      </c>
      <c r="C120" s="40" t="str">
        <f>Source!H890</f>
        <v>100 м2</v>
      </c>
      <c r="D120" s="41">
        <f>Source!I890</f>
        <v>3.15</v>
      </c>
      <c r="E120" s="39"/>
    </row>
    <row r="121" spans="1:31" ht="14.25" x14ac:dyDescent="0.2">
      <c r="A121" s="38" t="str">
        <f>Source!E891</f>
        <v>3</v>
      </c>
      <c r="B121" s="39" t="str">
        <f>Source!G891</f>
        <v>Разборка лаг из досок и брусков</v>
      </c>
      <c r="C121" s="40" t="str">
        <f>Source!H891</f>
        <v>100 м2</v>
      </c>
      <c r="D121" s="41">
        <f>Source!I891</f>
        <v>6.259836</v>
      </c>
      <c r="E121" s="39"/>
    </row>
    <row r="122" spans="1:31" ht="28.5" x14ac:dyDescent="0.2">
      <c r="A122" s="38" t="str">
        <f>Source!E892</f>
        <v>4</v>
      </c>
      <c r="B122" s="39" t="str">
        <f>Source!G892</f>
        <v>Механизированная погрузка строительного мусора в автомобили-самосвалы</v>
      </c>
      <c r="C122" s="40" t="str">
        <f>Source!H892</f>
        <v>т</v>
      </c>
      <c r="D122" s="41">
        <f>Source!I892</f>
        <v>70.802802</v>
      </c>
      <c r="E122" s="39"/>
    </row>
    <row r="123" spans="1:31" ht="28.5" x14ac:dyDescent="0.2">
      <c r="A123" s="38" t="str">
        <f>Source!E893</f>
        <v>5</v>
      </c>
      <c r="B123" s="39" t="str">
        <f>Source!G893</f>
        <v>Погрузка и выгрузка вручную строительного мусора на транспортные средства</v>
      </c>
      <c r="C123" s="40" t="str">
        <f>Source!H893</f>
        <v>т</v>
      </c>
      <c r="D123" s="41">
        <f>Source!I893</f>
        <v>7.8669779999999996</v>
      </c>
      <c r="E123" s="39"/>
    </row>
    <row r="124" spans="1:31" ht="28.5" x14ac:dyDescent="0.2">
      <c r="A124" s="38" t="str">
        <f>Source!E894</f>
        <v>6</v>
      </c>
      <c r="B124" s="39" t="str">
        <f>Source!G894</f>
        <v>Перевозка строительного мусора автосамосвалами грузоподъемностью до 10 т на расстояние 1 км - при механизированной погрузке</v>
      </c>
      <c r="C124" s="40" t="str">
        <f>Source!H894</f>
        <v>т</v>
      </c>
      <c r="D124" s="41">
        <f>Source!I894</f>
        <v>70.802802</v>
      </c>
      <c r="E124" s="39"/>
    </row>
    <row r="125" spans="1:31" ht="28.5" x14ac:dyDescent="0.2">
      <c r="A125" s="38" t="str">
        <f>Source!E895</f>
        <v>7</v>
      </c>
      <c r="B125" s="39" t="str">
        <f>Source!G895</f>
        <v>Перевозка строительного мусора автосамосвалами грузоподъемностью до 10 т на расстояние 1 км - при погрузке вручную</v>
      </c>
      <c r="C125" s="40" t="str">
        <f>Source!H895</f>
        <v>т</v>
      </c>
      <c r="D125" s="41">
        <f>Source!I895</f>
        <v>7.8669779999999996</v>
      </c>
      <c r="E125" s="39"/>
    </row>
    <row r="126" spans="1:31" ht="28.5" x14ac:dyDescent="0.2">
      <c r="A126" s="38" t="str">
        <f>Source!E896</f>
        <v>8</v>
      </c>
      <c r="B126" s="39" t="str">
        <f>Source!G896</f>
        <v>Перевозка строительного мусора автосамосвалами грузоподъемностью до 10 т - добавляется на каждый последующий 1 км до 100 км</v>
      </c>
      <c r="C126" s="40" t="str">
        <f>Source!H896</f>
        <v>т</v>
      </c>
      <c r="D126" s="41">
        <f>Source!I896</f>
        <v>78.669780000000003</v>
      </c>
      <c r="E126" s="39"/>
    </row>
    <row r="127" spans="1:31" ht="28.5" x14ac:dyDescent="0.2">
      <c r="A127" s="38">
        <v>9</v>
      </c>
      <c r="B127" s="39" t="s">
        <v>331</v>
      </c>
      <c r="C127" s="40" t="s">
        <v>22</v>
      </c>
      <c r="D127" s="59">
        <v>3.38</v>
      </c>
      <c r="E127" s="39"/>
    </row>
    <row r="128" spans="1:31" ht="14.25" x14ac:dyDescent="0.2">
      <c r="A128" s="38">
        <v>10</v>
      </c>
      <c r="B128" s="39" t="str">
        <f>Source!G897</f>
        <v>Содержание свалки отходов строительства и сноса</v>
      </c>
      <c r="C128" s="40" t="str">
        <f>Source!H897</f>
        <v>т</v>
      </c>
      <c r="D128" s="41">
        <f>Source!I897</f>
        <v>78.669780000000003</v>
      </c>
      <c r="E128" s="39"/>
    </row>
    <row r="129" spans="1:5" ht="16.5" x14ac:dyDescent="0.25">
      <c r="A129" s="89" t="str">
        <f>CONCATENATE("Подраздел: ", Source!G930)</f>
        <v>Подраздел: Монтажные работы</v>
      </c>
      <c r="B129" s="89"/>
      <c r="C129" s="89"/>
      <c r="D129" s="89"/>
      <c r="E129" s="89"/>
    </row>
    <row r="130" spans="1:5" ht="28.5" x14ac:dyDescent="0.2">
      <c r="A130" s="38">
        <v>11</v>
      </c>
      <c r="B130" s="39" t="str">
        <f>Source!G935</f>
        <v>Устройство деревянных заборов инвентарных из готовых звеньев (прим. монтаж   МАФ)</v>
      </c>
      <c r="C130" s="40" t="str">
        <f>Source!H935</f>
        <v>100 м2</v>
      </c>
      <c r="D130" s="41">
        <f>Source!I935</f>
        <v>3.38</v>
      </c>
      <c r="E130" s="39"/>
    </row>
    <row r="131" spans="1:5" ht="14.25" x14ac:dyDescent="0.2">
      <c r="A131" s="38">
        <v>12</v>
      </c>
      <c r="B131" s="39" t="str">
        <f>Source!G936</f>
        <v>Укладка лаг по плитам перекрытий</v>
      </c>
      <c r="C131" s="40" t="str">
        <f>Source!H936</f>
        <v>100 м2</v>
      </c>
      <c r="D131" s="41">
        <f>Source!I936</f>
        <v>6.259836</v>
      </c>
      <c r="E131" s="39"/>
    </row>
    <row r="132" spans="1:5" ht="28.5" x14ac:dyDescent="0.2">
      <c r="A132" s="38">
        <v>12.1</v>
      </c>
      <c r="B132" s="39" t="str">
        <f>Source!G937</f>
        <v>Лаги для полов, сечение (80-100)х40 мм, антисептированные, хвойных пород</v>
      </c>
      <c r="C132" s="40" t="str">
        <f>Source!H937</f>
        <v>м3</v>
      </c>
      <c r="D132" s="41">
        <f>Source!I937</f>
        <v>-5.1330655200000006</v>
      </c>
      <c r="E132" s="39"/>
    </row>
    <row r="133" spans="1:5" ht="14.25" x14ac:dyDescent="0.2">
      <c r="A133" s="38">
        <v>13</v>
      </c>
      <c r="B133" s="39" t="str">
        <f>Source!G938</f>
        <v>Обрезной брус из лиственницы 150х100 мм</v>
      </c>
      <c r="C133" s="40" t="str">
        <f>Source!H938</f>
        <v>м3</v>
      </c>
      <c r="D133" s="41">
        <f>Source!I938</f>
        <v>0</v>
      </c>
      <c r="E133" s="39"/>
    </row>
    <row r="134" spans="1:5" ht="14.25" x14ac:dyDescent="0.2">
      <c r="A134" s="38">
        <v>14</v>
      </c>
      <c r="B134" s="39" t="str">
        <f>Source!G939</f>
        <v>Обрезной брус из лиственницы 100х100 мм</v>
      </c>
      <c r="C134" s="40" t="str">
        <f>Source!H939</f>
        <v>м3</v>
      </c>
      <c r="D134" s="41">
        <f>Source!I939</f>
        <v>78.599999999999994</v>
      </c>
      <c r="E134" s="39"/>
    </row>
    <row r="135" spans="1:5" ht="14.25" x14ac:dyDescent="0.2">
      <c r="A135" s="38">
        <v>15</v>
      </c>
      <c r="B135" s="39" t="str">
        <f>Source!G940</f>
        <v>Устройство деревянных настилов, ходов, переходов, мостиков</v>
      </c>
      <c r="C135" s="40" t="str">
        <f>Source!H940</f>
        <v>100 м2</v>
      </c>
      <c r="D135" s="41">
        <f>Source!I940</f>
        <v>42.88</v>
      </c>
      <c r="E135" s="39"/>
    </row>
    <row r="136" spans="1:5" ht="14.25" x14ac:dyDescent="0.2">
      <c r="A136" s="38">
        <v>15.1</v>
      </c>
      <c r="B136" s="39" t="str">
        <f>Source!G941</f>
        <v>Доски хвойных пород, обрезные, длина 2-6,5 м, сорт III, толщина 25-32 мм</v>
      </c>
      <c r="C136" s="40" t="str">
        <f>Source!H941</f>
        <v>м3</v>
      </c>
      <c r="D136" s="41">
        <f>Source!I941</f>
        <v>-129.06880000000001</v>
      </c>
      <c r="E136" s="39"/>
    </row>
    <row r="137" spans="1:5" ht="14.25" x14ac:dyDescent="0.2">
      <c r="A137" s="38">
        <v>16</v>
      </c>
      <c r="B137" s="39" t="str">
        <f>Source!G943</f>
        <v>Строганная доска из лиственницы 40х150 мм</v>
      </c>
      <c r="C137" s="40" t="str">
        <f>Source!H943</f>
        <v>м3</v>
      </c>
      <c r="D137" s="41">
        <f>Source!I943</f>
        <v>162</v>
      </c>
      <c r="E137" s="39"/>
    </row>
    <row r="138" spans="1:5" ht="28.5" x14ac:dyDescent="0.2">
      <c r="A138" s="38">
        <v>17</v>
      </c>
      <c r="B138" s="39" t="str">
        <f>Source!G944</f>
        <v>Устройство заборов решетчатых при установленных столбах высотой до 1,2 м</v>
      </c>
      <c r="C138" s="40" t="str">
        <f>Source!H944</f>
        <v>100 м2</v>
      </c>
      <c r="D138" s="41">
        <f>Source!I944</f>
        <v>3.15</v>
      </c>
      <c r="E138" s="39"/>
    </row>
    <row r="139" spans="1:5" ht="14.25" x14ac:dyDescent="0.2">
      <c r="A139" s="34">
        <v>18</v>
      </c>
      <c r="B139" s="35" t="str">
        <f>Source!G945</f>
        <v>Простая окраска колером масляным разбеленным по дереву полов</v>
      </c>
      <c r="C139" s="36" t="str">
        <f>Source!H945</f>
        <v>100 м2</v>
      </c>
      <c r="D139" s="37">
        <f>Source!I945</f>
        <v>1.575</v>
      </c>
      <c r="E139" s="35"/>
    </row>
    <row r="142" spans="1:5" ht="15" x14ac:dyDescent="0.25">
      <c r="A142" s="26" t="s">
        <v>585</v>
      </c>
      <c r="B142" s="26"/>
      <c r="C142" s="26" t="s">
        <v>586</v>
      </c>
      <c r="D142" s="26"/>
      <c r="E142" s="26"/>
    </row>
  </sheetData>
  <mergeCells count="32">
    <mergeCell ref="A45:E45"/>
    <mergeCell ref="A14:E14"/>
    <mergeCell ref="A15:E15"/>
    <mergeCell ref="A9:D9"/>
    <mergeCell ref="A10:E10"/>
    <mergeCell ref="A16:E16"/>
    <mergeCell ref="A22:E22"/>
    <mergeCell ref="A30:E30"/>
    <mergeCell ref="A34:E34"/>
    <mergeCell ref="A44:E44"/>
    <mergeCell ref="A105:E105"/>
    <mergeCell ref="A51:E51"/>
    <mergeCell ref="A59:E59"/>
    <mergeCell ref="A63:E63"/>
    <mergeCell ref="A73:E73"/>
    <mergeCell ref="A74:E74"/>
    <mergeCell ref="A80:E80"/>
    <mergeCell ref="A88:E88"/>
    <mergeCell ref="A92:E92"/>
    <mergeCell ref="A102:E102"/>
    <mergeCell ref="A103:E103"/>
    <mergeCell ref="A104:E104"/>
    <mergeCell ref="A106:E106"/>
    <mergeCell ref="A116:E116"/>
    <mergeCell ref="A117:E117"/>
    <mergeCell ref="A118:E118"/>
    <mergeCell ref="A129:E129"/>
    <mergeCell ref="C3:E3"/>
    <mergeCell ref="C4:E4"/>
    <mergeCell ref="C5:E5"/>
    <mergeCell ref="C6:E6"/>
    <mergeCell ref="C7:E7"/>
  </mergeCells>
  <pageMargins left="0.4" right="0.2" top="0.2" bottom="0.4" header="0.2" footer="0.2"/>
  <pageSetup paperSize="9" scale="77" fitToHeight="0" orientation="portrait" verticalDpi="0" r:id="rId1"/>
  <headerFooter>
    <oddHeader>&amp;L&amp;8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2"/>
  <sheetViews>
    <sheetView workbookViewId="0"/>
  </sheetViews>
  <sheetFormatPr defaultRowHeight="12.75" x14ac:dyDescent="0.2"/>
  <sheetData>
    <row r="1" spans="1:24" x14ac:dyDescent="0.2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</row>
    <row r="2" spans="1:24" x14ac:dyDescent="0.2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1</v>
      </c>
      <c r="J2">
        <v>0</v>
      </c>
      <c r="K2">
        <v>1</v>
      </c>
      <c r="L2">
        <v>38214492</v>
      </c>
    </row>
    <row r="4" spans="1:24" x14ac:dyDescent="0.2">
      <c r="A4" t="s">
        <v>587</v>
      </c>
      <c r="B4" t="s">
        <v>588</v>
      </c>
      <c r="C4" t="s">
        <v>589</v>
      </c>
      <c r="D4" t="s">
        <v>590</v>
      </c>
      <c r="E4" t="s">
        <v>591</v>
      </c>
      <c r="F4" t="s">
        <v>592</v>
      </c>
      <c r="G4" t="s">
        <v>593</v>
      </c>
      <c r="H4" t="s">
        <v>594</v>
      </c>
      <c r="I4" t="s">
        <v>595</v>
      </c>
      <c r="J4" t="s">
        <v>596</v>
      </c>
      <c r="K4" t="s">
        <v>597</v>
      </c>
      <c r="L4" t="s">
        <v>598</v>
      </c>
      <c r="M4" t="s">
        <v>599</v>
      </c>
      <c r="N4" t="s">
        <v>600</v>
      </c>
      <c r="O4" t="s">
        <v>601</v>
      </c>
      <c r="P4" t="s">
        <v>602</v>
      </c>
      <c r="Q4" t="s">
        <v>603</v>
      </c>
      <c r="R4" t="s">
        <v>604</v>
      </c>
      <c r="S4" t="s">
        <v>605</v>
      </c>
      <c r="T4" t="s">
        <v>606</v>
      </c>
      <c r="U4" t="s">
        <v>607</v>
      </c>
      <c r="V4" t="s">
        <v>608</v>
      </c>
      <c r="W4" t="s">
        <v>609</v>
      </c>
      <c r="X4" t="s">
        <v>610</v>
      </c>
    </row>
    <row r="6" spans="1:24" x14ac:dyDescent="0.2">
      <c r="A6">
        <f>Source!A20</f>
        <v>3</v>
      </c>
      <c r="B6">
        <v>20</v>
      </c>
      <c r="G6" t="str">
        <f>Source!G20</f>
        <v>Локальная смета</v>
      </c>
    </row>
    <row r="7" spans="1:24" x14ac:dyDescent="0.2">
      <c r="A7">
        <f>Source!A24</f>
        <v>4</v>
      </c>
      <c r="B7">
        <v>24</v>
      </c>
      <c r="G7" t="str">
        <f>Source!G24</f>
        <v>ЛЗ "Тропаревский" - 339,5 кв.м кв. 23, выд. 128</v>
      </c>
    </row>
    <row r="8" spans="1:24" x14ac:dyDescent="0.2">
      <c r="A8">
        <f>Source!A28</f>
        <v>5</v>
      </c>
      <c r="B8">
        <v>28</v>
      </c>
      <c r="G8" t="str">
        <f>Source!G28</f>
        <v>Демонтаж</v>
      </c>
    </row>
    <row r="9" spans="1:24" x14ac:dyDescent="0.2">
      <c r="A9">
        <v>20</v>
      </c>
      <c r="B9">
        <v>2</v>
      </c>
      <c r="C9">
        <v>2</v>
      </c>
      <c r="D9">
        <v>0</v>
      </c>
      <c r="E9">
        <f>SmtRes!AV2</f>
        <v>0</v>
      </c>
      <c r="F9" t="str">
        <f>SmtRes!I2</f>
        <v>22.1-30-30</v>
      </c>
      <c r="G9" t="str">
        <f>SmtRes!K2</f>
        <v>Рубанки ручные электрические</v>
      </c>
      <c r="H9" t="str">
        <f>SmtRes!O2</f>
        <v>маш.-ч</v>
      </c>
      <c r="I9">
        <f>SmtRes!Y2*Source!I32</f>
        <v>1.0499999999999999E-3</v>
      </c>
      <c r="J9">
        <f>SmtRes!AO2</f>
        <v>1</v>
      </c>
      <c r="K9">
        <f>SmtRes!AF2</f>
        <v>6.28</v>
      </c>
      <c r="L9">
        <f>SmtRes!DB2</f>
        <v>0.06</v>
      </c>
      <c r="M9">
        <f>ROUND(ROUND(L9*Source!I32, 6)*1, 2)</f>
        <v>0.01</v>
      </c>
      <c r="N9">
        <f>SmtRes!AB2</f>
        <v>6.28</v>
      </c>
      <c r="O9">
        <f>ROUND(ROUND(L9*Source!I32, 6)*SmtRes!DA2, 2)</f>
        <v>0.01</v>
      </c>
      <c r="P9">
        <f>SmtRes!AG2</f>
        <v>0.01</v>
      </c>
      <c r="Q9">
        <f>SmtRes!DC2</f>
        <v>0</v>
      </c>
      <c r="R9">
        <f>ROUND(ROUND(Q9*Source!I32, 6)*1, 2)</f>
        <v>0</v>
      </c>
      <c r="S9">
        <f>SmtRes!AC2</f>
        <v>0.01</v>
      </c>
      <c r="T9">
        <f>ROUND(ROUND(Q9*Source!I32, 6)*SmtRes!AK2, 2)</f>
        <v>0</v>
      </c>
      <c r="U9">
        <f>SmtRes!X2</f>
        <v>1675990774</v>
      </c>
      <c r="V9">
        <v>1286183735</v>
      </c>
      <c r="W9">
        <v>1286183735</v>
      </c>
      <c r="X9">
        <v>2</v>
      </c>
    </row>
    <row r="10" spans="1:24" x14ac:dyDescent="0.2">
      <c r="A10">
        <v>20</v>
      </c>
      <c r="B10">
        <v>8</v>
      </c>
      <c r="C10">
        <v>2</v>
      </c>
      <c r="D10">
        <v>0</v>
      </c>
      <c r="E10">
        <f>SmtRes!AV8</f>
        <v>0</v>
      </c>
      <c r="F10" t="str">
        <f>SmtRes!I8</f>
        <v>22.1-18-13</v>
      </c>
      <c r="G10" t="str">
        <f>SmtRes!K8</f>
        <v>Автомобили-самосвалы, грузоподъемность до 10 т</v>
      </c>
      <c r="H10" t="str">
        <f>SmtRes!O8</f>
        <v>маш.-ч</v>
      </c>
      <c r="I10">
        <f>SmtRes!Y8*Source!I36</f>
        <v>3.7537500000000001E-3</v>
      </c>
      <c r="J10">
        <f>SmtRes!AO8</f>
        <v>1</v>
      </c>
      <c r="K10">
        <f>SmtRes!AF8</f>
        <v>993.6</v>
      </c>
      <c r="L10">
        <f>SmtRes!DB8</f>
        <v>54.65</v>
      </c>
      <c r="M10">
        <f>ROUND(ROUND(L10*Source!I36, 6)*1, 2)</f>
        <v>3.73</v>
      </c>
      <c r="N10">
        <f>SmtRes!AB8</f>
        <v>993.6</v>
      </c>
      <c r="O10">
        <f>ROUND(ROUND(L10*Source!I36, 6)*SmtRes!DA8, 2)</f>
        <v>3.73</v>
      </c>
      <c r="P10">
        <f>SmtRes!AG8</f>
        <v>301.8</v>
      </c>
      <c r="Q10">
        <f>SmtRes!DC8</f>
        <v>16.600000000000001</v>
      </c>
      <c r="R10">
        <f>ROUND(ROUND(Q10*Source!I36, 6)*1, 2)</f>
        <v>1.1299999999999999</v>
      </c>
      <c r="S10">
        <f>SmtRes!AC8</f>
        <v>301.8</v>
      </c>
      <c r="T10">
        <f>ROUND(ROUND(Q10*Source!I36, 6)*SmtRes!AK8, 2)</f>
        <v>1.1299999999999999</v>
      </c>
      <c r="U10">
        <f>SmtRes!X8</f>
        <v>-1546163025</v>
      </c>
      <c r="V10">
        <v>-1384078646</v>
      </c>
      <c r="W10">
        <v>-1384078646</v>
      </c>
      <c r="X10">
        <v>2</v>
      </c>
    </row>
    <row r="11" spans="1:24" x14ac:dyDescent="0.2">
      <c r="A11">
        <v>20</v>
      </c>
      <c r="B11">
        <v>7</v>
      </c>
      <c r="C11">
        <v>2</v>
      </c>
      <c r="D11">
        <v>0</v>
      </c>
      <c r="E11">
        <f>SmtRes!AV7</f>
        <v>0</v>
      </c>
      <c r="F11" t="str">
        <f>SmtRes!I7</f>
        <v>22.1-18-12</v>
      </c>
      <c r="G11" t="str">
        <f>SmtRes!K7</f>
        <v>Автомобили-самосвалы, грузоподъемность до 7 т</v>
      </c>
      <c r="H11" t="str">
        <f>SmtRes!O7</f>
        <v>маш.-ч</v>
      </c>
      <c r="I11">
        <f>SmtRes!Y7*Source!I36</f>
        <v>3.6855000000000004E-3</v>
      </c>
      <c r="J11">
        <f>SmtRes!AO7</f>
        <v>1</v>
      </c>
      <c r="K11">
        <f>SmtRes!AF7</f>
        <v>952.49</v>
      </c>
      <c r="L11">
        <f>SmtRes!DB7</f>
        <v>51.43</v>
      </c>
      <c r="M11">
        <f>ROUND(ROUND(L11*Source!I36, 6)*1, 2)</f>
        <v>3.51</v>
      </c>
      <c r="N11">
        <f>SmtRes!AB7</f>
        <v>952.49</v>
      </c>
      <c r="O11">
        <f>ROUND(ROUND(L11*Source!I36, 6)*SmtRes!DA7, 2)</f>
        <v>3.51</v>
      </c>
      <c r="P11">
        <f>SmtRes!AG7</f>
        <v>301.5</v>
      </c>
      <c r="Q11">
        <f>SmtRes!DC7</f>
        <v>16.28</v>
      </c>
      <c r="R11">
        <f>ROUND(ROUND(Q11*Source!I36, 6)*1, 2)</f>
        <v>1.1100000000000001</v>
      </c>
      <c r="S11">
        <f>SmtRes!AC7</f>
        <v>301.5</v>
      </c>
      <c r="T11">
        <f>ROUND(ROUND(Q11*Source!I36, 6)*SmtRes!AK7, 2)</f>
        <v>1.1100000000000001</v>
      </c>
      <c r="U11">
        <f>SmtRes!X7</f>
        <v>468658695</v>
      </c>
      <c r="V11">
        <v>1032900138</v>
      </c>
      <c r="W11">
        <v>1032900138</v>
      </c>
      <c r="X11">
        <v>2</v>
      </c>
    </row>
    <row r="12" spans="1:24" x14ac:dyDescent="0.2">
      <c r="A12">
        <v>20</v>
      </c>
      <c r="B12">
        <v>10</v>
      </c>
      <c r="C12">
        <v>2</v>
      </c>
      <c r="D12">
        <v>0</v>
      </c>
      <c r="E12">
        <f>SmtRes!AV10</f>
        <v>0</v>
      </c>
      <c r="F12" t="str">
        <f>SmtRes!I10</f>
        <v>22.1-18-13</v>
      </c>
      <c r="G12" t="str">
        <f>SmtRes!K10</f>
        <v>Автомобили-самосвалы, грузоподъемность до 10 т</v>
      </c>
      <c r="H12" t="str">
        <f>SmtRes!O10</f>
        <v>маш.-ч</v>
      </c>
      <c r="I12">
        <f>SmtRes!Y10*Source!I37</f>
        <v>1.3650000000000002E-2</v>
      </c>
      <c r="J12">
        <f>SmtRes!AO10</f>
        <v>1</v>
      </c>
      <c r="K12">
        <f>SmtRes!AF10</f>
        <v>993.6</v>
      </c>
      <c r="L12">
        <f>SmtRes!DB10</f>
        <v>198.75</v>
      </c>
      <c r="M12">
        <f>ROUND(ROUND(L12*Source!I37, 6)*1, 2)</f>
        <v>13.56</v>
      </c>
      <c r="N12">
        <f>SmtRes!AB10</f>
        <v>993.6</v>
      </c>
      <c r="O12">
        <f>ROUND(ROUND(L12*Source!I37, 6)*SmtRes!DA10, 2)</f>
        <v>13.56</v>
      </c>
      <c r="P12">
        <f>SmtRes!AG10</f>
        <v>301.8</v>
      </c>
      <c r="Q12">
        <f>SmtRes!DC10</f>
        <v>60.25</v>
      </c>
      <c r="R12">
        <f>ROUND(ROUND(Q12*Source!I37, 6)*1, 2)</f>
        <v>4.1100000000000003</v>
      </c>
      <c r="S12">
        <f>SmtRes!AC10</f>
        <v>301.8</v>
      </c>
      <c r="T12">
        <f>ROUND(ROUND(Q12*Source!I37, 6)*SmtRes!AK10, 2)</f>
        <v>4.1100000000000003</v>
      </c>
      <c r="U12">
        <f>SmtRes!X10</f>
        <v>-1546163025</v>
      </c>
      <c r="V12">
        <v>-1384078646</v>
      </c>
      <c r="W12">
        <v>-1384078646</v>
      </c>
      <c r="X12">
        <v>2</v>
      </c>
    </row>
    <row r="13" spans="1:24" x14ac:dyDescent="0.2">
      <c r="A13">
        <v>20</v>
      </c>
      <c r="B13">
        <v>9</v>
      </c>
      <c r="C13">
        <v>2</v>
      </c>
      <c r="D13">
        <v>0</v>
      </c>
      <c r="E13">
        <f>SmtRes!AV9</f>
        <v>0</v>
      </c>
      <c r="F13" t="str">
        <f>SmtRes!I9</f>
        <v>22.1-18-12</v>
      </c>
      <c r="G13" t="str">
        <f>SmtRes!K9</f>
        <v>Автомобили-самосвалы, грузоподъемность до 7 т</v>
      </c>
      <c r="H13" t="str">
        <f>SmtRes!O9</f>
        <v>маш.-ч</v>
      </c>
      <c r="I13">
        <f>SmtRes!Y9*Source!I37</f>
        <v>1.7062500000000001E-2</v>
      </c>
      <c r="J13">
        <f>SmtRes!AO9</f>
        <v>1</v>
      </c>
      <c r="K13">
        <f>SmtRes!AF9</f>
        <v>952.49</v>
      </c>
      <c r="L13">
        <f>SmtRes!DB9</f>
        <v>238</v>
      </c>
      <c r="M13">
        <f>ROUND(ROUND(L13*Source!I37, 6)*1, 2)</f>
        <v>16.239999999999998</v>
      </c>
      <c r="N13">
        <f>SmtRes!AB9</f>
        <v>952.49</v>
      </c>
      <c r="O13">
        <f>ROUND(ROUND(L13*Source!I37, 6)*SmtRes!DA9, 2)</f>
        <v>16.239999999999998</v>
      </c>
      <c r="P13">
        <f>SmtRes!AG9</f>
        <v>301.5</v>
      </c>
      <c r="Q13">
        <f>SmtRes!DC9</f>
        <v>75.5</v>
      </c>
      <c r="R13">
        <f>ROUND(ROUND(Q13*Source!I37, 6)*1, 2)</f>
        <v>5.15</v>
      </c>
      <c r="S13">
        <f>SmtRes!AC9</f>
        <v>301.5</v>
      </c>
      <c r="T13">
        <f>ROUND(ROUND(Q13*Source!I37, 6)*SmtRes!AK9, 2)</f>
        <v>5.15</v>
      </c>
      <c r="U13">
        <f>SmtRes!X9</f>
        <v>468658695</v>
      </c>
      <c r="V13">
        <v>1032900138</v>
      </c>
      <c r="W13">
        <v>1032900138</v>
      </c>
      <c r="X13">
        <v>2</v>
      </c>
    </row>
    <row r="14" spans="1:24" x14ac:dyDescent="0.2">
      <c r="A14">
        <f>Source!A38</f>
        <v>17</v>
      </c>
      <c r="B14">
        <v>38</v>
      </c>
      <c r="C14">
        <v>3</v>
      </c>
      <c r="D14">
        <f>Source!BI38</f>
        <v>4</v>
      </c>
      <c r="E14">
        <f>Source!FS38</f>
        <v>0</v>
      </c>
      <c r="F14" t="str">
        <f>Source!F38</f>
        <v>21.25-0-1</v>
      </c>
      <c r="G14" t="str">
        <f>Source!G38</f>
        <v>Содержание свалки отходов строительства и сноса</v>
      </c>
      <c r="H14" t="str">
        <f>Source!H38</f>
        <v>т</v>
      </c>
      <c r="I14">
        <f>Source!I38</f>
        <v>6.8250000000000005E-2</v>
      </c>
      <c r="J14">
        <v>1</v>
      </c>
      <c r="K14">
        <f>Source!AC38</f>
        <v>197.96</v>
      </c>
      <c r="M14">
        <f>ROUND(K14*I14, 2)</f>
        <v>13.51</v>
      </c>
      <c r="N14">
        <f>Source!AC38*IF(Source!BC38&lt;&gt; 0, Source!BC38, 1)</f>
        <v>197.96</v>
      </c>
      <c r="O14">
        <f>ROUND(N14*I14, 2)</f>
        <v>13.51</v>
      </c>
      <c r="P14">
        <f>Source!AE38</f>
        <v>0</v>
      </c>
      <c r="R14">
        <f>ROUND(P14*I14, 2)</f>
        <v>0</v>
      </c>
      <c r="S14">
        <f>Source!AE38*IF(Source!BS38&lt;&gt; 0, Source!BS38, 1)</f>
        <v>0</v>
      </c>
      <c r="T14">
        <f>ROUND(S14*I14, 2)</f>
        <v>0</v>
      </c>
      <c r="U14">
        <f>Source!GF38</f>
        <v>-1219268023</v>
      </c>
      <c r="V14">
        <v>-96028578</v>
      </c>
      <c r="W14">
        <v>-96028578</v>
      </c>
      <c r="X14">
        <v>3</v>
      </c>
    </row>
    <row r="15" spans="1:24" x14ac:dyDescent="0.2">
      <c r="A15">
        <f>Source!A70</f>
        <v>5</v>
      </c>
      <c r="B15">
        <v>70</v>
      </c>
      <c r="G15" t="str">
        <f>Source!G70</f>
        <v>Установка оборудования для выгула собак</v>
      </c>
    </row>
    <row r="16" spans="1:24" x14ac:dyDescent="0.2">
      <c r="A16">
        <v>20</v>
      </c>
      <c r="B16">
        <v>12</v>
      </c>
      <c r="C16">
        <v>2</v>
      </c>
      <c r="D16">
        <v>0</v>
      </c>
      <c r="E16">
        <f>SmtRes!AV12</f>
        <v>0</v>
      </c>
      <c r="F16" t="str">
        <f>SmtRes!I12</f>
        <v>22.1-4-31</v>
      </c>
      <c r="G16" t="str">
        <f>SmtRes!K12</f>
        <v>Лебедки электрические, грузоподъемность до 1,5 т</v>
      </c>
      <c r="H16" t="str">
        <f>SmtRes!O12</f>
        <v>маш.-ч</v>
      </c>
      <c r="I16">
        <f>SmtRes!Y12*Source!I74</f>
        <v>3.8000000000000003</v>
      </c>
      <c r="J16">
        <f>SmtRes!AO12</f>
        <v>1</v>
      </c>
      <c r="K16">
        <f>SmtRes!AF12</f>
        <v>31.01</v>
      </c>
      <c r="L16">
        <f>SmtRes!DB12</f>
        <v>589.19000000000005</v>
      </c>
      <c r="M16">
        <f>ROUND(ROUND(L16*Source!I74, 6)*1, 2)</f>
        <v>117.84</v>
      </c>
      <c r="N16">
        <f>SmtRes!AB12</f>
        <v>31.01</v>
      </c>
      <c r="O16">
        <f>ROUND(ROUND(L16*Source!I74, 6)*SmtRes!DA12, 2)</f>
        <v>117.84</v>
      </c>
      <c r="P16">
        <f>SmtRes!AG12</f>
        <v>1.29</v>
      </c>
      <c r="Q16">
        <f>SmtRes!DC12</f>
        <v>24.51</v>
      </c>
      <c r="R16">
        <f>ROUND(ROUND(Q16*Source!I74, 6)*1, 2)</f>
        <v>4.9000000000000004</v>
      </c>
      <c r="S16">
        <f>SmtRes!AC12</f>
        <v>1.29</v>
      </c>
      <c r="T16">
        <f>ROUND(ROUND(Q16*Source!I74, 6)*SmtRes!AK12, 2)</f>
        <v>4.9000000000000004</v>
      </c>
      <c r="U16">
        <f>SmtRes!X12</f>
        <v>-1063871118</v>
      </c>
      <c r="V16">
        <v>1736299718</v>
      </c>
      <c r="W16">
        <v>1736299718</v>
      </c>
      <c r="X16">
        <v>2</v>
      </c>
    </row>
    <row r="17" spans="1:24" x14ac:dyDescent="0.2">
      <c r="A17">
        <f>Source!A87</f>
        <v>17</v>
      </c>
      <c r="B17">
        <v>87</v>
      </c>
      <c r="C17">
        <v>3</v>
      </c>
      <c r="D17">
        <f>Source!BI87</f>
        <v>1</v>
      </c>
      <c r="E17">
        <f>Source!FS87</f>
        <v>0</v>
      </c>
      <c r="F17" t="str">
        <f>Source!F87</f>
        <v>Цена поставщика</v>
      </c>
      <c r="G17" t="str">
        <f>Source!G87</f>
        <v>Горка СП009 для собачьих площадок</v>
      </c>
      <c r="H17" t="str">
        <f>Source!H87</f>
        <v>шт.</v>
      </c>
      <c r="I17">
        <f>Source!I87</f>
        <v>1</v>
      </c>
      <c r="J17">
        <v>1</v>
      </c>
      <c r="K17">
        <f>Source!AC87</f>
        <v>29364.73</v>
      </c>
      <c r="M17">
        <f t="shared" ref="M17:M22" si="0">ROUND(K17*I17, 2)</f>
        <v>29364.73</v>
      </c>
      <c r="N17">
        <f>Source!AC87*IF(Source!BC87&lt;&gt; 0, Source!BC87, 1)</f>
        <v>29364.73</v>
      </c>
      <c r="O17">
        <f t="shared" ref="O17:O22" si="1">ROUND(N17*I17, 2)</f>
        <v>29364.73</v>
      </c>
      <c r="P17">
        <f>Source!AE87</f>
        <v>0</v>
      </c>
      <c r="R17">
        <f t="shared" ref="R17:R22" si="2">ROUND(P17*I17, 2)</f>
        <v>0</v>
      </c>
      <c r="S17">
        <f>Source!AE87*IF(Source!BS87&lt;&gt; 0, Source!BS87, 1)</f>
        <v>0</v>
      </c>
      <c r="T17">
        <f t="shared" ref="T17:T22" si="3">ROUND(S17*I17, 2)</f>
        <v>0</v>
      </c>
      <c r="U17">
        <f>Source!GF87</f>
        <v>-295362686</v>
      </c>
      <c r="V17">
        <v>-1326419303</v>
      </c>
      <c r="W17">
        <v>-1326419303</v>
      </c>
      <c r="X17">
        <v>3</v>
      </c>
    </row>
    <row r="18" spans="1:24" x14ac:dyDescent="0.2">
      <c r="A18">
        <f>Source!A88</f>
        <v>17</v>
      </c>
      <c r="B18">
        <v>88</v>
      </c>
      <c r="C18">
        <v>3</v>
      </c>
      <c r="D18">
        <f>Source!BI88</f>
        <v>1</v>
      </c>
      <c r="E18">
        <f>Source!FS88</f>
        <v>0</v>
      </c>
      <c r="F18" t="str">
        <f>Source!F88</f>
        <v>Цена поставщика</v>
      </c>
      <c r="G18" t="str">
        <f>Source!G88</f>
        <v>Слалом СП016 для собачьих площадок</v>
      </c>
      <c r="H18" t="str">
        <f>Source!H88</f>
        <v>шт.</v>
      </c>
      <c r="I18">
        <f>Source!I88</f>
        <v>1</v>
      </c>
      <c r="J18">
        <v>1</v>
      </c>
      <c r="K18">
        <f>Source!AC88</f>
        <v>18699.73</v>
      </c>
      <c r="M18">
        <f t="shared" si="0"/>
        <v>18699.73</v>
      </c>
      <c r="N18">
        <f>Source!AC88*IF(Source!BC88&lt;&gt; 0, Source!BC88, 1)</f>
        <v>18699.73</v>
      </c>
      <c r="O18">
        <f t="shared" si="1"/>
        <v>18699.73</v>
      </c>
      <c r="P18">
        <f>Source!AE88</f>
        <v>0</v>
      </c>
      <c r="R18">
        <f t="shared" si="2"/>
        <v>0</v>
      </c>
      <c r="S18">
        <f>Source!AE88*IF(Source!BS88&lt;&gt; 0, Source!BS88, 1)</f>
        <v>0</v>
      </c>
      <c r="T18">
        <f t="shared" si="3"/>
        <v>0</v>
      </c>
      <c r="U18">
        <f>Source!GF88</f>
        <v>918400748</v>
      </c>
      <c r="V18">
        <v>-883060739</v>
      </c>
      <c r="W18">
        <v>-883060739</v>
      </c>
      <c r="X18">
        <v>3</v>
      </c>
    </row>
    <row r="19" spans="1:24" x14ac:dyDescent="0.2">
      <c r="A19">
        <f>Source!A89</f>
        <v>17</v>
      </c>
      <c r="B19">
        <v>89</v>
      </c>
      <c r="C19">
        <v>3</v>
      </c>
      <c r="D19">
        <f>Source!BI89</f>
        <v>1</v>
      </c>
      <c r="E19">
        <f>Source!FS89</f>
        <v>0</v>
      </c>
      <c r="F19" t="str">
        <f>Source!F89</f>
        <v>Цена поставщика</v>
      </c>
      <c r="G19" t="str">
        <f>Source!G89</f>
        <v>Барьер 500 СП001 для собачьих площадок</v>
      </c>
      <c r="H19" t="str">
        <f>Source!H89</f>
        <v>шт.</v>
      </c>
      <c r="I19">
        <f>Source!I89</f>
        <v>1</v>
      </c>
      <c r="J19">
        <v>1</v>
      </c>
      <c r="K19">
        <f>Source!AC89</f>
        <v>17050</v>
      </c>
      <c r="M19">
        <f t="shared" si="0"/>
        <v>17050</v>
      </c>
      <c r="N19">
        <f>Source!AC89*IF(Source!BC89&lt;&gt; 0, Source!BC89, 1)</f>
        <v>17050</v>
      </c>
      <c r="O19">
        <f t="shared" si="1"/>
        <v>17050</v>
      </c>
      <c r="P19">
        <f>Source!AE89</f>
        <v>0</v>
      </c>
      <c r="R19">
        <f t="shared" si="2"/>
        <v>0</v>
      </c>
      <c r="S19">
        <f>Source!AE89*IF(Source!BS89&lt;&gt; 0, Source!BS89, 1)</f>
        <v>0</v>
      </c>
      <c r="T19">
        <f t="shared" si="3"/>
        <v>0</v>
      </c>
      <c r="U19">
        <f>Source!GF89</f>
        <v>557786794</v>
      </c>
      <c r="V19">
        <v>801461365</v>
      </c>
      <c r="W19">
        <v>801461365</v>
      </c>
      <c r="X19">
        <v>3</v>
      </c>
    </row>
    <row r="20" spans="1:24" x14ac:dyDescent="0.2">
      <c r="A20">
        <f>Source!A90</f>
        <v>17</v>
      </c>
      <c r="B20">
        <v>90</v>
      </c>
      <c r="C20">
        <v>3</v>
      </c>
      <c r="D20">
        <f>Source!BI90</f>
        <v>1</v>
      </c>
      <c r="E20">
        <f>Source!FS90</f>
        <v>0</v>
      </c>
      <c r="F20" t="str">
        <f>Source!F90</f>
        <v>Цена поставщика</v>
      </c>
      <c r="G20" t="str">
        <f>Source!G90</f>
        <v>Барьер 1000 СП002 для собачьих площадок</v>
      </c>
      <c r="H20" t="str">
        <f>Source!H90</f>
        <v>шт.</v>
      </c>
      <c r="I20">
        <f>Source!I90</f>
        <v>1</v>
      </c>
      <c r="J20">
        <v>1</v>
      </c>
      <c r="K20">
        <f>Source!AC90</f>
        <v>17277.78</v>
      </c>
      <c r="M20">
        <f t="shared" si="0"/>
        <v>17277.78</v>
      </c>
      <c r="N20">
        <f>Source!AC90*IF(Source!BC90&lt;&gt; 0, Source!BC90, 1)</f>
        <v>17277.78</v>
      </c>
      <c r="O20">
        <f t="shared" si="1"/>
        <v>17277.78</v>
      </c>
      <c r="P20">
        <f>Source!AE90</f>
        <v>0</v>
      </c>
      <c r="R20">
        <f t="shared" si="2"/>
        <v>0</v>
      </c>
      <c r="S20">
        <f>Source!AE90*IF(Source!BS90&lt;&gt; 0, Source!BS90, 1)</f>
        <v>0</v>
      </c>
      <c r="T20">
        <f t="shared" si="3"/>
        <v>0</v>
      </c>
      <c r="U20">
        <f>Source!GF90</f>
        <v>942564012</v>
      </c>
      <c r="V20">
        <v>612655710</v>
      </c>
      <c r="W20">
        <v>612655710</v>
      </c>
      <c r="X20">
        <v>3</v>
      </c>
    </row>
    <row r="21" spans="1:24" x14ac:dyDescent="0.2">
      <c r="A21">
        <f>Source!A91</f>
        <v>17</v>
      </c>
      <c r="B21">
        <v>91</v>
      </c>
      <c r="C21">
        <v>3</v>
      </c>
      <c r="D21">
        <f>Source!BI91</f>
        <v>1</v>
      </c>
      <c r="E21">
        <f>Source!FS91</f>
        <v>0</v>
      </c>
      <c r="F21" t="str">
        <f>Source!F91</f>
        <v>Цена поставщика</v>
      </c>
      <c r="G21" t="str">
        <f>Source!G91</f>
        <v>Снаряд Покрышка СП013 для собачьих площадок</v>
      </c>
      <c r="H21" t="str">
        <f>Source!H91</f>
        <v>шт.</v>
      </c>
      <c r="I21">
        <f>Source!I91</f>
        <v>1</v>
      </c>
      <c r="J21">
        <v>1</v>
      </c>
      <c r="K21">
        <f>Source!AC91</f>
        <v>19411.11</v>
      </c>
      <c r="M21">
        <f t="shared" si="0"/>
        <v>19411.11</v>
      </c>
      <c r="N21">
        <f>Source!AC91*IF(Source!BC91&lt;&gt; 0, Source!BC91, 1)</f>
        <v>19411.11</v>
      </c>
      <c r="O21">
        <f t="shared" si="1"/>
        <v>19411.11</v>
      </c>
      <c r="P21">
        <f>Source!AE91</f>
        <v>0</v>
      </c>
      <c r="R21">
        <f t="shared" si="2"/>
        <v>0</v>
      </c>
      <c r="S21">
        <f>Source!AE91*IF(Source!BS91&lt;&gt; 0, Source!BS91, 1)</f>
        <v>0</v>
      </c>
      <c r="T21">
        <f t="shared" si="3"/>
        <v>0</v>
      </c>
      <c r="U21">
        <f>Source!GF91</f>
        <v>846467407</v>
      </c>
      <c r="V21">
        <v>-970663437</v>
      </c>
      <c r="W21">
        <v>-970663437</v>
      </c>
      <c r="X21">
        <v>3</v>
      </c>
    </row>
    <row r="22" spans="1:24" x14ac:dyDescent="0.2">
      <c r="A22">
        <f>Source!A92</f>
        <v>17</v>
      </c>
      <c r="B22">
        <v>92</v>
      </c>
      <c r="C22">
        <v>3</v>
      </c>
      <c r="D22">
        <f>Source!BI92</f>
        <v>1</v>
      </c>
      <c r="E22">
        <f>Source!FS92</f>
        <v>0</v>
      </c>
      <c r="F22" t="str">
        <f>Source!F92</f>
        <v>Цена поставщика</v>
      </c>
      <c r="G22" t="str">
        <f>Source!G92</f>
        <v>Урна для собачьих площадок №1 УС1 Разноцветный</v>
      </c>
      <c r="H22" t="str">
        <f>Source!H92</f>
        <v>шт.</v>
      </c>
      <c r="I22">
        <f>Source!I92</f>
        <v>1</v>
      </c>
      <c r="J22">
        <v>1</v>
      </c>
      <c r="K22">
        <f>Source!AC92</f>
        <v>9847.23</v>
      </c>
      <c r="M22">
        <f t="shared" si="0"/>
        <v>9847.23</v>
      </c>
      <c r="N22">
        <f>Source!AC92*IF(Source!BC92&lt;&gt; 0, Source!BC92, 1)</f>
        <v>9847.23</v>
      </c>
      <c r="O22">
        <f t="shared" si="1"/>
        <v>9847.23</v>
      </c>
      <c r="P22">
        <f>Source!AE92</f>
        <v>0</v>
      </c>
      <c r="R22">
        <f t="shared" si="2"/>
        <v>0</v>
      </c>
      <c r="S22">
        <f>Source!AE92*IF(Source!BS92&lt;&gt; 0, Source!BS92, 1)</f>
        <v>0</v>
      </c>
      <c r="T22">
        <f t="shared" si="3"/>
        <v>0</v>
      </c>
      <c r="U22">
        <f>Source!GF92</f>
        <v>1342366151</v>
      </c>
      <c r="V22">
        <v>-1469256488</v>
      </c>
      <c r="W22">
        <v>-1469256488</v>
      </c>
      <c r="X22">
        <v>3</v>
      </c>
    </row>
    <row r="23" spans="1:24" x14ac:dyDescent="0.2">
      <c r="A23">
        <f>Source!A124</f>
        <v>5</v>
      </c>
      <c r="B23">
        <v>124</v>
      </c>
      <c r="G23" t="str">
        <f>Source!G124</f>
        <v>Установка ограждения</v>
      </c>
    </row>
    <row r="24" spans="1:24" x14ac:dyDescent="0.2">
      <c r="A24">
        <v>20</v>
      </c>
      <c r="B24">
        <v>38</v>
      </c>
      <c r="C24">
        <v>3</v>
      </c>
      <c r="D24">
        <v>0</v>
      </c>
      <c r="E24">
        <f>SmtRes!AV38</f>
        <v>0</v>
      </c>
      <c r="F24" t="str">
        <f>SmtRes!I38</f>
        <v>21.7-9-8</v>
      </c>
      <c r="G24" t="str">
        <f>SmtRes!K38</f>
        <v>Стойка ограждения металлического, из профиля квадратного, сечением 100х100 мм, длина 3600 мм</v>
      </c>
      <c r="H24" t="str">
        <f>SmtRes!O38</f>
        <v>шт.</v>
      </c>
      <c r="I24">
        <f>SmtRes!Y38*Source!I128</f>
        <v>45.6</v>
      </c>
      <c r="J24">
        <f>SmtRes!AO38</f>
        <v>1</v>
      </c>
      <c r="K24">
        <f>SmtRes!AE38</f>
        <v>2843.73</v>
      </c>
      <c r="L24">
        <f>SmtRes!DB38</f>
        <v>108061.74</v>
      </c>
      <c r="M24">
        <f>ROUND(ROUND(L24*Source!I128, 6)*1, 2)</f>
        <v>129674.09</v>
      </c>
      <c r="N24">
        <f>SmtRes!AA38</f>
        <v>2843.73</v>
      </c>
      <c r="O24">
        <f>ROUND(ROUND(L24*Source!I128, 6)*SmtRes!DA38, 2)</f>
        <v>129674.09</v>
      </c>
      <c r="P24">
        <f>SmtRes!AG38</f>
        <v>0</v>
      </c>
      <c r="Q24">
        <f>SmtRes!DC38</f>
        <v>0</v>
      </c>
      <c r="R24">
        <f>ROUND(ROUND(Q24*Source!I128, 6)*1, 2)</f>
        <v>0</v>
      </c>
      <c r="S24">
        <f>SmtRes!AC38</f>
        <v>0</v>
      </c>
      <c r="T24">
        <f>ROUND(ROUND(Q24*Source!I128, 6)*SmtRes!AK38, 2)</f>
        <v>0</v>
      </c>
      <c r="U24">
        <f>SmtRes!X38</f>
        <v>751213170</v>
      </c>
      <c r="V24">
        <v>-823327178</v>
      </c>
      <c r="W24">
        <v>-823327178</v>
      </c>
      <c r="X24">
        <v>3</v>
      </c>
    </row>
    <row r="25" spans="1:24" x14ac:dyDescent="0.2">
      <c r="A25">
        <v>20</v>
      </c>
      <c r="B25">
        <v>37</v>
      </c>
      <c r="C25">
        <v>3</v>
      </c>
      <c r="D25">
        <v>0</v>
      </c>
      <c r="E25">
        <f>SmtRes!AV37</f>
        <v>0</v>
      </c>
      <c r="F25" t="str">
        <f>SmtRes!I37</f>
        <v>21.7-9-7</v>
      </c>
      <c r="G25" t="str">
        <f>SmtRes!K37</f>
        <v>Секция ограждения металлического, решетчатого, из профиля квадратного, сечением 30х30 мм,  высота 2500 мм</v>
      </c>
      <c r="H25" t="str">
        <f>SmtRes!O37</f>
        <v>м</v>
      </c>
      <c r="I25">
        <f>SmtRes!Y37*Source!I128</f>
        <v>104.39999999999999</v>
      </c>
      <c r="J25">
        <f>SmtRes!AO37</f>
        <v>1</v>
      </c>
      <c r="K25">
        <f>SmtRes!AE37</f>
        <v>4886.66</v>
      </c>
      <c r="L25">
        <f>SmtRes!DB37</f>
        <v>425139.42</v>
      </c>
      <c r="M25">
        <f>ROUND(ROUND(L25*Source!I128, 6)*1, 2)</f>
        <v>510167.3</v>
      </c>
      <c r="N25">
        <f>SmtRes!AA37</f>
        <v>4886.66</v>
      </c>
      <c r="O25">
        <f>ROUND(ROUND(L25*Source!I128, 6)*SmtRes!DA37, 2)</f>
        <v>510167.3</v>
      </c>
      <c r="P25">
        <f>SmtRes!AG37</f>
        <v>0</v>
      </c>
      <c r="Q25">
        <f>SmtRes!DC37</f>
        <v>0</v>
      </c>
      <c r="R25">
        <f>ROUND(ROUND(Q25*Source!I128, 6)*1, 2)</f>
        <v>0</v>
      </c>
      <c r="S25">
        <f>SmtRes!AC37</f>
        <v>0</v>
      </c>
      <c r="T25">
        <f>ROUND(ROUND(Q25*Source!I128, 6)*SmtRes!AK37, 2)</f>
        <v>0</v>
      </c>
      <c r="U25">
        <f>SmtRes!X37</f>
        <v>-84305937</v>
      </c>
      <c r="V25">
        <v>-974834120</v>
      </c>
      <c r="W25">
        <v>-974834120</v>
      </c>
      <c r="X25">
        <v>3</v>
      </c>
    </row>
    <row r="26" spans="1:24" x14ac:dyDescent="0.2">
      <c r="A26">
        <v>20</v>
      </c>
      <c r="B26">
        <v>36</v>
      </c>
      <c r="C26">
        <v>3</v>
      </c>
      <c r="D26">
        <v>0</v>
      </c>
      <c r="E26">
        <f>SmtRes!AV36</f>
        <v>0</v>
      </c>
      <c r="F26" t="str">
        <f>SmtRes!I36</f>
        <v>21.3-1-87</v>
      </c>
      <c r="G26" t="str">
        <f>SmtRes!K36</f>
        <v>Смеси бетонные, БСГ, тяжелого бетона на гранитном щебне, класс прочности: В25 (М350); П3, фракция 5-20, F150, W6</v>
      </c>
      <c r="H26" t="str">
        <f>SmtRes!O36</f>
        <v>м3</v>
      </c>
      <c r="I26">
        <f>SmtRes!Y36*Source!I128</f>
        <v>3.9</v>
      </c>
      <c r="J26">
        <f>SmtRes!AO36</f>
        <v>1</v>
      </c>
      <c r="K26">
        <f>SmtRes!AE36</f>
        <v>4082.17</v>
      </c>
      <c r="L26">
        <f>SmtRes!DB36</f>
        <v>13267.05</v>
      </c>
      <c r="M26">
        <f>ROUND(ROUND(L26*Source!I128, 6)*1, 2)</f>
        <v>15920.46</v>
      </c>
      <c r="N26">
        <f>SmtRes!AA36</f>
        <v>4082.17</v>
      </c>
      <c r="O26">
        <f>ROUND(ROUND(L26*Source!I128, 6)*SmtRes!DA36, 2)</f>
        <v>15920.46</v>
      </c>
      <c r="P26">
        <f>SmtRes!AG36</f>
        <v>0</v>
      </c>
      <c r="Q26">
        <f>SmtRes!DC36</f>
        <v>0</v>
      </c>
      <c r="R26">
        <f>ROUND(ROUND(Q26*Source!I128, 6)*1, 2)</f>
        <v>0</v>
      </c>
      <c r="S26">
        <f>SmtRes!AC36</f>
        <v>0</v>
      </c>
      <c r="T26">
        <f>ROUND(ROUND(Q26*Source!I128, 6)*SmtRes!AK36, 2)</f>
        <v>0</v>
      </c>
      <c r="U26">
        <f>SmtRes!X36</f>
        <v>1929983902</v>
      </c>
      <c r="V26">
        <v>-620134183</v>
      </c>
      <c r="W26">
        <v>-620134183</v>
      </c>
      <c r="X26">
        <v>3</v>
      </c>
    </row>
    <row r="27" spans="1:24" x14ac:dyDescent="0.2">
      <c r="A27">
        <v>20</v>
      </c>
      <c r="B27">
        <v>35</v>
      </c>
      <c r="C27">
        <v>3</v>
      </c>
      <c r="D27">
        <v>0</v>
      </c>
      <c r="E27">
        <f>SmtRes!AV35</f>
        <v>0</v>
      </c>
      <c r="F27" t="str">
        <f>SmtRes!I35</f>
        <v>21.1-23-9</v>
      </c>
      <c r="G27" t="str">
        <f>SmtRes!K35</f>
        <v>Электроды, тип Э-42, 46, 50, диаметр 4 - 6 мм</v>
      </c>
      <c r="H27" t="str">
        <f>SmtRes!O35</f>
        <v>т</v>
      </c>
      <c r="I27">
        <f>SmtRes!Y35*Source!I128</f>
        <v>8.3999999999999995E-3</v>
      </c>
      <c r="J27">
        <f>SmtRes!AO35</f>
        <v>1</v>
      </c>
      <c r="K27">
        <f>SmtRes!AE35</f>
        <v>110728.72</v>
      </c>
      <c r="L27">
        <f>SmtRes!DB35</f>
        <v>775.1</v>
      </c>
      <c r="M27">
        <f>ROUND(ROUND(L27*Source!I128, 6)*1, 2)</f>
        <v>930.12</v>
      </c>
      <c r="N27">
        <f>SmtRes!AA35</f>
        <v>110728.72</v>
      </c>
      <c r="O27">
        <f>ROUND(ROUND(L27*Source!I128, 6)*SmtRes!DA35, 2)</f>
        <v>930.12</v>
      </c>
      <c r="P27">
        <f>SmtRes!AG35</f>
        <v>0</v>
      </c>
      <c r="Q27">
        <f>SmtRes!DC35</f>
        <v>0</v>
      </c>
      <c r="R27">
        <f>ROUND(ROUND(Q27*Source!I128, 6)*1, 2)</f>
        <v>0</v>
      </c>
      <c r="S27">
        <f>SmtRes!AC35</f>
        <v>0</v>
      </c>
      <c r="T27">
        <f>ROUND(ROUND(Q27*Source!I128, 6)*SmtRes!AK35, 2)</f>
        <v>0</v>
      </c>
      <c r="U27">
        <f>SmtRes!X35</f>
        <v>-475338610</v>
      </c>
      <c r="V27">
        <v>1276245677</v>
      </c>
      <c r="W27">
        <v>1276245677</v>
      </c>
      <c r="X27">
        <v>3</v>
      </c>
    </row>
    <row r="28" spans="1:24" x14ac:dyDescent="0.2">
      <c r="A28">
        <v>20</v>
      </c>
      <c r="B28">
        <v>34</v>
      </c>
      <c r="C28">
        <v>3</v>
      </c>
      <c r="D28">
        <v>0</v>
      </c>
      <c r="E28">
        <f>SmtRes!AV34</f>
        <v>0</v>
      </c>
      <c r="F28" t="str">
        <f>SmtRes!I34</f>
        <v>21.1-12-41</v>
      </c>
      <c r="G28" t="str">
        <f>SmtRes!K34</f>
        <v>Щебень из естественного камня для строительных работ, марка 1400, фракция 20-40 мм</v>
      </c>
      <c r="H28" t="str">
        <f>SmtRes!O34</f>
        <v>м3</v>
      </c>
      <c r="I28">
        <f>SmtRes!Y34*Source!I128</f>
        <v>0.372</v>
      </c>
      <c r="J28">
        <f>SmtRes!AO34</f>
        <v>1</v>
      </c>
      <c r="K28">
        <f>SmtRes!AE34</f>
        <v>2248.25</v>
      </c>
      <c r="L28">
        <f>SmtRes!DB34</f>
        <v>696.96</v>
      </c>
      <c r="M28">
        <f>ROUND(ROUND(L28*Source!I128, 6)*1, 2)</f>
        <v>836.35</v>
      </c>
      <c r="N28">
        <f>SmtRes!AA34</f>
        <v>2248.25</v>
      </c>
      <c r="O28">
        <f>ROUND(ROUND(L28*Source!I128, 6)*SmtRes!DA34, 2)</f>
        <v>836.35</v>
      </c>
      <c r="P28">
        <f>SmtRes!AG34</f>
        <v>0</v>
      </c>
      <c r="Q28">
        <f>SmtRes!DC34</f>
        <v>0</v>
      </c>
      <c r="R28">
        <f>ROUND(ROUND(Q28*Source!I128, 6)*1, 2)</f>
        <v>0</v>
      </c>
      <c r="S28">
        <f>SmtRes!AC34</f>
        <v>0</v>
      </c>
      <c r="T28">
        <f>ROUND(ROUND(Q28*Source!I128, 6)*SmtRes!AK34, 2)</f>
        <v>0</v>
      </c>
      <c r="U28">
        <f>SmtRes!X34</f>
        <v>165829421</v>
      </c>
      <c r="V28">
        <v>1750650908</v>
      </c>
      <c r="W28">
        <v>1750650908</v>
      </c>
      <c r="X28">
        <v>3</v>
      </c>
    </row>
    <row r="29" spans="1:24" x14ac:dyDescent="0.2">
      <c r="A29">
        <v>20</v>
      </c>
      <c r="B29">
        <v>33</v>
      </c>
      <c r="C29">
        <v>2</v>
      </c>
      <c r="D29">
        <v>0</v>
      </c>
      <c r="E29">
        <f>SmtRes!AV33</f>
        <v>0</v>
      </c>
      <c r="F29" t="str">
        <f>SmtRes!I33</f>
        <v>22.1-9-2</v>
      </c>
      <c r="G29" t="str">
        <f>SmtRes!K33</f>
        <v>Машины бурильно-крановые на базе автомобиля, глубина бурения до 5 м</v>
      </c>
      <c r="H29" t="str">
        <f>SmtRes!O33</f>
        <v>маш.-ч</v>
      </c>
      <c r="I29">
        <f>SmtRes!Y33*Source!I128</f>
        <v>6.5880000000000001</v>
      </c>
      <c r="J29">
        <f>SmtRes!AO33</f>
        <v>1</v>
      </c>
      <c r="K29">
        <f>SmtRes!AF33</f>
        <v>1180.29</v>
      </c>
      <c r="L29">
        <f>SmtRes!DB33</f>
        <v>6479.79</v>
      </c>
      <c r="M29">
        <f>ROUND(ROUND(L29*Source!I128, 6)*1, 2)</f>
        <v>7775.75</v>
      </c>
      <c r="N29">
        <f>SmtRes!AB33</f>
        <v>1180.29</v>
      </c>
      <c r="O29">
        <f>ROUND(ROUND(L29*Source!I128, 6)*SmtRes!DA33, 2)</f>
        <v>7775.75</v>
      </c>
      <c r="P29">
        <f>SmtRes!AG33</f>
        <v>586.89</v>
      </c>
      <c r="Q29">
        <f>SmtRes!DC33</f>
        <v>3222.03</v>
      </c>
      <c r="R29">
        <f>ROUND(ROUND(Q29*Source!I128, 6)*1, 2)</f>
        <v>3866.44</v>
      </c>
      <c r="S29">
        <f>SmtRes!AC33</f>
        <v>586.89</v>
      </c>
      <c r="T29">
        <f>ROUND(ROUND(Q29*Source!I128, 6)*SmtRes!AK33, 2)</f>
        <v>3866.44</v>
      </c>
      <c r="U29">
        <f>SmtRes!X33</f>
        <v>58362116</v>
      </c>
      <c r="V29">
        <v>-1631772537</v>
      </c>
      <c r="W29">
        <v>-1631772537</v>
      </c>
      <c r="X29">
        <v>2</v>
      </c>
    </row>
    <row r="30" spans="1:24" x14ac:dyDescent="0.2">
      <c r="A30">
        <v>20</v>
      </c>
      <c r="B30">
        <v>32</v>
      </c>
      <c r="C30">
        <v>2</v>
      </c>
      <c r="D30">
        <v>0</v>
      </c>
      <c r="E30">
        <f>SmtRes!AV32</f>
        <v>0</v>
      </c>
      <c r="F30" t="str">
        <f>SmtRes!I32</f>
        <v>22.1-6-52</v>
      </c>
      <c r="G30" t="str">
        <f>SmtRes!K32</f>
        <v>Вибраторы глубинные</v>
      </c>
      <c r="H30" t="str">
        <f>SmtRes!O32</f>
        <v>маш.-ч</v>
      </c>
      <c r="I30">
        <f>SmtRes!Y32*Source!I128</f>
        <v>39.491999999999997</v>
      </c>
      <c r="J30">
        <f>SmtRes!AO32</f>
        <v>1</v>
      </c>
      <c r="K30">
        <f>SmtRes!AF32</f>
        <v>10.62</v>
      </c>
      <c r="L30">
        <f>SmtRes!DB32</f>
        <v>349.5</v>
      </c>
      <c r="M30">
        <f>ROUND(ROUND(L30*Source!I128, 6)*1, 2)</f>
        <v>419.4</v>
      </c>
      <c r="N30">
        <f>SmtRes!AB32</f>
        <v>10.62</v>
      </c>
      <c r="O30">
        <f>ROUND(ROUND(L30*Source!I128, 6)*SmtRes!DA32, 2)</f>
        <v>419.4</v>
      </c>
      <c r="P30">
        <f>SmtRes!AG32</f>
        <v>2.82</v>
      </c>
      <c r="Q30">
        <f>SmtRes!DC32</f>
        <v>92.81</v>
      </c>
      <c r="R30">
        <f>ROUND(ROUND(Q30*Source!I128, 6)*1, 2)</f>
        <v>111.37</v>
      </c>
      <c r="S30">
        <f>SmtRes!AC32</f>
        <v>2.82</v>
      </c>
      <c r="T30">
        <f>ROUND(ROUND(Q30*Source!I128, 6)*SmtRes!AK32, 2)</f>
        <v>111.37</v>
      </c>
      <c r="U30">
        <f>SmtRes!X32</f>
        <v>-1119889759</v>
      </c>
      <c r="V30">
        <v>1634601875</v>
      </c>
      <c r="W30">
        <v>1634601875</v>
      </c>
      <c r="X30">
        <v>2</v>
      </c>
    </row>
    <row r="31" spans="1:24" x14ac:dyDescent="0.2">
      <c r="A31">
        <v>20</v>
      </c>
      <c r="B31">
        <v>31</v>
      </c>
      <c r="C31">
        <v>2</v>
      </c>
      <c r="D31">
        <v>0</v>
      </c>
      <c r="E31">
        <f>SmtRes!AV31</f>
        <v>0</v>
      </c>
      <c r="F31" t="str">
        <f>SmtRes!I31</f>
        <v>22.1-30-19</v>
      </c>
      <c r="G31" t="str">
        <f>SmtRes!K31</f>
        <v>Машины шлифовальные электрические</v>
      </c>
      <c r="H31" t="str">
        <f>SmtRes!O31</f>
        <v>маш.-ч</v>
      </c>
      <c r="I31">
        <f>SmtRes!Y31*Source!I128</f>
        <v>0.624</v>
      </c>
      <c r="J31">
        <f>SmtRes!AO31</f>
        <v>1</v>
      </c>
      <c r="K31">
        <f>SmtRes!AF31</f>
        <v>5.82</v>
      </c>
      <c r="L31">
        <f>SmtRes!DB31</f>
        <v>3.03</v>
      </c>
      <c r="M31">
        <f>ROUND(ROUND(L31*Source!I128, 6)*1, 2)</f>
        <v>3.64</v>
      </c>
      <c r="N31">
        <f>SmtRes!AB31</f>
        <v>5.82</v>
      </c>
      <c r="O31">
        <f>ROUND(ROUND(L31*Source!I128, 6)*SmtRes!DA31, 2)</f>
        <v>3.64</v>
      </c>
      <c r="P31">
        <f>SmtRes!AG31</f>
        <v>0.02</v>
      </c>
      <c r="Q31">
        <f>SmtRes!DC31</f>
        <v>0.01</v>
      </c>
      <c r="R31">
        <f>ROUND(ROUND(Q31*Source!I128, 6)*1, 2)</f>
        <v>0.01</v>
      </c>
      <c r="S31">
        <f>SmtRes!AC31</f>
        <v>0.02</v>
      </c>
      <c r="T31">
        <f>ROUND(ROUND(Q31*Source!I128, 6)*SmtRes!AK31, 2)</f>
        <v>0.01</v>
      </c>
      <c r="U31">
        <f>SmtRes!X31</f>
        <v>-1995660009</v>
      </c>
      <c r="V31">
        <v>-1082568096</v>
      </c>
      <c r="W31">
        <v>-1082568096</v>
      </c>
      <c r="X31">
        <v>2</v>
      </c>
    </row>
    <row r="32" spans="1:24" x14ac:dyDescent="0.2">
      <c r="A32">
        <v>20</v>
      </c>
      <c r="B32">
        <v>30</v>
      </c>
      <c r="C32">
        <v>2</v>
      </c>
      <c r="D32">
        <v>0</v>
      </c>
      <c r="E32">
        <f>SmtRes!AV30</f>
        <v>0</v>
      </c>
      <c r="F32" t="str">
        <f>SmtRes!I30</f>
        <v>22.1-13-15</v>
      </c>
      <c r="G32" t="str">
        <f>SmtRes!K30</f>
        <v>Аппараты сварочные</v>
      </c>
      <c r="H32" t="str">
        <f>SmtRes!O30</f>
        <v>маш.-ч</v>
      </c>
      <c r="I32">
        <f>SmtRes!Y30*Source!I128</f>
        <v>46.8</v>
      </c>
      <c r="J32">
        <f>SmtRes!AO30</f>
        <v>1</v>
      </c>
      <c r="K32">
        <f>SmtRes!AF30</f>
        <v>337.61</v>
      </c>
      <c r="L32">
        <f>SmtRes!DB30</f>
        <v>13166.79</v>
      </c>
      <c r="M32">
        <f>ROUND(ROUND(L32*Source!I128, 6)*1, 2)</f>
        <v>15800.15</v>
      </c>
      <c r="N32">
        <f>SmtRes!AB30</f>
        <v>337.61</v>
      </c>
      <c r="O32">
        <f>ROUND(ROUND(L32*Source!I128, 6)*SmtRes!DA30, 2)</f>
        <v>15800.15</v>
      </c>
      <c r="P32">
        <f>SmtRes!AG30</f>
        <v>6.68</v>
      </c>
      <c r="Q32">
        <f>SmtRes!DC30</f>
        <v>260.52</v>
      </c>
      <c r="R32">
        <f>ROUND(ROUND(Q32*Source!I128, 6)*1, 2)</f>
        <v>312.62</v>
      </c>
      <c r="S32">
        <f>SmtRes!AC30</f>
        <v>6.68</v>
      </c>
      <c r="T32">
        <f>ROUND(ROUND(Q32*Source!I128, 6)*SmtRes!AK30, 2)</f>
        <v>312.62</v>
      </c>
      <c r="U32">
        <f>SmtRes!X30</f>
        <v>-1896621790</v>
      </c>
      <c r="V32">
        <v>391800036</v>
      </c>
      <c r="W32">
        <v>391800036</v>
      </c>
      <c r="X32">
        <v>2</v>
      </c>
    </row>
    <row r="33" spans="1:24" x14ac:dyDescent="0.2">
      <c r="A33">
        <v>20</v>
      </c>
      <c r="B33">
        <v>44</v>
      </c>
      <c r="C33">
        <v>3</v>
      </c>
      <c r="D33">
        <v>0</v>
      </c>
      <c r="E33">
        <f>SmtRes!AV44</f>
        <v>0</v>
      </c>
      <c r="F33" t="str">
        <f>SmtRes!I44</f>
        <v>21.8-1-22</v>
      </c>
      <c r="G33" t="str">
        <f>SmtRes!K44</f>
        <v>Петля накладная с ходом на центрах, марка ПН 1-150 оксидированная</v>
      </c>
      <c r="H33" t="str">
        <f>SmtRes!O44</f>
        <v>шт.</v>
      </c>
      <c r="I33">
        <f>SmtRes!Y44*Source!I129</f>
        <v>1</v>
      </c>
      <c r="J33">
        <f>SmtRes!AO44</f>
        <v>1</v>
      </c>
      <c r="K33">
        <f>SmtRes!AE44</f>
        <v>52.44</v>
      </c>
      <c r="L33">
        <f>SmtRes!DB44</f>
        <v>52.44</v>
      </c>
      <c r="M33">
        <f>ROUND(ROUND(L33*Source!I129, 6)*1, 2)</f>
        <v>52.44</v>
      </c>
      <c r="N33">
        <f>SmtRes!AA44</f>
        <v>52.44</v>
      </c>
      <c r="O33">
        <f>ROUND(ROUND(L33*Source!I129, 6)*SmtRes!DA44, 2)</f>
        <v>52.44</v>
      </c>
      <c r="P33">
        <f>SmtRes!AG44</f>
        <v>0</v>
      </c>
      <c r="Q33">
        <f>SmtRes!DC44</f>
        <v>0</v>
      </c>
      <c r="R33">
        <f>ROUND(ROUND(Q33*Source!I129, 6)*1, 2)</f>
        <v>0</v>
      </c>
      <c r="S33">
        <f>SmtRes!AC44</f>
        <v>0</v>
      </c>
      <c r="T33">
        <f>ROUND(ROUND(Q33*Source!I129, 6)*SmtRes!AK44, 2)</f>
        <v>0</v>
      </c>
      <c r="U33">
        <f>SmtRes!X44</f>
        <v>-427256765</v>
      </c>
      <c r="V33">
        <v>-1233775020</v>
      </c>
      <c r="W33">
        <v>-1233775020</v>
      </c>
      <c r="X33">
        <v>3</v>
      </c>
    </row>
    <row r="34" spans="1:24" x14ac:dyDescent="0.2">
      <c r="A34">
        <v>20</v>
      </c>
      <c r="B34">
        <v>43</v>
      </c>
      <c r="C34">
        <v>3</v>
      </c>
      <c r="D34">
        <v>0</v>
      </c>
      <c r="E34">
        <f>SmtRes!AV43</f>
        <v>0</v>
      </c>
      <c r="F34" t="str">
        <f>SmtRes!I43</f>
        <v>21.1-23-9</v>
      </c>
      <c r="G34" t="str">
        <f>SmtRes!K43</f>
        <v>Электроды, тип Э-42, 46, 50, диаметр 4 - 6 мм</v>
      </c>
      <c r="H34" t="str">
        <f>SmtRes!O43</f>
        <v>т</v>
      </c>
      <c r="I34">
        <f>SmtRes!Y43*Source!I129</f>
        <v>5.0000000000000002E-5</v>
      </c>
      <c r="J34">
        <f>SmtRes!AO43</f>
        <v>1</v>
      </c>
      <c r="K34">
        <f>SmtRes!AE43</f>
        <v>110728.72</v>
      </c>
      <c r="L34">
        <f>SmtRes!DB43</f>
        <v>5.54</v>
      </c>
      <c r="M34">
        <f>ROUND(ROUND(L34*Source!I129, 6)*1, 2)</f>
        <v>5.54</v>
      </c>
      <c r="N34">
        <f>SmtRes!AA43</f>
        <v>110728.72</v>
      </c>
      <c r="O34">
        <f>ROUND(ROUND(L34*Source!I129, 6)*SmtRes!DA43, 2)</f>
        <v>5.54</v>
      </c>
      <c r="P34">
        <f>SmtRes!AG43</f>
        <v>0</v>
      </c>
      <c r="Q34">
        <f>SmtRes!DC43</f>
        <v>0</v>
      </c>
      <c r="R34">
        <f>ROUND(ROUND(Q34*Source!I129, 6)*1, 2)</f>
        <v>0</v>
      </c>
      <c r="S34">
        <f>SmtRes!AC43</f>
        <v>0</v>
      </c>
      <c r="T34">
        <f>ROUND(ROUND(Q34*Source!I129, 6)*SmtRes!AK43, 2)</f>
        <v>0</v>
      </c>
      <c r="U34">
        <f>SmtRes!X43</f>
        <v>-475338610</v>
      </c>
      <c r="V34">
        <v>1276245677</v>
      </c>
      <c r="W34">
        <v>1276245677</v>
      </c>
      <c r="X34">
        <v>3</v>
      </c>
    </row>
    <row r="35" spans="1:24" x14ac:dyDescent="0.2">
      <c r="A35">
        <v>20</v>
      </c>
      <c r="B35">
        <v>42</v>
      </c>
      <c r="C35">
        <v>2</v>
      </c>
      <c r="D35">
        <v>0</v>
      </c>
      <c r="E35">
        <f>SmtRes!AV42</f>
        <v>0</v>
      </c>
      <c r="F35" t="str">
        <f>SmtRes!I42</f>
        <v>22.1-30-19</v>
      </c>
      <c r="G35" t="str">
        <f>SmtRes!K42</f>
        <v>Машины шлифовальные электрические</v>
      </c>
      <c r="H35" t="str">
        <f>SmtRes!O42</f>
        <v>маш.-ч</v>
      </c>
      <c r="I35">
        <f>SmtRes!Y42*Source!I129</f>
        <v>0.1</v>
      </c>
      <c r="J35">
        <f>SmtRes!AO42</f>
        <v>1</v>
      </c>
      <c r="K35">
        <f>SmtRes!AF42</f>
        <v>5.82</v>
      </c>
      <c r="L35">
        <f>SmtRes!DB42</f>
        <v>0.57999999999999996</v>
      </c>
      <c r="M35">
        <f>ROUND(ROUND(L35*Source!I129, 6)*1, 2)</f>
        <v>0.57999999999999996</v>
      </c>
      <c r="N35">
        <f>SmtRes!AB42</f>
        <v>5.82</v>
      </c>
      <c r="O35">
        <f>ROUND(ROUND(L35*Source!I129, 6)*SmtRes!DA42, 2)</f>
        <v>0.57999999999999996</v>
      </c>
      <c r="P35">
        <f>SmtRes!AG42</f>
        <v>0.02</v>
      </c>
      <c r="Q35">
        <f>SmtRes!DC42</f>
        <v>0</v>
      </c>
      <c r="R35">
        <f>ROUND(ROUND(Q35*Source!I129, 6)*1, 2)</f>
        <v>0</v>
      </c>
      <c r="S35">
        <f>SmtRes!AC42</f>
        <v>0.02</v>
      </c>
      <c r="T35">
        <f>ROUND(ROUND(Q35*Source!I129, 6)*SmtRes!AK42, 2)</f>
        <v>0</v>
      </c>
      <c r="U35">
        <f>SmtRes!X42</f>
        <v>-1995660009</v>
      </c>
      <c r="V35">
        <v>-1082568096</v>
      </c>
      <c r="W35">
        <v>-1082568096</v>
      </c>
      <c r="X35">
        <v>2</v>
      </c>
    </row>
    <row r="36" spans="1:24" x14ac:dyDescent="0.2">
      <c r="A36">
        <v>20</v>
      </c>
      <c r="B36">
        <v>41</v>
      </c>
      <c r="C36">
        <v>2</v>
      </c>
      <c r="D36">
        <v>0</v>
      </c>
      <c r="E36">
        <f>SmtRes!AV41</f>
        <v>0</v>
      </c>
      <c r="F36" t="str">
        <f>SmtRes!I41</f>
        <v>22.1-18-24</v>
      </c>
      <c r="G36" t="str">
        <f>SmtRes!K41</f>
        <v>Автомобили полупассажирские типа ГАЗ, грузоподъемность до 2 т</v>
      </c>
      <c r="H36" t="str">
        <f>SmtRes!O41</f>
        <v>маш.-ч</v>
      </c>
      <c r="I36">
        <f>SmtRes!Y41*Source!I129</f>
        <v>1</v>
      </c>
      <c r="J36">
        <f>SmtRes!AO41</f>
        <v>1</v>
      </c>
      <c r="K36">
        <f>SmtRes!AF41</f>
        <v>619.44000000000005</v>
      </c>
      <c r="L36">
        <f>SmtRes!DB41</f>
        <v>619.44000000000005</v>
      </c>
      <c r="M36">
        <f>ROUND(ROUND(L36*Source!I129, 6)*1, 2)</f>
        <v>619.44000000000005</v>
      </c>
      <c r="N36">
        <f>SmtRes!AB41</f>
        <v>619.44000000000005</v>
      </c>
      <c r="O36">
        <f>ROUND(ROUND(L36*Source!I129, 6)*SmtRes!DA41, 2)</f>
        <v>619.44000000000005</v>
      </c>
      <c r="P36">
        <f>SmtRes!AG41</f>
        <v>393.66</v>
      </c>
      <c r="Q36">
        <f>SmtRes!DC41</f>
        <v>393.66</v>
      </c>
      <c r="R36">
        <f>ROUND(ROUND(Q36*Source!I129, 6)*1, 2)</f>
        <v>393.66</v>
      </c>
      <c r="S36">
        <f>SmtRes!AC41</f>
        <v>393.66</v>
      </c>
      <c r="T36">
        <f>ROUND(ROUND(Q36*Source!I129, 6)*SmtRes!AK41, 2)</f>
        <v>393.66</v>
      </c>
      <c r="U36">
        <f>SmtRes!X41</f>
        <v>499800498</v>
      </c>
      <c r="V36">
        <v>65365534</v>
      </c>
      <c r="W36">
        <v>65365534</v>
      </c>
      <c r="X36">
        <v>2</v>
      </c>
    </row>
    <row r="37" spans="1:24" x14ac:dyDescent="0.2">
      <c r="A37">
        <v>20</v>
      </c>
      <c r="B37">
        <v>40</v>
      </c>
      <c r="C37">
        <v>2</v>
      </c>
      <c r="D37">
        <v>0</v>
      </c>
      <c r="E37">
        <f>SmtRes!AV40</f>
        <v>0</v>
      </c>
      <c r="F37" t="str">
        <f>SmtRes!I40</f>
        <v>22.1-13-10</v>
      </c>
      <c r="G37" t="str">
        <f>SmtRes!K40</f>
        <v>Агрегаты сварочные однопостовые для ручной электродуговой сварки</v>
      </c>
      <c r="H37" t="str">
        <f>SmtRes!O40</f>
        <v>маш.-ч</v>
      </c>
      <c r="I37">
        <f>SmtRes!Y40*Source!I129</f>
        <v>0.2</v>
      </c>
      <c r="J37">
        <f>SmtRes!AO40</f>
        <v>1</v>
      </c>
      <c r="K37">
        <f>SmtRes!AF40</f>
        <v>55</v>
      </c>
      <c r="L37">
        <f>SmtRes!DB40</f>
        <v>11</v>
      </c>
      <c r="M37">
        <f>ROUND(ROUND(L37*Source!I129, 6)*1, 2)</f>
        <v>11</v>
      </c>
      <c r="N37">
        <f>SmtRes!AB40</f>
        <v>55</v>
      </c>
      <c r="O37">
        <f>ROUND(ROUND(L37*Source!I129, 6)*SmtRes!DA40, 2)</f>
        <v>11</v>
      </c>
      <c r="P37">
        <f>SmtRes!AG40</f>
        <v>0.05</v>
      </c>
      <c r="Q37">
        <f>SmtRes!DC40</f>
        <v>0.01</v>
      </c>
      <c r="R37">
        <f>ROUND(ROUND(Q37*Source!I129, 6)*1, 2)</f>
        <v>0.01</v>
      </c>
      <c r="S37">
        <f>SmtRes!AC40</f>
        <v>0.05</v>
      </c>
      <c r="T37">
        <f>ROUND(ROUND(Q37*Source!I129, 6)*SmtRes!AK40, 2)</f>
        <v>0.01</v>
      </c>
      <c r="U37">
        <f>SmtRes!X40</f>
        <v>-2014553861</v>
      </c>
      <c r="V37">
        <v>1645461481</v>
      </c>
      <c r="W37">
        <v>1645461481</v>
      </c>
      <c r="X37">
        <v>2</v>
      </c>
    </row>
    <row r="38" spans="1:24" x14ac:dyDescent="0.2">
      <c r="A38">
        <f>Source!A130</f>
        <v>17</v>
      </c>
      <c r="B38">
        <v>130</v>
      </c>
      <c r="C38">
        <v>3</v>
      </c>
      <c r="D38">
        <f>Source!BI130</f>
        <v>4</v>
      </c>
      <c r="E38">
        <f>Source!FS130</f>
        <v>0</v>
      </c>
      <c r="F38" t="str">
        <f>Source!F130</f>
        <v>21.7-14-5</v>
      </c>
      <c r="G38" t="str">
        <f>Source!G130</f>
        <v>Калитка металлическая с лаковым покрытием, размеры 1000х1500 мм (прим. калитка металическая решётчатая)</v>
      </c>
      <c r="H38" t="str">
        <f>Source!H130</f>
        <v>шт.</v>
      </c>
      <c r="I38">
        <f>Source!I130</f>
        <v>1</v>
      </c>
      <c r="J38">
        <v>1</v>
      </c>
      <c r="K38">
        <f>Source!AC130</f>
        <v>10202.57</v>
      </c>
      <c r="M38">
        <f>ROUND(K38*I38, 2)</f>
        <v>10202.57</v>
      </c>
      <c r="N38">
        <f>Source!AC130*IF(Source!BC130&lt;&gt; 0, Source!BC130, 1)</f>
        <v>10202.57</v>
      </c>
      <c r="O38">
        <f>ROUND(N38*I38, 2)</f>
        <v>10202.57</v>
      </c>
      <c r="P38">
        <f>Source!AE130</f>
        <v>0</v>
      </c>
      <c r="R38">
        <f>ROUND(P38*I38, 2)</f>
        <v>0</v>
      </c>
      <c r="S38">
        <f>Source!AE130*IF(Source!BS130&lt;&gt; 0, Source!BS130, 1)</f>
        <v>0</v>
      </c>
      <c r="T38">
        <f>ROUND(S38*I38, 2)</f>
        <v>0</v>
      </c>
      <c r="U38">
        <f>Source!GF130</f>
        <v>-1953145621</v>
      </c>
      <c r="V38">
        <v>1992160820</v>
      </c>
      <c r="W38">
        <v>1992160820</v>
      </c>
      <c r="X38">
        <v>3</v>
      </c>
    </row>
    <row r="39" spans="1:24" x14ac:dyDescent="0.2">
      <c r="A39">
        <f>Source!A162</f>
        <v>5</v>
      </c>
      <c r="B39">
        <v>162</v>
      </c>
      <c r="G39" t="str">
        <f>Source!G162</f>
        <v>Устройство покрытия</v>
      </c>
    </row>
    <row r="40" spans="1:24" x14ac:dyDescent="0.2">
      <c r="A40">
        <v>20</v>
      </c>
      <c r="B40">
        <v>47</v>
      </c>
      <c r="C40">
        <v>2</v>
      </c>
      <c r="D40">
        <v>0</v>
      </c>
      <c r="E40">
        <f>SmtRes!AV47</f>
        <v>0</v>
      </c>
      <c r="F40" t="str">
        <f>SmtRes!I47</f>
        <v>22.1-1-43</v>
      </c>
      <c r="G40" t="str">
        <f>SmtRes!K47</f>
        <v>Бульдозеры гусеничные, мощность до 59 кВт (80 л.с.)</v>
      </c>
      <c r="H40" t="str">
        <f>SmtRes!O47</f>
        <v>маш.-ч</v>
      </c>
      <c r="I40">
        <f>SmtRes!Y47*Source!I166</f>
        <v>0.64776599999999995</v>
      </c>
      <c r="J40">
        <f>SmtRes!AO47</f>
        <v>1</v>
      </c>
      <c r="K40">
        <f>SmtRes!AF47</f>
        <v>923.83</v>
      </c>
      <c r="L40">
        <f>SmtRes!DB47</f>
        <v>1958.52</v>
      </c>
      <c r="M40">
        <f>ROUND(ROUND(L40*Source!I166, 6)*1, 2)</f>
        <v>598.42999999999995</v>
      </c>
      <c r="N40">
        <f>SmtRes!AB47</f>
        <v>923.83</v>
      </c>
      <c r="O40">
        <f>ROUND(ROUND(L40*Source!I166, 6)*SmtRes!DA47, 2)</f>
        <v>598.42999999999995</v>
      </c>
      <c r="P40">
        <f>SmtRes!AG47</f>
        <v>342.06</v>
      </c>
      <c r="Q40">
        <f>SmtRes!DC47</f>
        <v>725.17</v>
      </c>
      <c r="R40">
        <f>ROUND(ROUND(Q40*Source!I166, 6)*1, 2)</f>
        <v>221.58</v>
      </c>
      <c r="S40">
        <f>SmtRes!AC47</f>
        <v>342.06</v>
      </c>
      <c r="T40">
        <f>ROUND(ROUND(Q40*Source!I166, 6)*SmtRes!AK47, 2)</f>
        <v>221.58</v>
      </c>
      <c r="U40">
        <f>SmtRes!X47</f>
        <v>-1073508213</v>
      </c>
      <c r="V40">
        <v>-660268849</v>
      </c>
      <c r="W40">
        <v>-660268849</v>
      </c>
      <c r="X40">
        <v>2</v>
      </c>
    </row>
    <row r="41" spans="1:24" x14ac:dyDescent="0.2">
      <c r="A41">
        <v>20</v>
      </c>
      <c r="B41">
        <v>46</v>
      </c>
      <c r="C41">
        <v>2</v>
      </c>
      <c r="D41">
        <v>0</v>
      </c>
      <c r="E41">
        <f>SmtRes!AV46</f>
        <v>0</v>
      </c>
      <c r="F41" t="str">
        <f>SmtRes!I46</f>
        <v>22.1-1-19</v>
      </c>
      <c r="G41" t="str">
        <f>SmtRes!K46</f>
        <v>Экскаваторы на пневмоколесном ходу гидравлические, объем ковша до 0,25 м3</v>
      </c>
      <c r="H41" t="str">
        <f>SmtRes!O46</f>
        <v>маш.-ч</v>
      </c>
      <c r="I41">
        <f>SmtRes!Y46*Source!I166</f>
        <v>2.8324484999999999</v>
      </c>
      <c r="J41">
        <f>SmtRes!AO46</f>
        <v>1</v>
      </c>
      <c r="K41">
        <f>SmtRes!AF46</f>
        <v>675.33</v>
      </c>
      <c r="L41">
        <f>SmtRes!DB46</f>
        <v>6260.31</v>
      </c>
      <c r="M41">
        <f>ROUND(ROUND(L41*Source!I166, 6)*1, 2)</f>
        <v>1912.84</v>
      </c>
      <c r="N41">
        <f>SmtRes!AB46</f>
        <v>675.33</v>
      </c>
      <c r="O41">
        <f>ROUND(ROUND(L41*Source!I166, 6)*SmtRes!DA46, 2)</f>
        <v>1912.84</v>
      </c>
      <c r="P41">
        <f>SmtRes!AG46</f>
        <v>529.01</v>
      </c>
      <c r="Q41">
        <f>SmtRes!DC46</f>
        <v>4903.92</v>
      </c>
      <c r="R41">
        <f>ROUND(ROUND(Q41*Source!I166, 6)*1, 2)</f>
        <v>1498.39</v>
      </c>
      <c r="S41">
        <f>SmtRes!AC46</f>
        <v>529.01</v>
      </c>
      <c r="T41">
        <f>ROUND(ROUND(Q41*Source!I166, 6)*SmtRes!AK46, 2)</f>
        <v>1498.39</v>
      </c>
      <c r="U41">
        <f>SmtRes!X46</f>
        <v>-1331171294</v>
      </c>
      <c r="V41">
        <v>269381960</v>
      </c>
      <c r="W41">
        <v>269381960</v>
      </c>
      <c r="X41">
        <v>2</v>
      </c>
    </row>
    <row r="42" spans="1:24" x14ac:dyDescent="0.2">
      <c r="A42">
        <v>20</v>
      </c>
      <c r="B42">
        <v>49</v>
      </c>
      <c r="C42">
        <v>2</v>
      </c>
      <c r="D42">
        <v>0</v>
      </c>
      <c r="E42">
        <f>SmtRes!AV49</f>
        <v>0</v>
      </c>
      <c r="F42" t="str">
        <f>SmtRes!I49</f>
        <v>22.1-1-5</v>
      </c>
      <c r="G42" t="str">
        <f>SmtRes!K49</f>
        <v>Экскаваторы на гусеничном ходу гидравлические, объем ковша до 0,65 м3</v>
      </c>
      <c r="H42" t="str">
        <f>SmtRes!O49</f>
        <v>маш.-ч</v>
      </c>
      <c r="I42">
        <f>SmtRes!Y49*Source!I168</f>
        <v>8.2040174999999993E-2</v>
      </c>
      <c r="J42">
        <f>SmtRes!AO49</f>
        <v>1</v>
      </c>
      <c r="K42">
        <f>SmtRes!AF49</f>
        <v>1451.71</v>
      </c>
      <c r="L42">
        <f>SmtRes!DB49</f>
        <v>77.959999999999994</v>
      </c>
      <c r="M42">
        <f>ROUND(ROUND(L42*Source!I168, 6)*1, 2)</f>
        <v>119.1</v>
      </c>
      <c r="N42">
        <f>SmtRes!AB49</f>
        <v>1451.71</v>
      </c>
      <c r="O42">
        <f>ROUND(ROUND(L42*Source!I168, 6)*SmtRes!DA49, 2)</f>
        <v>119.1</v>
      </c>
      <c r="P42">
        <f>SmtRes!AG49</f>
        <v>457.95</v>
      </c>
      <c r="Q42">
        <f>SmtRes!DC49</f>
        <v>24.59</v>
      </c>
      <c r="R42">
        <f>ROUND(ROUND(Q42*Source!I168, 6)*1, 2)</f>
        <v>37.57</v>
      </c>
      <c r="S42">
        <f>SmtRes!AC49</f>
        <v>457.95</v>
      </c>
      <c r="T42">
        <f>ROUND(ROUND(Q42*Source!I168, 6)*SmtRes!AK49, 2)</f>
        <v>37.57</v>
      </c>
      <c r="U42">
        <f>SmtRes!X49</f>
        <v>-202408269</v>
      </c>
      <c r="V42">
        <v>-1723912365</v>
      </c>
      <c r="W42">
        <v>-1723912365</v>
      </c>
      <c r="X42">
        <v>2</v>
      </c>
    </row>
    <row r="43" spans="1:24" x14ac:dyDescent="0.2">
      <c r="A43">
        <v>20</v>
      </c>
      <c r="B43">
        <v>52</v>
      </c>
      <c r="C43">
        <v>2</v>
      </c>
      <c r="D43">
        <v>0</v>
      </c>
      <c r="E43">
        <f>SmtRes!AV52</f>
        <v>0</v>
      </c>
      <c r="F43" t="str">
        <f>SmtRes!I52</f>
        <v>22.1-18-13</v>
      </c>
      <c r="G43" t="str">
        <f>SmtRes!K52</f>
        <v>Автомобили-самосвалы, грузоподъемность до 10 т</v>
      </c>
      <c r="H43" t="str">
        <f>SmtRes!O52</f>
        <v>маш.-ч</v>
      </c>
      <c r="I43">
        <f>SmtRes!Y52*Source!I170</f>
        <v>2.7499499999999996E-2</v>
      </c>
      <c r="J43">
        <f>SmtRes!AO52</f>
        <v>1</v>
      </c>
      <c r="K43">
        <f>SmtRes!AF52</f>
        <v>993.6</v>
      </c>
      <c r="L43">
        <f>SmtRes!DB52</f>
        <v>17.88</v>
      </c>
      <c r="M43">
        <f>ROUND(ROUND(L43*Source!I170, 6)*1, 2)</f>
        <v>27.32</v>
      </c>
      <c r="N43">
        <f>SmtRes!AB52</f>
        <v>993.6</v>
      </c>
      <c r="O43">
        <f>ROUND(ROUND(L43*Source!I170, 6)*SmtRes!DA52, 2)</f>
        <v>27.32</v>
      </c>
      <c r="P43">
        <f>SmtRes!AG52</f>
        <v>301.8</v>
      </c>
      <c r="Q43">
        <f>SmtRes!DC52</f>
        <v>5.43</v>
      </c>
      <c r="R43">
        <f>ROUND(ROUND(Q43*Source!I170, 6)*1, 2)</f>
        <v>8.3000000000000007</v>
      </c>
      <c r="S43">
        <f>SmtRes!AC52</f>
        <v>301.8</v>
      </c>
      <c r="T43">
        <f>ROUND(ROUND(Q43*Source!I170, 6)*SmtRes!AK52, 2)</f>
        <v>8.3000000000000007</v>
      </c>
      <c r="U43">
        <f>SmtRes!X52</f>
        <v>-1546163025</v>
      </c>
      <c r="V43">
        <v>-1384078646</v>
      </c>
      <c r="W43">
        <v>-1384078646</v>
      </c>
      <c r="X43">
        <v>2</v>
      </c>
    </row>
    <row r="44" spans="1:24" x14ac:dyDescent="0.2">
      <c r="A44">
        <v>20</v>
      </c>
      <c r="B44">
        <v>51</v>
      </c>
      <c r="C44">
        <v>2</v>
      </c>
      <c r="D44">
        <v>0</v>
      </c>
      <c r="E44">
        <f>SmtRes!AV51</f>
        <v>0</v>
      </c>
      <c r="F44" t="str">
        <f>SmtRes!I51</f>
        <v>22.1-18-12</v>
      </c>
      <c r="G44" t="str">
        <f>SmtRes!K51</f>
        <v>Автомобили-самосвалы, грузоподъемность до 7 т</v>
      </c>
      <c r="H44" t="str">
        <f>SmtRes!O51</f>
        <v>маш.-ч</v>
      </c>
      <c r="I44">
        <f>SmtRes!Y51*Source!I170</f>
        <v>3.0554999999999999E-2</v>
      </c>
      <c r="J44">
        <f>SmtRes!AO51</f>
        <v>1</v>
      </c>
      <c r="K44">
        <f>SmtRes!AF51</f>
        <v>952.49</v>
      </c>
      <c r="L44">
        <f>SmtRes!DB51</f>
        <v>19.05</v>
      </c>
      <c r="M44">
        <f>ROUND(ROUND(L44*Source!I170, 6)*1, 2)</f>
        <v>29.1</v>
      </c>
      <c r="N44">
        <f>SmtRes!AB51</f>
        <v>952.49</v>
      </c>
      <c r="O44">
        <f>ROUND(ROUND(L44*Source!I170, 6)*SmtRes!DA51, 2)</f>
        <v>29.1</v>
      </c>
      <c r="P44">
        <f>SmtRes!AG51</f>
        <v>301.5</v>
      </c>
      <c r="Q44">
        <f>SmtRes!DC51</f>
        <v>6.03</v>
      </c>
      <c r="R44">
        <f>ROUND(ROUND(Q44*Source!I170, 6)*1, 2)</f>
        <v>9.2100000000000009</v>
      </c>
      <c r="S44">
        <f>SmtRes!AC51</f>
        <v>301.5</v>
      </c>
      <c r="T44">
        <f>ROUND(ROUND(Q44*Source!I170, 6)*SmtRes!AK51, 2)</f>
        <v>9.2100000000000009</v>
      </c>
      <c r="U44">
        <f>SmtRes!X51</f>
        <v>468658695</v>
      </c>
      <c r="V44">
        <v>1032900138</v>
      </c>
      <c r="W44">
        <v>1032900138</v>
      </c>
      <c r="X44">
        <v>2</v>
      </c>
    </row>
    <row r="45" spans="1:24" x14ac:dyDescent="0.2">
      <c r="A45">
        <v>20</v>
      </c>
      <c r="B45">
        <v>54</v>
      </c>
      <c r="C45">
        <v>2</v>
      </c>
      <c r="D45">
        <v>0</v>
      </c>
      <c r="E45">
        <f>SmtRes!AV54</f>
        <v>0</v>
      </c>
      <c r="F45" t="str">
        <f>SmtRes!I54</f>
        <v>22.1-18-13</v>
      </c>
      <c r="G45" t="str">
        <f>SmtRes!K54</f>
        <v>Автомобили-самосвалы, грузоподъемность до 10 т</v>
      </c>
      <c r="H45" t="str">
        <f>SmtRes!O54</f>
        <v>маш.-ч</v>
      </c>
      <c r="I45">
        <f>SmtRes!Y54*Source!I171</f>
        <v>2.8008749999999999E-2</v>
      </c>
      <c r="J45">
        <f>SmtRes!AO54</f>
        <v>1</v>
      </c>
      <c r="K45">
        <f>SmtRes!AF54</f>
        <v>993.6</v>
      </c>
      <c r="L45">
        <f>SmtRes!DB54</f>
        <v>54.65</v>
      </c>
      <c r="M45">
        <f>ROUND(ROUND(L45*Source!I171, 6)*1, 2)</f>
        <v>27.83</v>
      </c>
      <c r="N45">
        <f>SmtRes!AB54</f>
        <v>993.6</v>
      </c>
      <c r="O45">
        <f>ROUND(ROUND(L45*Source!I171, 6)*SmtRes!DA54, 2)</f>
        <v>27.83</v>
      </c>
      <c r="P45">
        <f>SmtRes!AG54</f>
        <v>301.8</v>
      </c>
      <c r="Q45">
        <f>SmtRes!DC54</f>
        <v>16.600000000000001</v>
      </c>
      <c r="R45">
        <f>ROUND(ROUND(Q45*Source!I171, 6)*1, 2)</f>
        <v>8.4499999999999993</v>
      </c>
      <c r="S45">
        <f>SmtRes!AC54</f>
        <v>301.8</v>
      </c>
      <c r="T45">
        <f>ROUND(ROUND(Q45*Source!I171, 6)*SmtRes!AK54, 2)</f>
        <v>8.4499999999999993</v>
      </c>
      <c r="U45">
        <f>SmtRes!X54</f>
        <v>-1546163025</v>
      </c>
      <c r="V45">
        <v>-1384078646</v>
      </c>
      <c r="W45">
        <v>-1384078646</v>
      </c>
      <c r="X45">
        <v>2</v>
      </c>
    </row>
    <row r="46" spans="1:24" x14ac:dyDescent="0.2">
      <c r="A46">
        <v>20</v>
      </c>
      <c r="B46">
        <v>53</v>
      </c>
      <c r="C46">
        <v>2</v>
      </c>
      <c r="D46">
        <v>0</v>
      </c>
      <c r="E46">
        <f>SmtRes!AV53</f>
        <v>0</v>
      </c>
      <c r="F46" t="str">
        <f>SmtRes!I53</f>
        <v>22.1-18-12</v>
      </c>
      <c r="G46" t="str">
        <f>SmtRes!K53</f>
        <v>Автомобили-самосвалы, грузоподъемность до 7 т</v>
      </c>
      <c r="H46" t="str">
        <f>SmtRes!O53</f>
        <v>маш.-ч</v>
      </c>
      <c r="I46">
        <f>SmtRes!Y53*Source!I171</f>
        <v>2.74995E-2</v>
      </c>
      <c r="J46">
        <f>SmtRes!AO53</f>
        <v>1</v>
      </c>
      <c r="K46">
        <f>SmtRes!AF53</f>
        <v>952.49</v>
      </c>
      <c r="L46">
        <f>SmtRes!DB53</f>
        <v>51.43</v>
      </c>
      <c r="M46">
        <f>ROUND(ROUND(L46*Source!I171, 6)*1, 2)</f>
        <v>26.19</v>
      </c>
      <c r="N46">
        <f>SmtRes!AB53</f>
        <v>952.49</v>
      </c>
      <c r="O46">
        <f>ROUND(ROUND(L46*Source!I171, 6)*SmtRes!DA53, 2)</f>
        <v>26.19</v>
      </c>
      <c r="P46">
        <f>SmtRes!AG53</f>
        <v>301.5</v>
      </c>
      <c r="Q46">
        <f>SmtRes!DC53</f>
        <v>16.28</v>
      </c>
      <c r="R46">
        <f>ROUND(ROUND(Q46*Source!I171, 6)*1, 2)</f>
        <v>8.2899999999999991</v>
      </c>
      <c r="S46">
        <f>SmtRes!AC53</f>
        <v>301.5</v>
      </c>
      <c r="T46">
        <f>ROUND(ROUND(Q46*Source!I171, 6)*SmtRes!AK53, 2)</f>
        <v>8.2899999999999991</v>
      </c>
      <c r="U46">
        <f>SmtRes!X53</f>
        <v>468658695</v>
      </c>
      <c r="V46">
        <v>1032900138</v>
      </c>
      <c r="W46">
        <v>1032900138</v>
      </c>
      <c r="X46">
        <v>2</v>
      </c>
    </row>
    <row r="47" spans="1:24" x14ac:dyDescent="0.2">
      <c r="A47">
        <v>20</v>
      </c>
      <c r="B47">
        <v>56</v>
      </c>
      <c r="C47">
        <v>2</v>
      </c>
      <c r="D47">
        <v>0</v>
      </c>
      <c r="E47">
        <f>SmtRes!AV56</f>
        <v>0</v>
      </c>
      <c r="F47" t="str">
        <f>SmtRes!I56</f>
        <v>22.1-18-13</v>
      </c>
      <c r="G47" t="str">
        <f>SmtRes!K56</f>
        <v>Автомобили-самосвалы, грузоподъемность до 10 т</v>
      </c>
      <c r="H47" t="str">
        <f>SmtRes!O56</f>
        <v>маш.-ч</v>
      </c>
      <c r="I47">
        <f>SmtRes!Y56*Source!I172</f>
        <v>0.26073599999999997</v>
      </c>
      <c r="J47">
        <f>SmtRes!AO56</f>
        <v>1</v>
      </c>
      <c r="K47">
        <f>SmtRes!AF56</f>
        <v>993.6</v>
      </c>
      <c r="L47">
        <f>SmtRes!DB56</f>
        <v>127.2</v>
      </c>
      <c r="M47">
        <f>ROUND(ROUND(L47*Source!I172, 6)*1, 2)</f>
        <v>259.11</v>
      </c>
      <c r="N47">
        <f>SmtRes!AB56</f>
        <v>993.6</v>
      </c>
      <c r="O47">
        <f>ROUND(ROUND(L47*Source!I172, 6)*SmtRes!DA56, 2)</f>
        <v>259.11</v>
      </c>
      <c r="P47">
        <f>SmtRes!AG56</f>
        <v>301.8</v>
      </c>
      <c r="Q47">
        <f>SmtRes!DC56</f>
        <v>38.56</v>
      </c>
      <c r="R47">
        <f>ROUND(ROUND(Q47*Source!I172, 6)*1, 2)</f>
        <v>78.55</v>
      </c>
      <c r="S47">
        <f>SmtRes!AC56</f>
        <v>301.8</v>
      </c>
      <c r="T47">
        <f>ROUND(ROUND(Q47*Source!I172, 6)*SmtRes!AK56, 2)</f>
        <v>78.55</v>
      </c>
      <c r="U47">
        <f>SmtRes!X56</f>
        <v>-1546163025</v>
      </c>
      <c r="V47">
        <v>-1384078646</v>
      </c>
      <c r="W47">
        <v>-1384078646</v>
      </c>
      <c r="X47">
        <v>2</v>
      </c>
    </row>
    <row r="48" spans="1:24" x14ac:dyDescent="0.2">
      <c r="A48">
        <v>20</v>
      </c>
      <c r="B48">
        <v>55</v>
      </c>
      <c r="C48">
        <v>2</v>
      </c>
      <c r="D48">
        <v>0</v>
      </c>
      <c r="E48">
        <f>SmtRes!AV55</f>
        <v>0</v>
      </c>
      <c r="F48" t="str">
        <f>SmtRes!I55</f>
        <v>22.1-18-12</v>
      </c>
      <c r="G48" t="str">
        <f>SmtRes!K55</f>
        <v>Автомобили-самосвалы, грузоподъемность до 7 т</v>
      </c>
      <c r="H48" t="str">
        <f>SmtRes!O55</f>
        <v>маш.-ч</v>
      </c>
      <c r="I48">
        <f>SmtRes!Y55*Source!I172</f>
        <v>0.32591999999999999</v>
      </c>
      <c r="J48">
        <f>SmtRes!AO55</f>
        <v>1</v>
      </c>
      <c r="K48">
        <f>SmtRes!AF55</f>
        <v>952.49</v>
      </c>
      <c r="L48">
        <f>SmtRes!DB55</f>
        <v>152.32</v>
      </c>
      <c r="M48">
        <f>ROUND(ROUND(L48*Source!I172, 6)*1, 2)</f>
        <v>310.27999999999997</v>
      </c>
      <c r="N48">
        <f>SmtRes!AB55</f>
        <v>952.49</v>
      </c>
      <c r="O48">
        <f>ROUND(ROUND(L48*Source!I172, 6)*SmtRes!DA55, 2)</f>
        <v>310.27999999999997</v>
      </c>
      <c r="P48">
        <f>SmtRes!AG55</f>
        <v>301.5</v>
      </c>
      <c r="Q48">
        <f>SmtRes!DC55</f>
        <v>48.32</v>
      </c>
      <c r="R48">
        <f>ROUND(ROUND(Q48*Source!I172, 6)*1, 2)</f>
        <v>98.43</v>
      </c>
      <c r="S48">
        <f>SmtRes!AC55</f>
        <v>301.5</v>
      </c>
      <c r="T48">
        <f>ROUND(ROUND(Q48*Source!I172, 6)*SmtRes!AK55, 2)</f>
        <v>98.43</v>
      </c>
      <c r="U48">
        <f>SmtRes!X55</f>
        <v>468658695</v>
      </c>
      <c r="V48">
        <v>1032900138</v>
      </c>
      <c r="W48">
        <v>1032900138</v>
      </c>
      <c r="X48">
        <v>2</v>
      </c>
    </row>
    <row r="49" spans="1:24" x14ac:dyDescent="0.2">
      <c r="A49">
        <f>Source!A173</f>
        <v>17</v>
      </c>
      <c r="B49">
        <v>173</v>
      </c>
      <c r="C49">
        <v>3</v>
      </c>
      <c r="D49">
        <f>Source!BI173</f>
        <v>4</v>
      </c>
      <c r="E49">
        <f>Source!FS173</f>
        <v>0</v>
      </c>
      <c r="F49" t="str">
        <f>Source!F173</f>
        <v>21.25-0-1</v>
      </c>
      <c r="G49" t="str">
        <f>Source!G173</f>
        <v>Содержание свалки отходов строительства и сноса</v>
      </c>
      <c r="H49" t="str">
        <f>Source!H173</f>
        <v>т</v>
      </c>
      <c r="I49">
        <f>Source!I173</f>
        <v>2.0369999999999999</v>
      </c>
      <c r="J49">
        <v>1</v>
      </c>
      <c r="K49">
        <f>Source!AC173</f>
        <v>197.96</v>
      </c>
      <c r="M49">
        <f>ROUND(K49*I49, 2)</f>
        <v>403.24</v>
      </c>
      <c r="N49">
        <f>Source!AC173*IF(Source!BC173&lt;&gt; 0, Source!BC173, 1)</f>
        <v>197.96</v>
      </c>
      <c r="O49">
        <f>ROUND(N49*I49, 2)</f>
        <v>403.24</v>
      </c>
      <c r="P49">
        <f>Source!AE173</f>
        <v>0</v>
      </c>
      <c r="R49">
        <f>ROUND(P49*I49, 2)</f>
        <v>0</v>
      </c>
      <c r="S49">
        <f>Source!AE173*IF(Source!BS173&lt;&gt; 0, Source!BS173, 1)</f>
        <v>0</v>
      </c>
      <c r="T49">
        <f>ROUND(S49*I49, 2)</f>
        <v>0</v>
      </c>
      <c r="U49">
        <f>Source!GF173</f>
        <v>-1219268023</v>
      </c>
      <c r="V49">
        <v>-96028578</v>
      </c>
      <c r="W49">
        <v>-96028578</v>
      </c>
      <c r="X49">
        <v>3</v>
      </c>
    </row>
    <row r="50" spans="1:24" x14ac:dyDescent="0.2">
      <c r="A50">
        <v>20</v>
      </c>
      <c r="B50">
        <v>64</v>
      </c>
      <c r="C50">
        <v>3</v>
      </c>
      <c r="D50">
        <v>0</v>
      </c>
      <c r="E50">
        <f>SmtRes!AV64</f>
        <v>0</v>
      </c>
      <c r="F50" t="str">
        <f>SmtRes!I64</f>
        <v>21.1-25-13</v>
      </c>
      <c r="G50" t="str">
        <f>SmtRes!K64</f>
        <v>Вода</v>
      </c>
      <c r="H50" t="str">
        <f>SmtRes!O64</f>
        <v>м3</v>
      </c>
      <c r="I50">
        <f>SmtRes!Y64*Source!I177</f>
        <v>1.6975000000000002</v>
      </c>
      <c r="J50">
        <f>SmtRes!AO64</f>
        <v>1</v>
      </c>
      <c r="K50">
        <f>SmtRes!AE64</f>
        <v>33.729999999999997</v>
      </c>
      <c r="L50">
        <f>SmtRes!DB64</f>
        <v>168.65</v>
      </c>
      <c r="M50">
        <f>ROUND(ROUND(L50*Source!I177, 6)*1, 2)</f>
        <v>57.26</v>
      </c>
      <c r="N50">
        <f>SmtRes!AA64</f>
        <v>33.729999999999997</v>
      </c>
      <c r="O50">
        <f>ROUND(ROUND(L50*Source!I177, 6)*SmtRes!DA64, 2)</f>
        <v>57.26</v>
      </c>
      <c r="P50">
        <f>SmtRes!AG64</f>
        <v>0</v>
      </c>
      <c r="Q50">
        <f>SmtRes!DC64</f>
        <v>0</v>
      </c>
      <c r="R50">
        <f>ROUND(ROUND(Q50*Source!I177, 6)*1, 2)</f>
        <v>0</v>
      </c>
      <c r="S50">
        <f>SmtRes!AC64</f>
        <v>0</v>
      </c>
      <c r="T50">
        <f>ROUND(ROUND(Q50*Source!I177, 6)*SmtRes!AK64, 2)</f>
        <v>0</v>
      </c>
      <c r="U50">
        <f>SmtRes!X64</f>
        <v>-1250124927</v>
      </c>
      <c r="V50">
        <v>-474033762</v>
      </c>
      <c r="W50">
        <v>-474033762</v>
      </c>
      <c r="X50">
        <v>3</v>
      </c>
    </row>
    <row r="51" spans="1:24" x14ac:dyDescent="0.2">
      <c r="A51">
        <v>20</v>
      </c>
      <c r="B51">
        <v>63</v>
      </c>
      <c r="C51">
        <v>3</v>
      </c>
      <c r="D51">
        <v>0</v>
      </c>
      <c r="E51">
        <f>SmtRes!AV63</f>
        <v>0</v>
      </c>
      <c r="F51" t="str">
        <f>SmtRes!I63</f>
        <v>21.1-12-10</v>
      </c>
      <c r="G51" t="str">
        <f>SmtRes!K63</f>
        <v>Песок для дорожных работ, рядовой</v>
      </c>
      <c r="H51" t="str">
        <f>SmtRes!O63</f>
        <v>м3</v>
      </c>
      <c r="I51">
        <f>SmtRes!Y63*Source!I177</f>
        <v>37.345000000000006</v>
      </c>
      <c r="J51">
        <f>SmtRes!AO63</f>
        <v>1</v>
      </c>
      <c r="K51">
        <f>SmtRes!AE63</f>
        <v>590.78</v>
      </c>
      <c r="L51">
        <f>SmtRes!DB63</f>
        <v>64985.8</v>
      </c>
      <c r="M51">
        <f>ROUND(ROUND(L51*Source!I177, 6)*1, 2)</f>
        <v>22062.68</v>
      </c>
      <c r="N51">
        <f>SmtRes!AA63</f>
        <v>590.78</v>
      </c>
      <c r="O51">
        <f>ROUND(ROUND(L51*Source!I177, 6)*SmtRes!DA63, 2)</f>
        <v>22062.68</v>
      </c>
      <c r="P51">
        <f>SmtRes!AG63</f>
        <v>0</v>
      </c>
      <c r="Q51">
        <f>SmtRes!DC63</f>
        <v>0</v>
      </c>
      <c r="R51">
        <f>ROUND(ROUND(Q51*Source!I177, 6)*1, 2)</f>
        <v>0</v>
      </c>
      <c r="S51">
        <f>SmtRes!AC63</f>
        <v>0</v>
      </c>
      <c r="T51">
        <f>ROUND(ROUND(Q51*Source!I177, 6)*SmtRes!AK63, 2)</f>
        <v>0</v>
      </c>
      <c r="U51">
        <f>SmtRes!X63</f>
        <v>189307774</v>
      </c>
      <c r="V51">
        <v>1387681249</v>
      </c>
      <c r="W51">
        <v>1387681249</v>
      </c>
      <c r="X51">
        <v>3</v>
      </c>
    </row>
    <row r="52" spans="1:24" x14ac:dyDescent="0.2">
      <c r="A52">
        <v>20</v>
      </c>
      <c r="B52">
        <v>62</v>
      </c>
      <c r="C52">
        <v>2</v>
      </c>
      <c r="D52">
        <v>0</v>
      </c>
      <c r="E52">
        <f>SmtRes!AV62</f>
        <v>0</v>
      </c>
      <c r="F52" t="str">
        <f>SmtRes!I62</f>
        <v>22.1-5-7</v>
      </c>
      <c r="G52" t="str">
        <f>SmtRes!K62</f>
        <v>Катки дорожные самоходные на пневмоколесном ходу, масса до 16 т</v>
      </c>
      <c r="H52" t="str">
        <f>SmtRes!O62</f>
        <v>маш.-ч</v>
      </c>
      <c r="I52">
        <f>SmtRes!Y62*Source!I177</f>
        <v>0.22067500000000001</v>
      </c>
      <c r="J52">
        <f>SmtRes!AO62</f>
        <v>1</v>
      </c>
      <c r="K52">
        <f>SmtRes!AF62</f>
        <v>1179.56</v>
      </c>
      <c r="L52">
        <f>SmtRes!DB62</f>
        <v>766.71</v>
      </c>
      <c r="M52">
        <f>ROUND(ROUND(L52*Source!I177, 6)*1, 2)</f>
        <v>260.3</v>
      </c>
      <c r="N52">
        <f>SmtRes!AB62</f>
        <v>1179.56</v>
      </c>
      <c r="O52">
        <f>ROUND(ROUND(L52*Source!I177, 6)*SmtRes!DA62, 2)</f>
        <v>260.3</v>
      </c>
      <c r="P52">
        <f>SmtRes!AG62</f>
        <v>439.28</v>
      </c>
      <c r="Q52">
        <f>SmtRes!DC62</f>
        <v>285.52999999999997</v>
      </c>
      <c r="R52">
        <f>ROUND(ROUND(Q52*Source!I177, 6)*1, 2)</f>
        <v>96.94</v>
      </c>
      <c r="S52">
        <f>SmtRes!AC62</f>
        <v>439.28</v>
      </c>
      <c r="T52">
        <f>ROUND(ROUND(Q52*Source!I177, 6)*SmtRes!AK62, 2)</f>
        <v>96.94</v>
      </c>
      <c r="U52">
        <f>SmtRes!X62</f>
        <v>393556487</v>
      </c>
      <c r="V52">
        <v>-801114187</v>
      </c>
      <c r="W52">
        <v>-801114187</v>
      </c>
      <c r="X52">
        <v>2</v>
      </c>
    </row>
    <row r="53" spans="1:24" x14ac:dyDescent="0.2">
      <c r="A53">
        <v>20</v>
      </c>
      <c r="B53">
        <v>61</v>
      </c>
      <c r="C53">
        <v>2</v>
      </c>
      <c r="D53">
        <v>0</v>
      </c>
      <c r="E53">
        <f>SmtRes!AV61</f>
        <v>0</v>
      </c>
      <c r="F53" t="str">
        <f>SmtRes!I61</f>
        <v>22.1-5-48</v>
      </c>
      <c r="G53" t="str">
        <f>SmtRes!K61</f>
        <v>Автогрейдеры, мощность 99-147 кВт (130-200 л.с.)</v>
      </c>
      <c r="H53" t="str">
        <f>SmtRes!O61</f>
        <v>маш.-ч</v>
      </c>
      <c r="I53">
        <f>SmtRes!Y61*Source!I177</f>
        <v>0.65863000000000005</v>
      </c>
      <c r="J53">
        <f>SmtRes!AO61</f>
        <v>1</v>
      </c>
      <c r="K53">
        <f>SmtRes!AF61</f>
        <v>1364.77</v>
      </c>
      <c r="L53">
        <f>SmtRes!DB61</f>
        <v>2647.65</v>
      </c>
      <c r="M53">
        <f>ROUND(ROUND(L53*Source!I177, 6)*1, 2)</f>
        <v>898.88</v>
      </c>
      <c r="N53">
        <f>SmtRes!AB61</f>
        <v>1364.77</v>
      </c>
      <c r="O53">
        <f>ROUND(ROUND(L53*Source!I177, 6)*SmtRes!DA61, 2)</f>
        <v>898.88</v>
      </c>
      <c r="P53">
        <f>SmtRes!AG61</f>
        <v>610.30999999999995</v>
      </c>
      <c r="Q53">
        <f>SmtRes!DC61</f>
        <v>1184</v>
      </c>
      <c r="R53">
        <f>ROUND(ROUND(Q53*Source!I177, 6)*1, 2)</f>
        <v>401.97</v>
      </c>
      <c r="S53">
        <f>SmtRes!AC61</f>
        <v>610.30999999999995</v>
      </c>
      <c r="T53">
        <f>ROUND(ROUND(Q53*Source!I177, 6)*SmtRes!AK61, 2)</f>
        <v>401.97</v>
      </c>
      <c r="U53">
        <f>SmtRes!X61</f>
        <v>-1453001133</v>
      </c>
      <c r="V53">
        <v>2009633333</v>
      </c>
      <c r="W53">
        <v>2009633333</v>
      </c>
      <c r="X53">
        <v>2</v>
      </c>
    </row>
    <row r="54" spans="1:24" x14ac:dyDescent="0.2">
      <c r="A54">
        <v>20</v>
      </c>
      <c r="B54">
        <v>60</v>
      </c>
      <c r="C54">
        <v>2</v>
      </c>
      <c r="D54">
        <v>0</v>
      </c>
      <c r="E54">
        <f>SmtRes!AV60</f>
        <v>0</v>
      </c>
      <c r="F54" t="str">
        <f>SmtRes!I60</f>
        <v>22.1-5-18</v>
      </c>
      <c r="G54" t="str">
        <f>SmtRes!K60</f>
        <v>Поливомоечные машины, емкость цистерны более 5000 л</v>
      </c>
      <c r="H54" t="str">
        <f>SmtRes!O60</f>
        <v>маш.-ч</v>
      </c>
      <c r="I54">
        <f>SmtRes!Y60*Source!I177</f>
        <v>0.27499500000000004</v>
      </c>
      <c r="J54">
        <f>SmtRes!AO60</f>
        <v>1</v>
      </c>
      <c r="K54">
        <f>SmtRes!AF60</f>
        <v>1942.21</v>
      </c>
      <c r="L54">
        <f>SmtRes!DB60</f>
        <v>1573.19</v>
      </c>
      <c r="M54">
        <f>ROUND(ROUND(L54*Source!I177, 6)*1, 2)</f>
        <v>534.1</v>
      </c>
      <c r="N54">
        <f>SmtRes!AB60</f>
        <v>1942.21</v>
      </c>
      <c r="O54">
        <f>ROUND(ROUND(L54*Source!I177, 6)*SmtRes!DA60, 2)</f>
        <v>534.1</v>
      </c>
      <c r="P54">
        <f>SmtRes!AG60</f>
        <v>436.39</v>
      </c>
      <c r="Q54">
        <f>SmtRes!DC60</f>
        <v>353.48</v>
      </c>
      <c r="R54">
        <f>ROUND(ROUND(Q54*Source!I177, 6)*1, 2)</f>
        <v>120.01</v>
      </c>
      <c r="S54">
        <f>SmtRes!AC60</f>
        <v>436.39</v>
      </c>
      <c r="T54">
        <f>ROUND(ROUND(Q54*Source!I177, 6)*SmtRes!AK60, 2)</f>
        <v>120.01</v>
      </c>
      <c r="U54">
        <f>SmtRes!X60</f>
        <v>-1802121576</v>
      </c>
      <c r="V54">
        <v>-514054631</v>
      </c>
      <c r="W54">
        <v>-514054631</v>
      </c>
      <c r="X54">
        <v>2</v>
      </c>
    </row>
    <row r="55" spans="1:24" x14ac:dyDescent="0.2">
      <c r="A55">
        <v>20</v>
      </c>
      <c r="B55">
        <v>59</v>
      </c>
      <c r="C55">
        <v>2</v>
      </c>
      <c r="D55">
        <v>0</v>
      </c>
      <c r="E55">
        <f>SmtRes!AV59</f>
        <v>0</v>
      </c>
      <c r="F55" t="str">
        <f>SmtRes!I59</f>
        <v>22.1-5-15</v>
      </c>
      <c r="G55" t="str">
        <f>SmtRes!K59</f>
        <v>Катки прицепные пневмоколесные, масса до 50 т</v>
      </c>
      <c r="H55" t="str">
        <f>SmtRes!O59</f>
        <v>маш.-ч</v>
      </c>
      <c r="I55">
        <f>SmtRes!Y59*Source!I177</f>
        <v>0.70616000000000012</v>
      </c>
      <c r="J55">
        <f>SmtRes!AO59</f>
        <v>1</v>
      </c>
      <c r="K55">
        <f>SmtRes!AF59</f>
        <v>416.25</v>
      </c>
      <c r="L55">
        <f>SmtRes!DB59</f>
        <v>865.8</v>
      </c>
      <c r="M55">
        <f>ROUND(ROUND(L55*Source!I177, 6)*1, 2)</f>
        <v>293.94</v>
      </c>
      <c r="N55">
        <f>SmtRes!AB59</f>
        <v>416.25</v>
      </c>
      <c r="O55">
        <f>ROUND(ROUND(L55*Source!I177, 6)*SmtRes!DA59, 2)</f>
        <v>293.94</v>
      </c>
      <c r="P55">
        <f>SmtRes!AG59</f>
        <v>204.9</v>
      </c>
      <c r="Q55">
        <f>SmtRes!DC59</f>
        <v>426.19</v>
      </c>
      <c r="R55">
        <f>ROUND(ROUND(Q55*Source!I177, 6)*1, 2)</f>
        <v>144.69</v>
      </c>
      <c r="S55">
        <f>SmtRes!AC59</f>
        <v>204.9</v>
      </c>
      <c r="T55">
        <f>ROUND(ROUND(Q55*Source!I177, 6)*SmtRes!AK59, 2)</f>
        <v>144.69</v>
      </c>
      <c r="U55">
        <f>SmtRes!X59</f>
        <v>1265029398</v>
      </c>
      <c r="V55">
        <v>-1472439335</v>
      </c>
      <c r="W55">
        <v>-1472439335</v>
      </c>
      <c r="X55">
        <v>2</v>
      </c>
    </row>
    <row r="56" spans="1:24" x14ac:dyDescent="0.2">
      <c r="A56">
        <v>20</v>
      </c>
      <c r="B56">
        <v>58</v>
      </c>
      <c r="C56">
        <v>2</v>
      </c>
      <c r="D56">
        <v>0</v>
      </c>
      <c r="E56">
        <f>SmtRes!AV58</f>
        <v>0</v>
      </c>
      <c r="F56" t="str">
        <f>SmtRes!I58</f>
        <v>22.1-2-1</v>
      </c>
      <c r="G56" t="str">
        <f>SmtRes!K58</f>
        <v>Тракторы на гусеничном ходу, мощность до 60 (81) кВт (л.с.)</v>
      </c>
      <c r="H56" t="str">
        <f>SmtRes!O58</f>
        <v>маш.-ч</v>
      </c>
      <c r="I56">
        <f>SmtRes!Y58*Source!I177</f>
        <v>0.70616000000000012</v>
      </c>
      <c r="J56">
        <f>SmtRes!AO58</f>
        <v>1</v>
      </c>
      <c r="K56">
        <f>SmtRes!AF58</f>
        <v>1159.46</v>
      </c>
      <c r="L56">
        <f>SmtRes!DB58</f>
        <v>2411.6799999999998</v>
      </c>
      <c r="M56">
        <f>ROUND(ROUND(L56*Source!I177, 6)*1, 2)</f>
        <v>818.77</v>
      </c>
      <c r="N56">
        <f>SmtRes!AB58</f>
        <v>1159.46</v>
      </c>
      <c r="O56">
        <f>ROUND(ROUND(L56*Source!I177, 6)*SmtRes!DA58, 2)</f>
        <v>818.77</v>
      </c>
      <c r="P56">
        <f>SmtRes!AG58</f>
        <v>525.74</v>
      </c>
      <c r="Q56">
        <f>SmtRes!DC58</f>
        <v>1093.54</v>
      </c>
      <c r="R56">
        <f>ROUND(ROUND(Q56*Source!I177, 6)*1, 2)</f>
        <v>371.26</v>
      </c>
      <c r="S56">
        <f>SmtRes!AC58</f>
        <v>525.74</v>
      </c>
      <c r="T56">
        <f>ROUND(ROUND(Q56*Source!I177, 6)*SmtRes!AK58, 2)</f>
        <v>371.26</v>
      </c>
      <c r="U56">
        <f>SmtRes!X58</f>
        <v>2063784432</v>
      </c>
      <c r="V56">
        <v>-1910138473</v>
      </c>
      <c r="W56">
        <v>-1910138473</v>
      </c>
      <c r="X56">
        <v>2</v>
      </c>
    </row>
    <row r="57" spans="1:24" x14ac:dyDescent="0.2">
      <c r="A57">
        <f>Source!A242</f>
        <v>4</v>
      </c>
      <c r="B57">
        <v>242</v>
      </c>
      <c r="G57" t="str">
        <f>Source!G242</f>
        <v>ЛЗ "Тропаревский" - 270 кв.м. кв. 12, выд. 14</v>
      </c>
    </row>
    <row r="58" spans="1:24" x14ac:dyDescent="0.2">
      <c r="A58">
        <f>Source!A246</f>
        <v>5</v>
      </c>
      <c r="B58">
        <v>246</v>
      </c>
      <c r="G58" t="str">
        <f>Source!G246</f>
        <v>Демонтаж</v>
      </c>
    </row>
    <row r="59" spans="1:24" x14ac:dyDescent="0.2">
      <c r="A59">
        <v>20</v>
      </c>
      <c r="B59">
        <v>70</v>
      </c>
      <c r="C59">
        <v>2</v>
      </c>
      <c r="D59">
        <v>0</v>
      </c>
      <c r="E59">
        <f>SmtRes!AV70</f>
        <v>0</v>
      </c>
      <c r="F59" t="str">
        <f>SmtRes!I70</f>
        <v>22.1-30-30</v>
      </c>
      <c r="G59" t="str">
        <f>SmtRes!K70</f>
        <v>Рубанки ручные электрические</v>
      </c>
      <c r="H59" t="str">
        <f>SmtRes!O70</f>
        <v>маш.-ч</v>
      </c>
      <c r="I59">
        <f>SmtRes!Y70*Source!I250</f>
        <v>1.0499999999999999E-3</v>
      </c>
      <c r="J59">
        <f>SmtRes!AO70</f>
        <v>1</v>
      </c>
      <c r="K59">
        <f>SmtRes!AF70</f>
        <v>6.28</v>
      </c>
      <c r="L59">
        <f>SmtRes!DB70</f>
        <v>0.06</v>
      </c>
      <c r="M59">
        <f>ROUND(ROUND(L59*Source!I250, 6)*1, 2)</f>
        <v>0.01</v>
      </c>
      <c r="N59">
        <f>SmtRes!AB70</f>
        <v>6.28</v>
      </c>
      <c r="O59">
        <f>ROUND(ROUND(L59*Source!I250, 6)*SmtRes!DA70, 2)</f>
        <v>0.01</v>
      </c>
      <c r="P59">
        <f>SmtRes!AG70</f>
        <v>0.01</v>
      </c>
      <c r="Q59">
        <f>SmtRes!DC70</f>
        <v>0</v>
      </c>
      <c r="R59">
        <f>ROUND(ROUND(Q59*Source!I250, 6)*1, 2)</f>
        <v>0</v>
      </c>
      <c r="S59">
        <f>SmtRes!AC70</f>
        <v>0.01</v>
      </c>
      <c r="T59">
        <f>ROUND(ROUND(Q59*Source!I250, 6)*SmtRes!AK70, 2)</f>
        <v>0</v>
      </c>
      <c r="U59">
        <f>SmtRes!X70</f>
        <v>1675990774</v>
      </c>
      <c r="V59">
        <v>1286183735</v>
      </c>
      <c r="W59">
        <v>1286183735</v>
      </c>
      <c r="X59">
        <v>2</v>
      </c>
    </row>
    <row r="60" spans="1:24" x14ac:dyDescent="0.2">
      <c r="A60">
        <v>20</v>
      </c>
      <c r="B60">
        <v>76</v>
      </c>
      <c r="C60">
        <v>2</v>
      </c>
      <c r="D60">
        <v>0</v>
      </c>
      <c r="E60">
        <f>SmtRes!AV76</f>
        <v>0</v>
      </c>
      <c r="F60" t="str">
        <f>SmtRes!I76</f>
        <v>22.1-18-13</v>
      </c>
      <c r="G60" t="str">
        <f>SmtRes!K76</f>
        <v>Автомобили-самосвалы, грузоподъемность до 10 т</v>
      </c>
      <c r="H60" t="str">
        <f>SmtRes!O76</f>
        <v>маш.-ч</v>
      </c>
      <c r="I60">
        <f>SmtRes!Y76*Source!I253</f>
        <v>3.7537500000000001E-3</v>
      </c>
      <c r="J60">
        <f>SmtRes!AO76</f>
        <v>1</v>
      </c>
      <c r="K60">
        <f>SmtRes!AF76</f>
        <v>993.6</v>
      </c>
      <c r="L60">
        <f>SmtRes!DB76</f>
        <v>54.65</v>
      </c>
      <c r="M60">
        <f>ROUND(ROUND(L60*Source!I253, 6)*1, 2)</f>
        <v>3.73</v>
      </c>
      <c r="N60">
        <f>SmtRes!AB76</f>
        <v>993.6</v>
      </c>
      <c r="O60">
        <f>ROUND(ROUND(L60*Source!I253, 6)*SmtRes!DA76, 2)</f>
        <v>3.73</v>
      </c>
      <c r="P60">
        <f>SmtRes!AG76</f>
        <v>301.8</v>
      </c>
      <c r="Q60">
        <f>SmtRes!DC76</f>
        <v>16.600000000000001</v>
      </c>
      <c r="R60">
        <f>ROUND(ROUND(Q60*Source!I253, 6)*1, 2)</f>
        <v>1.1299999999999999</v>
      </c>
      <c r="S60">
        <f>SmtRes!AC76</f>
        <v>301.8</v>
      </c>
      <c r="T60">
        <f>ROUND(ROUND(Q60*Source!I253, 6)*SmtRes!AK76, 2)</f>
        <v>1.1299999999999999</v>
      </c>
      <c r="U60">
        <f>SmtRes!X76</f>
        <v>-1546163025</v>
      </c>
      <c r="V60">
        <v>-1384078646</v>
      </c>
      <c r="W60">
        <v>-1384078646</v>
      </c>
      <c r="X60">
        <v>2</v>
      </c>
    </row>
    <row r="61" spans="1:24" x14ac:dyDescent="0.2">
      <c r="A61">
        <v>20</v>
      </c>
      <c r="B61">
        <v>75</v>
      </c>
      <c r="C61">
        <v>2</v>
      </c>
      <c r="D61">
        <v>0</v>
      </c>
      <c r="E61">
        <f>SmtRes!AV75</f>
        <v>0</v>
      </c>
      <c r="F61" t="str">
        <f>SmtRes!I75</f>
        <v>22.1-18-12</v>
      </c>
      <c r="G61" t="str">
        <f>SmtRes!K75</f>
        <v>Автомобили-самосвалы, грузоподъемность до 7 т</v>
      </c>
      <c r="H61" t="str">
        <f>SmtRes!O75</f>
        <v>маш.-ч</v>
      </c>
      <c r="I61">
        <f>SmtRes!Y75*Source!I253</f>
        <v>3.6855000000000004E-3</v>
      </c>
      <c r="J61">
        <f>SmtRes!AO75</f>
        <v>1</v>
      </c>
      <c r="K61">
        <f>SmtRes!AF75</f>
        <v>952.49</v>
      </c>
      <c r="L61">
        <f>SmtRes!DB75</f>
        <v>51.43</v>
      </c>
      <c r="M61">
        <f>ROUND(ROUND(L61*Source!I253, 6)*1, 2)</f>
        <v>3.51</v>
      </c>
      <c r="N61">
        <f>SmtRes!AB75</f>
        <v>952.49</v>
      </c>
      <c r="O61">
        <f>ROUND(ROUND(L61*Source!I253, 6)*SmtRes!DA75, 2)</f>
        <v>3.51</v>
      </c>
      <c r="P61">
        <f>SmtRes!AG75</f>
        <v>301.5</v>
      </c>
      <c r="Q61">
        <f>SmtRes!DC75</f>
        <v>16.28</v>
      </c>
      <c r="R61">
        <f>ROUND(ROUND(Q61*Source!I253, 6)*1, 2)</f>
        <v>1.1100000000000001</v>
      </c>
      <c r="S61">
        <f>SmtRes!AC75</f>
        <v>301.5</v>
      </c>
      <c r="T61">
        <f>ROUND(ROUND(Q61*Source!I253, 6)*SmtRes!AK75, 2)</f>
        <v>1.1100000000000001</v>
      </c>
      <c r="U61">
        <f>SmtRes!X75</f>
        <v>468658695</v>
      </c>
      <c r="V61">
        <v>1032900138</v>
      </c>
      <c r="W61">
        <v>1032900138</v>
      </c>
      <c r="X61">
        <v>2</v>
      </c>
    </row>
    <row r="62" spans="1:24" x14ac:dyDescent="0.2">
      <c r="A62">
        <v>20</v>
      </c>
      <c r="B62">
        <v>78</v>
      </c>
      <c r="C62">
        <v>2</v>
      </c>
      <c r="D62">
        <v>0</v>
      </c>
      <c r="E62">
        <f>SmtRes!AV78</f>
        <v>0</v>
      </c>
      <c r="F62" t="str">
        <f>SmtRes!I78</f>
        <v>22.1-18-13</v>
      </c>
      <c r="G62" t="str">
        <f>SmtRes!K78</f>
        <v>Автомобили-самосвалы, грузоподъемность до 10 т</v>
      </c>
      <c r="H62" t="str">
        <f>SmtRes!O78</f>
        <v>маш.-ч</v>
      </c>
      <c r="I62">
        <f>SmtRes!Y78*Source!I254</f>
        <v>8.7360000000000007E-3</v>
      </c>
      <c r="J62">
        <f>SmtRes!AO78</f>
        <v>1</v>
      </c>
      <c r="K62">
        <f>SmtRes!AF78</f>
        <v>993.6</v>
      </c>
      <c r="L62">
        <f>SmtRes!DB78</f>
        <v>127.2</v>
      </c>
      <c r="M62">
        <f>ROUND(ROUND(L62*Source!I254, 6)*1, 2)</f>
        <v>8.68</v>
      </c>
      <c r="N62">
        <f>SmtRes!AB78</f>
        <v>993.6</v>
      </c>
      <c r="O62">
        <f>ROUND(ROUND(L62*Source!I254, 6)*SmtRes!DA78, 2)</f>
        <v>8.68</v>
      </c>
      <c r="P62">
        <f>SmtRes!AG78</f>
        <v>301.8</v>
      </c>
      <c r="Q62">
        <f>SmtRes!DC78</f>
        <v>38.56</v>
      </c>
      <c r="R62">
        <f>ROUND(ROUND(Q62*Source!I254, 6)*1, 2)</f>
        <v>2.63</v>
      </c>
      <c r="S62">
        <f>SmtRes!AC78</f>
        <v>301.8</v>
      </c>
      <c r="T62">
        <f>ROUND(ROUND(Q62*Source!I254, 6)*SmtRes!AK78, 2)</f>
        <v>2.63</v>
      </c>
      <c r="U62">
        <f>SmtRes!X78</f>
        <v>-1546163025</v>
      </c>
      <c r="V62">
        <v>-1384078646</v>
      </c>
      <c r="W62">
        <v>-1384078646</v>
      </c>
      <c r="X62">
        <v>2</v>
      </c>
    </row>
    <row r="63" spans="1:24" x14ac:dyDescent="0.2">
      <c r="A63">
        <v>20</v>
      </c>
      <c r="B63">
        <v>77</v>
      </c>
      <c r="C63">
        <v>2</v>
      </c>
      <c r="D63">
        <v>0</v>
      </c>
      <c r="E63">
        <f>SmtRes!AV77</f>
        <v>0</v>
      </c>
      <c r="F63" t="str">
        <f>SmtRes!I77</f>
        <v>22.1-18-12</v>
      </c>
      <c r="G63" t="str">
        <f>SmtRes!K77</f>
        <v>Автомобили-самосвалы, грузоподъемность до 7 т</v>
      </c>
      <c r="H63" t="str">
        <f>SmtRes!O77</f>
        <v>маш.-ч</v>
      </c>
      <c r="I63">
        <f>SmtRes!Y77*Source!I254</f>
        <v>1.0920000000000001E-2</v>
      </c>
      <c r="J63">
        <f>SmtRes!AO77</f>
        <v>1</v>
      </c>
      <c r="K63">
        <f>SmtRes!AF77</f>
        <v>952.49</v>
      </c>
      <c r="L63">
        <f>SmtRes!DB77</f>
        <v>152.32</v>
      </c>
      <c r="M63">
        <f>ROUND(ROUND(L63*Source!I254, 6)*1, 2)</f>
        <v>10.4</v>
      </c>
      <c r="N63">
        <f>SmtRes!AB77</f>
        <v>952.49</v>
      </c>
      <c r="O63">
        <f>ROUND(ROUND(L63*Source!I254, 6)*SmtRes!DA77, 2)</f>
        <v>10.4</v>
      </c>
      <c r="P63">
        <f>SmtRes!AG77</f>
        <v>301.5</v>
      </c>
      <c r="Q63">
        <f>SmtRes!DC77</f>
        <v>48.32</v>
      </c>
      <c r="R63">
        <f>ROUND(ROUND(Q63*Source!I254, 6)*1, 2)</f>
        <v>3.3</v>
      </c>
      <c r="S63">
        <f>SmtRes!AC77</f>
        <v>301.5</v>
      </c>
      <c r="T63">
        <f>ROUND(ROUND(Q63*Source!I254, 6)*SmtRes!AK77, 2)</f>
        <v>3.3</v>
      </c>
      <c r="U63">
        <f>SmtRes!X77</f>
        <v>468658695</v>
      </c>
      <c r="V63">
        <v>1032900138</v>
      </c>
      <c r="W63">
        <v>1032900138</v>
      </c>
      <c r="X63">
        <v>2</v>
      </c>
    </row>
    <row r="64" spans="1:24" x14ac:dyDescent="0.2">
      <c r="A64">
        <f>Source!A255</f>
        <v>17</v>
      </c>
      <c r="B64">
        <v>255</v>
      </c>
      <c r="C64">
        <v>3</v>
      </c>
      <c r="D64">
        <f>Source!BI255</f>
        <v>4</v>
      </c>
      <c r="E64">
        <f>Source!FS255</f>
        <v>0</v>
      </c>
      <c r="F64" t="str">
        <f>Source!F255</f>
        <v>21.25-0-1</v>
      </c>
      <c r="G64" t="str">
        <f>Source!G255</f>
        <v>Содержание свалки отходов строительства и сноса</v>
      </c>
      <c r="H64" t="str">
        <f>Source!H255</f>
        <v>т</v>
      </c>
      <c r="I64">
        <f>Source!I255</f>
        <v>6.8250000000000005E-2</v>
      </c>
      <c r="J64">
        <v>1</v>
      </c>
      <c r="K64">
        <f>Source!AC255</f>
        <v>197.96</v>
      </c>
      <c r="M64">
        <f>ROUND(K64*I64, 2)</f>
        <v>13.51</v>
      </c>
      <c r="N64">
        <f>Source!AC255*IF(Source!BC255&lt;&gt; 0, Source!BC255, 1)</f>
        <v>197.96</v>
      </c>
      <c r="O64">
        <f>ROUND(N64*I64, 2)</f>
        <v>13.51</v>
      </c>
      <c r="P64">
        <f>Source!AE255</f>
        <v>0</v>
      </c>
      <c r="R64">
        <f>ROUND(P64*I64, 2)</f>
        <v>0</v>
      </c>
      <c r="S64">
        <f>Source!AE255*IF(Source!BS255&lt;&gt; 0, Source!BS255, 1)</f>
        <v>0</v>
      </c>
      <c r="T64">
        <f>ROUND(S64*I64, 2)</f>
        <v>0</v>
      </c>
      <c r="U64">
        <f>Source!GF255</f>
        <v>-1219268023</v>
      </c>
      <c r="V64">
        <v>-96028578</v>
      </c>
      <c r="W64">
        <v>-96028578</v>
      </c>
      <c r="X64">
        <v>3</v>
      </c>
    </row>
    <row r="65" spans="1:24" x14ac:dyDescent="0.2">
      <c r="A65">
        <f>Source!A287</f>
        <v>5</v>
      </c>
      <c r="B65">
        <v>287</v>
      </c>
      <c r="G65" t="str">
        <f>Source!G287</f>
        <v>Установка оборудования для выгула собак</v>
      </c>
    </row>
    <row r="66" spans="1:24" x14ac:dyDescent="0.2">
      <c r="A66">
        <v>20</v>
      </c>
      <c r="B66">
        <v>80</v>
      </c>
      <c r="C66">
        <v>2</v>
      </c>
      <c r="D66">
        <v>0</v>
      </c>
      <c r="E66">
        <f>SmtRes!AV80</f>
        <v>0</v>
      </c>
      <c r="F66" t="str">
        <f>SmtRes!I80</f>
        <v>22.1-4-31</v>
      </c>
      <c r="G66" t="str">
        <f>SmtRes!K80</f>
        <v>Лебедки электрические, грузоподъемность до 1,5 т</v>
      </c>
      <c r="H66" t="str">
        <f>SmtRes!O80</f>
        <v>маш.-ч</v>
      </c>
      <c r="I66">
        <f>SmtRes!Y80*Source!I291</f>
        <v>3.8000000000000003</v>
      </c>
      <c r="J66">
        <f>SmtRes!AO80</f>
        <v>1</v>
      </c>
      <c r="K66">
        <f>SmtRes!AF80</f>
        <v>31.01</v>
      </c>
      <c r="L66">
        <f>SmtRes!DB80</f>
        <v>589.19000000000005</v>
      </c>
      <c r="M66">
        <f>ROUND(ROUND(L66*Source!I291, 6)*1, 2)</f>
        <v>117.84</v>
      </c>
      <c r="N66">
        <f>SmtRes!AB80</f>
        <v>31.01</v>
      </c>
      <c r="O66">
        <f>ROUND(ROUND(L66*Source!I291, 6)*SmtRes!DA80, 2)</f>
        <v>117.84</v>
      </c>
      <c r="P66">
        <f>SmtRes!AG80</f>
        <v>1.29</v>
      </c>
      <c r="Q66">
        <f>SmtRes!DC80</f>
        <v>24.51</v>
      </c>
      <c r="R66">
        <f>ROUND(ROUND(Q66*Source!I291, 6)*1, 2)</f>
        <v>4.9000000000000004</v>
      </c>
      <c r="S66">
        <f>SmtRes!AC80</f>
        <v>1.29</v>
      </c>
      <c r="T66">
        <f>ROUND(ROUND(Q66*Source!I291, 6)*SmtRes!AK80, 2)</f>
        <v>4.9000000000000004</v>
      </c>
      <c r="U66">
        <f>SmtRes!X80</f>
        <v>-1063871118</v>
      </c>
      <c r="V66">
        <v>1736299718</v>
      </c>
      <c r="W66">
        <v>1736299718</v>
      </c>
      <c r="X66">
        <v>2</v>
      </c>
    </row>
    <row r="67" spans="1:24" x14ac:dyDescent="0.2">
      <c r="A67">
        <f>Source!A292</f>
        <v>17</v>
      </c>
      <c r="B67">
        <v>292</v>
      </c>
      <c r="C67">
        <v>3</v>
      </c>
      <c r="D67">
        <f>Source!BI292</f>
        <v>1</v>
      </c>
      <c r="E67">
        <f>Source!FS292</f>
        <v>0</v>
      </c>
      <c r="F67" t="str">
        <f>Source!F292</f>
        <v>Цена поставщика</v>
      </c>
      <c r="G67" t="str">
        <f>Source!G292</f>
        <v>Горка СП009 для собачьих площадок</v>
      </c>
      <c r="H67" t="str">
        <f>Source!H292</f>
        <v>шт.</v>
      </c>
      <c r="I67">
        <f>Source!I292</f>
        <v>1</v>
      </c>
      <c r="J67">
        <v>1</v>
      </c>
      <c r="K67">
        <f>Source!AC292</f>
        <v>29364.73</v>
      </c>
      <c r="M67">
        <f t="shared" ref="M67:M72" si="4">ROUND(K67*I67, 2)</f>
        <v>29364.73</v>
      </c>
      <c r="N67">
        <f>Source!AC292*IF(Source!BC292&lt;&gt; 0, Source!BC292, 1)</f>
        <v>29364.73</v>
      </c>
      <c r="O67">
        <f t="shared" ref="O67:O72" si="5">ROUND(N67*I67, 2)</f>
        <v>29364.73</v>
      </c>
      <c r="P67">
        <f>Source!AE292</f>
        <v>0</v>
      </c>
      <c r="R67">
        <f t="shared" ref="R67:R72" si="6">ROUND(P67*I67, 2)</f>
        <v>0</v>
      </c>
      <c r="S67">
        <f>Source!AE292*IF(Source!BS292&lt;&gt; 0, Source!BS292, 1)</f>
        <v>0</v>
      </c>
      <c r="T67">
        <f t="shared" ref="T67:T72" si="7">ROUND(S67*I67, 2)</f>
        <v>0</v>
      </c>
      <c r="U67">
        <f>Source!GF292</f>
        <v>-295362686</v>
      </c>
      <c r="V67">
        <v>-1326419303</v>
      </c>
      <c r="W67">
        <v>-1326419303</v>
      </c>
      <c r="X67">
        <v>3</v>
      </c>
    </row>
    <row r="68" spans="1:24" x14ac:dyDescent="0.2">
      <c r="A68">
        <f>Source!A293</f>
        <v>17</v>
      </c>
      <c r="B68">
        <v>293</v>
      </c>
      <c r="C68">
        <v>3</v>
      </c>
      <c r="D68">
        <f>Source!BI293</f>
        <v>1</v>
      </c>
      <c r="E68">
        <f>Source!FS293</f>
        <v>0</v>
      </c>
      <c r="F68" t="str">
        <f>Source!F293</f>
        <v>Цена поставщика</v>
      </c>
      <c r="G68" t="str">
        <f>Source!G293</f>
        <v>Слалом СП016 для собачьих площадок</v>
      </c>
      <c r="H68" t="str">
        <f>Source!H293</f>
        <v>шт.</v>
      </c>
      <c r="I68">
        <f>Source!I293</f>
        <v>1</v>
      </c>
      <c r="J68">
        <v>1</v>
      </c>
      <c r="K68">
        <f>Source!AC293</f>
        <v>18699.73</v>
      </c>
      <c r="M68">
        <f t="shared" si="4"/>
        <v>18699.73</v>
      </c>
      <c r="N68">
        <f>Source!AC293*IF(Source!BC293&lt;&gt; 0, Source!BC293, 1)</f>
        <v>18699.73</v>
      </c>
      <c r="O68">
        <f t="shared" si="5"/>
        <v>18699.73</v>
      </c>
      <c r="P68">
        <f>Source!AE293</f>
        <v>0</v>
      </c>
      <c r="R68">
        <f t="shared" si="6"/>
        <v>0</v>
      </c>
      <c r="S68">
        <f>Source!AE293*IF(Source!BS293&lt;&gt; 0, Source!BS293, 1)</f>
        <v>0</v>
      </c>
      <c r="T68">
        <f t="shared" si="7"/>
        <v>0</v>
      </c>
      <c r="U68">
        <f>Source!GF293</f>
        <v>918400748</v>
      </c>
      <c r="V68">
        <v>-883060739</v>
      </c>
      <c r="W68">
        <v>-883060739</v>
      </c>
      <c r="X68">
        <v>3</v>
      </c>
    </row>
    <row r="69" spans="1:24" x14ac:dyDescent="0.2">
      <c r="A69">
        <f>Source!A294</f>
        <v>17</v>
      </c>
      <c r="B69">
        <v>294</v>
      </c>
      <c r="C69">
        <v>3</v>
      </c>
      <c r="D69">
        <f>Source!BI294</f>
        <v>1</v>
      </c>
      <c r="E69">
        <f>Source!FS294</f>
        <v>0</v>
      </c>
      <c r="F69" t="str">
        <f>Source!F294</f>
        <v>Цена поставщика</v>
      </c>
      <c r="G69" t="str">
        <f>Source!G294</f>
        <v>Барьер 500 СП001 для собачьих площадок</v>
      </c>
      <c r="H69" t="str">
        <f>Source!H294</f>
        <v>шт.</v>
      </c>
      <c r="I69">
        <f>Source!I294</f>
        <v>1</v>
      </c>
      <c r="J69">
        <v>1</v>
      </c>
      <c r="K69">
        <f>Source!AC294</f>
        <v>17050</v>
      </c>
      <c r="M69">
        <f t="shared" si="4"/>
        <v>17050</v>
      </c>
      <c r="N69">
        <f>Source!AC294*IF(Source!BC294&lt;&gt; 0, Source!BC294, 1)</f>
        <v>17050</v>
      </c>
      <c r="O69">
        <f t="shared" si="5"/>
        <v>17050</v>
      </c>
      <c r="P69">
        <f>Source!AE294</f>
        <v>0</v>
      </c>
      <c r="R69">
        <f t="shared" si="6"/>
        <v>0</v>
      </c>
      <c r="S69">
        <f>Source!AE294*IF(Source!BS294&lt;&gt; 0, Source!BS294, 1)</f>
        <v>0</v>
      </c>
      <c r="T69">
        <f t="shared" si="7"/>
        <v>0</v>
      </c>
      <c r="U69">
        <f>Source!GF294</f>
        <v>557786794</v>
      </c>
      <c r="V69">
        <v>801461365</v>
      </c>
      <c r="W69">
        <v>801461365</v>
      </c>
      <c r="X69">
        <v>3</v>
      </c>
    </row>
    <row r="70" spans="1:24" x14ac:dyDescent="0.2">
      <c r="A70">
        <f>Source!A295</f>
        <v>17</v>
      </c>
      <c r="B70">
        <v>295</v>
      </c>
      <c r="C70">
        <v>3</v>
      </c>
      <c r="D70">
        <f>Source!BI295</f>
        <v>1</v>
      </c>
      <c r="E70">
        <f>Source!FS295</f>
        <v>0</v>
      </c>
      <c r="F70" t="str">
        <f>Source!F295</f>
        <v>Цена поставщика</v>
      </c>
      <c r="G70" t="str">
        <f>Source!G295</f>
        <v>Барьер 1000 СП002 для собачьих площадок</v>
      </c>
      <c r="H70" t="str">
        <f>Source!H295</f>
        <v>шт.</v>
      </c>
      <c r="I70">
        <f>Source!I295</f>
        <v>1</v>
      </c>
      <c r="J70">
        <v>1</v>
      </c>
      <c r="K70">
        <f>Source!AC295</f>
        <v>17277.78</v>
      </c>
      <c r="M70">
        <f t="shared" si="4"/>
        <v>17277.78</v>
      </c>
      <c r="N70">
        <f>Source!AC295*IF(Source!BC295&lt;&gt; 0, Source!BC295, 1)</f>
        <v>17277.78</v>
      </c>
      <c r="O70">
        <f t="shared" si="5"/>
        <v>17277.78</v>
      </c>
      <c r="P70">
        <f>Source!AE295</f>
        <v>0</v>
      </c>
      <c r="R70">
        <f t="shared" si="6"/>
        <v>0</v>
      </c>
      <c r="S70">
        <f>Source!AE295*IF(Source!BS295&lt;&gt; 0, Source!BS295, 1)</f>
        <v>0</v>
      </c>
      <c r="T70">
        <f t="shared" si="7"/>
        <v>0</v>
      </c>
      <c r="U70">
        <f>Source!GF295</f>
        <v>942564012</v>
      </c>
      <c r="V70">
        <v>612655710</v>
      </c>
      <c r="W70">
        <v>612655710</v>
      </c>
      <c r="X70">
        <v>3</v>
      </c>
    </row>
    <row r="71" spans="1:24" x14ac:dyDescent="0.2">
      <c r="A71">
        <f>Source!A296</f>
        <v>17</v>
      </c>
      <c r="B71">
        <v>296</v>
      </c>
      <c r="C71">
        <v>3</v>
      </c>
      <c r="D71">
        <f>Source!BI296</f>
        <v>1</v>
      </c>
      <c r="E71">
        <f>Source!FS296</f>
        <v>0</v>
      </c>
      <c r="F71" t="str">
        <f>Source!F296</f>
        <v>Цена поставщика</v>
      </c>
      <c r="G71" t="str">
        <f>Source!G296</f>
        <v>Снаряд Покрышка СП013 для собачьих площадок</v>
      </c>
      <c r="H71" t="str">
        <f>Source!H296</f>
        <v>шт.</v>
      </c>
      <c r="I71">
        <f>Source!I296</f>
        <v>1</v>
      </c>
      <c r="J71">
        <v>1</v>
      </c>
      <c r="K71">
        <f>Source!AC296</f>
        <v>19411.11</v>
      </c>
      <c r="M71">
        <f t="shared" si="4"/>
        <v>19411.11</v>
      </c>
      <c r="N71">
        <f>Source!AC296*IF(Source!BC296&lt;&gt; 0, Source!BC296, 1)</f>
        <v>19411.11</v>
      </c>
      <c r="O71">
        <f t="shared" si="5"/>
        <v>19411.11</v>
      </c>
      <c r="P71">
        <f>Source!AE296</f>
        <v>0</v>
      </c>
      <c r="R71">
        <f t="shared" si="6"/>
        <v>0</v>
      </c>
      <c r="S71">
        <f>Source!AE296*IF(Source!BS296&lt;&gt; 0, Source!BS296, 1)</f>
        <v>0</v>
      </c>
      <c r="T71">
        <f t="shared" si="7"/>
        <v>0</v>
      </c>
      <c r="U71">
        <f>Source!GF296</f>
        <v>846467407</v>
      </c>
      <c r="V71">
        <v>-970663437</v>
      </c>
      <c r="W71">
        <v>-970663437</v>
      </c>
      <c r="X71">
        <v>3</v>
      </c>
    </row>
    <row r="72" spans="1:24" x14ac:dyDescent="0.2">
      <c r="A72">
        <f>Source!A297</f>
        <v>17</v>
      </c>
      <c r="B72">
        <v>297</v>
      </c>
      <c r="C72">
        <v>3</v>
      </c>
      <c r="D72">
        <f>Source!BI297</f>
        <v>1</v>
      </c>
      <c r="E72">
        <f>Source!FS297</f>
        <v>0</v>
      </c>
      <c r="F72" t="str">
        <f>Source!F297</f>
        <v>Цена поставщика</v>
      </c>
      <c r="G72" t="str">
        <f>Source!G297</f>
        <v>Урна для собачьих площадок №1 УС1 Разноцветный</v>
      </c>
      <c r="H72" t="str">
        <f>Source!H297</f>
        <v>шт.</v>
      </c>
      <c r="I72">
        <f>Source!I297</f>
        <v>1</v>
      </c>
      <c r="J72">
        <v>1</v>
      </c>
      <c r="K72">
        <f>Source!AC297</f>
        <v>9847.23</v>
      </c>
      <c r="M72">
        <f t="shared" si="4"/>
        <v>9847.23</v>
      </c>
      <c r="N72">
        <f>Source!AC297*IF(Source!BC297&lt;&gt; 0, Source!BC297, 1)</f>
        <v>9847.23</v>
      </c>
      <c r="O72">
        <f t="shared" si="5"/>
        <v>9847.23</v>
      </c>
      <c r="P72">
        <f>Source!AE297</f>
        <v>0</v>
      </c>
      <c r="R72">
        <f t="shared" si="6"/>
        <v>0</v>
      </c>
      <c r="S72">
        <f>Source!AE297*IF(Source!BS297&lt;&gt; 0, Source!BS297, 1)</f>
        <v>0</v>
      </c>
      <c r="T72">
        <f t="shared" si="7"/>
        <v>0</v>
      </c>
      <c r="U72">
        <f>Source!GF297</f>
        <v>1342366151</v>
      </c>
      <c r="V72">
        <v>-1469256488</v>
      </c>
      <c r="W72">
        <v>-1469256488</v>
      </c>
      <c r="X72">
        <v>3</v>
      </c>
    </row>
    <row r="73" spans="1:24" x14ac:dyDescent="0.2">
      <c r="A73">
        <f>Source!A329</f>
        <v>5</v>
      </c>
      <c r="B73">
        <v>329</v>
      </c>
      <c r="G73" t="str">
        <f>Source!G329</f>
        <v>Установка ограждения</v>
      </c>
    </row>
    <row r="74" spans="1:24" x14ac:dyDescent="0.2">
      <c r="A74">
        <v>20</v>
      </c>
      <c r="B74">
        <v>93</v>
      </c>
      <c r="C74">
        <v>3</v>
      </c>
      <c r="D74">
        <v>0</v>
      </c>
      <c r="E74">
        <f>SmtRes!AV93</f>
        <v>0</v>
      </c>
      <c r="F74" t="str">
        <f>SmtRes!I93</f>
        <v>21.7-9-8</v>
      </c>
      <c r="G74" t="str">
        <f>SmtRes!K93</f>
        <v>Стойка ограждения металлического, из профиля квадратного, сечением 100х100 мм, длина 3600 мм</v>
      </c>
      <c r="H74" t="str">
        <f>SmtRes!O93</f>
        <v>шт.</v>
      </c>
      <c r="I74">
        <f>SmtRes!Y93*Source!I333</f>
        <v>45.6</v>
      </c>
      <c r="J74">
        <f>SmtRes!AO93</f>
        <v>1</v>
      </c>
      <c r="K74">
        <f>SmtRes!AE93</f>
        <v>2843.73</v>
      </c>
      <c r="L74">
        <f>SmtRes!DB93</f>
        <v>108061.74</v>
      </c>
      <c r="M74">
        <f>ROUND(ROUND(L74*Source!I333, 6)*1, 2)</f>
        <v>129674.09</v>
      </c>
      <c r="N74">
        <f>SmtRes!AA93</f>
        <v>2843.73</v>
      </c>
      <c r="O74">
        <f>ROUND(ROUND(L74*Source!I333, 6)*SmtRes!DA93, 2)</f>
        <v>129674.09</v>
      </c>
      <c r="P74">
        <f>SmtRes!AG93</f>
        <v>0</v>
      </c>
      <c r="Q74">
        <f>SmtRes!DC93</f>
        <v>0</v>
      </c>
      <c r="R74">
        <f>ROUND(ROUND(Q74*Source!I333, 6)*1, 2)</f>
        <v>0</v>
      </c>
      <c r="S74">
        <f>SmtRes!AC93</f>
        <v>0</v>
      </c>
      <c r="T74">
        <f>ROUND(ROUND(Q74*Source!I333, 6)*SmtRes!AK93, 2)</f>
        <v>0</v>
      </c>
      <c r="U74">
        <f>SmtRes!X93</f>
        <v>751213170</v>
      </c>
      <c r="V74">
        <v>-823327178</v>
      </c>
      <c r="W74">
        <v>-823327178</v>
      </c>
      <c r="X74">
        <v>3</v>
      </c>
    </row>
    <row r="75" spans="1:24" x14ac:dyDescent="0.2">
      <c r="A75">
        <v>20</v>
      </c>
      <c r="B75">
        <v>92</v>
      </c>
      <c r="C75">
        <v>3</v>
      </c>
      <c r="D75">
        <v>0</v>
      </c>
      <c r="E75">
        <f>SmtRes!AV92</f>
        <v>0</v>
      </c>
      <c r="F75" t="str">
        <f>SmtRes!I92</f>
        <v>21.7-9-7</v>
      </c>
      <c r="G75" t="str">
        <f>SmtRes!K92</f>
        <v>Секция ограждения металлического, решетчатого, из профиля квадратного, сечением 30х30 мм,  высота 2500 мм</v>
      </c>
      <c r="H75" t="str">
        <f>SmtRes!O92</f>
        <v>м</v>
      </c>
      <c r="I75">
        <f>SmtRes!Y92*Source!I333</f>
        <v>104.39999999999999</v>
      </c>
      <c r="J75">
        <f>SmtRes!AO92</f>
        <v>1</v>
      </c>
      <c r="K75">
        <f>SmtRes!AE92</f>
        <v>4886.66</v>
      </c>
      <c r="L75">
        <f>SmtRes!DB92</f>
        <v>425139.42</v>
      </c>
      <c r="M75">
        <f>ROUND(ROUND(L75*Source!I333, 6)*1, 2)</f>
        <v>510167.3</v>
      </c>
      <c r="N75">
        <f>SmtRes!AA92</f>
        <v>4886.66</v>
      </c>
      <c r="O75">
        <f>ROUND(ROUND(L75*Source!I333, 6)*SmtRes!DA92, 2)</f>
        <v>510167.3</v>
      </c>
      <c r="P75">
        <f>SmtRes!AG92</f>
        <v>0</v>
      </c>
      <c r="Q75">
        <f>SmtRes!DC92</f>
        <v>0</v>
      </c>
      <c r="R75">
        <f>ROUND(ROUND(Q75*Source!I333, 6)*1, 2)</f>
        <v>0</v>
      </c>
      <c r="S75">
        <f>SmtRes!AC92</f>
        <v>0</v>
      </c>
      <c r="T75">
        <f>ROUND(ROUND(Q75*Source!I333, 6)*SmtRes!AK92, 2)</f>
        <v>0</v>
      </c>
      <c r="U75">
        <f>SmtRes!X92</f>
        <v>-84305937</v>
      </c>
      <c r="V75">
        <v>-974834120</v>
      </c>
      <c r="W75">
        <v>-974834120</v>
      </c>
      <c r="X75">
        <v>3</v>
      </c>
    </row>
    <row r="76" spans="1:24" x14ac:dyDescent="0.2">
      <c r="A76">
        <v>20</v>
      </c>
      <c r="B76">
        <v>91</v>
      </c>
      <c r="C76">
        <v>3</v>
      </c>
      <c r="D76">
        <v>0</v>
      </c>
      <c r="E76">
        <f>SmtRes!AV91</f>
        <v>0</v>
      </c>
      <c r="F76" t="str">
        <f>SmtRes!I91</f>
        <v>21.3-1-87</v>
      </c>
      <c r="G76" t="str">
        <f>SmtRes!K91</f>
        <v>Смеси бетонные, БСГ, тяжелого бетона на гранитном щебне, класс прочности: В25 (М350); П3, фракция 5-20, F150, W6</v>
      </c>
      <c r="H76" t="str">
        <f>SmtRes!O91</f>
        <v>м3</v>
      </c>
      <c r="I76">
        <f>SmtRes!Y91*Source!I333</f>
        <v>3.9</v>
      </c>
      <c r="J76">
        <f>SmtRes!AO91</f>
        <v>1</v>
      </c>
      <c r="K76">
        <f>SmtRes!AE91</f>
        <v>4082.17</v>
      </c>
      <c r="L76">
        <f>SmtRes!DB91</f>
        <v>13267.05</v>
      </c>
      <c r="M76">
        <f>ROUND(ROUND(L76*Source!I333, 6)*1, 2)</f>
        <v>15920.46</v>
      </c>
      <c r="N76">
        <f>SmtRes!AA91</f>
        <v>4082.17</v>
      </c>
      <c r="O76">
        <f>ROUND(ROUND(L76*Source!I333, 6)*SmtRes!DA91, 2)</f>
        <v>15920.46</v>
      </c>
      <c r="P76">
        <f>SmtRes!AG91</f>
        <v>0</v>
      </c>
      <c r="Q76">
        <f>SmtRes!DC91</f>
        <v>0</v>
      </c>
      <c r="R76">
        <f>ROUND(ROUND(Q76*Source!I333, 6)*1, 2)</f>
        <v>0</v>
      </c>
      <c r="S76">
        <f>SmtRes!AC91</f>
        <v>0</v>
      </c>
      <c r="T76">
        <f>ROUND(ROUND(Q76*Source!I333, 6)*SmtRes!AK91, 2)</f>
        <v>0</v>
      </c>
      <c r="U76">
        <f>SmtRes!X91</f>
        <v>1929983902</v>
      </c>
      <c r="V76">
        <v>-620134183</v>
      </c>
      <c r="W76">
        <v>-620134183</v>
      </c>
      <c r="X76">
        <v>3</v>
      </c>
    </row>
    <row r="77" spans="1:24" x14ac:dyDescent="0.2">
      <c r="A77">
        <v>20</v>
      </c>
      <c r="B77">
        <v>90</v>
      </c>
      <c r="C77">
        <v>3</v>
      </c>
      <c r="D77">
        <v>0</v>
      </c>
      <c r="E77">
        <f>SmtRes!AV90</f>
        <v>0</v>
      </c>
      <c r="F77" t="str">
        <f>SmtRes!I90</f>
        <v>21.1-23-9</v>
      </c>
      <c r="G77" t="str">
        <f>SmtRes!K90</f>
        <v>Электроды, тип Э-42, 46, 50, диаметр 4 - 6 мм</v>
      </c>
      <c r="H77" t="str">
        <f>SmtRes!O90</f>
        <v>т</v>
      </c>
      <c r="I77">
        <f>SmtRes!Y90*Source!I333</f>
        <v>8.3999999999999995E-3</v>
      </c>
      <c r="J77">
        <f>SmtRes!AO90</f>
        <v>1</v>
      </c>
      <c r="K77">
        <f>SmtRes!AE90</f>
        <v>110728.72</v>
      </c>
      <c r="L77">
        <f>SmtRes!DB90</f>
        <v>775.1</v>
      </c>
      <c r="M77">
        <f>ROUND(ROUND(L77*Source!I333, 6)*1, 2)</f>
        <v>930.12</v>
      </c>
      <c r="N77">
        <f>SmtRes!AA90</f>
        <v>110728.72</v>
      </c>
      <c r="O77">
        <f>ROUND(ROUND(L77*Source!I333, 6)*SmtRes!DA90, 2)</f>
        <v>930.12</v>
      </c>
      <c r="P77">
        <f>SmtRes!AG90</f>
        <v>0</v>
      </c>
      <c r="Q77">
        <f>SmtRes!DC90</f>
        <v>0</v>
      </c>
      <c r="R77">
        <f>ROUND(ROUND(Q77*Source!I333, 6)*1, 2)</f>
        <v>0</v>
      </c>
      <c r="S77">
        <f>SmtRes!AC90</f>
        <v>0</v>
      </c>
      <c r="T77">
        <f>ROUND(ROUND(Q77*Source!I333, 6)*SmtRes!AK90, 2)</f>
        <v>0</v>
      </c>
      <c r="U77">
        <f>SmtRes!X90</f>
        <v>-475338610</v>
      </c>
      <c r="V77">
        <v>1276245677</v>
      </c>
      <c r="W77">
        <v>1276245677</v>
      </c>
      <c r="X77">
        <v>3</v>
      </c>
    </row>
    <row r="78" spans="1:24" x14ac:dyDescent="0.2">
      <c r="A78">
        <v>20</v>
      </c>
      <c r="B78">
        <v>89</v>
      </c>
      <c r="C78">
        <v>3</v>
      </c>
      <c r="D78">
        <v>0</v>
      </c>
      <c r="E78">
        <f>SmtRes!AV89</f>
        <v>0</v>
      </c>
      <c r="F78" t="str">
        <f>SmtRes!I89</f>
        <v>21.1-12-41</v>
      </c>
      <c r="G78" t="str">
        <f>SmtRes!K89</f>
        <v>Щебень из естественного камня для строительных работ, марка 1400, фракция 20-40 мм</v>
      </c>
      <c r="H78" t="str">
        <f>SmtRes!O89</f>
        <v>м3</v>
      </c>
      <c r="I78">
        <f>SmtRes!Y89*Source!I333</f>
        <v>0.372</v>
      </c>
      <c r="J78">
        <f>SmtRes!AO89</f>
        <v>1</v>
      </c>
      <c r="K78">
        <f>SmtRes!AE89</f>
        <v>2248.25</v>
      </c>
      <c r="L78">
        <f>SmtRes!DB89</f>
        <v>696.96</v>
      </c>
      <c r="M78">
        <f>ROUND(ROUND(L78*Source!I333, 6)*1, 2)</f>
        <v>836.35</v>
      </c>
      <c r="N78">
        <f>SmtRes!AA89</f>
        <v>2248.25</v>
      </c>
      <c r="O78">
        <f>ROUND(ROUND(L78*Source!I333, 6)*SmtRes!DA89, 2)</f>
        <v>836.35</v>
      </c>
      <c r="P78">
        <f>SmtRes!AG89</f>
        <v>0</v>
      </c>
      <c r="Q78">
        <f>SmtRes!DC89</f>
        <v>0</v>
      </c>
      <c r="R78">
        <f>ROUND(ROUND(Q78*Source!I333, 6)*1, 2)</f>
        <v>0</v>
      </c>
      <c r="S78">
        <f>SmtRes!AC89</f>
        <v>0</v>
      </c>
      <c r="T78">
        <f>ROUND(ROUND(Q78*Source!I333, 6)*SmtRes!AK89, 2)</f>
        <v>0</v>
      </c>
      <c r="U78">
        <f>SmtRes!X89</f>
        <v>165829421</v>
      </c>
      <c r="V78">
        <v>1750650908</v>
      </c>
      <c r="W78">
        <v>1750650908</v>
      </c>
      <c r="X78">
        <v>3</v>
      </c>
    </row>
    <row r="79" spans="1:24" x14ac:dyDescent="0.2">
      <c r="A79">
        <v>20</v>
      </c>
      <c r="B79">
        <v>88</v>
      </c>
      <c r="C79">
        <v>2</v>
      </c>
      <c r="D79">
        <v>0</v>
      </c>
      <c r="E79">
        <f>SmtRes!AV88</f>
        <v>0</v>
      </c>
      <c r="F79" t="str">
        <f>SmtRes!I88</f>
        <v>22.1-9-2</v>
      </c>
      <c r="G79" t="str">
        <f>SmtRes!K88</f>
        <v>Машины бурильно-крановые на базе автомобиля, глубина бурения до 5 м</v>
      </c>
      <c r="H79" t="str">
        <f>SmtRes!O88</f>
        <v>маш.-ч</v>
      </c>
      <c r="I79">
        <f>SmtRes!Y88*Source!I333</f>
        <v>6.5880000000000001</v>
      </c>
      <c r="J79">
        <f>SmtRes!AO88</f>
        <v>1</v>
      </c>
      <c r="K79">
        <f>SmtRes!AF88</f>
        <v>1180.29</v>
      </c>
      <c r="L79">
        <f>SmtRes!DB88</f>
        <v>6479.79</v>
      </c>
      <c r="M79">
        <f>ROUND(ROUND(L79*Source!I333, 6)*1, 2)</f>
        <v>7775.75</v>
      </c>
      <c r="N79">
        <f>SmtRes!AB88</f>
        <v>1180.29</v>
      </c>
      <c r="O79">
        <f>ROUND(ROUND(L79*Source!I333, 6)*SmtRes!DA88, 2)</f>
        <v>7775.75</v>
      </c>
      <c r="P79">
        <f>SmtRes!AG88</f>
        <v>586.89</v>
      </c>
      <c r="Q79">
        <f>SmtRes!DC88</f>
        <v>3222.03</v>
      </c>
      <c r="R79">
        <f>ROUND(ROUND(Q79*Source!I333, 6)*1, 2)</f>
        <v>3866.44</v>
      </c>
      <c r="S79">
        <f>SmtRes!AC88</f>
        <v>586.89</v>
      </c>
      <c r="T79">
        <f>ROUND(ROUND(Q79*Source!I333, 6)*SmtRes!AK88, 2)</f>
        <v>3866.44</v>
      </c>
      <c r="U79">
        <f>SmtRes!X88</f>
        <v>58362116</v>
      </c>
      <c r="V79">
        <v>-1631772537</v>
      </c>
      <c r="W79">
        <v>-1631772537</v>
      </c>
      <c r="X79">
        <v>2</v>
      </c>
    </row>
    <row r="80" spans="1:24" x14ac:dyDescent="0.2">
      <c r="A80">
        <v>20</v>
      </c>
      <c r="B80">
        <v>87</v>
      </c>
      <c r="C80">
        <v>2</v>
      </c>
      <c r="D80">
        <v>0</v>
      </c>
      <c r="E80">
        <f>SmtRes!AV87</f>
        <v>0</v>
      </c>
      <c r="F80" t="str">
        <f>SmtRes!I87</f>
        <v>22.1-6-52</v>
      </c>
      <c r="G80" t="str">
        <f>SmtRes!K87</f>
        <v>Вибраторы глубинные</v>
      </c>
      <c r="H80" t="str">
        <f>SmtRes!O87</f>
        <v>маш.-ч</v>
      </c>
      <c r="I80">
        <f>SmtRes!Y87*Source!I333</f>
        <v>39.491999999999997</v>
      </c>
      <c r="J80">
        <f>SmtRes!AO87</f>
        <v>1</v>
      </c>
      <c r="K80">
        <f>SmtRes!AF87</f>
        <v>10.62</v>
      </c>
      <c r="L80">
        <f>SmtRes!DB87</f>
        <v>349.5</v>
      </c>
      <c r="M80">
        <f>ROUND(ROUND(L80*Source!I333, 6)*1, 2)</f>
        <v>419.4</v>
      </c>
      <c r="N80">
        <f>SmtRes!AB87</f>
        <v>10.62</v>
      </c>
      <c r="O80">
        <f>ROUND(ROUND(L80*Source!I333, 6)*SmtRes!DA87, 2)</f>
        <v>419.4</v>
      </c>
      <c r="P80">
        <f>SmtRes!AG87</f>
        <v>2.82</v>
      </c>
      <c r="Q80">
        <f>SmtRes!DC87</f>
        <v>92.81</v>
      </c>
      <c r="R80">
        <f>ROUND(ROUND(Q80*Source!I333, 6)*1, 2)</f>
        <v>111.37</v>
      </c>
      <c r="S80">
        <f>SmtRes!AC87</f>
        <v>2.82</v>
      </c>
      <c r="T80">
        <f>ROUND(ROUND(Q80*Source!I333, 6)*SmtRes!AK87, 2)</f>
        <v>111.37</v>
      </c>
      <c r="U80">
        <f>SmtRes!X87</f>
        <v>-1119889759</v>
      </c>
      <c r="V80">
        <v>1634601875</v>
      </c>
      <c r="W80">
        <v>1634601875</v>
      </c>
      <c r="X80">
        <v>2</v>
      </c>
    </row>
    <row r="81" spans="1:24" x14ac:dyDescent="0.2">
      <c r="A81">
        <v>20</v>
      </c>
      <c r="B81">
        <v>86</v>
      </c>
      <c r="C81">
        <v>2</v>
      </c>
      <c r="D81">
        <v>0</v>
      </c>
      <c r="E81">
        <f>SmtRes!AV86</f>
        <v>0</v>
      </c>
      <c r="F81" t="str">
        <f>SmtRes!I86</f>
        <v>22.1-30-19</v>
      </c>
      <c r="G81" t="str">
        <f>SmtRes!K86</f>
        <v>Машины шлифовальные электрические</v>
      </c>
      <c r="H81" t="str">
        <f>SmtRes!O86</f>
        <v>маш.-ч</v>
      </c>
      <c r="I81">
        <f>SmtRes!Y86*Source!I333</f>
        <v>0.624</v>
      </c>
      <c r="J81">
        <f>SmtRes!AO86</f>
        <v>1</v>
      </c>
      <c r="K81">
        <f>SmtRes!AF86</f>
        <v>5.82</v>
      </c>
      <c r="L81">
        <f>SmtRes!DB86</f>
        <v>3.03</v>
      </c>
      <c r="M81">
        <f>ROUND(ROUND(L81*Source!I333, 6)*1, 2)</f>
        <v>3.64</v>
      </c>
      <c r="N81">
        <f>SmtRes!AB86</f>
        <v>5.82</v>
      </c>
      <c r="O81">
        <f>ROUND(ROUND(L81*Source!I333, 6)*SmtRes!DA86, 2)</f>
        <v>3.64</v>
      </c>
      <c r="P81">
        <f>SmtRes!AG86</f>
        <v>0.02</v>
      </c>
      <c r="Q81">
        <f>SmtRes!DC86</f>
        <v>0.01</v>
      </c>
      <c r="R81">
        <f>ROUND(ROUND(Q81*Source!I333, 6)*1, 2)</f>
        <v>0.01</v>
      </c>
      <c r="S81">
        <f>SmtRes!AC86</f>
        <v>0.02</v>
      </c>
      <c r="T81">
        <f>ROUND(ROUND(Q81*Source!I333, 6)*SmtRes!AK86, 2)</f>
        <v>0.01</v>
      </c>
      <c r="U81">
        <f>SmtRes!X86</f>
        <v>-1995660009</v>
      </c>
      <c r="V81">
        <v>-1082568096</v>
      </c>
      <c r="W81">
        <v>-1082568096</v>
      </c>
      <c r="X81">
        <v>2</v>
      </c>
    </row>
    <row r="82" spans="1:24" x14ac:dyDescent="0.2">
      <c r="A82">
        <v>20</v>
      </c>
      <c r="B82">
        <v>85</v>
      </c>
      <c r="C82">
        <v>2</v>
      </c>
      <c r="D82">
        <v>0</v>
      </c>
      <c r="E82">
        <f>SmtRes!AV85</f>
        <v>0</v>
      </c>
      <c r="F82" t="str">
        <f>SmtRes!I85</f>
        <v>22.1-13-15</v>
      </c>
      <c r="G82" t="str">
        <f>SmtRes!K85</f>
        <v>Аппараты сварочные</v>
      </c>
      <c r="H82" t="str">
        <f>SmtRes!O85</f>
        <v>маш.-ч</v>
      </c>
      <c r="I82">
        <f>SmtRes!Y85*Source!I333</f>
        <v>46.8</v>
      </c>
      <c r="J82">
        <f>SmtRes!AO85</f>
        <v>1</v>
      </c>
      <c r="K82">
        <f>SmtRes!AF85</f>
        <v>337.61</v>
      </c>
      <c r="L82">
        <f>SmtRes!DB85</f>
        <v>13166.79</v>
      </c>
      <c r="M82">
        <f>ROUND(ROUND(L82*Source!I333, 6)*1, 2)</f>
        <v>15800.15</v>
      </c>
      <c r="N82">
        <f>SmtRes!AB85</f>
        <v>337.61</v>
      </c>
      <c r="O82">
        <f>ROUND(ROUND(L82*Source!I333, 6)*SmtRes!DA85, 2)</f>
        <v>15800.15</v>
      </c>
      <c r="P82">
        <f>SmtRes!AG85</f>
        <v>6.68</v>
      </c>
      <c r="Q82">
        <f>SmtRes!DC85</f>
        <v>260.52</v>
      </c>
      <c r="R82">
        <f>ROUND(ROUND(Q82*Source!I333, 6)*1, 2)</f>
        <v>312.62</v>
      </c>
      <c r="S82">
        <f>SmtRes!AC85</f>
        <v>6.68</v>
      </c>
      <c r="T82">
        <f>ROUND(ROUND(Q82*Source!I333, 6)*SmtRes!AK85, 2)</f>
        <v>312.62</v>
      </c>
      <c r="U82">
        <f>SmtRes!X85</f>
        <v>-1896621790</v>
      </c>
      <c r="V82">
        <v>391800036</v>
      </c>
      <c r="W82">
        <v>391800036</v>
      </c>
      <c r="X82">
        <v>2</v>
      </c>
    </row>
    <row r="83" spans="1:24" x14ac:dyDescent="0.2">
      <c r="A83">
        <v>20</v>
      </c>
      <c r="B83">
        <v>99</v>
      </c>
      <c r="C83">
        <v>3</v>
      </c>
      <c r="D83">
        <v>0</v>
      </c>
      <c r="E83">
        <f>SmtRes!AV99</f>
        <v>0</v>
      </c>
      <c r="F83" t="str">
        <f>SmtRes!I99</f>
        <v>21.8-1-22</v>
      </c>
      <c r="G83" t="str">
        <f>SmtRes!K99</f>
        <v>Петля накладная с ходом на центрах, марка ПН 1-150 оксидированная</v>
      </c>
      <c r="H83" t="str">
        <f>SmtRes!O99</f>
        <v>шт.</v>
      </c>
      <c r="I83">
        <f>SmtRes!Y99*Source!I334</f>
        <v>1</v>
      </c>
      <c r="J83">
        <f>SmtRes!AO99</f>
        <v>1</v>
      </c>
      <c r="K83">
        <f>SmtRes!AE99</f>
        <v>52.44</v>
      </c>
      <c r="L83">
        <f>SmtRes!DB99</f>
        <v>52.44</v>
      </c>
      <c r="M83">
        <f>ROUND(ROUND(L83*Source!I334, 6)*1, 2)</f>
        <v>52.44</v>
      </c>
      <c r="N83">
        <f>SmtRes!AA99</f>
        <v>52.44</v>
      </c>
      <c r="O83">
        <f>ROUND(ROUND(L83*Source!I334, 6)*SmtRes!DA99, 2)</f>
        <v>52.44</v>
      </c>
      <c r="P83">
        <f>SmtRes!AG99</f>
        <v>0</v>
      </c>
      <c r="Q83">
        <f>SmtRes!DC99</f>
        <v>0</v>
      </c>
      <c r="R83">
        <f>ROUND(ROUND(Q83*Source!I334, 6)*1, 2)</f>
        <v>0</v>
      </c>
      <c r="S83">
        <f>SmtRes!AC99</f>
        <v>0</v>
      </c>
      <c r="T83">
        <f>ROUND(ROUND(Q83*Source!I334, 6)*SmtRes!AK99, 2)</f>
        <v>0</v>
      </c>
      <c r="U83">
        <f>SmtRes!X99</f>
        <v>-427256765</v>
      </c>
      <c r="V83">
        <v>-1233775020</v>
      </c>
      <c r="W83">
        <v>-1233775020</v>
      </c>
      <c r="X83">
        <v>3</v>
      </c>
    </row>
    <row r="84" spans="1:24" x14ac:dyDescent="0.2">
      <c r="A84">
        <v>20</v>
      </c>
      <c r="B84">
        <v>98</v>
      </c>
      <c r="C84">
        <v>3</v>
      </c>
      <c r="D84">
        <v>0</v>
      </c>
      <c r="E84">
        <f>SmtRes!AV98</f>
        <v>0</v>
      </c>
      <c r="F84" t="str">
        <f>SmtRes!I98</f>
        <v>21.1-23-9</v>
      </c>
      <c r="G84" t="str">
        <f>SmtRes!K98</f>
        <v>Электроды, тип Э-42, 46, 50, диаметр 4 - 6 мм</v>
      </c>
      <c r="H84" t="str">
        <f>SmtRes!O98</f>
        <v>т</v>
      </c>
      <c r="I84">
        <f>SmtRes!Y98*Source!I334</f>
        <v>5.0000000000000002E-5</v>
      </c>
      <c r="J84">
        <f>SmtRes!AO98</f>
        <v>1</v>
      </c>
      <c r="K84">
        <f>SmtRes!AE98</f>
        <v>110728.72</v>
      </c>
      <c r="L84">
        <f>SmtRes!DB98</f>
        <v>5.54</v>
      </c>
      <c r="M84">
        <f>ROUND(ROUND(L84*Source!I334, 6)*1, 2)</f>
        <v>5.54</v>
      </c>
      <c r="N84">
        <f>SmtRes!AA98</f>
        <v>110728.72</v>
      </c>
      <c r="O84">
        <f>ROUND(ROUND(L84*Source!I334, 6)*SmtRes!DA98, 2)</f>
        <v>5.54</v>
      </c>
      <c r="P84">
        <f>SmtRes!AG98</f>
        <v>0</v>
      </c>
      <c r="Q84">
        <f>SmtRes!DC98</f>
        <v>0</v>
      </c>
      <c r="R84">
        <f>ROUND(ROUND(Q84*Source!I334, 6)*1, 2)</f>
        <v>0</v>
      </c>
      <c r="S84">
        <f>SmtRes!AC98</f>
        <v>0</v>
      </c>
      <c r="T84">
        <f>ROUND(ROUND(Q84*Source!I334, 6)*SmtRes!AK98, 2)</f>
        <v>0</v>
      </c>
      <c r="U84">
        <f>SmtRes!X98</f>
        <v>-475338610</v>
      </c>
      <c r="V84">
        <v>1276245677</v>
      </c>
      <c r="W84">
        <v>1276245677</v>
      </c>
      <c r="X84">
        <v>3</v>
      </c>
    </row>
    <row r="85" spans="1:24" x14ac:dyDescent="0.2">
      <c r="A85">
        <v>20</v>
      </c>
      <c r="B85">
        <v>97</v>
      </c>
      <c r="C85">
        <v>2</v>
      </c>
      <c r="D85">
        <v>0</v>
      </c>
      <c r="E85">
        <f>SmtRes!AV97</f>
        <v>0</v>
      </c>
      <c r="F85" t="str">
        <f>SmtRes!I97</f>
        <v>22.1-30-19</v>
      </c>
      <c r="G85" t="str">
        <f>SmtRes!K97</f>
        <v>Машины шлифовальные электрические</v>
      </c>
      <c r="H85" t="str">
        <f>SmtRes!O97</f>
        <v>маш.-ч</v>
      </c>
      <c r="I85">
        <f>SmtRes!Y97*Source!I334</f>
        <v>0.1</v>
      </c>
      <c r="J85">
        <f>SmtRes!AO97</f>
        <v>1</v>
      </c>
      <c r="K85">
        <f>SmtRes!AF97</f>
        <v>5.82</v>
      </c>
      <c r="L85">
        <f>SmtRes!DB97</f>
        <v>0.57999999999999996</v>
      </c>
      <c r="M85">
        <f>ROUND(ROUND(L85*Source!I334, 6)*1, 2)</f>
        <v>0.57999999999999996</v>
      </c>
      <c r="N85">
        <f>SmtRes!AB97</f>
        <v>5.82</v>
      </c>
      <c r="O85">
        <f>ROUND(ROUND(L85*Source!I334, 6)*SmtRes!DA97, 2)</f>
        <v>0.57999999999999996</v>
      </c>
      <c r="P85">
        <f>SmtRes!AG97</f>
        <v>0.02</v>
      </c>
      <c r="Q85">
        <f>SmtRes!DC97</f>
        <v>0</v>
      </c>
      <c r="R85">
        <f>ROUND(ROUND(Q85*Source!I334, 6)*1, 2)</f>
        <v>0</v>
      </c>
      <c r="S85">
        <f>SmtRes!AC97</f>
        <v>0.02</v>
      </c>
      <c r="T85">
        <f>ROUND(ROUND(Q85*Source!I334, 6)*SmtRes!AK97, 2)</f>
        <v>0</v>
      </c>
      <c r="U85">
        <f>SmtRes!X97</f>
        <v>-1995660009</v>
      </c>
      <c r="V85">
        <v>-1082568096</v>
      </c>
      <c r="W85">
        <v>-1082568096</v>
      </c>
      <c r="X85">
        <v>2</v>
      </c>
    </row>
    <row r="86" spans="1:24" x14ac:dyDescent="0.2">
      <c r="A86">
        <v>20</v>
      </c>
      <c r="B86">
        <v>96</v>
      </c>
      <c r="C86">
        <v>2</v>
      </c>
      <c r="D86">
        <v>0</v>
      </c>
      <c r="E86">
        <f>SmtRes!AV96</f>
        <v>0</v>
      </c>
      <c r="F86" t="str">
        <f>SmtRes!I96</f>
        <v>22.1-18-24</v>
      </c>
      <c r="G86" t="str">
        <f>SmtRes!K96</f>
        <v>Автомобили полупассажирские типа ГАЗ, грузоподъемность до 2 т</v>
      </c>
      <c r="H86" t="str">
        <f>SmtRes!O96</f>
        <v>маш.-ч</v>
      </c>
      <c r="I86">
        <f>SmtRes!Y96*Source!I334</f>
        <v>1</v>
      </c>
      <c r="J86">
        <f>SmtRes!AO96</f>
        <v>1</v>
      </c>
      <c r="K86">
        <f>SmtRes!AF96</f>
        <v>619.44000000000005</v>
      </c>
      <c r="L86">
        <f>SmtRes!DB96</f>
        <v>619.44000000000005</v>
      </c>
      <c r="M86">
        <f>ROUND(ROUND(L86*Source!I334, 6)*1, 2)</f>
        <v>619.44000000000005</v>
      </c>
      <c r="N86">
        <f>SmtRes!AB96</f>
        <v>619.44000000000005</v>
      </c>
      <c r="O86">
        <f>ROUND(ROUND(L86*Source!I334, 6)*SmtRes!DA96, 2)</f>
        <v>619.44000000000005</v>
      </c>
      <c r="P86">
        <f>SmtRes!AG96</f>
        <v>393.66</v>
      </c>
      <c r="Q86">
        <f>SmtRes!DC96</f>
        <v>393.66</v>
      </c>
      <c r="R86">
        <f>ROUND(ROUND(Q86*Source!I334, 6)*1, 2)</f>
        <v>393.66</v>
      </c>
      <c r="S86">
        <f>SmtRes!AC96</f>
        <v>393.66</v>
      </c>
      <c r="T86">
        <f>ROUND(ROUND(Q86*Source!I334, 6)*SmtRes!AK96, 2)</f>
        <v>393.66</v>
      </c>
      <c r="U86">
        <f>SmtRes!X96</f>
        <v>499800498</v>
      </c>
      <c r="V86">
        <v>65365534</v>
      </c>
      <c r="W86">
        <v>65365534</v>
      </c>
      <c r="X86">
        <v>2</v>
      </c>
    </row>
    <row r="87" spans="1:24" x14ac:dyDescent="0.2">
      <c r="A87">
        <v>20</v>
      </c>
      <c r="B87">
        <v>95</v>
      </c>
      <c r="C87">
        <v>2</v>
      </c>
      <c r="D87">
        <v>0</v>
      </c>
      <c r="E87">
        <f>SmtRes!AV95</f>
        <v>0</v>
      </c>
      <c r="F87" t="str">
        <f>SmtRes!I95</f>
        <v>22.1-13-10</v>
      </c>
      <c r="G87" t="str">
        <f>SmtRes!K95</f>
        <v>Агрегаты сварочные однопостовые для ручной электродуговой сварки</v>
      </c>
      <c r="H87" t="str">
        <f>SmtRes!O95</f>
        <v>маш.-ч</v>
      </c>
      <c r="I87">
        <f>SmtRes!Y95*Source!I334</f>
        <v>0.2</v>
      </c>
      <c r="J87">
        <f>SmtRes!AO95</f>
        <v>1</v>
      </c>
      <c r="K87">
        <f>SmtRes!AF95</f>
        <v>55</v>
      </c>
      <c r="L87">
        <f>SmtRes!DB95</f>
        <v>11</v>
      </c>
      <c r="M87">
        <f>ROUND(ROUND(L87*Source!I334, 6)*1, 2)</f>
        <v>11</v>
      </c>
      <c r="N87">
        <f>SmtRes!AB95</f>
        <v>55</v>
      </c>
      <c r="O87">
        <f>ROUND(ROUND(L87*Source!I334, 6)*SmtRes!DA95, 2)</f>
        <v>11</v>
      </c>
      <c r="P87">
        <f>SmtRes!AG95</f>
        <v>0.05</v>
      </c>
      <c r="Q87">
        <f>SmtRes!DC95</f>
        <v>0.01</v>
      </c>
      <c r="R87">
        <f>ROUND(ROUND(Q87*Source!I334, 6)*1, 2)</f>
        <v>0.01</v>
      </c>
      <c r="S87">
        <f>SmtRes!AC95</f>
        <v>0.05</v>
      </c>
      <c r="T87">
        <f>ROUND(ROUND(Q87*Source!I334, 6)*SmtRes!AK95, 2)</f>
        <v>0.01</v>
      </c>
      <c r="U87">
        <f>SmtRes!X95</f>
        <v>-2014553861</v>
      </c>
      <c r="V87">
        <v>1645461481</v>
      </c>
      <c r="W87">
        <v>1645461481</v>
      </c>
      <c r="X87">
        <v>2</v>
      </c>
    </row>
    <row r="88" spans="1:24" x14ac:dyDescent="0.2">
      <c r="A88">
        <f>Source!A335</f>
        <v>17</v>
      </c>
      <c r="B88">
        <v>335</v>
      </c>
      <c r="C88">
        <v>3</v>
      </c>
      <c r="D88">
        <f>Source!BI335</f>
        <v>4</v>
      </c>
      <c r="E88">
        <f>Source!FS335</f>
        <v>0</v>
      </c>
      <c r="F88" t="str">
        <f>Source!F335</f>
        <v>21.7-14-5</v>
      </c>
      <c r="G88" t="str">
        <f>Source!G335</f>
        <v>Калитка металлическая с лаковым покрытием, размеры 1000х1500 мм (прим. калитка металическая решётчатая)</v>
      </c>
      <c r="H88" t="str">
        <f>Source!H335</f>
        <v>шт.</v>
      </c>
      <c r="I88">
        <f>Source!I335</f>
        <v>1</v>
      </c>
      <c r="J88">
        <v>1</v>
      </c>
      <c r="K88">
        <f>Source!AC335</f>
        <v>10202.57</v>
      </c>
      <c r="M88">
        <f>ROUND(K88*I88, 2)</f>
        <v>10202.57</v>
      </c>
      <c r="N88">
        <f>Source!AC335*IF(Source!BC335&lt;&gt; 0, Source!BC335, 1)</f>
        <v>10202.57</v>
      </c>
      <c r="O88">
        <f>ROUND(N88*I88, 2)</f>
        <v>10202.57</v>
      </c>
      <c r="P88">
        <f>Source!AE335</f>
        <v>0</v>
      </c>
      <c r="R88">
        <f>ROUND(P88*I88, 2)</f>
        <v>0</v>
      </c>
      <c r="S88">
        <f>Source!AE335*IF(Source!BS335&lt;&gt; 0, Source!BS335, 1)</f>
        <v>0</v>
      </c>
      <c r="T88">
        <f>ROUND(S88*I88, 2)</f>
        <v>0</v>
      </c>
      <c r="U88">
        <f>Source!GF335</f>
        <v>-1953145621</v>
      </c>
      <c r="V88">
        <v>1992160820</v>
      </c>
      <c r="W88">
        <v>1992160820</v>
      </c>
      <c r="X88">
        <v>3</v>
      </c>
    </row>
    <row r="89" spans="1:24" x14ac:dyDescent="0.2">
      <c r="A89">
        <f>Source!A369</f>
        <v>5</v>
      </c>
      <c r="B89">
        <v>369</v>
      </c>
      <c r="G89" t="str">
        <f>Source!G369</f>
        <v>Устройство покрытия</v>
      </c>
    </row>
    <row r="90" spans="1:24" x14ac:dyDescent="0.2">
      <c r="A90">
        <v>20</v>
      </c>
      <c r="B90">
        <v>102</v>
      </c>
      <c r="C90">
        <v>2</v>
      </c>
      <c r="D90">
        <v>0</v>
      </c>
      <c r="E90">
        <f>SmtRes!AV102</f>
        <v>0</v>
      </c>
      <c r="F90" t="str">
        <f>SmtRes!I102</f>
        <v>22.1-1-43</v>
      </c>
      <c r="G90" t="str">
        <f>SmtRes!K102</f>
        <v>Бульдозеры гусеничные, мощность до 59 кВт (80 л.с.)</v>
      </c>
      <c r="H90" t="str">
        <f>SmtRes!O102</f>
        <v>маш.-ч</v>
      </c>
      <c r="I90">
        <f>SmtRes!Y102*Source!I373</f>
        <v>0.51516000000000006</v>
      </c>
      <c r="J90">
        <f>SmtRes!AO102</f>
        <v>1</v>
      </c>
      <c r="K90">
        <f>SmtRes!AF102</f>
        <v>923.83</v>
      </c>
      <c r="L90">
        <f>SmtRes!DB102</f>
        <v>1958.52</v>
      </c>
      <c r="M90">
        <f>ROUND(ROUND(L90*Source!I373, 6)*1, 2)</f>
        <v>475.92</v>
      </c>
      <c r="N90">
        <f>SmtRes!AB102</f>
        <v>923.83</v>
      </c>
      <c r="O90">
        <f>ROUND(ROUND(L90*Source!I373, 6)*SmtRes!DA102, 2)</f>
        <v>475.92</v>
      </c>
      <c r="P90">
        <f>SmtRes!AG102</f>
        <v>342.06</v>
      </c>
      <c r="Q90">
        <f>SmtRes!DC102</f>
        <v>725.17</v>
      </c>
      <c r="R90">
        <f>ROUND(ROUND(Q90*Source!I373, 6)*1, 2)</f>
        <v>176.22</v>
      </c>
      <c r="S90">
        <f>SmtRes!AC102</f>
        <v>342.06</v>
      </c>
      <c r="T90">
        <f>ROUND(ROUND(Q90*Source!I373, 6)*SmtRes!AK102, 2)</f>
        <v>176.22</v>
      </c>
      <c r="U90">
        <f>SmtRes!X102</f>
        <v>-1073508213</v>
      </c>
      <c r="V90">
        <v>-660268849</v>
      </c>
      <c r="W90">
        <v>-660268849</v>
      </c>
      <c r="X90">
        <v>2</v>
      </c>
    </row>
    <row r="91" spans="1:24" x14ac:dyDescent="0.2">
      <c r="A91">
        <v>20</v>
      </c>
      <c r="B91">
        <v>101</v>
      </c>
      <c r="C91">
        <v>2</v>
      </c>
      <c r="D91">
        <v>0</v>
      </c>
      <c r="E91">
        <f>SmtRes!AV101</f>
        <v>0</v>
      </c>
      <c r="F91" t="str">
        <f>SmtRes!I101</f>
        <v>22.1-1-19</v>
      </c>
      <c r="G91" t="str">
        <f>SmtRes!K101</f>
        <v>Экскаваторы на пневмоколесном ходу гидравлические, объем ковша до 0,25 м3</v>
      </c>
      <c r="H91" t="str">
        <f>SmtRes!O101</f>
        <v>маш.-ч</v>
      </c>
      <c r="I91">
        <f>SmtRes!Y101*Source!I373</f>
        <v>2.2526099999999998</v>
      </c>
      <c r="J91">
        <f>SmtRes!AO101</f>
        <v>1</v>
      </c>
      <c r="K91">
        <f>SmtRes!AF101</f>
        <v>675.33</v>
      </c>
      <c r="L91">
        <f>SmtRes!DB101</f>
        <v>6260.31</v>
      </c>
      <c r="M91">
        <f>ROUND(ROUND(L91*Source!I373, 6)*1, 2)</f>
        <v>1521.26</v>
      </c>
      <c r="N91">
        <f>SmtRes!AB101</f>
        <v>675.33</v>
      </c>
      <c r="O91">
        <f>ROUND(ROUND(L91*Source!I373, 6)*SmtRes!DA101, 2)</f>
        <v>1521.26</v>
      </c>
      <c r="P91">
        <f>SmtRes!AG101</f>
        <v>529.01</v>
      </c>
      <c r="Q91">
        <f>SmtRes!DC101</f>
        <v>4903.92</v>
      </c>
      <c r="R91">
        <f>ROUND(ROUND(Q91*Source!I373, 6)*1, 2)</f>
        <v>1191.6500000000001</v>
      </c>
      <c r="S91">
        <f>SmtRes!AC101</f>
        <v>529.01</v>
      </c>
      <c r="T91">
        <f>ROUND(ROUND(Q91*Source!I373, 6)*SmtRes!AK101, 2)</f>
        <v>1191.6500000000001</v>
      </c>
      <c r="U91">
        <f>SmtRes!X101</f>
        <v>-1331171294</v>
      </c>
      <c r="V91">
        <v>269381960</v>
      </c>
      <c r="W91">
        <v>269381960</v>
      </c>
      <c r="X91">
        <v>2</v>
      </c>
    </row>
    <row r="92" spans="1:24" x14ac:dyDescent="0.2">
      <c r="A92">
        <v>20</v>
      </c>
      <c r="B92">
        <v>104</v>
      </c>
      <c r="C92">
        <v>2</v>
      </c>
      <c r="D92">
        <v>0</v>
      </c>
      <c r="E92">
        <f>SmtRes!AV104</f>
        <v>0</v>
      </c>
      <c r="F92" t="str">
        <f>SmtRes!I104</f>
        <v>22.1-1-5</v>
      </c>
      <c r="G92" t="str">
        <f>SmtRes!K104</f>
        <v>Экскаваторы на гусеничном ходу гидравлические, объем ковша до 0,65 м3</v>
      </c>
      <c r="H92" t="str">
        <f>SmtRes!O104</f>
        <v>маш.-ч</v>
      </c>
      <c r="I92">
        <f>SmtRes!Y104*Source!I375</f>
        <v>6.5245499999999998E-2</v>
      </c>
      <c r="J92">
        <f>SmtRes!AO104</f>
        <v>1</v>
      </c>
      <c r="K92">
        <f>SmtRes!AF104</f>
        <v>1451.71</v>
      </c>
      <c r="L92">
        <f>SmtRes!DB104</f>
        <v>77.959999999999994</v>
      </c>
      <c r="M92">
        <f>ROUND(ROUND(L92*Source!I375, 6)*1, 2)</f>
        <v>94.72</v>
      </c>
      <c r="N92">
        <f>SmtRes!AB104</f>
        <v>1451.71</v>
      </c>
      <c r="O92">
        <f>ROUND(ROUND(L92*Source!I375, 6)*SmtRes!DA104, 2)</f>
        <v>94.72</v>
      </c>
      <c r="P92">
        <f>SmtRes!AG104</f>
        <v>457.95</v>
      </c>
      <c r="Q92">
        <f>SmtRes!DC104</f>
        <v>24.59</v>
      </c>
      <c r="R92">
        <f>ROUND(ROUND(Q92*Source!I375, 6)*1, 2)</f>
        <v>29.88</v>
      </c>
      <c r="S92">
        <f>SmtRes!AC104</f>
        <v>457.95</v>
      </c>
      <c r="T92">
        <f>ROUND(ROUND(Q92*Source!I375, 6)*SmtRes!AK104, 2)</f>
        <v>29.88</v>
      </c>
      <c r="U92">
        <f>SmtRes!X104</f>
        <v>-202408269</v>
      </c>
      <c r="V92">
        <v>-1723912365</v>
      </c>
      <c r="W92">
        <v>-1723912365</v>
      </c>
      <c r="X92">
        <v>2</v>
      </c>
    </row>
    <row r="93" spans="1:24" x14ac:dyDescent="0.2">
      <c r="A93">
        <v>20</v>
      </c>
      <c r="B93">
        <v>107</v>
      </c>
      <c r="C93">
        <v>2</v>
      </c>
      <c r="D93">
        <v>0</v>
      </c>
      <c r="E93">
        <f>SmtRes!AV107</f>
        <v>0</v>
      </c>
      <c r="F93" t="str">
        <f>SmtRes!I107</f>
        <v>22.1-18-13</v>
      </c>
      <c r="G93" t="str">
        <f>SmtRes!K107</f>
        <v>Автомобили-самосвалы, грузоподъемность до 10 т</v>
      </c>
      <c r="H93" t="str">
        <f>SmtRes!O107</f>
        <v>маш.-ч</v>
      </c>
      <c r="I93">
        <f>SmtRes!Y107*Source!I377</f>
        <v>2.1870000000000001E-2</v>
      </c>
      <c r="J93">
        <f>SmtRes!AO107</f>
        <v>1</v>
      </c>
      <c r="K93">
        <f>SmtRes!AF107</f>
        <v>993.6</v>
      </c>
      <c r="L93">
        <f>SmtRes!DB107</f>
        <v>17.88</v>
      </c>
      <c r="M93">
        <f>ROUND(ROUND(L93*Source!I377, 6)*1, 2)</f>
        <v>21.72</v>
      </c>
      <c r="N93">
        <f>SmtRes!AB107</f>
        <v>993.6</v>
      </c>
      <c r="O93">
        <f>ROUND(ROUND(L93*Source!I377, 6)*SmtRes!DA107, 2)</f>
        <v>21.72</v>
      </c>
      <c r="P93">
        <f>SmtRes!AG107</f>
        <v>301.8</v>
      </c>
      <c r="Q93">
        <f>SmtRes!DC107</f>
        <v>5.43</v>
      </c>
      <c r="R93">
        <f>ROUND(ROUND(Q93*Source!I377, 6)*1, 2)</f>
        <v>6.6</v>
      </c>
      <c r="S93">
        <f>SmtRes!AC107</f>
        <v>301.8</v>
      </c>
      <c r="T93">
        <f>ROUND(ROUND(Q93*Source!I377, 6)*SmtRes!AK107, 2)</f>
        <v>6.6</v>
      </c>
      <c r="U93">
        <f>SmtRes!X107</f>
        <v>-1546163025</v>
      </c>
      <c r="V93">
        <v>-1384078646</v>
      </c>
      <c r="W93">
        <v>-1384078646</v>
      </c>
      <c r="X93">
        <v>2</v>
      </c>
    </row>
    <row r="94" spans="1:24" x14ac:dyDescent="0.2">
      <c r="A94">
        <v>20</v>
      </c>
      <c r="B94">
        <v>106</v>
      </c>
      <c r="C94">
        <v>2</v>
      </c>
      <c r="D94">
        <v>0</v>
      </c>
      <c r="E94">
        <f>SmtRes!AV106</f>
        <v>0</v>
      </c>
      <c r="F94" t="str">
        <f>SmtRes!I106</f>
        <v>22.1-18-12</v>
      </c>
      <c r="G94" t="str">
        <f>SmtRes!K106</f>
        <v>Автомобили-самосвалы, грузоподъемность до 7 т</v>
      </c>
      <c r="H94" t="str">
        <f>SmtRes!O106</f>
        <v>маш.-ч</v>
      </c>
      <c r="I94">
        <f>SmtRes!Y106*Source!I377</f>
        <v>2.4300000000000002E-2</v>
      </c>
      <c r="J94">
        <f>SmtRes!AO106</f>
        <v>1</v>
      </c>
      <c r="K94">
        <f>SmtRes!AF106</f>
        <v>952.49</v>
      </c>
      <c r="L94">
        <f>SmtRes!DB106</f>
        <v>19.05</v>
      </c>
      <c r="M94">
        <f>ROUND(ROUND(L94*Source!I377, 6)*1, 2)</f>
        <v>23.15</v>
      </c>
      <c r="N94">
        <f>SmtRes!AB106</f>
        <v>952.49</v>
      </c>
      <c r="O94">
        <f>ROUND(ROUND(L94*Source!I377, 6)*SmtRes!DA106, 2)</f>
        <v>23.15</v>
      </c>
      <c r="P94">
        <f>SmtRes!AG106</f>
        <v>301.5</v>
      </c>
      <c r="Q94">
        <f>SmtRes!DC106</f>
        <v>6.03</v>
      </c>
      <c r="R94">
        <f>ROUND(ROUND(Q94*Source!I377, 6)*1, 2)</f>
        <v>7.33</v>
      </c>
      <c r="S94">
        <f>SmtRes!AC106</f>
        <v>301.5</v>
      </c>
      <c r="T94">
        <f>ROUND(ROUND(Q94*Source!I377, 6)*SmtRes!AK106, 2)</f>
        <v>7.33</v>
      </c>
      <c r="U94">
        <f>SmtRes!X106</f>
        <v>468658695</v>
      </c>
      <c r="V94">
        <v>1032900138</v>
      </c>
      <c r="W94">
        <v>1032900138</v>
      </c>
      <c r="X94">
        <v>2</v>
      </c>
    </row>
    <row r="95" spans="1:24" x14ac:dyDescent="0.2">
      <c r="A95">
        <v>20</v>
      </c>
      <c r="B95">
        <v>109</v>
      </c>
      <c r="C95">
        <v>2</v>
      </c>
      <c r="D95">
        <v>0</v>
      </c>
      <c r="E95">
        <f>SmtRes!AV109</f>
        <v>0</v>
      </c>
      <c r="F95" t="str">
        <f>SmtRes!I109</f>
        <v>22.1-18-13</v>
      </c>
      <c r="G95" t="str">
        <f>SmtRes!K109</f>
        <v>Автомобили-самосвалы, грузоподъемность до 10 т</v>
      </c>
      <c r="H95" t="str">
        <f>SmtRes!O109</f>
        <v>маш.-ч</v>
      </c>
      <c r="I95">
        <f>SmtRes!Y109*Source!I378</f>
        <v>2.2275000000000003E-2</v>
      </c>
      <c r="J95">
        <f>SmtRes!AO109</f>
        <v>1</v>
      </c>
      <c r="K95">
        <f>SmtRes!AF109</f>
        <v>993.6</v>
      </c>
      <c r="L95">
        <f>SmtRes!DB109</f>
        <v>54.65</v>
      </c>
      <c r="M95">
        <f>ROUND(ROUND(L95*Source!I378, 6)*1, 2)</f>
        <v>22.13</v>
      </c>
      <c r="N95">
        <f>SmtRes!AB109</f>
        <v>993.6</v>
      </c>
      <c r="O95">
        <f>ROUND(ROUND(L95*Source!I378, 6)*SmtRes!DA109, 2)</f>
        <v>22.13</v>
      </c>
      <c r="P95">
        <f>SmtRes!AG109</f>
        <v>301.8</v>
      </c>
      <c r="Q95">
        <f>SmtRes!DC109</f>
        <v>16.600000000000001</v>
      </c>
      <c r="R95">
        <f>ROUND(ROUND(Q95*Source!I378, 6)*1, 2)</f>
        <v>6.72</v>
      </c>
      <c r="S95">
        <f>SmtRes!AC109</f>
        <v>301.8</v>
      </c>
      <c r="T95">
        <f>ROUND(ROUND(Q95*Source!I378, 6)*SmtRes!AK109, 2)</f>
        <v>6.72</v>
      </c>
      <c r="U95">
        <f>SmtRes!X109</f>
        <v>-1546163025</v>
      </c>
      <c r="V95">
        <v>-1384078646</v>
      </c>
      <c r="W95">
        <v>-1384078646</v>
      </c>
      <c r="X95">
        <v>2</v>
      </c>
    </row>
    <row r="96" spans="1:24" x14ac:dyDescent="0.2">
      <c r="A96">
        <v>20</v>
      </c>
      <c r="B96">
        <v>108</v>
      </c>
      <c r="C96">
        <v>2</v>
      </c>
      <c r="D96">
        <v>0</v>
      </c>
      <c r="E96">
        <f>SmtRes!AV108</f>
        <v>0</v>
      </c>
      <c r="F96" t="str">
        <f>SmtRes!I108</f>
        <v>22.1-18-12</v>
      </c>
      <c r="G96" t="str">
        <f>SmtRes!K108</f>
        <v>Автомобили-самосвалы, грузоподъемность до 7 т</v>
      </c>
      <c r="H96" t="str">
        <f>SmtRes!O108</f>
        <v>маш.-ч</v>
      </c>
      <c r="I96">
        <f>SmtRes!Y108*Source!I378</f>
        <v>2.1870000000000001E-2</v>
      </c>
      <c r="J96">
        <f>SmtRes!AO108</f>
        <v>1</v>
      </c>
      <c r="K96">
        <f>SmtRes!AF108</f>
        <v>952.49</v>
      </c>
      <c r="L96">
        <f>SmtRes!DB108</f>
        <v>51.43</v>
      </c>
      <c r="M96">
        <f>ROUND(ROUND(L96*Source!I378, 6)*1, 2)</f>
        <v>20.83</v>
      </c>
      <c r="N96">
        <f>SmtRes!AB108</f>
        <v>952.49</v>
      </c>
      <c r="O96">
        <f>ROUND(ROUND(L96*Source!I378, 6)*SmtRes!DA108, 2)</f>
        <v>20.83</v>
      </c>
      <c r="P96">
        <f>SmtRes!AG108</f>
        <v>301.5</v>
      </c>
      <c r="Q96">
        <f>SmtRes!DC108</f>
        <v>16.28</v>
      </c>
      <c r="R96">
        <f>ROUND(ROUND(Q96*Source!I378, 6)*1, 2)</f>
        <v>6.59</v>
      </c>
      <c r="S96">
        <f>SmtRes!AC108</f>
        <v>301.5</v>
      </c>
      <c r="T96">
        <f>ROUND(ROUND(Q96*Source!I378, 6)*SmtRes!AK108, 2)</f>
        <v>6.59</v>
      </c>
      <c r="U96">
        <f>SmtRes!X108</f>
        <v>468658695</v>
      </c>
      <c r="V96">
        <v>1032900138</v>
      </c>
      <c r="W96">
        <v>1032900138</v>
      </c>
      <c r="X96">
        <v>2</v>
      </c>
    </row>
    <row r="97" spans="1:24" x14ac:dyDescent="0.2">
      <c r="A97">
        <v>20</v>
      </c>
      <c r="B97">
        <v>111</v>
      </c>
      <c r="C97">
        <v>2</v>
      </c>
      <c r="D97">
        <v>0</v>
      </c>
      <c r="E97">
        <f>SmtRes!AV111</f>
        <v>0</v>
      </c>
      <c r="F97" t="str">
        <f>SmtRes!I111</f>
        <v>22.1-18-13</v>
      </c>
      <c r="G97" t="str">
        <f>SmtRes!K111</f>
        <v>Автомобили-самосвалы, грузоподъемность до 10 т</v>
      </c>
      <c r="H97" t="str">
        <f>SmtRes!O111</f>
        <v>маш.-ч</v>
      </c>
      <c r="I97">
        <f>SmtRes!Y111*Source!I379</f>
        <v>0.20736000000000002</v>
      </c>
      <c r="J97">
        <f>SmtRes!AO111</f>
        <v>1</v>
      </c>
      <c r="K97">
        <f>SmtRes!AF111</f>
        <v>993.6</v>
      </c>
      <c r="L97">
        <f>SmtRes!DB111</f>
        <v>127.2</v>
      </c>
      <c r="M97">
        <f>ROUND(ROUND(L97*Source!I379, 6)*1, 2)</f>
        <v>206.06</v>
      </c>
      <c r="N97">
        <f>SmtRes!AB111</f>
        <v>993.6</v>
      </c>
      <c r="O97">
        <f>ROUND(ROUND(L97*Source!I379, 6)*SmtRes!DA111, 2)</f>
        <v>206.06</v>
      </c>
      <c r="P97">
        <f>SmtRes!AG111</f>
        <v>301.8</v>
      </c>
      <c r="Q97">
        <f>SmtRes!DC111</f>
        <v>38.56</v>
      </c>
      <c r="R97">
        <f>ROUND(ROUND(Q97*Source!I379, 6)*1, 2)</f>
        <v>62.47</v>
      </c>
      <c r="S97">
        <f>SmtRes!AC111</f>
        <v>301.8</v>
      </c>
      <c r="T97">
        <f>ROUND(ROUND(Q97*Source!I379, 6)*SmtRes!AK111, 2)</f>
        <v>62.47</v>
      </c>
      <c r="U97">
        <f>SmtRes!X111</f>
        <v>-1546163025</v>
      </c>
      <c r="V97">
        <v>-1384078646</v>
      </c>
      <c r="W97">
        <v>-1384078646</v>
      </c>
      <c r="X97">
        <v>2</v>
      </c>
    </row>
    <row r="98" spans="1:24" x14ac:dyDescent="0.2">
      <c r="A98">
        <v>20</v>
      </c>
      <c r="B98">
        <v>110</v>
      </c>
      <c r="C98">
        <v>2</v>
      </c>
      <c r="D98">
        <v>0</v>
      </c>
      <c r="E98">
        <f>SmtRes!AV110</f>
        <v>0</v>
      </c>
      <c r="F98" t="str">
        <f>SmtRes!I110</f>
        <v>22.1-18-12</v>
      </c>
      <c r="G98" t="str">
        <f>SmtRes!K110</f>
        <v>Автомобили-самосвалы, грузоподъемность до 7 т</v>
      </c>
      <c r="H98" t="str">
        <f>SmtRes!O110</f>
        <v>маш.-ч</v>
      </c>
      <c r="I98">
        <f>SmtRes!Y110*Source!I379</f>
        <v>0.25920000000000004</v>
      </c>
      <c r="J98">
        <f>SmtRes!AO110</f>
        <v>1</v>
      </c>
      <c r="K98">
        <f>SmtRes!AF110</f>
        <v>952.49</v>
      </c>
      <c r="L98">
        <f>SmtRes!DB110</f>
        <v>152.32</v>
      </c>
      <c r="M98">
        <f>ROUND(ROUND(L98*Source!I379, 6)*1, 2)</f>
        <v>246.76</v>
      </c>
      <c r="N98">
        <f>SmtRes!AB110</f>
        <v>952.49</v>
      </c>
      <c r="O98">
        <f>ROUND(ROUND(L98*Source!I379, 6)*SmtRes!DA110, 2)</f>
        <v>246.76</v>
      </c>
      <c r="P98">
        <f>SmtRes!AG110</f>
        <v>301.5</v>
      </c>
      <c r="Q98">
        <f>SmtRes!DC110</f>
        <v>48.32</v>
      </c>
      <c r="R98">
        <f>ROUND(ROUND(Q98*Source!I379, 6)*1, 2)</f>
        <v>78.28</v>
      </c>
      <c r="S98">
        <f>SmtRes!AC110</f>
        <v>301.5</v>
      </c>
      <c r="T98">
        <f>ROUND(ROUND(Q98*Source!I379, 6)*SmtRes!AK110, 2)</f>
        <v>78.28</v>
      </c>
      <c r="U98">
        <f>SmtRes!X110</f>
        <v>468658695</v>
      </c>
      <c r="V98">
        <v>1032900138</v>
      </c>
      <c r="W98">
        <v>1032900138</v>
      </c>
      <c r="X98">
        <v>2</v>
      </c>
    </row>
    <row r="99" spans="1:24" x14ac:dyDescent="0.2">
      <c r="A99">
        <f>Source!A380</f>
        <v>17</v>
      </c>
      <c r="B99">
        <v>380</v>
      </c>
      <c r="C99">
        <v>3</v>
      </c>
      <c r="D99">
        <f>Source!BI380</f>
        <v>4</v>
      </c>
      <c r="E99">
        <f>Source!FS380</f>
        <v>0</v>
      </c>
      <c r="F99" t="str">
        <f>Source!F380</f>
        <v>21.25-0-1</v>
      </c>
      <c r="G99" t="str">
        <f>Source!G380</f>
        <v>Содержание свалки отходов строительства и сноса</v>
      </c>
      <c r="H99" t="str">
        <f>Source!H380</f>
        <v>т</v>
      </c>
      <c r="I99">
        <f>Source!I380</f>
        <v>1.62</v>
      </c>
      <c r="J99">
        <v>1</v>
      </c>
      <c r="K99">
        <f>Source!AC380</f>
        <v>197.96</v>
      </c>
      <c r="M99">
        <f>ROUND(K99*I99, 2)</f>
        <v>320.7</v>
      </c>
      <c r="N99">
        <f>Source!AC380*IF(Source!BC380&lt;&gt; 0, Source!BC380, 1)</f>
        <v>197.96</v>
      </c>
      <c r="O99">
        <f>ROUND(N99*I99, 2)</f>
        <v>320.7</v>
      </c>
      <c r="P99">
        <f>Source!AE380</f>
        <v>0</v>
      </c>
      <c r="R99">
        <f>ROUND(P99*I99, 2)</f>
        <v>0</v>
      </c>
      <c r="S99">
        <f>Source!AE380*IF(Source!BS380&lt;&gt; 0, Source!BS380, 1)</f>
        <v>0</v>
      </c>
      <c r="T99">
        <f>ROUND(S99*I99, 2)</f>
        <v>0</v>
      </c>
      <c r="U99">
        <f>Source!GF380</f>
        <v>-1219268023</v>
      </c>
      <c r="V99">
        <v>-96028578</v>
      </c>
      <c r="W99">
        <v>-96028578</v>
      </c>
      <c r="X99">
        <v>3</v>
      </c>
    </row>
    <row r="100" spans="1:24" x14ac:dyDescent="0.2">
      <c r="A100">
        <v>20</v>
      </c>
      <c r="B100">
        <v>119</v>
      </c>
      <c r="C100">
        <v>3</v>
      </c>
      <c r="D100">
        <v>0</v>
      </c>
      <c r="E100">
        <f>SmtRes!AV119</f>
        <v>0</v>
      </c>
      <c r="F100" t="str">
        <f>SmtRes!I119</f>
        <v>21.1-25-13</v>
      </c>
      <c r="G100" t="str">
        <f>SmtRes!K119</f>
        <v>Вода</v>
      </c>
      <c r="H100" t="str">
        <f>SmtRes!O119</f>
        <v>м3</v>
      </c>
      <c r="I100">
        <f>SmtRes!Y119*Source!I384</f>
        <v>1.35</v>
      </c>
      <c r="J100">
        <f>SmtRes!AO119</f>
        <v>1</v>
      </c>
      <c r="K100">
        <f>SmtRes!AE119</f>
        <v>33.729999999999997</v>
      </c>
      <c r="L100">
        <f>SmtRes!DB119</f>
        <v>168.65</v>
      </c>
      <c r="M100">
        <f>ROUND(ROUND(L100*Source!I384, 6)*1, 2)</f>
        <v>45.54</v>
      </c>
      <c r="N100">
        <f>SmtRes!AA119</f>
        <v>33.729999999999997</v>
      </c>
      <c r="O100">
        <f>ROUND(ROUND(L100*Source!I384, 6)*SmtRes!DA119, 2)</f>
        <v>45.54</v>
      </c>
      <c r="P100">
        <f>SmtRes!AG119</f>
        <v>0</v>
      </c>
      <c r="Q100">
        <f>SmtRes!DC119</f>
        <v>0</v>
      </c>
      <c r="R100">
        <f>ROUND(ROUND(Q100*Source!I384, 6)*1, 2)</f>
        <v>0</v>
      </c>
      <c r="S100">
        <f>SmtRes!AC119</f>
        <v>0</v>
      </c>
      <c r="T100">
        <f>ROUND(ROUND(Q100*Source!I384, 6)*SmtRes!AK119, 2)</f>
        <v>0</v>
      </c>
      <c r="U100">
        <f>SmtRes!X119</f>
        <v>-1250124927</v>
      </c>
      <c r="V100">
        <v>-474033762</v>
      </c>
      <c r="W100">
        <v>-474033762</v>
      </c>
      <c r="X100">
        <v>3</v>
      </c>
    </row>
    <row r="101" spans="1:24" x14ac:dyDescent="0.2">
      <c r="A101">
        <v>20</v>
      </c>
      <c r="B101">
        <v>118</v>
      </c>
      <c r="C101">
        <v>3</v>
      </c>
      <c r="D101">
        <v>0</v>
      </c>
      <c r="E101">
        <f>SmtRes!AV118</f>
        <v>0</v>
      </c>
      <c r="F101" t="str">
        <f>SmtRes!I118</f>
        <v>21.1-12-10</v>
      </c>
      <c r="G101" t="str">
        <f>SmtRes!K118</f>
        <v>Песок для дорожных работ, рядовой</v>
      </c>
      <c r="H101" t="str">
        <f>SmtRes!O118</f>
        <v>м3</v>
      </c>
      <c r="I101">
        <f>SmtRes!Y118*Source!I384</f>
        <v>29.700000000000003</v>
      </c>
      <c r="J101">
        <f>SmtRes!AO118</f>
        <v>1</v>
      </c>
      <c r="K101">
        <f>SmtRes!AE118</f>
        <v>590.78</v>
      </c>
      <c r="L101">
        <f>SmtRes!DB118</f>
        <v>64985.8</v>
      </c>
      <c r="M101">
        <f>ROUND(ROUND(L101*Source!I384, 6)*1, 2)</f>
        <v>17546.169999999998</v>
      </c>
      <c r="N101">
        <f>SmtRes!AA118</f>
        <v>590.78</v>
      </c>
      <c r="O101">
        <f>ROUND(ROUND(L101*Source!I384, 6)*SmtRes!DA118, 2)</f>
        <v>17546.169999999998</v>
      </c>
      <c r="P101">
        <f>SmtRes!AG118</f>
        <v>0</v>
      </c>
      <c r="Q101">
        <f>SmtRes!DC118</f>
        <v>0</v>
      </c>
      <c r="R101">
        <f>ROUND(ROUND(Q101*Source!I384, 6)*1, 2)</f>
        <v>0</v>
      </c>
      <c r="S101">
        <f>SmtRes!AC118</f>
        <v>0</v>
      </c>
      <c r="T101">
        <f>ROUND(ROUND(Q101*Source!I384, 6)*SmtRes!AK118, 2)</f>
        <v>0</v>
      </c>
      <c r="U101">
        <f>SmtRes!X118</f>
        <v>189307774</v>
      </c>
      <c r="V101">
        <v>1387681249</v>
      </c>
      <c r="W101">
        <v>1387681249</v>
      </c>
      <c r="X101">
        <v>3</v>
      </c>
    </row>
    <row r="102" spans="1:24" x14ac:dyDescent="0.2">
      <c r="A102">
        <v>20</v>
      </c>
      <c r="B102">
        <v>117</v>
      </c>
      <c r="C102">
        <v>2</v>
      </c>
      <c r="D102">
        <v>0</v>
      </c>
      <c r="E102">
        <f>SmtRes!AV117</f>
        <v>0</v>
      </c>
      <c r="F102" t="str">
        <f>SmtRes!I117</f>
        <v>22.1-5-7</v>
      </c>
      <c r="G102" t="str">
        <f>SmtRes!K117</f>
        <v>Катки дорожные самоходные на пневмоколесном ходу, масса до 16 т</v>
      </c>
      <c r="H102" t="str">
        <f>SmtRes!O117</f>
        <v>маш.-ч</v>
      </c>
      <c r="I102">
        <f>SmtRes!Y117*Source!I384</f>
        <v>0.17550000000000002</v>
      </c>
      <c r="J102">
        <f>SmtRes!AO117</f>
        <v>1</v>
      </c>
      <c r="K102">
        <f>SmtRes!AF117</f>
        <v>1179.56</v>
      </c>
      <c r="L102">
        <f>SmtRes!DB117</f>
        <v>766.71</v>
      </c>
      <c r="M102">
        <f>ROUND(ROUND(L102*Source!I384, 6)*1, 2)</f>
        <v>207.01</v>
      </c>
      <c r="N102">
        <f>SmtRes!AB117</f>
        <v>1179.56</v>
      </c>
      <c r="O102">
        <f>ROUND(ROUND(L102*Source!I384, 6)*SmtRes!DA117, 2)</f>
        <v>207.01</v>
      </c>
      <c r="P102">
        <f>SmtRes!AG117</f>
        <v>439.28</v>
      </c>
      <c r="Q102">
        <f>SmtRes!DC117</f>
        <v>285.52999999999997</v>
      </c>
      <c r="R102">
        <f>ROUND(ROUND(Q102*Source!I384, 6)*1, 2)</f>
        <v>77.09</v>
      </c>
      <c r="S102">
        <f>SmtRes!AC117</f>
        <v>439.28</v>
      </c>
      <c r="T102">
        <f>ROUND(ROUND(Q102*Source!I384, 6)*SmtRes!AK117, 2)</f>
        <v>77.09</v>
      </c>
      <c r="U102">
        <f>SmtRes!X117</f>
        <v>393556487</v>
      </c>
      <c r="V102">
        <v>-801114187</v>
      </c>
      <c r="W102">
        <v>-801114187</v>
      </c>
      <c r="X102">
        <v>2</v>
      </c>
    </row>
    <row r="103" spans="1:24" x14ac:dyDescent="0.2">
      <c r="A103">
        <v>20</v>
      </c>
      <c r="B103">
        <v>116</v>
      </c>
      <c r="C103">
        <v>2</v>
      </c>
      <c r="D103">
        <v>0</v>
      </c>
      <c r="E103">
        <f>SmtRes!AV116</f>
        <v>0</v>
      </c>
      <c r="F103" t="str">
        <f>SmtRes!I116</f>
        <v>22.1-5-48</v>
      </c>
      <c r="G103" t="str">
        <f>SmtRes!K116</f>
        <v>Автогрейдеры, мощность 99-147 кВт (130-200 л.с.)</v>
      </c>
      <c r="H103" t="str">
        <f>SmtRes!O116</f>
        <v>маш.-ч</v>
      </c>
      <c r="I103">
        <f>SmtRes!Y116*Source!I384</f>
        <v>0.52380000000000004</v>
      </c>
      <c r="J103">
        <f>SmtRes!AO116</f>
        <v>1</v>
      </c>
      <c r="K103">
        <f>SmtRes!AF116</f>
        <v>1364.77</v>
      </c>
      <c r="L103">
        <f>SmtRes!DB116</f>
        <v>2647.65</v>
      </c>
      <c r="M103">
        <f>ROUND(ROUND(L103*Source!I384, 6)*1, 2)</f>
        <v>714.87</v>
      </c>
      <c r="N103">
        <f>SmtRes!AB116</f>
        <v>1364.77</v>
      </c>
      <c r="O103">
        <f>ROUND(ROUND(L103*Source!I384, 6)*SmtRes!DA116, 2)</f>
        <v>714.87</v>
      </c>
      <c r="P103">
        <f>SmtRes!AG116</f>
        <v>610.30999999999995</v>
      </c>
      <c r="Q103">
        <f>SmtRes!DC116</f>
        <v>1184</v>
      </c>
      <c r="R103">
        <f>ROUND(ROUND(Q103*Source!I384, 6)*1, 2)</f>
        <v>319.68</v>
      </c>
      <c r="S103">
        <f>SmtRes!AC116</f>
        <v>610.30999999999995</v>
      </c>
      <c r="T103">
        <f>ROUND(ROUND(Q103*Source!I384, 6)*SmtRes!AK116, 2)</f>
        <v>319.68</v>
      </c>
      <c r="U103">
        <f>SmtRes!X116</f>
        <v>-1453001133</v>
      </c>
      <c r="V103">
        <v>2009633333</v>
      </c>
      <c r="W103">
        <v>2009633333</v>
      </c>
      <c r="X103">
        <v>2</v>
      </c>
    </row>
    <row r="104" spans="1:24" x14ac:dyDescent="0.2">
      <c r="A104">
        <v>20</v>
      </c>
      <c r="B104">
        <v>115</v>
      </c>
      <c r="C104">
        <v>2</v>
      </c>
      <c r="D104">
        <v>0</v>
      </c>
      <c r="E104">
        <f>SmtRes!AV115</f>
        <v>0</v>
      </c>
      <c r="F104" t="str">
        <f>SmtRes!I115</f>
        <v>22.1-5-18</v>
      </c>
      <c r="G104" t="str">
        <f>SmtRes!K115</f>
        <v>Поливомоечные машины, емкость цистерны более 5000 л</v>
      </c>
      <c r="H104" t="str">
        <f>SmtRes!O115</f>
        <v>маш.-ч</v>
      </c>
      <c r="I104">
        <f>SmtRes!Y115*Source!I384</f>
        <v>0.21870000000000003</v>
      </c>
      <c r="J104">
        <f>SmtRes!AO115</f>
        <v>1</v>
      </c>
      <c r="K104">
        <f>SmtRes!AF115</f>
        <v>1942.21</v>
      </c>
      <c r="L104">
        <f>SmtRes!DB115</f>
        <v>1573.19</v>
      </c>
      <c r="M104">
        <f>ROUND(ROUND(L104*Source!I384, 6)*1, 2)</f>
        <v>424.76</v>
      </c>
      <c r="N104">
        <f>SmtRes!AB115</f>
        <v>1942.21</v>
      </c>
      <c r="O104">
        <f>ROUND(ROUND(L104*Source!I384, 6)*SmtRes!DA115, 2)</f>
        <v>424.76</v>
      </c>
      <c r="P104">
        <f>SmtRes!AG115</f>
        <v>436.39</v>
      </c>
      <c r="Q104">
        <f>SmtRes!DC115</f>
        <v>353.48</v>
      </c>
      <c r="R104">
        <f>ROUND(ROUND(Q104*Source!I384, 6)*1, 2)</f>
        <v>95.44</v>
      </c>
      <c r="S104">
        <f>SmtRes!AC115</f>
        <v>436.39</v>
      </c>
      <c r="T104">
        <f>ROUND(ROUND(Q104*Source!I384, 6)*SmtRes!AK115, 2)</f>
        <v>95.44</v>
      </c>
      <c r="U104">
        <f>SmtRes!X115</f>
        <v>-1802121576</v>
      </c>
      <c r="V104">
        <v>-514054631</v>
      </c>
      <c r="W104">
        <v>-514054631</v>
      </c>
      <c r="X104">
        <v>2</v>
      </c>
    </row>
    <row r="105" spans="1:24" x14ac:dyDescent="0.2">
      <c r="A105">
        <v>20</v>
      </c>
      <c r="B105">
        <v>114</v>
      </c>
      <c r="C105">
        <v>2</v>
      </c>
      <c r="D105">
        <v>0</v>
      </c>
      <c r="E105">
        <f>SmtRes!AV114</f>
        <v>0</v>
      </c>
      <c r="F105" t="str">
        <f>SmtRes!I114</f>
        <v>22.1-5-15</v>
      </c>
      <c r="G105" t="str">
        <f>SmtRes!K114</f>
        <v>Катки прицепные пневмоколесные, масса до 50 т</v>
      </c>
      <c r="H105" t="str">
        <f>SmtRes!O114</f>
        <v>маш.-ч</v>
      </c>
      <c r="I105">
        <f>SmtRes!Y114*Source!I384</f>
        <v>0.5616000000000001</v>
      </c>
      <c r="J105">
        <f>SmtRes!AO114</f>
        <v>1</v>
      </c>
      <c r="K105">
        <f>SmtRes!AF114</f>
        <v>416.25</v>
      </c>
      <c r="L105">
        <f>SmtRes!DB114</f>
        <v>865.8</v>
      </c>
      <c r="M105">
        <f>ROUND(ROUND(L105*Source!I384, 6)*1, 2)</f>
        <v>233.77</v>
      </c>
      <c r="N105">
        <f>SmtRes!AB114</f>
        <v>416.25</v>
      </c>
      <c r="O105">
        <f>ROUND(ROUND(L105*Source!I384, 6)*SmtRes!DA114, 2)</f>
        <v>233.77</v>
      </c>
      <c r="P105">
        <f>SmtRes!AG114</f>
        <v>204.9</v>
      </c>
      <c r="Q105">
        <f>SmtRes!DC114</f>
        <v>426.19</v>
      </c>
      <c r="R105">
        <f>ROUND(ROUND(Q105*Source!I384, 6)*1, 2)</f>
        <v>115.07</v>
      </c>
      <c r="S105">
        <f>SmtRes!AC114</f>
        <v>204.9</v>
      </c>
      <c r="T105">
        <f>ROUND(ROUND(Q105*Source!I384, 6)*SmtRes!AK114, 2)</f>
        <v>115.07</v>
      </c>
      <c r="U105">
        <f>SmtRes!X114</f>
        <v>1265029398</v>
      </c>
      <c r="V105">
        <v>-1472439335</v>
      </c>
      <c r="W105">
        <v>-1472439335</v>
      </c>
      <c r="X105">
        <v>2</v>
      </c>
    </row>
    <row r="106" spans="1:24" x14ac:dyDescent="0.2">
      <c r="A106">
        <v>20</v>
      </c>
      <c r="B106">
        <v>113</v>
      </c>
      <c r="C106">
        <v>2</v>
      </c>
      <c r="D106">
        <v>0</v>
      </c>
      <c r="E106">
        <f>SmtRes!AV113</f>
        <v>0</v>
      </c>
      <c r="F106" t="str">
        <f>SmtRes!I113</f>
        <v>22.1-2-1</v>
      </c>
      <c r="G106" t="str">
        <f>SmtRes!K113</f>
        <v>Тракторы на гусеничном ходу, мощность до 60 (81) кВт (л.с.)</v>
      </c>
      <c r="H106" t="str">
        <f>SmtRes!O113</f>
        <v>маш.-ч</v>
      </c>
      <c r="I106">
        <f>SmtRes!Y113*Source!I384</f>
        <v>0.5616000000000001</v>
      </c>
      <c r="J106">
        <f>SmtRes!AO113</f>
        <v>1</v>
      </c>
      <c r="K106">
        <f>SmtRes!AF113</f>
        <v>1159.46</v>
      </c>
      <c r="L106">
        <f>SmtRes!DB113</f>
        <v>2411.6799999999998</v>
      </c>
      <c r="M106">
        <f>ROUND(ROUND(L106*Source!I384, 6)*1, 2)</f>
        <v>651.15</v>
      </c>
      <c r="N106">
        <f>SmtRes!AB113</f>
        <v>1159.46</v>
      </c>
      <c r="O106">
        <f>ROUND(ROUND(L106*Source!I384, 6)*SmtRes!DA113, 2)</f>
        <v>651.15</v>
      </c>
      <c r="P106">
        <f>SmtRes!AG113</f>
        <v>525.74</v>
      </c>
      <c r="Q106">
        <f>SmtRes!DC113</f>
        <v>1093.54</v>
      </c>
      <c r="R106">
        <f>ROUND(ROUND(Q106*Source!I384, 6)*1, 2)</f>
        <v>295.26</v>
      </c>
      <c r="S106">
        <f>SmtRes!AC113</f>
        <v>525.74</v>
      </c>
      <c r="T106">
        <f>ROUND(ROUND(Q106*Source!I384, 6)*SmtRes!AK113, 2)</f>
        <v>295.26</v>
      </c>
      <c r="U106">
        <f>SmtRes!X113</f>
        <v>2063784432</v>
      </c>
      <c r="V106">
        <v>-1910138473</v>
      </c>
      <c r="W106">
        <v>-1910138473</v>
      </c>
      <c r="X106">
        <v>2</v>
      </c>
    </row>
    <row r="107" spans="1:24" x14ac:dyDescent="0.2">
      <c r="A107">
        <f>Source!A449</f>
        <v>4</v>
      </c>
      <c r="B107">
        <v>449</v>
      </c>
      <c r="G107" t="str">
        <f>Source!G449</f>
        <v>ЛЗ "Теплый Стан" - 171 кв.м (кв. 15, выд. 75)</v>
      </c>
    </row>
    <row r="108" spans="1:24" x14ac:dyDescent="0.2">
      <c r="A108">
        <f>Source!A453</f>
        <v>5</v>
      </c>
      <c r="B108">
        <v>453</v>
      </c>
      <c r="G108" t="str">
        <f>Source!G453</f>
        <v>Демонтаж</v>
      </c>
    </row>
    <row r="109" spans="1:24" x14ac:dyDescent="0.2">
      <c r="A109">
        <v>20</v>
      </c>
      <c r="B109">
        <v>125</v>
      </c>
      <c r="C109">
        <v>2</v>
      </c>
      <c r="D109">
        <v>0</v>
      </c>
      <c r="E109">
        <f>SmtRes!AV125</f>
        <v>0</v>
      </c>
      <c r="F109" t="str">
        <f>SmtRes!I125</f>
        <v>22.1-30-30</v>
      </c>
      <c r="G109" t="str">
        <f>SmtRes!K125</f>
        <v>Рубанки ручные электрические</v>
      </c>
      <c r="H109" t="str">
        <f>SmtRes!O125</f>
        <v>маш.-ч</v>
      </c>
      <c r="I109">
        <f>SmtRes!Y125*Source!I457</f>
        <v>1.0499999999999999E-3</v>
      </c>
      <c r="J109">
        <f>SmtRes!AO125</f>
        <v>1</v>
      </c>
      <c r="K109">
        <f>SmtRes!AF125</f>
        <v>6.28</v>
      </c>
      <c r="L109">
        <f>SmtRes!DB125</f>
        <v>0.06</v>
      </c>
      <c r="M109">
        <f>ROUND(ROUND(L109*Source!I457, 6)*1, 2)</f>
        <v>0.01</v>
      </c>
      <c r="N109">
        <f>SmtRes!AB125</f>
        <v>6.28</v>
      </c>
      <c r="O109">
        <f>ROUND(ROUND(L109*Source!I457, 6)*SmtRes!DA125, 2)</f>
        <v>0.01</v>
      </c>
      <c r="P109">
        <f>SmtRes!AG125</f>
        <v>0.01</v>
      </c>
      <c r="Q109">
        <f>SmtRes!DC125</f>
        <v>0</v>
      </c>
      <c r="R109">
        <f>ROUND(ROUND(Q109*Source!I457, 6)*1, 2)</f>
        <v>0</v>
      </c>
      <c r="S109">
        <f>SmtRes!AC125</f>
        <v>0.01</v>
      </c>
      <c r="T109">
        <f>ROUND(ROUND(Q109*Source!I457, 6)*SmtRes!AK125, 2)</f>
        <v>0</v>
      </c>
      <c r="U109">
        <f>SmtRes!X125</f>
        <v>1675990774</v>
      </c>
      <c r="V109">
        <v>1286183735</v>
      </c>
      <c r="W109">
        <v>1286183735</v>
      </c>
      <c r="X109">
        <v>2</v>
      </c>
    </row>
    <row r="110" spans="1:24" x14ac:dyDescent="0.2">
      <c r="A110">
        <v>20</v>
      </c>
      <c r="B110">
        <v>131</v>
      </c>
      <c r="C110">
        <v>2</v>
      </c>
      <c r="D110">
        <v>0</v>
      </c>
      <c r="E110">
        <f>SmtRes!AV131</f>
        <v>0</v>
      </c>
      <c r="F110" t="str">
        <f>SmtRes!I131</f>
        <v>22.1-18-13</v>
      </c>
      <c r="G110" t="str">
        <f>SmtRes!K131</f>
        <v>Автомобили-самосвалы, грузоподъемность до 10 т</v>
      </c>
      <c r="H110" t="str">
        <f>SmtRes!O131</f>
        <v>маш.-ч</v>
      </c>
      <c r="I110">
        <f>SmtRes!Y131*Source!I461</f>
        <v>3.7537500000000001E-3</v>
      </c>
      <c r="J110">
        <f>SmtRes!AO131</f>
        <v>1</v>
      </c>
      <c r="K110">
        <f>SmtRes!AF131</f>
        <v>993.6</v>
      </c>
      <c r="L110">
        <f>SmtRes!DB131</f>
        <v>54.65</v>
      </c>
      <c r="M110">
        <f>ROUND(ROUND(L110*Source!I461, 6)*1, 2)</f>
        <v>3.73</v>
      </c>
      <c r="N110">
        <f>SmtRes!AB131</f>
        <v>993.6</v>
      </c>
      <c r="O110">
        <f>ROUND(ROUND(L110*Source!I461, 6)*SmtRes!DA131, 2)</f>
        <v>3.73</v>
      </c>
      <c r="P110">
        <f>SmtRes!AG131</f>
        <v>301.8</v>
      </c>
      <c r="Q110">
        <f>SmtRes!DC131</f>
        <v>16.600000000000001</v>
      </c>
      <c r="R110">
        <f>ROUND(ROUND(Q110*Source!I461, 6)*1, 2)</f>
        <v>1.1299999999999999</v>
      </c>
      <c r="S110">
        <f>SmtRes!AC131</f>
        <v>301.8</v>
      </c>
      <c r="T110">
        <f>ROUND(ROUND(Q110*Source!I461, 6)*SmtRes!AK131, 2)</f>
        <v>1.1299999999999999</v>
      </c>
      <c r="U110">
        <f>SmtRes!X131</f>
        <v>-1546163025</v>
      </c>
      <c r="V110">
        <v>-1384078646</v>
      </c>
      <c r="W110">
        <v>-1384078646</v>
      </c>
      <c r="X110">
        <v>2</v>
      </c>
    </row>
    <row r="111" spans="1:24" x14ac:dyDescent="0.2">
      <c r="A111">
        <v>20</v>
      </c>
      <c r="B111">
        <v>130</v>
      </c>
      <c r="C111">
        <v>2</v>
      </c>
      <c r="D111">
        <v>0</v>
      </c>
      <c r="E111">
        <f>SmtRes!AV130</f>
        <v>0</v>
      </c>
      <c r="F111" t="str">
        <f>SmtRes!I130</f>
        <v>22.1-18-12</v>
      </c>
      <c r="G111" t="str">
        <f>SmtRes!K130</f>
        <v>Автомобили-самосвалы, грузоподъемность до 7 т</v>
      </c>
      <c r="H111" t="str">
        <f>SmtRes!O130</f>
        <v>маш.-ч</v>
      </c>
      <c r="I111">
        <f>SmtRes!Y130*Source!I461</f>
        <v>3.6855000000000004E-3</v>
      </c>
      <c r="J111">
        <f>SmtRes!AO130</f>
        <v>1</v>
      </c>
      <c r="K111">
        <f>SmtRes!AF130</f>
        <v>952.49</v>
      </c>
      <c r="L111">
        <f>SmtRes!DB130</f>
        <v>51.43</v>
      </c>
      <c r="M111">
        <f>ROUND(ROUND(L111*Source!I461, 6)*1, 2)</f>
        <v>3.51</v>
      </c>
      <c r="N111">
        <f>SmtRes!AB130</f>
        <v>952.49</v>
      </c>
      <c r="O111">
        <f>ROUND(ROUND(L111*Source!I461, 6)*SmtRes!DA130, 2)</f>
        <v>3.51</v>
      </c>
      <c r="P111">
        <f>SmtRes!AG130</f>
        <v>301.5</v>
      </c>
      <c r="Q111">
        <f>SmtRes!DC130</f>
        <v>16.28</v>
      </c>
      <c r="R111">
        <f>ROUND(ROUND(Q111*Source!I461, 6)*1, 2)</f>
        <v>1.1100000000000001</v>
      </c>
      <c r="S111">
        <f>SmtRes!AC130</f>
        <v>301.5</v>
      </c>
      <c r="T111">
        <f>ROUND(ROUND(Q111*Source!I461, 6)*SmtRes!AK130, 2)</f>
        <v>1.1100000000000001</v>
      </c>
      <c r="U111">
        <f>SmtRes!X130</f>
        <v>468658695</v>
      </c>
      <c r="V111">
        <v>1032900138</v>
      </c>
      <c r="W111">
        <v>1032900138</v>
      </c>
      <c r="X111">
        <v>2</v>
      </c>
    </row>
    <row r="112" spans="1:24" x14ac:dyDescent="0.2">
      <c r="A112">
        <v>20</v>
      </c>
      <c r="B112">
        <v>133</v>
      </c>
      <c r="C112">
        <v>2</v>
      </c>
      <c r="D112">
        <v>0</v>
      </c>
      <c r="E112">
        <f>SmtRes!AV133</f>
        <v>0</v>
      </c>
      <c r="F112" t="str">
        <f>SmtRes!I133</f>
        <v>22.1-18-13</v>
      </c>
      <c r="G112" t="str">
        <f>SmtRes!K133</f>
        <v>Автомобили-самосвалы, грузоподъемность до 10 т</v>
      </c>
      <c r="H112" t="str">
        <f>SmtRes!O133</f>
        <v>маш.-ч</v>
      </c>
      <c r="I112">
        <f>SmtRes!Y133*Source!I462</f>
        <v>8.7360000000000007E-3</v>
      </c>
      <c r="J112">
        <f>SmtRes!AO133</f>
        <v>1</v>
      </c>
      <c r="K112">
        <f>SmtRes!AF133</f>
        <v>993.6</v>
      </c>
      <c r="L112">
        <f>SmtRes!DB133</f>
        <v>127.2</v>
      </c>
      <c r="M112">
        <f>ROUND(ROUND(L112*Source!I462, 6)*1, 2)</f>
        <v>8.68</v>
      </c>
      <c r="N112">
        <f>SmtRes!AB133</f>
        <v>993.6</v>
      </c>
      <c r="O112">
        <f>ROUND(ROUND(L112*Source!I462, 6)*SmtRes!DA133, 2)</f>
        <v>8.68</v>
      </c>
      <c r="P112">
        <f>SmtRes!AG133</f>
        <v>301.8</v>
      </c>
      <c r="Q112">
        <f>SmtRes!DC133</f>
        <v>38.56</v>
      </c>
      <c r="R112">
        <f>ROUND(ROUND(Q112*Source!I462, 6)*1, 2)</f>
        <v>2.63</v>
      </c>
      <c r="S112">
        <f>SmtRes!AC133</f>
        <v>301.8</v>
      </c>
      <c r="T112">
        <f>ROUND(ROUND(Q112*Source!I462, 6)*SmtRes!AK133, 2)</f>
        <v>2.63</v>
      </c>
      <c r="U112">
        <f>SmtRes!X133</f>
        <v>-1546163025</v>
      </c>
      <c r="V112">
        <v>-1384078646</v>
      </c>
      <c r="W112">
        <v>-1384078646</v>
      </c>
      <c r="X112">
        <v>2</v>
      </c>
    </row>
    <row r="113" spans="1:24" x14ac:dyDescent="0.2">
      <c r="A113">
        <v>20</v>
      </c>
      <c r="B113">
        <v>132</v>
      </c>
      <c r="C113">
        <v>2</v>
      </c>
      <c r="D113">
        <v>0</v>
      </c>
      <c r="E113">
        <f>SmtRes!AV132</f>
        <v>0</v>
      </c>
      <c r="F113" t="str">
        <f>SmtRes!I132</f>
        <v>22.1-18-12</v>
      </c>
      <c r="G113" t="str">
        <f>SmtRes!K132</f>
        <v>Автомобили-самосвалы, грузоподъемность до 7 т</v>
      </c>
      <c r="H113" t="str">
        <f>SmtRes!O132</f>
        <v>маш.-ч</v>
      </c>
      <c r="I113">
        <f>SmtRes!Y132*Source!I462</f>
        <v>1.0920000000000001E-2</v>
      </c>
      <c r="J113">
        <f>SmtRes!AO132</f>
        <v>1</v>
      </c>
      <c r="K113">
        <f>SmtRes!AF132</f>
        <v>952.49</v>
      </c>
      <c r="L113">
        <f>SmtRes!DB132</f>
        <v>152.32</v>
      </c>
      <c r="M113">
        <f>ROUND(ROUND(L113*Source!I462, 6)*1, 2)</f>
        <v>10.4</v>
      </c>
      <c r="N113">
        <f>SmtRes!AB132</f>
        <v>952.49</v>
      </c>
      <c r="O113">
        <f>ROUND(ROUND(L113*Source!I462, 6)*SmtRes!DA132, 2)</f>
        <v>10.4</v>
      </c>
      <c r="P113">
        <f>SmtRes!AG132</f>
        <v>301.5</v>
      </c>
      <c r="Q113">
        <f>SmtRes!DC132</f>
        <v>48.32</v>
      </c>
      <c r="R113">
        <f>ROUND(ROUND(Q113*Source!I462, 6)*1, 2)</f>
        <v>3.3</v>
      </c>
      <c r="S113">
        <f>SmtRes!AC132</f>
        <v>301.5</v>
      </c>
      <c r="T113">
        <f>ROUND(ROUND(Q113*Source!I462, 6)*SmtRes!AK132, 2)</f>
        <v>3.3</v>
      </c>
      <c r="U113">
        <f>SmtRes!X132</f>
        <v>468658695</v>
      </c>
      <c r="V113">
        <v>1032900138</v>
      </c>
      <c r="W113">
        <v>1032900138</v>
      </c>
      <c r="X113">
        <v>2</v>
      </c>
    </row>
    <row r="114" spans="1:24" x14ac:dyDescent="0.2">
      <c r="A114">
        <f>Source!A463</f>
        <v>17</v>
      </c>
      <c r="B114">
        <v>463</v>
      </c>
      <c r="C114">
        <v>3</v>
      </c>
      <c r="D114">
        <f>Source!BI463</f>
        <v>4</v>
      </c>
      <c r="E114">
        <f>Source!FS463</f>
        <v>0</v>
      </c>
      <c r="F114" t="str">
        <f>Source!F463</f>
        <v>21.25-0-1</v>
      </c>
      <c r="G114" t="str">
        <f>Source!G463</f>
        <v>Содержание свалки отходов строительства и сноса</v>
      </c>
      <c r="H114" t="str">
        <f>Source!H463</f>
        <v>т</v>
      </c>
      <c r="I114">
        <f>Source!I463</f>
        <v>6.8250000000000005E-2</v>
      </c>
      <c r="J114">
        <v>1</v>
      </c>
      <c r="K114">
        <f>Source!AC463</f>
        <v>197.96</v>
      </c>
      <c r="M114">
        <f>ROUND(K114*I114, 2)</f>
        <v>13.51</v>
      </c>
      <c r="N114">
        <f>Source!AC463*IF(Source!BC463&lt;&gt; 0, Source!BC463, 1)</f>
        <v>197.96</v>
      </c>
      <c r="O114">
        <f>ROUND(N114*I114, 2)</f>
        <v>13.51</v>
      </c>
      <c r="P114">
        <f>Source!AE463</f>
        <v>0</v>
      </c>
      <c r="R114">
        <f>ROUND(P114*I114, 2)</f>
        <v>0</v>
      </c>
      <c r="S114">
        <f>Source!AE463*IF(Source!BS463&lt;&gt; 0, Source!BS463, 1)</f>
        <v>0</v>
      </c>
      <c r="T114">
        <f>ROUND(S114*I114, 2)</f>
        <v>0</v>
      </c>
      <c r="U114">
        <f>Source!GF463</f>
        <v>-1219268023</v>
      </c>
      <c r="V114">
        <v>-96028578</v>
      </c>
      <c r="W114">
        <v>-96028578</v>
      </c>
      <c r="X114">
        <v>3</v>
      </c>
    </row>
    <row r="115" spans="1:24" x14ac:dyDescent="0.2">
      <c r="A115">
        <f>Source!A495</f>
        <v>5</v>
      </c>
      <c r="B115">
        <v>495</v>
      </c>
      <c r="G115" t="str">
        <f>Source!G495</f>
        <v>Установка оборудования для выгула собак</v>
      </c>
    </row>
    <row r="116" spans="1:24" x14ac:dyDescent="0.2">
      <c r="A116">
        <f>Source!A500</f>
        <v>17</v>
      </c>
      <c r="B116">
        <v>500</v>
      </c>
      <c r="C116">
        <v>3</v>
      </c>
      <c r="D116">
        <f>Source!BI500</f>
        <v>1</v>
      </c>
      <c r="E116">
        <f>Source!FS500</f>
        <v>0</v>
      </c>
      <c r="F116" t="str">
        <f>Source!F500</f>
        <v>Цена поставщика</v>
      </c>
      <c r="G116" t="str">
        <f>Source!G500</f>
        <v>Горка СП009 для собачьих площадок</v>
      </c>
      <c r="H116" t="str">
        <f>Source!H500</f>
        <v>шт.</v>
      </c>
      <c r="I116">
        <f>Source!I500</f>
        <v>1</v>
      </c>
      <c r="J116">
        <v>1</v>
      </c>
      <c r="K116">
        <f>Source!AC500</f>
        <v>29364.73</v>
      </c>
      <c r="M116">
        <f t="shared" ref="M116:M121" si="8">ROUND(K116*I116, 2)</f>
        <v>29364.73</v>
      </c>
      <c r="N116">
        <f>Source!AC500*IF(Source!BC500&lt;&gt; 0, Source!BC500, 1)</f>
        <v>29364.73</v>
      </c>
      <c r="O116">
        <f t="shared" ref="O116:O121" si="9">ROUND(N116*I116, 2)</f>
        <v>29364.73</v>
      </c>
      <c r="P116">
        <f>Source!AE500</f>
        <v>0</v>
      </c>
      <c r="R116">
        <f t="shared" ref="R116:R121" si="10">ROUND(P116*I116, 2)</f>
        <v>0</v>
      </c>
      <c r="S116">
        <f>Source!AE500*IF(Source!BS500&lt;&gt; 0, Source!BS500, 1)</f>
        <v>0</v>
      </c>
      <c r="T116">
        <f t="shared" ref="T116:T121" si="11">ROUND(S116*I116, 2)</f>
        <v>0</v>
      </c>
      <c r="U116">
        <f>Source!GF500</f>
        <v>-295362686</v>
      </c>
      <c r="V116">
        <v>-1326419303</v>
      </c>
      <c r="W116">
        <v>-1326419303</v>
      </c>
      <c r="X116">
        <v>3</v>
      </c>
    </row>
    <row r="117" spans="1:24" x14ac:dyDescent="0.2">
      <c r="A117">
        <f>Source!A501</f>
        <v>17</v>
      </c>
      <c r="B117">
        <v>501</v>
      </c>
      <c r="C117">
        <v>3</v>
      </c>
      <c r="D117">
        <f>Source!BI501</f>
        <v>1</v>
      </c>
      <c r="E117">
        <f>Source!FS501</f>
        <v>0</v>
      </c>
      <c r="F117" t="str">
        <f>Source!F501</f>
        <v>Цена поставщика</v>
      </c>
      <c r="G117" t="str">
        <f>Source!G501</f>
        <v>Слалом СП016 для собачьих площадок</v>
      </c>
      <c r="H117" t="str">
        <f>Source!H501</f>
        <v>шт.</v>
      </c>
      <c r="I117">
        <f>Source!I501</f>
        <v>1</v>
      </c>
      <c r="J117">
        <v>1</v>
      </c>
      <c r="K117">
        <f>Source!AC501</f>
        <v>18699.73</v>
      </c>
      <c r="M117">
        <f t="shared" si="8"/>
        <v>18699.73</v>
      </c>
      <c r="N117">
        <f>Source!AC501*IF(Source!BC501&lt;&gt; 0, Source!BC501, 1)</f>
        <v>18699.73</v>
      </c>
      <c r="O117">
        <f t="shared" si="9"/>
        <v>18699.73</v>
      </c>
      <c r="P117">
        <f>Source!AE501</f>
        <v>0</v>
      </c>
      <c r="R117">
        <f t="shared" si="10"/>
        <v>0</v>
      </c>
      <c r="S117">
        <f>Source!AE501*IF(Source!BS501&lt;&gt; 0, Source!BS501, 1)</f>
        <v>0</v>
      </c>
      <c r="T117">
        <f t="shared" si="11"/>
        <v>0</v>
      </c>
      <c r="U117">
        <f>Source!GF501</f>
        <v>918400748</v>
      </c>
      <c r="V117">
        <v>-883060739</v>
      </c>
      <c r="W117">
        <v>-883060739</v>
      </c>
      <c r="X117">
        <v>3</v>
      </c>
    </row>
    <row r="118" spans="1:24" x14ac:dyDescent="0.2">
      <c r="A118">
        <f>Source!A502</f>
        <v>17</v>
      </c>
      <c r="B118">
        <v>502</v>
      </c>
      <c r="C118">
        <v>3</v>
      </c>
      <c r="D118">
        <f>Source!BI502</f>
        <v>1</v>
      </c>
      <c r="E118">
        <f>Source!FS502</f>
        <v>0</v>
      </c>
      <c r="F118" t="str">
        <f>Source!F502</f>
        <v>Цена поставщика</v>
      </c>
      <c r="G118" t="str">
        <f>Source!G502</f>
        <v>Барьер 500 СП001 для собачьих площадок</v>
      </c>
      <c r="H118" t="str">
        <f>Source!H502</f>
        <v>шт.</v>
      </c>
      <c r="I118">
        <f>Source!I502</f>
        <v>1</v>
      </c>
      <c r="J118">
        <v>1</v>
      </c>
      <c r="K118">
        <f>Source!AC502</f>
        <v>17050</v>
      </c>
      <c r="M118">
        <f t="shared" si="8"/>
        <v>17050</v>
      </c>
      <c r="N118">
        <f>Source!AC502*IF(Source!BC502&lt;&gt; 0, Source!BC502, 1)</f>
        <v>17050</v>
      </c>
      <c r="O118">
        <f t="shared" si="9"/>
        <v>17050</v>
      </c>
      <c r="P118">
        <f>Source!AE502</f>
        <v>0</v>
      </c>
      <c r="R118">
        <f t="shared" si="10"/>
        <v>0</v>
      </c>
      <c r="S118">
        <f>Source!AE502*IF(Source!BS502&lt;&gt; 0, Source!BS502, 1)</f>
        <v>0</v>
      </c>
      <c r="T118">
        <f t="shared" si="11"/>
        <v>0</v>
      </c>
      <c r="U118">
        <f>Source!GF502</f>
        <v>557786794</v>
      </c>
      <c r="V118">
        <v>801461365</v>
      </c>
      <c r="W118">
        <v>801461365</v>
      </c>
      <c r="X118">
        <v>3</v>
      </c>
    </row>
    <row r="119" spans="1:24" x14ac:dyDescent="0.2">
      <c r="A119">
        <f>Source!A503</f>
        <v>17</v>
      </c>
      <c r="B119">
        <v>503</v>
      </c>
      <c r="C119">
        <v>3</v>
      </c>
      <c r="D119">
        <f>Source!BI503</f>
        <v>1</v>
      </c>
      <c r="E119">
        <f>Source!FS503</f>
        <v>0</v>
      </c>
      <c r="F119" t="str">
        <f>Source!F503</f>
        <v>Цена поставщика</v>
      </c>
      <c r="G119" t="str">
        <f>Source!G503</f>
        <v>Барьер 1000 СП002 для собачьих площадок</v>
      </c>
      <c r="H119" t="str">
        <f>Source!H503</f>
        <v>шт.</v>
      </c>
      <c r="I119">
        <f>Source!I503</f>
        <v>1</v>
      </c>
      <c r="J119">
        <v>1</v>
      </c>
      <c r="K119">
        <f>Source!AC503</f>
        <v>17277.78</v>
      </c>
      <c r="M119">
        <f t="shared" si="8"/>
        <v>17277.78</v>
      </c>
      <c r="N119">
        <f>Source!AC503*IF(Source!BC503&lt;&gt; 0, Source!BC503, 1)</f>
        <v>17277.78</v>
      </c>
      <c r="O119">
        <f t="shared" si="9"/>
        <v>17277.78</v>
      </c>
      <c r="P119">
        <f>Source!AE503</f>
        <v>0</v>
      </c>
      <c r="R119">
        <f t="shared" si="10"/>
        <v>0</v>
      </c>
      <c r="S119">
        <f>Source!AE503*IF(Source!BS503&lt;&gt; 0, Source!BS503, 1)</f>
        <v>0</v>
      </c>
      <c r="T119">
        <f t="shared" si="11"/>
        <v>0</v>
      </c>
      <c r="U119">
        <f>Source!GF503</f>
        <v>942564012</v>
      </c>
      <c r="V119">
        <v>612655710</v>
      </c>
      <c r="W119">
        <v>612655710</v>
      </c>
      <c r="X119">
        <v>3</v>
      </c>
    </row>
    <row r="120" spans="1:24" x14ac:dyDescent="0.2">
      <c r="A120">
        <f>Source!A504</f>
        <v>17</v>
      </c>
      <c r="B120">
        <v>504</v>
      </c>
      <c r="C120">
        <v>3</v>
      </c>
      <c r="D120">
        <f>Source!BI504</f>
        <v>1</v>
      </c>
      <c r="E120">
        <f>Source!FS504</f>
        <v>0</v>
      </c>
      <c r="F120" t="str">
        <f>Source!F504</f>
        <v>Цена поставщика</v>
      </c>
      <c r="G120" t="str">
        <f>Source!G504</f>
        <v>Снаряд Покрышка СП013 для собачьих площадок</v>
      </c>
      <c r="H120" t="str">
        <f>Source!H504</f>
        <v>шт.</v>
      </c>
      <c r="I120">
        <f>Source!I504</f>
        <v>1</v>
      </c>
      <c r="J120">
        <v>1</v>
      </c>
      <c r="K120">
        <f>Source!AC504</f>
        <v>19411.11</v>
      </c>
      <c r="M120">
        <f t="shared" si="8"/>
        <v>19411.11</v>
      </c>
      <c r="N120">
        <f>Source!AC504*IF(Source!BC504&lt;&gt; 0, Source!BC504, 1)</f>
        <v>19411.11</v>
      </c>
      <c r="O120">
        <f t="shared" si="9"/>
        <v>19411.11</v>
      </c>
      <c r="P120">
        <f>Source!AE504</f>
        <v>0</v>
      </c>
      <c r="R120">
        <f t="shared" si="10"/>
        <v>0</v>
      </c>
      <c r="S120">
        <f>Source!AE504*IF(Source!BS504&lt;&gt; 0, Source!BS504, 1)</f>
        <v>0</v>
      </c>
      <c r="T120">
        <f t="shared" si="11"/>
        <v>0</v>
      </c>
      <c r="U120">
        <f>Source!GF504</f>
        <v>846467407</v>
      </c>
      <c r="V120">
        <v>-970663437</v>
      </c>
      <c r="W120">
        <v>-970663437</v>
      </c>
      <c r="X120">
        <v>3</v>
      </c>
    </row>
    <row r="121" spans="1:24" x14ac:dyDescent="0.2">
      <c r="A121">
        <f>Source!A505</f>
        <v>17</v>
      </c>
      <c r="B121">
        <v>505</v>
      </c>
      <c r="C121">
        <v>3</v>
      </c>
      <c r="D121">
        <f>Source!BI505</f>
        <v>1</v>
      </c>
      <c r="E121">
        <f>Source!FS505</f>
        <v>0</v>
      </c>
      <c r="F121" t="str">
        <f>Source!F505</f>
        <v>Цена поставщика</v>
      </c>
      <c r="G121" t="str">
        <f>Source!G505</f>
        <v>Урна для собачьих площадок №1 УС1 Разноцветный</v>
      </c>
      <c r="H121" t="str">
        <f>Source!H505</f>
        <v>шт.</v>
      </c>
      <c r="I121">
        <f>Source!I505</f>
        <v>1</v>
      </c>
      <c r="J121">
        <v>1</v>
      </c>
      <c r="K121">
        <f>Source!AC505</f>
        <v>9847.23</v>
      </c>
      <c r="M121">
        <f t="shared" si="8"/>
        <v>9847.23</v>
      </c>
      <c r="N121">
        <f>Source!AC505*IF(Source!BC505&lt;&gt; 0, Source!BC505, 1)</f>
        <v>9847.23</v>
      </c>
      <c r="O121">
        <f t="shared" si="9"/>
        <v>9847.23</v>
      </c>
      <c r="P121">
        <f>Source!AE505</f>
        <v>0</v>
      </c>
      <c r="R121">
        <f t="shared" si="10"/>
        <v>0</v>
      </c>
      <c r="S121">
        <f>Source!AE505*IF(Source!BS505&lt;&gt; 0, Source!BS505, 1)</f>
        <v>0</v>
      </c>
      <c r="T121">
        <f t="shared" si="11"/>
        <v>0</v>
      </c>
      <c r="U121">
        <f>Source!GF505</f>
        <v>1342366151</v>
      </c>
      <c r="V121">
        <v>-1469256488</v>
      </c>
      <c r="W121">
        <v>-1469256488</v>
      </c>
      <c r="X121">
        <v>3</v>
      </c>
    </row>
    <row r="122" spans="1:24" x14ac:dyDescent="0.2">
      <c r="A122">
        <f>Source!A537</f>
        <v>5</v>
      </c>
      <c r="B122">
        <v>537</v>
      </c>
      <c r="G122" t="str">
        <f>Source!G537</f>
        <v>Установка ограждения</v>
      </c>
    </row>
    <row r="123" spans="1:24" x14ac:dyDescent="0.2">
      <c r="A123">
        <v>20</v>
      </c>
      <c r="B123">
        <v>148</v>
      </c>
      <c r="C123">
        <v>3</v>
      </c>
      <c r="D123">
        <v>0</v>
      </c>
      <c r="E123">
        <f>SmtRes!AV148</f>
        <v>0</v>
      </c>
      <c r="F123" t="str">
        <f>SmtRes!I148</f>
        <v>21.7-9-8</v>
      </c>
      <c r="G123" t="str">
        <f>SmtRes!K148</f>
        <v>Стойка ограждения металлического, из профиля квадратного, сечением 100х100 мм, длина 3600 мм</v>
      </c>
      <c r="H123" t="str">
        <f>SmtRes!O148</f>
        <v>шт.</v>
      </c>
      <c r="I123">
        <f>SmtRes!Y148*Source!I541</f>
        <v>45.6</v>
      </c>
      <c r="J123">
        <f>SmtRes!AO148</f>
        <v>1</v>
      </c>
      <c r="K123">
        <f>SmtRes!AE148</f>
        <v>2843.73</v>
      </c>
      <c r="L123">
        <f>SmtRes!DB148</f>
        <v>108061.74</v>
      </c>
      <c r="M123">
        <f>ROUND(ROUND(L123*Source!I541, 6)*1, 2)</f>
        <v>129674.09</v>
      </c>
      <c r="N123">
        <f>SmtRes!AA148</f>
        <v>2843.73</v>
      </c>
      <c r="O123">
        <f>ROUND(ROUND(L123*Source!I541, 6)*SmtRes!DA148, 2)</f>
        <v>129674.09</v>
      </c>
      <c r="P123">
        <f>SmtRes!AG148</f>
        <v>0</v>
      </c>
      <c r="Q123">
        <f>SmtRes!DC148</f>
        <v>0</v>
      </c>
      <c r="R123">
        <f>ROUND(ROUND(Q123*Source!I541, 6)*1, 2)</f>
        <v>0</v>
      </c>
      <c r="S123">
        <f>SmtRes!AC148</f>
        <v>0</v>
      </c>
      <c r="T123">
        <f>ROUND(ROUND(Q123*Source!I541, 6)*SmtRes!AK148, 2)</f>
        <v>0</v>
      </c>
      <c r="U123">
        <f>SmtRes!X148</f>
        <v>751213170</v>
      </c>
      <c r="V123">
        <v>-823327178</v>
      </c>
      <c r="W123">
        <v>-823327178</v>
      </c>
      <c r="X123">
        <v>3</v>
      </c>
    </row>
    <row r="124" spans="1:24" x14ac:dyDescent="0.2">
      <c r="A124">
        <v>20</v>
      </c>
      <c r="B124">
        <v>147</v>
      </c>
      <c r="C124">
        <v>3</v>
      </c>
      <c r="D124">
        <v>0</v>
      </c>
      <c r="E124">
        <f>SmtRes!AV147</f>
        <v>0</v>
      </c>
      <c r="F124" t="str">
        <f>SmtRes!I147</f>
        <v>21.7-9-7</v>
      </c>
      <c r="G124" t="str">
        <f>SmtRes!K147</f>
        <v>Секция ограждения металлического, решетчатого, из профиля квадратного, сечением 30х30 мм,  высота 2500 мм</v>
      </c>
      <c r="H124" t="str">
        <f>SmtRes!O147</f>
        <v>м</v>
      </c>
      <c r="I124">
        <f>SmtRes!Y147*Source!I541</f>
        <v>104.39999999999999</v>
      </c>
      <c r="J124">
        <f>SmtRes!AO147</f>
        <v>1</v>
      </c>
      <c r="K124">
        <f>SmtRes!AE147</f>
        <v>4886.66</v>
      </c>
      <c r="L124">
        <f>SmtRes!DB147</f>
        <v>425139.42</v>
      </c>
      <c r="M124">
        <f>ROUND(ROUND(L124*Source!I541, 6)*1, 2)</f>
        <v>510167.3</v>
      </c>
      <c r="N124">
        <f>SmtRes!AA147</f>
        <v>4886.66</v>
      </c>
      <c r="O124">
        <f>ROUND(ROUND(L124*Source!I541, 6)*SmtRes!DA147, 2)</f>
        <v>510167.3</v>
      </c>
      <c r="P124">
        <f>SmtRes!AG147</f>
        <v>0</v>
      </c>
      <c r="Q124">
        <f>SmtRes!DC147</f>
        <v>0</v>
      </c>
      <c r="R124">
        <f>ROUND(ROUND(Q124*Source!I541, 6)*1, 2)</f>
        <v>0</v>
      </c>
      <c r="S124">
        <f>SmtRes!AC147</f>
        <v>0</v>
      </c>
      <c r="T124">
        <f>ROUND(ROUND(Q124*Source!I541, 6)*SmtRes!AK147, 2)</f>
        <v>0</v>
      </c>
      <c r="U124">
        <f>SmtRes!X147</f>
        <v>-84305937</v>
      </c>
      <c r="V124">
        <v>-974834120</v>
      </c>
      <c r="W124">
        <v>-974834120</v>
      </c>
      <c r="X124">
        <v>3</v>
      </c>
    </row>
    <row r="125" spans="1:24" x14ac:dyDescent="0.2">
      <c r="A125">
        <v>20</v>
      </c>
      <c r="B125">
        <v>146</v>
      </c>
      <c r="C125">
        <v>3</v>
      </c>
      <c r="D125">
        <v>0</v>
      </c>
      <c r="E125">
        <f>SmtRes!AV146</f>
        <v>0</v>
      </c>
      <c r="F125" t="str">
        <f>SmtRes!I146</f>
        <v>21.3-1-87</v>
      </c>
      <c r="G125" t="str">
        <f>SmtRes!K146</f>
        <v>Смеси бетонные, БСГ, тяжелого бетона на гранитном щебне, класс прочности: В25 (М350); П3, фракция 5-20, F150, W6</v>
      </c>
      <c r="H125" t="str">
        <f>SmtRes!O146</f>
        <v>м3</v>
      </c>
      <c r="I125">
        <f>SmtRes!Y146*Source!I541</f>
        <v>3.9</v>
      </c>
      <c r="J125">
        <f>SmtRes!AO146</f>
        <v>1</v>
      </c>
      <c r="K125">
        <f>SmtRes!AE146</f>
        <v>4082.17</v>
      </c>
      <c r="L125">
        <f>SmtRes!DB146</f>
        <v>13267.05</v>
      </c>
      <c r="M125">
        <f>ROUND(ROUND(L125*Source!I541, 6)*1, 2)</f>
        <v>15920.46</v>
      </c>
      <c r="N125">
        <f>SmtRes!AA146</f>
        <v>4082.17</v>
      </c>
      <c r="O125">
        <f>ROUND(ROUND(L125*Source!I541, 6)*SmtRes!DA146, 2)</f>
        <v>15920.46</v>
      </c>
      <c r="P125">
        <f>SmtRes!AG146</f>
        <v>0</v>
      </c>
      <c r="Q125">
        <f>SmtRes!DC146</f>
        <v>0</v>
      </c>
      <c r="R125">
        <f>ROUND(ROUND(Q125*Source!I541, 6)*1, 2)</f>
        <v>0</v>
      </c>
      <c r="S125">
        <f>SmtRes!AC146</f>
        <v>0</v>
      </c>
      <c r="T125">
        <f>ROUND(ROUND(Q125*Source!I541, 6)*SmtRes!AK146, 2)</f>
        <v>0</v>
      </c>
      <c r="U125">
        <f>SmtRes!X146</f>
        <v>1929983902</v>
      </c>
      <c r="V125">
        <v>-620134183</v>
      </c>
      <c r="W125">
        <v>-620134183</v>
      </c>
      <c r="X125">
        <v>3</v>
      </c>
    </row>
    <row r="126" spans="1:24" x14ac:dyDescent="0.2">
      <c r="A126">
        <v>20</v>
      </c>
      <c r="B126">
        <v>145</v>
      </c>
      <c r="C126">
        <v>3</v>
      </c>
      <c r="D126">
        <v>0</v>
      </c>
      <c r="E126">
        <f>SmtRes!AV145</f>
        <v>0</v>
      </c>
      <c r="F126" t="str">
        <f>SmtRes!I145</f>
        <v>21.1-23-9</v>
      </c>
      <c r="G126" t="str">
        <f>SmtRes!K145</f>
        <v>Электроды, тип Э-42, 46, 50, диаметр 4 - 6 мм</v>
      </c>
      <c r="H126" t="str">
        <f>SmtRes!O145</f>
        <v>т</v>
      </c>
      <c r="I126">
        <f>SmtRes!Y145*Source!I541</f>
        <v>8.3999999999999995E-3</v>
      </c>
      <c r="J126">
        <f>SmtRes!AO145</f>
        <v>1</v>
      </c>
      <c r="K126">
        <f>SmtRes!AE145</f>
        <v>110728.72</v>
      </c>
      <c r="L126">
        <f>SmtRes!DB145</f>
        <v>775.1</v>
      </c>
      <c r="M126">
        <f>ROUND(ROUND(L126*Source!I541, 6)*1, 2)</f>
        <v>930.12</v>
      </c>
      <c r="N126">
        <f>SmtRes!AA145</f>
        <v>110728.72</v>
      </c>
      <c r="O126">
        <f>ROUND(ROUND(L126*Source!I541, 6)*SmtRes!DA145, 2)</f>
        <v>930.12</v>
      </c>
      <c r="P126">
        <f>SmtRes!AG145</f>
        <v>0</v>
      </c>
      <c r="Q126">
        <f>SmtRes!DC145</f>
        <v>0</v>
      </c>
      <c r="R126">
        <f>ROUND(ROUND(Q126*Source!I541, 6)*1, 2)</f>
        <v>0</v>
      </c>
      <c r="S126">
        <f>SmtRes!AC145</f>
        <v>0</v>
      </c>
      <c r="T126">
        <f>ROUND(ROUND(Q126*Source!I541, 6)*SmtRes!AK145, 2)</f>
        <v>0</v>
      </c>
      <c r="U126">
        <f>SmtRes!X145</f>
        <v>-475338610</v>
      </c>
      <c r="V126">
        <v>1276245677</v>
      </c>
      <c r="W126">
        <v>1276245677</v>
      </c>
      <c r="X126">
        <v>3</v>
      </c>
    </row>
    <row r="127" spans="1:24" x14ac:dyDescent="0.2">
      <c r="A127">
        <v>20</v>
      </c>
      <c r="B127">
        <v>144</v>
      </c>
      <c r="C127">
        <v>3</v>
      </c>
      <c r="D127">
        <v>0</v>
      </c>
      <c r="E127">
        <f>SmtRes!AV144</f>
        <v>0</v>
      </c>
      <c r="F127" t="str">
        <f>SmtRes!I144</f>
        <v>21.1-12-41</v>
      </c>
      <c r="G127" t="str">
        <f>SmtRes!K144</f>
        <v>Щебень из естественного камня для строительных работ, марка 1400, фракция 20-40 мм</v>
      </c>
      <c r="H127" t="str">
        <f>SmtRes!O144</f>
        <v>м3</v>
      </c>
      <c r="I127">
        <f>SmtRes!Y144*Source!I541</f>
        <v>0.372</v>
      </c>
      <c r="J127">
        <f>SmtRes!AO144</f>
        <v>1</v>
      </c>
      <c r="K127">
        <f>SmtRes!AE144</f>
        <v>2248.25</v>
      </c>
      <c r="L127">
        <f>SmtRes!DB144</f>
        <v>696.96</v>
      </c>
      <c r="M127">
        <f>ROUND(ROUND(L127*Source!I541, 6)*1, 2)</f>
        <v>836.35</v>
      </c>
      <c r="N127">
        <f>SmtRes!AA144</f>
        <v>2248.25</v>
      </c>
      <c r="O127">
        <f>ROUND(ROUND(L127*Source!I541, 6)*SmtRes!DA144, 2)</f>
        <v>836.35</v>
      </c>
      <c r="P127">
        <f>SmtRes!AG144</f>
        <v>0</v>
      </c>
      <c r="Q127">
        <f>SmtRes!DC144</f>
        <v>0</v>
      </c>
      <c r="R127">
        <f>ROUND(ROUND(Q127*Source!I541, 6)*1, 2)</f>
        <v>0</v>
      </c>
      <c r="S127">
        <f>SmtRes!AC144</f>
        <v>0</v>
      </c>
      <c r="T127">
        <f>ROUND(ROUND(Q127*Source!I541, 6)*SmtRes!AK144, 2)</f>
        <v>0</v>
      </c>
      <c r="U127">
        <f>SmtRes!X144</f>
        <v>165829421</v>
      </c>
      <c r="V127">
        <v>1750650908</v>
      </c>
      <c r="W127">
        <v>1750650908</v>
      </c>
      <c r="X127">
        <v>3</v>
      </c>
    </row>
    <row r="128" spans="1:24" x14ac:dyDescent="0.2">
      <c r="A128">
        <v>20</v>
      </c>
      <c r="B128">
        <v>143</v>
      </c>
      <c r="C128">
        <v>2</v>
      </c>
      <c r="D128">
        <v>0</v>
      </c>
      <c r="E128">
        <f>SmtRes!AV143</f>
        <v>0</v>
      </c>
      <c r="F128" t="str">
        <f>SmtRes!I143</f>
        <v>22.1-9-2</v>
      </c>
      <c r="G128" t="str">
        <f>SmtRes!K143</f>
        <v>Машины бурильно-крановые на базе автомобиля, глубина бурения до 5 м</v>
      </c>
      <c r="H128" t="str">
        <f>SmtRes!O143</f>
        <v>маш.-ч</v>
      </c>
      <c r="I128">
        <f>SmtRes!Y143*Source!I541</f>
        <v>6.5880000000000001</v>
      </c>
      <c r="J128">
        <f>SmtRes!AO143</f>
        <v>1</v>
      </c>
      <c r="K128">
        <f>SmtRes!AF143</f>
        <v>1180.29</v>
      </c>
      <c r="L128">
        <f>SmtRes!DB143</f>
        <v>6479.79</v>
      </c>
      <c r="M128">
        <f>ROUND(ROUND(L128*Source!I541, 6)*1, 2)</f>
        <v>7775.75</v>
      </c>
      <c r="N128">
        <f>SmtRes!AB143</f>
        <v>1180.29</v>
      </c>
      <c r="O128">
        <f>ROUND(ROUND(L128*Source!I541, 6)*SmtRes!DA143, 2)</f>
        <v>7775.75</v>
      </c>
      <c r="P128">
        <f>SmtRes!AG143</f>
        <v>586.89</v>
      </c>
      <c r="Q128">
        <f>SmtRes!DC143</f>
        <v>3222.03</v>
      </c>
      <c r="R128">
        <f>ROUND(ROUND(Q128*Source!I541, 6)*1, 2)</f>
        <v>3866.44</v>
      </c>
      <c r="S128">
        <f>SmtRes!AC143</f>
        <v>586.89</v>
      </c>
      <c r="T128">
        <f>ROUND(ROUND(Q128*Source!I541, 6)*SmtRes!AK143, 2)</f>
        <v>3866.44</v>
      </c>
      <c r="U128">
        <f>SmtRes!X143</f>
        <v>58362116</v>
      </c>
      <c r="V128">
        <v>-1631772537</v>
      </c>
      <c r="W128">
        <v>-1631772537</v>
      </c>
      <c r="X128">
        <v>2</v>
      </c>
    </row>
    <row r="129" spans="1:24" x14ac:dyDescent="0.2">
      <c r="A129">
        <v>20</v>
      </c>
      <c r="B129">
        <v>142</v>
      </c>
      <c r="C129">
        <v>2</v>
      </c>
      <c r="D129">
        <v>0</v>
      </c>
      <c r="E129">
        <f>SmtRes!AV142</f>
        <v>0</v>
      </c>
      <c r="F129" t="str">
        <f>SmtRes!I142</f>
        <v>22.1-6-52</v>
      </c>
      <c r="G129" t="str">
        <f>SmtRes!K142</f>
        <v>Вибраторы глубинные</v>
      </c>
      <c r="H129" t="str">
        <f>SmtRes!O142</f>
        <v>маш.-ч</v>
      </c>
      <c r="I129">
        <f>SmtRes!Y142*Source!I541</f>
        <v>39.491999999999997</v>
      </c>
      <c r="J129">
        <f>SmtRes!AO142</f>
        <v>1</v>
      </c>
      <c r="K129">
        <f>SmtRes!AF142</f>
        <v>10.62</v>
      </c>
      <c r="L129">
        <f>SmtRes!DB142</f>
        <v>349.5</v>
      </c>
      <c r="M129">
        <f>ROUND(ROUND(L129*Source!I541, 6)*1, 2)</f>
        <v>419.4</v>
      </c>
      <c r="N129">
        <f>SmtRes!AB142</f>
        <v>10.62</v>
      </c>
      <c r="O129">
        <f>ROUND(ROUND(L129*Source!I541, 6)*SmtRes!DA142, 2)</f>
        <v>419.4</v>
      </c>
      <c r="P129">
        <f>SmtRes!AG142</f>
        <v>2.82</v>
      </c>
      <c r="Q129">
        <f>SmtRes!DC142</f>
        <v>92.81</v>
      </c>
      <c r="R129">
        <f>ROUND(ROUND(Q129*Source!I541, 6)*1, 2)</f>
        <v>111.37</v>
      </c>
      <c r="S129">
        <f>SmtRes!AC142</f>
        <v>2.82</v>
      </c>
      <c r="T129">
        <f>ROUND(ROUND(Q129*Source!I541, 6)*SmtRes!AK142, 2)</f>
        <v>111.37</v>
      </c>
      <c r="U129">
        <f>SmtRes!X142</f>
        <v>-1119889759</v>
      </c>
      <c r="V129">
        <v>1634601875</v>
      </c>
      <c r="W129">
        <v>1634601875</v>
      </c>
      <c r="X129">
        <v>2</v>
      </c>
    </row>
    <row r="130" spans="1:24" x14ac:dyDescent="0.2">
      <c r="A130">
        <v>20</v>
      </c>
      <c r="B130">
        <v>141</v>
      </c>
      <c r="C130">
        <v>2</v>
      </c>
      <c r="D130">
        <v>0</v>
      </c>
      <c r="E130">
        <f>SmtRes!AV141</f>
        <v>0</v>
      </c>
      <c r="F130" t="str">
        <f>SmtRes!I141</f>
        <v>22.1-30-19</v>
      </c>
      <c r="G130" t="str">
        <f>SmtRes!K141</f>
        <v>Машины шлифовальные электрические</v>
      </c>
      <c r="H130" t="str">
        <f>SmtRes!O141</f>
        <v>маш.-ч</v>
      </c>
      <c r="I130">
        <f>SmtRes!Y141*Source!I541</f>
        <v>0.624</v>
      </c>
      <c r="J130">
        <f>SmtRes!AO141</f>
        <v>1</v>
      </c>
      <c r="K130">
        <f>SmtRes!AF141</f>
        <v>5.82</v>
      </c>
      <c r="L130">
        <f>SmtRes!DB141</f>
        <v>3.03</v>
      </c>
      <c r="M130">
        <f>ROUND(ROUND(L130*Source!I541, 6)*1, 2)</f>
        <v>3.64</v>
      </c>
      <c r="N130">
        <f>SmtRes!AB141</f>
        <v>5.82</v>
      </c>
      <c r="O130">
        <f>ROUND(ROUND(L130*Source!I541, 6)*SmtRes!DA141, 2)</f>
        <v>3.64</v>
      </c>
      <c r="P130">
        <f>SmtRes!AG141</f>
        <v>0.02</v>
      </c>
      <c r="Q130">
        <f>SmtRes!DC141</f>
        <v>0.01</v>
      </c>
      <c r="R130">
        <f>ROUND(ROUND(Q130*Source!I541, 6)*1, 2)</f>
        <v>0.01</v>
      </c>
      <c r="S130">
        <f>SmtRes!AC141</f>
        <v>0.02</v>
      </c>
      <c r="T130">
        <f>ROUND(ROUND(Q130*Source!I541, 6)*SmtRes!AK141, 2)</f>
        <v>0.01</v>
      </c>
      <c r="U130">
        <f>SmtRes!X141</f>
        <v>-1995660009</v>
      </c>
      <c r="V130">
        <v>-1082568096</v>
      </c>
      <c r="W130">
        <v>-1082568096</v>
      </c>
      <c r="X130">
        <v>2</v>
      </c>
    </row>
    <row r="131" spans="1:24" x14ac:dyDescent="0.2">
      <c r="A131">
        <v>20</v>
      </c>
      <c r="B131">
        <v>140</v>
      </c>
      <c r="C131">
        <v>2</v>
      </c>
      <c r="D131">
        <v>0</v>
      </c>
      <c r="E131">
        <f>SmtRes!AV140</f>
        <v>0</v>
      </c>
      <c r="F131" t="str">
        <f>SmtRes!I140</f>
        <v>22.1-13-15</v>
      </c>
      <c r="G131" t="str">
        <f>SmtRes!K140</f>
        <v>Аппараты сварочные</v>
      </c>
      <c r="H131" t="str">
        <f>SmtRes!O140</f>
        <v>маш.-ч</v>
      </c>
      <c r="I131">
        <f>SmtRes!Y140*Source!I541</f>
        <v>46.8</v>
      </c>
      <c r="J131">
        <f>SmtRes!AO140</f>
        <v>1</v>
      </c>
      <c r="K131">
        <f>SmtRes!AF140</f>
        <v>337.61</v>
      </c>
      <c r="L131">
        <f>SmtRes!DB140</f>
        <v>13166.79</v>
      </c>
      <c r="M131">
        <f>ROUND(ROUND(L131*Source!I541, 6)*1, 2)</f>
        <v>15800.15</v>
      </c>
      <c r="N131">
        <f>SmtRes!AB140</f>
        <v>337.61</v>
      </c>
      <c r="O131">
        <f>ROUND(ROUND(L131*Source!I541, 6)*SmtRes!DA140, 2)</f>
        <v>15800.15</v>
      </c>
      <c r="P131">
        <f>SmtRes!AG140</f>
        <v>6.68</v>
      </c>
      <c r="Q131">
        <f>SmtRes!DC140</f>
        <v>260.52</v>
      </c>
      <c r="R131">
        <f>ROUND(ROUND(Q131*Source!I541, 6)*1, 2)</f>
        <v>312.62</v>
      </c>
      <c r="S131">
        <f>SmtRes!AC140</f>
        <v>6.68</v>
      </c>
      <c r="T131">
        <f>ROUND(ROUND(Q131*Source!I541, 6)*SmtRes!AK140, 2)</f>
        <v>312.62</v>
      </c>
      <c r="U131">
        <f>SmtRes!X140</f>
        <v>-1896621790</v>
      </c>
      <c r="V131">
        <v>391800036</v>
      </c>
      <c r="W131">
        <v>391800036</v>
      </c>
      <c r="X131">
        <v>2</v>
      </c>
    </row>
    <row r="132" spans="1:24" x14ac:dyDescent="0.2">
      <c r="A132">
        <v>20</v>
      </c>
      <c r="B132">
        <v>154</v>
      </c>
      <c r="C132">
        <v>3</v>
      </c>
      <c r="D132">
        <v>0</v>
      </c>
      <c r="E132">
        <f>SmtRes!AV154</f>
        <v>0</v>
      </c>
      <c r="F132" t="str">
        <f>SmtRes!I154</f>
        <v>21.8-1-22</v>
      </c>
      <c r="G132" t="str">
        <f>SmtRes!K154</f>
        <v>Петля накладная с ходом на центрах, марка ПН 1-150 оксидированная</v>
      </c>
      <c r="H132" t="str">
        <f>SmtRes!O154</f>
        <v>шт.</v>
      </c>
      <c r="I132">
        <f>SmtRes!Y154*Source!I542</f>
        <v>1</v>
      </c>
      <c r="J132">
        <f>SmtRes!AO154</f>
        <v>1</v>
      </c>
      <c r="K132">
        <f>SmtRes!AE154</f>
        <v>52.44</v>
      </c>
      <c r="L132">
        <f>SmtRes!DB154</f>
        <v>52.44</v>
      </c>
      <c r="M132">
        <f>ROUND(ROUND(L132*Source!I542, 6)*1, 2)</f>
        <v>52.44</v>
      </c>
      <c r="N132">
        <f>SmtRes!AA154</f>
        <v>52.44</v>
      </c>
      <c r="O132">
        <f>ROUND(ROUND(L132*Source!I542, 6)*SmtRes!DA154, 2)</f>
        <v>52.44</v>
      </c>
      <c r="P132">
        <f>SmtRes!AG154</f>
        <v>0</v>
      </c>
      <c r="Q132">
        <f>SmtRes!DC154</f>
        <v>0</v>
      </c>
      <c r="R132">
        <f>ROUND(ROUND(Q132*Source!I542, 6)*1, 2)</f>
        <v>0</v>
      </c>
      <c r="S132">
        <f>SmtRes!AC154</f>
        <v>0</v>
      </c>
      <c r="T132">
        <f>ROUND(ROUND(Q132*Source!I542, 6)*SmtRes!AK154, 2)</f>
        <v>0</v>
      </c>
      <c r="U132">
        <f>SmtRes!X154</f>
        <v>-427256765</v>
      </c>
      <c r="V132">
        <v>-1233775020</v>
      </c>
      <c r="W132">
        <v>-1233775020</v>
      </c>
      <c r="X132">
        <v>3</v>
      </c>
    </row>
    <row r="133" spans="1:24" x14ac:dyDescent="0.2">
      <c r="A133">
        <v>20</v>
      </c>
      <c r="B133">
        <v>153</v>
      </c>
      <c r="C133">
        <v>3</v>
      </c>
      <c r="D133">
        <v>0</v>
      </c>
      <c r="E133">
        <f>SmtRes!AV153</f>
        <v>0</v>
      </c>
      <c r="F133" t="str">
        <f>SmtRes!I153</f>
        <v>21.1-23-9</v>
      </c>
      <c r="G133" t="str">
        <f>SmtRes!K153</f>
        <v>Электроды, тип Э-42, 46, 50, диаметр 4 - 6 мм</v>
      </c>
      <c r="H133" t="str">
        <f>SmtRes!O153</f>
        <v>т</v>
      </c>
      <c r="I133">
        <f>SmtRes!Y153*Source!I542</f>
        <v>5.0000000000000002E-5</v>
      </c>
      <c r="J133">
        <f>SmtRes!AO153</f>
        <v>1</v>
      </c>
      <c r="K133">
        <f>SmtRes!AE153</f>
        <v>110728.72</v>
      </c>
      <c r="L133">
        <f>SmtRes!DB153</f>
        <v>5.54</v>
      </c>
      <c r="M133">
        <f>ROUND(ROUND(L133*Source!I542, 6)*1, 2)</f>
        <v>5.54</v>
      </c>
      <c r="N133">
        <f>SmtRes!AA153</f>
        <v>110728.72</v>
      </c>
      <c r="O133">
        <f>ROUND(ROUND(L133*Source!I542, 6)*SmtRes!DA153, 2)</f>
        <v>5.54</v>
      </c>
      <c r="P133">
        <f>SmtRes!AG153</f>
        <v>0</v>
      </c>
      <c r="Q133">
        <f>SmtRes!DC153</f>
        <v>0</v>
      </c>
      <c r="R133">
        <f>ROUND(ROUND(Q133*Source!I542, 6)*1, 2)</f>
        <v>0</v>
      </c>
      <c r="S133">
        <f>SmtRes!AC153</f>
        <v>0</v>
      </c>
      <c r="T133">
        <f>ROUND(ROUND(Q133*Source!I542, 6)*SmtRes!AK153, 2)</f>
        <v>0</v>
      </c>
      <c r="U133">
        <f>SmtRes!X153</f>
        <v>-475338610</v>
      </c>
      <c r="V133">
        <v>1276245677</v>
      </c>
      <c r="W133">
        <v>1276245677</v>
      </c>
      <c r="X133">
        <v>3</v>
      </c>
    </row>
    <row r="134" spans="1:24" x14ac:dyDescent="0.2">
      <c r="A134">
        <v>20</v>
      </c>
      <c r="B134">
        <v>152</v>
      </c>
      <c r="C134">
        <v>2</v>
      </c>
      <c r="D134">
        <v>0</v>
      </c>
      <c r="E134">
        <f>SmtRes!AV152</f>
        <v>0</v>
      </c>
      <c r="F134" t="str">
        <f>SmtRes!I152</f>
        <v>22.1-30-19</v>
      </c>
      <c r="G134" t="str">
        <f>SmtRes!K152</f>
        <v>Машины шлифовальные электрические</v>
      </c>
      <c r="H134" t="str">
        <f>SmtRes!O152</f>
        <v>маш.-ч</v>
      </c>
      <c r="I134">
        <f>SmtRes!Y152*Source!I542</f>
        <v>0.1</v>
      </c>
      <c r="J134">
        <f>SmtRes!AO152</f>
        <v>1</v>
      </c>
      <c r="K134">
        <f>SmtRes!AF152</f>
        <v>5.82</v>
      </c>
      <c r="L134">
        <f>SmtRes!DB152</f>
        <v>0.57999999999999996</v>
      </c>
      <c r="M134">
        <f>ROUND(ROUND(L134*Source!I542, 6)*1, 2)</f>
        <v>0.57999999999999996</v>
      </c>
      <c r="N134">
        <f>SmtRes!AB152</f>
        <v>5.82</v>
      </c>
      <c r="O134">
        <f>ROUND(ROUND(L134*Source!I542, 6)*SmtRes!DA152, 2)</f>
        <v>0.57999999999999996</v>
      </c>
      <c r="P134">
        <f>SmtRes!AG152</f>
        <v>0.02</v>
      </c>
      <c r="Q134">
        <f>SmtRes!DC152</f>
        <v>0</v>
      </c>
      <c r="R134">
        <f>ROUND(ROUND(Q134*Source!I542, 6)*1, 2)</f>
        <v>0</v>
      </c>
      <c r="S134">
        <f>SmtRes!AC152</f>
        <v>0.02</v>
      </c>
      <c r="T134">
        <f>ROUND(ROUND(Q134*Source!I542, 6)*SmtRes!AK152, 2)</f>
        <v>0</v>
      </c>
      <c r="U134">
        <f>SmtRes!X152</f>
        <v>-1995660009</v>
      </c>
      <c r="V134">
        <v>-1082568096</v>
      </c>
      <c r="W134">
        <v>-1082568096</v>
      </c>
      <c r="X134">
        <v>2</v>
      </c>
    </row>
    <row r="135" spans="1:24" x14ac:dyDescent="0.2">
      <c r="A135">
        <v>20</v>
      </c>
      <c r="B135">
        <v>151</v>
      </c>
      <c r="C135">
        <v>2</v>
      </c>
      <c r="D135">
        <v>0</v>
      </c>
      <c r="E135">
        <f>SmtRes!AV151</f>
        <v>0</v>
      </c>
      <c r="F135" t="str">
        <f>SmtRes!I151</f>
        <v>22.1-18-24</v>
      </c>
      <c r="G135" t="str">
        <f>SmtRes!K151</f>
        <v>Автомобили полупассажирские типа ГАЗ, грузоподъемность до 2 т</v>
      </c>
      <c r="H135" t="str">
        <f>SmtRes!O151</f>
        <v>маш.-ч</v>
      </c>
      <c r="I135">
        <f>SmtRes!Y151*Source!I542</f>
        <v>1</v>
      </c>
      <c r="J135">
        <f>SmtRes!AO151</f>
        <v>1</v>
      </c>
      <c r="K135">
        <f>SmtRes!AF151</f>
        <v>619.44000000000005</v>
      </c>
      <c r="L135">
        <f>SmtRes!DB151</f>
        <v>619.44000000000005</v>
      </c>
      <c r="M135">
        <f>ROUND(ROUND(L135*Source!I542, 6)*1, 2)</f>
        <v>619.44000000000005</v>
      </c>
      <c r="N135">
        <f>SmtRes!AB151</f>
        <v>619.44000000000005</v>
      </c>
      <c r="O135">
        <f>ROUND(ROUND(L135*Source!I542, 6)*SmtRes!DA151, 2)</f>
        <v>619.44000000000005</v>
      </c>
      <c r="P135">
        <f>SmtRes!AG151</f>
        <v>393.66</v>
      </c>
      <c r="Q135">
        <f>SmtRes!DC151</f>
        <v>393.66</v>
      </c>
      <c r="R135">
        <f>ROUND(ROUND(Q135*Source!I542, 6)*1, 2)</f>
        <v>393.66</v>
      </c>
      <c r="S135">
        <f>SmtRes!AC151</f>
        <v>393.66</v>
      </c>
      <c r="T135">
        <f>ROUND(ROUND(Q135*Source!I542, 6)*SmtRes!AK151, 2)</f>
        <v>393.66</v>
      </c>
      <c r="U135">
        <f>SmtRes!X151</f>
        <v>499800498</v>
      </c>
      <c r="V135">
        <v>65365534</v>
      </c>
      <c r="W135">
        <v>65365534</v>
      </c>
      <c r="X135">
        <v>2</v>
      </c>
    </row>
    <row r="136" spans="1:24" x14ac:dyDescent="0.2">
      <c r="A136">
        <v>20</v>
      </c>
      <c r="B136">
        <v>150</v>
      </c>
      <c r="C136">
        <v>2</v>
      </c>
      <c r="D136">
        <v>0</v>
      </c>
      <c r="E136">
        <f>SmtRes!AV150</f>
        <v>0</v>
      </c>
      <c r="F136" t="str">
        <f>SmtRes!I150</f>
        <v>22.1-13-10</v>
      </c>
      <c r="G136" t="str">
        <f>SmtRes!K150</f>
        <v>Агрегаты сварочные однопостовые для ручной электродуговой сварки</v>
      </c>
      <c r="H136" t="str">
        <f>SmtRes!O150</f>
        <v>маш.-ч</v>
      </c>
      <c r="I136">
        <f>SmtRes!Y150*Source!I542</f>
        <v>0.2</v>
      </c>
      <c r="J136">
        <f>SmtRes!AO150</f>
        <v>1</v>
      </c>
      <c r="K136">
        <f>SmtRes!AF150</f>
        <v>55</v>
      </c>
      <c r="L136">
        <f>SmtRes!DB150</f>
        <v>11</v>
      </c>
      <c r="M136">
        <f>ROUND(ROUND(L136*Source!I542, 6)*1, 2)</f>
        <v>11</v>
      </c>
      <c r="N136">
        <f>SmtRes!AB150</f>
        <v>55</v>
      </c>
      <c r="O136">
        <f>ROUND(ROUND(L136*Source!I542, 6)*SmtRes!DA150, 2)</f>
        <v>11</v>
      </c>
      <c r="P136">
        <f>SmtRes!AG150</f>
        <v>0.05</v>
      </c>
      <c r="Q136">
        <f>SmtRes!DC150</f>
        <v>0.01</v>
      </c>
      <c r="R136">
        <f>ROUND(ROUND(Q136*Source!I542, 6)*1, 2)</f>
        <v>0.01</v>
      </c>
      <c r="S136">
        <f>SmtRes!AC150</f>
        <v>0.05</v>
      </c>
      <c r="T136">
        <f>ROUND(ROUND(Q136*Source!I542, 6)*SmtRes!AK150, 2)</f>
        <v>0.01</v>
      </c>
      <c r="U136">
        <f>SmtRes!X150</f>
        <v>-2014553861</v>
      </c>
      <c r="V136">
        <v>1645461481</v>
      </c>
      <c r="W136">
        <v>1645461481</v>
      </c>
      <c r="X136">
        <v>2</v>
      </c>
    </row>
    <row r="137" spans="1:24" x14ac:dyDescent="0.2">
      <c r="A137">
        <f>Source!A543</f>
        <v>17</v>
      </c>
      <c r="B137">
        <v>543</v>
      </c>
      <c r="C137">
        <v>3</v>
      </c>
      <c r="D137">
        <f>Source!BI543</f>
        <v>4</v>
      </c>
      <c r="E137">
        <f>Source!FS543</f>
        <v>0</v>
      </c>
      <c r="F137" t="str">
        <f>Source!F543</f>
        <v>21.7-14-5</v>
      </c>
      <c r="G137" t="str">
        <f>Source!G543</f>
        <v>Калитка металлическая с лаковым покрытием, размеры 1000х1500 мм (прим. калитка металическая решётчатая)</v>
      </c>
      <c r="H137" t="str">
        <f>Source!H543</f>
        <v>шт.</v>
      </c>
      <c r="I137">
        <f>Source!I543</f>
        <v>1</v>
      </c>
      <c r="J137">
        <v>1</v>
      </c>
      <c r="K137">
        <f>Source!AC543</f>
        <v>10202.57</v>
      </c>
      <c r="M137">
        <f>ROUND(K137*I137, 2)</f>
        <v>10202.57</v>
      </c>
      <c r="N137">
        <f>Source!AC543*IF(Source!BC543&lt;&gt; 0, Source!BC543, 1)</f>
        <v>10202.57</v>
      </c>
      <c r="O137">
        <f>ROUND(N137*I137, 2)</f>
        <v>10202.57</v>
      </c>
      <c r="P137">
        <f>Source!AE543</f>
        <v>0</v>
      </c>
      <c r="R137">
        <f>ROUND(P137*I137, 2)</f>
        <v>0</v>
      </c>
      <c r="S137">
        <f>Source!AE543*IF(Source!BS543&lt;&gt; 0, Source!BS543, 1)</f>
        <v>0</v>
      </c>
      <c r="T137">
        <f>ROUND(S137*I137, 2)</f>
        <v>0</v>
      </c>
      <c r="U137">
        <f>Source!GF543</f>
        <v>-1953145621</v>
      </c>
      <c r="V137">
        <v>1992160820</v>
      </c>
      <c r="W137">
        <v>1992160820</v>
      </c>
      <c r="X137">
        <v>3</v>
      </c>
    </row>
    <row r="138" spans="1:24" x14ac:dyDescent="0.2">
      <c r="A138">
        <f>Source!A578</f>
        <v>5</v>
      </c>
      <c r="B138">
        <v>578</v>
      </c>
      <c r="G138" t="str">
        <f>Source!G578</f>
        <v>Устройство покрытия</v>
      </c>
    </row>
    <row r="139" spans="1:24" x14ac:dyDescent="0.2">
      <c r="A139">
        <v>20</v>
      </c>
      <c r="B139">
        <v>167</v>
      </c>
      <c r="C139">
        <v>2</v>
      </c>
      <c r="D139">
        <v>0</v>
      </c>
      <c r="E139">
        <f>SmtRes!AV167</f>
        <v>0</v>
      </c>
      <c r="F139" t="str">
        <f>SmtRes!I167</f>
        <v>22.1-1-43</v>
      </c>
      <c r="G139" t="str">
        <f>SmtRes!K167</f>
        <v>Бульдозеры гусеничные, мощность до 59 кВт (80 л.с.)</v>
      </c>
      <c r="H139" t="str">
        <f>SmtRes!O167</f>
        <v>маш.-ч</v>
      </c>
      <c r="I139">
        <f>SmtRes!Y167*Source!I582</f>
        <v>0.32626800000000006</v>
      </c>
      <c r="J139">
        <f>SmtRes!AO167</f>
        <v>1</v>
      </c>
      <c r="K139">
        <f>SmtRes!AF167</f>
        <v>923.83</v>
      </c>
      <c r="L139">
        <f>SmtRes!DB167</f>
        <v>1958.52</v>
      </c>
      <c r="M139">
        <f>ROUND(ROUND(L139*Source!I582, 6)*1, 2)</f>
        <v>301.42</v>
      </c>
      <c r="N139">
        <f>SmtRes!AB167</f>
        <v>923.83</v>
      </c>
      <c r="O139">
        <f>ROUND(ROUND(L139*Source!I582, 6)*SmtRes!DA167, 2)</f>
        <v>301.42</v>
      </c>
      <c r="P139">
        <f>SmtRes!AG167</f>
        <v>342.06</v>
      </c>
      <c r="Q139">
        <f>SmtRes!DC167</f>
        <v>725.17</v>
      </c>
      <c r="R139">
        <f>ROUND(ROUND(Q139*Source!I582, 6)*1, 2)</f>
        <v>111.6</v>
      </c>
      <c r="S139">
        <f>SmtRes!AC167</f>
        <v>342.06</v>
      </c>
      <c r="T139">
        <f>ROUND(ROUND(Q139*Source!I582, 6)*SmtRes!AK167, 2)</f>
        <v>111.6</v>
      </c>
      <c r="U139">
        <f>SmtRes!X167</f>
        <v>-1073508213</v>
      </c>
      <c r="V139">
        <v>-660268849</v>
      </c>
      <c r="W139">
        <v>-660268849</v>
      </c>
      <c r="X139">
        <v>2</v>
      </c>
    </row>
    <row r="140" spans="1:24" x14ac:dyDescent="0.2">
      <c r="A140">
        <v>20</v>
      </c>
      <c r="B140">
        <v>166</v>
      </c>
      <c r="C140">
        <v>2</v>
      </c>
      <c r="D140">
        <v>0</v>
      </c>
      <c r="E140">
        <f>SmtRes!AV166</f>
        <v>0</v>
      </c>
      <c r="F140" t="str">
        <f>SmtRes!I166</f>
        <v>22.1-1-19</v>
      </c>
      <c r="G140" t="str">
        <f>SmtRes!K166</f>
        <v>Экскаваторы на пневмоколесном ходу гидравлические, объем ковша до 0,25 м3</v>
      </c>
      <c r="H140" t="str">
        <f>SmtRes!O166</f>
        <v>маш.-ч</v>
      </c>
      <c r="I140">
        <f>SmtRes!Y166*Source!I582</f>
        <v>1.4266529999999999</v>
      </c>
      <c r="J140">
        <f>SmtRes!AO166</f>
        <v>1</v>
      </c>
      <c r="K140">
        <f>SmtRes!AF166</f>
        <v>675.33</v>
      </c>
      <c r="L140">
        <f>SmtRes!DB166</f>
        <v>6260.31</v>
      </c>
      <c r="M140">
        <f>ROUND(ROUND(L140*Source!I582, 6)*1, 2)</f>
        <v>963.46</v>
      </c>
      <c r="N140">
        <f>SmtRes!AB166</f>
        <v>675.33</v>
      </c>
      <c r="O140">
        <f>ROUND(ROUND(L140*Source!I582, 6)*SmtRes!DA166, 2)</f>
        <v>963.46</v>
      </c>
      <c r="P140">
        <f>SmtRes!AG166</f>
        <v>529.01</v>
      </c>
      <c r="Q140">
        <f>SmtRes!DC166</f>
        <v>4903.92</v>
      </c>
      <c r="R140">
        <f>ROUND(ROUND(Q140*Source!I582, 6)*1, 2)</f>
        <v>754.71</v>
      </c>
      <c r="S140">
        <f>SmtRes!AC166</f>
        <v>529.01</v>
      </c>
      <c r="T140">
        <f>ROUND(ROUND(Q140*Source!I582, 6)*SmtRes!AK166, 2)</f>
        <v>754.71</v>
      </c>
      <c r="U140">
        <f>SmtRes!X166</f>
        <v>-1331171294</v>
      </c>
      <c r="V140">
        <v>269381960</v>
      </c>
      <c r="W140">
        <v>269381960</v>
      </c>
      <c r="X140">
        <v>2</v>
      </c>
    </row>
    <row r="141" spans="1:24" x14ac:dyDescent="0.2">
      <c r="A141">
        <v>20</v>
      </c>
      <c r="B141">
        <v>169</v>
      </c>
      <c r="C141">
        <v>2</v>
      </c>
      <c r="D141">
        <v>0</v>
      </c>
      <c r="E141">
        <f>SmtRes!AV169</f>
        <v>0</v>
      </c>
      <c r="F141" t="str">
        <f>SmtRes!I169</f>
        <v>22.1-1-5</v>
      </c>
      <c r="G141" t="str">
        <f>SmtRes!K169</f>
        <v>Экскаваторы на гусеничном ходу гидравлические, объем ковша до 0,65 м3</v>
      </c>
      <c r="H141" t="str">
        <f>SmtRes!O169</f>
        <v>маш.-ч</v>
      </c>
      <c r="I141">
        <f>SmtRes!Y169*Source!I584</f>
        <v>0.41322150000000002</v>
      </c>
      <c r="J141">
        <f>SmtRes!AO169</f>
        <v>1</v>
      </c>
      <c r="K141">
        <f>SmtRes!AF169</f>
        <v>1451.71</v>
      </c>
      <c r="L141">
        <f>SmtRes!DB169</f>
        <v>77.959999999999994</v>
      </c>
      <c r="M141">
        <f>ROUND(ROUND(L141*Source!I584, 6)*1, 2)</f>
        <v>599.9</v>
      </c>
      <c r="N141">
        <f>SmtRes!AB169</f>
        <v>1451.71</v>
      </c>
      <c r="O141">
        <f>ROUND(ROUND(L141*Source!I584, 6)*SmtRes!DA169, 2)</f>
        <v>599.9</v>
      </c>
      <c r="P141">
        <f>SmtRes!AG169</f>
        <v>457.95</v>
      </c>
      <c r="Q141">
        <f>SmtRes!DC169</f>
        <v>24.59</v>
      </c>
      <c r="R141">
        <f>ROUND(ROUND(Q141*Source!I584, 6)*1, 2)</f>
        <v>189.22</v>
      </c>
      <c r="S141">
        <f>SmtRes!AC169</f>
        <v>457.95</v>
      </c>
      <c r="T141">
        <f>ROUND(ROUND(Q141*Source!I584, 6)*SmtRes!AK169, 2)</f>
        <v>189.22</v>
      </c>
      <c r="U141">
        <f>SmtRes!X169</f>
        <v>-202408269</v>
      </c>
      <c r="V141">
        <v>-1723912365</v>
      </c>
      <c r="W141">
        <v>-1723912365</v>
      </c>
      <c r="X141">
        <v>2</v>
      </c>
    </row>
    <row r="142" spans="1:24" x14ac:dyDescent="0.2">
      <c r="A142">
        <v>20</v>
      </c>
      <c r="B142">
        <v>172</v>
      </c>
      <c r="C142">
        <v>2</v>
      </c>
      <c r="D142">
        <v>0</v>
      </c>
      <c r="E142">
        <f>SmtRes!AV172</f>
        <v>0</v>
      </c>
      <c r="F142" t="str">
        <f>SmtRes!I172</f>
        <v>22.1-18-13</v>
      </c>
      <c r="G142" t="str">
        <f>SmtRes!K172</f>
        <v>Автомобили-самосвалы, грузоподъемность до 10 т</v>
      </c>
      <c r="H142" t="str">
        <f>SmtRes!O172</f>
        <v>маш.-ч</v>
      </c>
      <c r="I142">
        <f>SmtRes!Y172*Source!I586</f>
        <v>0.13850999999999999</v>
      </c>
      <c r="J142">
        <f>SmtRes!AO172</f>
        <v>1</v>
      </c>
      <c r="K142">
        <f>SmtRes!AF172</f>
        <v>993.6</v>
      </c>
      <c r="L142">
        <f>SmtRes!DB172</f>
        <v>17.88</v>
      </c>
      <c r="M142">
        <f>ROUND(ROUND(L142*Source!I586, 6)*1, 2)</f>
        <v>137.59</v>
      </c>
      <c r="N142">
        <f>SmtRes!AB172</f>
        <v>993.6</v>
      </c>
      <c r="O142">
        <f>ROUND(ROUND(L142*Source!I586, 6)*SmtRes!DA172, 2)</f>
        <v>137.59</v>
      </c>
      <c r="P142">
        <f>SmtRes!AG172</f>
        <v>301.8</v>
      </c>
      <c r="Q142">
        <f>SmtRes!DC172</f>
        <v>5.43</v>
      </c>
      <c r="R142">
        <f>ROUND(ROUND(Q142*Source!I586, 6)*1, 2)</f>
        <v>41.78</v>
      </c>
      <c r="S142">
        <f>SmtRes!AC172</f>
        <v>301.8</v>
      </c>
      <c r="T142">
        <f>ROUND(ROUND(Q142*Source!I586, 6)*SmtRes!AK172, 2)</f>
        <v>41.78</v>
      </c>
      <c r="U142">
        <f>SmtRes!X172</f>
        <v>-1546163025</v>
      </c>
      <c r="V142">
        <v>-1384078646</v>
      </c>
      <c r="W142">
        <v>-1384078646</v>
      </c>
      <c r="X142">
        <v>2</v>
      </c>
    </row>
    <row r="143" spans="1:24" x14ac:dyDescent="0.2">
      <c r="A143">
        <v>20</v>
      </c>
      <c r="B143">
        <v>171</v>
      </c>
      <c r="C143">
        <v>2</v>
      </c>
      <c r="D143">
        <v>0</v>
      </c>
      <c r="E143">
        <f>SmtRes!AV171</f>
        <v>0</v>
      </c>
      <c r="F143" t="str">
        <f>SmtRes!I171</f>
        <v>22.1-18-12</v>
      </c>
      <c r="G143" t="str">
        <f>SmtRes!K171</f>
        <v>Автомобили-самосвалы, грузоподъемность до 7 т</v>
      </c>
      <c r="H143" t="str">
        <f>SmtRes!O171</f>
        <v>маш.-ч</v>
      </c>
      <c r="I143">
        <f>SmtRes!Y171*Source!I586</f>
        <v>0.15390000000000001</v>
      </c>
      <c r="J143">
        <f>SmtRes!AO171</f>
        <v>1</v>
      </c>
      <c r="K143">
        <f>SmtRes!AF171</f>
        <v>952.49</v>
      </c>
      <c r="L143">
        <f>SmtRes!DB171</f>
        <v>19.05</v>
      </c>
      <c r="M143">
        <f>ROUND(ROUND(L143*Source!I586, 6)*1, 2)</f>
        <v>146.59</v>
      </c>
      <c r="N143">
        <f>SmtRes!AB171</f>
        <v>952.49</v>
      </c>
      <c r="O143">
        <f>ROUND(ROUND(L143*Source!I586, 6)*SmtRes!DA171, 2)</f>
        <v>146.59</v>
      </c>
      <c r="P143">
        <f>SmtRes!AG171</f>
        <v>301.5</v>
      </c>
      <c r="Q143">
        <f>SmtRes!DC171</f>
        <v>6.03</v>
      </c>
      <c r="R143">
        <f>ROUND(ROUND(Q143*Source!I586, 6)*1, 2)</f>
        <v>46.4</v>
      </c>
      <c r="S143">
        <f>SmtRes!AC171</f>
        <v>301.5</v>
      </c>
      <c r="T143">
        <f>ROUND(ROUND(Q143*Source!I586, 6)*SmtRes!AK171, 2)</f>
        <v>46.4</v>
      </c>
      <c r="U143">
        <f>SmtRes!X171</f>
        <v>468658695</v>
      </c>
      <c r="V143">
        <v>1032900138</v>
      </c>
      <c r="W143">
        <v>1032900138</v>
      </c>
      <c r="X143">
        <v>2</v>
      </c>
    </row>
    <row r="144" spans="1:24" x14ac:dyDescent="0.2">
      <c r="A144">
        <v>20</v>
      </c>
      <c r="B144">
        <v>174</v>
      </c>
      <c r="C144">
        <v>2</v>
      </c>
      <c r="D144">
        <v>0</v>
      </c>
      <c r="E144">
        <f>SmtRes!AV174</f>
        <v>0</v>
      </c>
      <c r="F144" t="str">
        <f>SmtRes!I174</f>
        <v>22.1-18-13</v>
      </c>
      <c r="G144" t="str">
        <f>SmtRes!K174</f>
        <v>Автомобили-самосвалы, грузоподъемность до 10 т</v>
      </c>
      <c r="H144" t="str">
        <f>SmtRes!O174</f>
        <v>маш.-ч</v>
      </c>
      <c r="I144">
        <f>SmtRes!Y174*Source!I587</f>
        <v>0.14107500000000001</v>
      </c>
      <c r="J144">
        <f>SmtRes!AO174</f>
        <v>1</v>
      </c>
      <c r="K144">
        <f>SmtRes!AF174</f>
        <v>993.6</v>
      </c>
      <c r="L144">
        <f>SmtRes!DB174</f>
        <v>54.65</v>
      </c>
      <c r="M144">
        <f>ROUND(ROUND(L144*Source!I587, 6)*1, 2)</f>
        <v>140.18</v>
      </c>
      <c r="N144">
        <f>SmtRes!AB174</f>
        <v>993.6</v>
      </c>
      <c r="O144">
        <f>ROUND(ROUND(L144*Source!I587, 6)*SmtRes!DA174, 2)</f>
        <v>140.18</v>
      </c>
      <c r="P144">
        <f>SmtRes!AG174</f>
        <v>301.8</v>
      </c>
      <c r="Q144">
        <f>SmtRes!DC174</f>
        <v>16.600000000000001</v>
      </c>
      <c r="R144">
        <f>ROUND(ROUND(Q144*Source!I587, 6)*1, 2)</f>
        <v>42.58</v>
      </c>
      <c r="S144">
        <f>SmtRes!AC174</f>
        <v>301.8</v>
      </c>
      <c r="T144">
        <f>ROUND(ROUND(Q144*Source!I587, 6)*SmtRes!AK174, 2)</f>
        <v>42.58</v>
      </c>
      <c r="U144">
        <f>SmtRes!X174</f>
        <v>-1546163025</v>
      </c>
      <c r="V144">
        <v>-1384078646</v>
      </c>
      <c r="W144">
        <v>-1384078646</v>
      </c>
      <c r="X144">
        <v>2</v>
      </c>
    </row>
    <row r="145" spans="1:24" x14ac:dyDescent="0.2">
      <c r="A145">
        <v>20</v>
      </c>
      <c r="B145">
        <v>173</v>
      </c>
      <c r="C145">
        <v>2</v>
      </c>
      <c r="D145">
        <v>0</v>
      </c>
      <c r="E145">
        <f>SmtRes!AV173</f>
        <v>0</v>
      </c>
      <c r="F145" t="str">
        <f>SmtRes!I173</f>
        <v>22.1-18-12</v>
      </c>
      <c r="G145" t="str">
        <f>SmtRes!K173</f>
        <v>Автомобили-самосвалы, грузоподъемность до 7 т</v>
      </c>
      <c r="H145" t="str">
        <f>SmtRes!O173</f>
        <v>маш.-ч</v>
      </c>
      <c r="I145">
        <f>SmtRes!Y173*Source!I587</f>
        <v>0.13850999999999999</v>
      </c>
      <c r="J145">
        <f>SmtRes!AO173</f>
        <v>1</v>
      </c>
      <c r="K145">
        <f>SmtRes!AF173</f>
        <v>952.49</v>
      </c>
      <c r="L145">
        <f>SmtRes!DB173</f>
        <v>51.43</v>
      </c>
      <c r="M145">
        <f>ROUND(ROUND(L145*Source!I587, 6)*1, 2)</f>
        <v>131.91999999999999</v>
      </c>
      <c r="N145">
        <f>SmtRes!AB173</f>
        <v>952.49</v>
      </c>
      <c r="O145">
        <f>ROUND(ROUND(L145*Source!I587, 6)*SmtRes!DA173, 2)</f>
        <v>131.91999999999999</v>
      </c>
      <c r="P145">
        <f>SmtRes!AG173</f>
        <v>301.5</v>
      </c>
      <c r="Q145">
        <f>SmtRes!DC173</f>
        <v>16.28</v>
      </c>
      <c r="R145">
        <f>ROUND(ROUND(Q145*Source!I587, 6)*1, 2)</f>
        <v>41.76</v>
      </c>
      <c r="S145">
        <f>SmtRes!AC173</f>
        <v>301.5</v>
      </c>
      <c r="T145">
        <f>ROUND(ROUND(Q145*Source!I587, 6)*SmtRes!AK173, 2)</f>
        <v>41.76</v>
      </c>
      <c r="U145">
        <f>SmtRes!X173</f>
        <v>468658695</v>
      </c>
      <c r="V145">
        <v>1032900138</v>
      </c>
      <c r="W145">
        <v>1032900138</v>
      </c>
      <c r="X145">
        <v>2</v>
      </c>
    </row>
    <row r="146" spans="1:24" x14ac:dyDescent="0.2">
      <c r="A146">
        <v>20</v>
      </c>
      <c r="B146">
        <v>176</v>
      </c>
      <c r="C146">
        <v>2</v>
      </c>
      <c r="D146">
        <v>0</v>
      </c>
      <c r="E146">
        <f>SmtRes!AV176</f>
        <v>0</v>
      </c>
      <c r="F146" t="str">
        <f>SmtRes!I176</f>
        <v>22.1-18-13</v>
      </c>
      <c r="G146" t="str">
        <f>SmtRes!K176</f>
        <v>Автомобили-самосвалы, грузоподъемность до 10 т</v>
      </c>
      <c r="H146" t="str">
        <f>SmtRes!O176</f>
        <v>маш.-ч</v>
      </c>
      <c r="I146">
        <f>SmtRes!Y176*Source!I588</f>
        <v>1.31328</v>
      </c>
      <c r="J146">
        <f>SmtRes!AO176</f>
        <v>1</v>
      </c>
      <c r="K146">
        <f>SmtRes!AF176</f>
        <v>993.6</v>
      </c>
      <c r="L146">
        <f>SmtRes!DB176</f>
        <v>127.2</v>
      </c>
      <c r="M146">
        <f>ROUND(ROUND(L146*Source!I588, 6)*1, 2)</f>
        <v>1305.07</v>
      </c>
      <c r="N146">
        <f>SmtRes!AB176</f>
        <v>993.6</v>
      </c>
      <c r="O146">
        <f>ROUND(ROUND(L146*Source!I588, 6)*SmtRes!DA176, 2)</f>
        <v>1305.07</v>
      </c>
      <c r="P146">
        <f>SmtRes!AG176</f>
        <v>301.8</v>
      </c>
      <c r="Q146">
        <f>SmtRes!DC176</f>
        <v>38.56</v>
      </c>
      <c r="R146">
        <f>ROUND(ROUND(Q146*Source!I588, 6)*1, 2)</f>
        <v>395.63</v>
      </c>
      <c r="S146">
        <f>SmtRes!AC176</f>
        <v>301.8</v>
      </c>
      <c r="T146">
        <f>ROUND(ROUND(Q146*Source!I588, 6)*SmtRes!AK176, 2)</f>
        <v>395.63</v>
      </c>
      <c r="U146">
        <f>SmtRes!X176</f>
        <v>-1546163025</v>
      </c>
      <c r="V146">
        <v>-1384078646</v>
      </c>
      <c r="W146">
        <v>-1384078646</v>
      </c>
      <c r="X146">
        <v>2</v>
      </c>
    </row>
    <row r="147" spans="1:24" x14ac:dyDescent="0.2">
      <c r="A147">
        <v>20</v>
      </c>
      <c r="B147">
        <v>175</v>
      </c>
      <c r="C147">
        <v>2</v>
      </c>
      <c r="D147">
        <v>0</v>
      </c>
      <c r="E147">
        <f>SmtRes!AV175</f>
        <v>0</v>
      </c>
      <c r="F147" t="str">
        <f>SmtRes!I175</f>
        <v>22.1-18-12</v>
      </c>
      <c r="G147" t="str">
        <f>SmtRes!K175</f>
        <v>Автомобили-самосвалы, грузоподъемность до 7 т</v>
      </c>
      <c r="H147" t="str">
        <f>SmtRes!O175</f>
        <v>маш.-ч</v>
      </c>
      <c r="I147">
        <f>SmtRes!Y175*Source!I588</f>
        <v>1.6415999999999999</v>
      </c>
      <c r="J147">
        <f>SmtRes!AO175</f>
        <v>1</v>
      </c>
      <c r="K147">
        <f>SmtRes!AF175</f>
        <v>952.49</v>
      </c>
      <c r="L147">
        <f>SmtRes!DB175</f>
        <v>152.32</v>
      </c>
      <c r="M147">
        <f>ROUND(ROUND(L147*Source!I588, 6)*1, 2)</f>
        <v>1562.8</v>
      </c>
      <c r="N147">
        <f>SmtRes!AB175</f>
        <v>952.49</v>
      </c>
      <c r="O147">
        <f>ROUND(ROUND(L147*Source!I588, 6)*SmtRes!DA175, 2)</f>
        <v>1562.8</v>
      </c>
      <c r="P147">
        <f>SmtRes!AG175</f>
        <v>301.5</v>
      </c>
      <c r="Q147">
        <f>SmtRes!DC175</f>
        <v>48.32</v>
      </c>
      <c r="R147">
        <f>ROUND(ROUND(Q147*Source!I588, 6)*1, 2)</f>
        <v>495.76</v>
      </c>
      <c r="S147">
        <f>SmtRes!AC175</f>
        <v>301.5</v>
      </c>
      <c r="T147">
        <f>ROUND(ROUND(Q147*Source!I588, 6)*SmtRes!AK175, 2)</f>
        <v>495.76</v>
      </c>
      <c r="U147">
        <f>SmtRes!X175</f>
        <v>468658695</v>
      </c>
      <c r="V147">
        <v>1032900138</v>
      </c>
      <c r="W147">
        <v>1032900138</v>
      </c>
      <c r="X147">
        <v>2</v>
      </c>
    </row>
    <row r="148" spans="1:24" x14ac:dyDescent="0.2">
      <c r="A148">
        <f>Source!A589</f>
        <v>17</v>
      </c>
      <c r="B148">
        <v>589</v>
      </c>
      <c r="C148">
        <v>3</v>
      </c>
      <c r="D148">
        <f>Source!BI589</f>
        <v>4</v>
      </c>
      <c r="E148">
        <f>Source!FS589</f>
        <v>0</v>
      </c>
      <c r="F148" t="str">
        <f>Source!F589</f>
        <v>21.25-0-1</v>
      </c>
      <c r="G148" t="str">
        <f>Source!G589</f>
        <v>Содержание свалки отходов строительства и сноса</v>
      </c>
      <c r="H148" t="str">
        <f>Source!H589</f>
        <v>т</v>
      </c>
      <c r="I148">
        <f>Source!I589</f>
        <v>10.26</v>
      </c>
      <c r="J148">
        <v>1</v>
      </c>
      <c r="K148">
        <f>Source!AC589</f>
        <v>197.96</v>
      </c>
      <c r="M148">
        <f>ROUND(K148*I148, 2)</f>
        <v>2031.07</v>
      </c>
      <c r="N148">
        <f>Source!AC589*IF(Source!BC589&lt;&gt; 0, Source!BC589, 1)</f>
        <v>197.96</v>
      </c>
      <c r="O148">
        <f>ROUND(N148*I148, 2)</f>
        <v>2031.07</v>
      </c>
      <c r="P148">
        <f>Source!AE589</f>
        <v>0</v>
      </c>
      <c r="R148">
        <f>ROUND(P148*I148, 2)</f>
        <v>0</v>
      </c>
      <c r="S148">
        <f>Source!AE589*IF(Source!BS589&lt;&gt; 0, Source!BS589, 1)</f>
        <v>0</v>
      </c>
      <c r="T148">
        <f>ROUND(S148*I148, 2)</f>
        <v>0</v>
      </c>
      <c r="U148">
        <f>Source!GF589</f>
        <v>-1219268023</v>
      </c>
      <c r="V148">
        <v>-96028578</v>
      </c>
      <c r="W148">
        <v>-96028578</v>
      </c>
      <c r="X148">
        <v>3</v>
      </c>
    </row>
    <row r="149" spans="1:24" x14ac:dyDescent="0.2">
      <c r="A149">
        <v>20</v>
      </c>
      <c r="B149">
        <v>184</v>
      </c>
      <c r="C149">
        <v>3</v>
      </c>
      <c r="D149">
        <v>0</v>
      </c>
      <c r="E149">
        <f>SmtRes!AV184</f>
        <v>0</v>
      </c>
      <c r="F149" t="str">
        <f>SmtRes!I184</f>
        <v>21.1-25-13</v>
      </c>
      <c r="G149" t="str">
        <f>SmtRes!K184</f>
        <v>Вода</v>
      </c>
      <c r="H149" t="str">
        <f>SmtRes!O184</f>
        <v>м3</v>
      </c>
      <c r="I149">
        <f>SmtRes!Y184*Source!I593</f>
        <v>0.85500000000000009</v>
      </c>
      <c r="J149">
        <f>SmtRes!AO184</f>
        <v>1</v>
      </c>
      <c r="K149">
        <f>SmtRes!AE184</f>
        <v>33.729999999999997</v>
      </c>
      <c r="L149">
        <f>SmtRes!DB184</f>
        <v>168.65</v>
      </c>
      <c r="M149">
        <f>ROUND(ROUND(L149*Source!I593, 6)*1, 2)</f>
        <v>28.84</v>
      </c>
      <c r="N149">
        <f>SmtRes!AA184</f>
        <v>33.729999999999997</v>
      </c>
      <c r="O149">
        <f>ROUND(ROUND(L149*Source!I593, 6)*SmtRes!DA184, 2)</f>
        <v>28.84</v>
      </c>
      <c r="P149">
        <f>SmtRes!AG184</f>
        <v>0</v>
      </c>
      <c r="Q149">
        <f>SmtRes!DC184</f>
        <v>0</v>
      </c>
      <c r="R149">
        <f>ROUND(ROUND(Q149*Source!I593, 6)*1, 2)</f>
        <v>0</v>
      </c>
      <c r="S149">
        <f>SmtRes!AC184</f>
        <v>0</v>
      </c>
      <c r="T149">
        <f>ROUND(ROUND(Q149*Source!I593, 6)*SmtRes!AK184, 2)</f>
        <v>0</v>
      </c>
      <c r="U149">
        <f>SmtRes!X184</f>
        <v>-1250124927</v>
      </c>
      <c r="V149">
        <v>-474033762</v>
      </c>
      <c r="W149">
        <v>-474033762</v>
      </c>
      <c r="X149">
        <v>3</v>
      </c>
    </row>
    <row r="150" spans="1:24" x14ac:dyDescent="0.2">
      <c r="A150">
        <v>20</v>
      </c>
      <c r="B150">
        <v>183</v>
      </c>
      <c r="C150">
        <v>3</v>
      </c>
      <c r="D150">
        <v>0</v>
      </c>
      <c r="E150">
        <f>SmtRes!AV183</f>
        <v>0</v>
      </c>
      <c r="F150" t="str">
        <f>SmtRes!I183</f>
        <v>21.1-12-10</v>
      </c>
      <c r="G150" t="str">
        <f>SmtRes!K183</f>
        <v>Песок для дорожных работ, рядовой</v>
      </c>
      <c r="H150" t="str">
        <f>SmtRes!O183</f>
        <v>м3</v>
      </c>
      <c r="I150">
        <f>SmtRes!Y183*Source!I593</f>
        <v>18.810000000000002</v>
      </c>
      <c r="J150">
        <f>SmtRes!AO183</f>
        <v>1</v>
      </c>
      <c r="K150">
        <f>SmtRes!AE183</f>
        <v>590.78</v>
      </c>
      <c r="L150">
        <f>SmtRes!DB183</f>
        <v>64985.8</v>
      </c>
      <c r="M150">
        <f>ROUND(ROUND(L150*Source!I593, 6)*1, 2)</f>
        <v>11112.57</v>
      </c>
      <c r="N150">
        <f>SmtRes!AA183</f>
        <v>590.78</v>
      </c>
      <c r="O150">
        <f>ROUND(ROUND(L150*Source!I593, 6)*SmtRes!DA183, 2)</f>
        <v>11112.57</v>
      </c>
      <c r="P150">
        <f>SmtRes!AG183</f>
        <v>0</v>
      </c>
      <c r="Q150">
        <f>SmtRes!DC183</f>
        <v>0</v>
      </c>
      <c r="R150">
        <f>ROUND(ROUND(Q150*Source!I593, 6)*1, 2)</f>
        <v>0</v>
      </c>
      <c r="S150">
        <f>SmtRes!AC183</f>
        <v>0</v>
      </c>
      <c r="T150">
        <f>ROUND(ROUND(Q150*Source!I593, 6)*SmtRes!AK183, 2)</f>
        <v>0</v>
      </c>
      <c r="U150">
        <f>SmtRes!X183</f>
        <v>189307774</v>
      </c>
      <c r="V150">
        <v>1387681249</v>
      </c>
      <c r="W150">
        <v>1387681249</v>
      </c>
      <c r="X150">
        <v>3</v>
      </c>
    </row>
    <row r="151" spans="1:24" x14ac:dyDescent="0.2">
      <c r="A151">
        <v>20</v>
      </c>
      <c r="B151">
        <v>182</v>
      </c>
      <c r="C151">
        <v>2</v>
      </c>
      <c r="D151">
        <v>0</v>
      </c>
      <c r="E151">
        <f>SmtRes!AV182</f>
        <v>0</v>
      </c>
      <c r="F151" t="str">
        <f>SmtRes!I182</f>
        <v>22.1-5-7</v>
      </c>
      <c r="G151" t="str">
        <f>SmtRes!K182</f>
        <v>Катки дорожные самоходные на пневмоколесном ходу, масса до 16 т</v>
      </c>
      <c r="H151" t="str">
        <f>SmtRes!O182</f>
        <v>маш.-ч</v>
      </c>
      <c r="I151">
        <f>SmtRes!Y182*Source!I593</f>
        <v>0.11115000000000001</v>
      </c>
      <c r="J151">
        <f>SmtRes!AO182</f>
        <v>1</v>
      </c>
      <c r="K151">
        <f>SmtRes!AF182</f>
        <v>1179.56</v>
      </c>
      <c r="L151">
        <f>SmtRes!DB182</f>
        <v>766.71</v>
      </c>
      <c r="M151">
        <f>ROUND(ROUND(L151*Source!I593, 6)*1, 2)</f>
        <v>131.11000000000001</v>
      </c>
      <c r="N151">
        <f>SmtRes!AB182</f>
        <v>1179.56</v>
      </c>
      <c r="O151">
        <f>ROUND(ROUND(L151*Source!I593, 6)*SmtRes!DA182, 2)</f>
        <v>131.11000000000001</v>
      </c>
      <c r="P151">
        <f>SmtRes!AG182</f>
        <v>439.28</v>
      </c>
      <c r="Q151">
        <f>SmtRes!DC182</f>
        <v>285.52999999999997</v>
      </c>
      <c r="R151">
        <f>ROUND(ROUND(Q151*Source!I593, 6)*1, 2)</f>
        <v>48.83</v>
      </c>
      <c r="S151">
        <f>SmtRes!AC182</f>
        <v>439.28</v>
      </c>
      <c r="T151">
        <f>ROUND(ROUND(Q151*Source!I593, 6)*SmtRes!AK182, 2)</f>
        <v>48.83</v>
      </c>
      <c r="U151">
        <f>SmtRes!X182</f>
        <v>393556487</v>
      </c>
      <c r="V151">
        <v>-801114187</v>
      </c>
      <c r="W151">
        <v>-801114187</v>
      </c>
      <c r="X151">
        <v>2</v>
      </c>
    </row>
    <row r="152" spans="1:24" x14ac:dyDescent="0.2">
      <c r="A152">
        <v>20</v>
      </c>
      <c r="B152">
        <v>181</v>
      </c>
      <c r="C152">
        <v>2</v>
      </c>
      <c r="D152">
        <v>0</v>
      </c>
      <c r="E152">
        <f>SmtRes!AV181</f>
        <v>0</v>
      </c>
      <c r="F152" t="str">
        <f>SmtRes!I181</f>
        <v>22.1-5-48</v>
      </c>
      <c r="G152" t="str">
        <f>SmtRes!K181</f>
        <v>Автогрейдеры, мощность 99-147 кВт (130-200 л.с.)</v>
      </c>
      <c r="H152" t="str">
        <f>SmtRes!O181</f>
        <v>маш.-ч</v>
      </c>
      <c r="I152">
        <f>SmtRes!Y181*Source!I593</f>
        <v>0.33174000000000003</v>
      </c>
      <c r="J152">
        <f>SmtRes!AO181</f>
        <v>1</v>
      </c>
      <c r="K152">
        <f>SmtRes!AF181</f>
        <v>1364.77</v>
      </c>
      <c r="L152">
        <f>SmtRes!DB181</f>
        <v>2647.65</v>
      </c>
      <c r="M152">
        <f>ROUND(ROUND(L152*Source!I593, 6)*1, 2)</f>
        <v>452.75</v>
      </c>
      <c r="N152">
        <f>SmtRes!AB181</f>
        <v>1364.77</v>
      </c>
      <c r="O152">
        <f>ROUND(ROUND(L152*Source!I593, 6)*SmtRes!DA181, 2)</f>
        <v>452.75</v>
      </c>
      <c r="P152">
        <f>SmtRes!AG181</f>
        <v>610.30999999999995</v>
      </c>
      <c r="Q152">
        <f>SmtRes!DC181</f>
        <v>1184</v>
      </c>
      <c r="R152">
        <f>ROUND(ROUND(Q152*Source!I593, 6)*1, 2)</f>
        <v>202.46</v>
      </c>
      <c r="S152">
        <f>SmtRes!AC181</f>
        <v>610.30999999999995</v>
      </c>
      <c r="T152">
        <f>ROUND(ROUND(Q152*Source!I593, 6)*SmtRes!AK181, 2)</f>
        <v>202.46</v>
      </c>
      <c r="U152">
        <f>SmtRes!X181</f>
        <v>-1453001133</v>
      </c>
      <c r="V152">
        <v>2009633333</v>
      </c>
      <c r="W152">
        <v>2009633333</v>
      </c>
      <c r="X152">
        <v>2</v>
      </c>
    </row>
    <row r="153" spans="1:24" x14ac:dyDescent="0.2">
      <c r="A153">
        <v>20</v>
      </c>
      <c r="B153">
        <v>180</v>
      </c>
      <c r="C153">
        <v>2</v>
      </c>
      <c r="D153">
        <v>0</v>
      </c>
      <c r="E153">
        <f>SmtRes!AV180</f>
        <v>0</v>
      </c>
      <c r="F153" t="str">
        <f>SmtRes!I180</f>
        <v>22.1-5-18</v>
      </c>
      <c r="G153" t="str">
        <f>SmtRes!K180</f>
        <v>Поливомоечные машины, емкость цистерны более 5000 л</v>
      </c>
      <c r="H153" t="str">
        <f>SmtRes!O180</f>
        <v>маш.-ч</v>
      </c>
      <c r="I153">
        <f>SmtRes!Y180*Source!I593</f>
        <v>0.13851000000000002</v>
      </c>
      <c r="J153">
        <f>SmtRes!AO180</f>
        <v>1</v>
      </c>
      <c r="K153">
        <f>SmtRes!AF180</f>
        <v>1942.21</v>
      </c>
      <c r="L153">
        <f>SmtRes!DB180</f>
        <v>1573.19</v>
      </c>
      <c r="M153">
        <f>ROUND(ROUND(L153*Source!I593, 6)*1, 2)</f>
        <v>269.02</v>
      </c>
      <c r="N153">
        <f>SmtRes!AB180</f>
        <v>1942.21</v>
      </c>
      <c r="O153">
        <f>ROUND(ROUND(L153*Source!I593, 6)*SmtRes!DA180, 2)</f>
        <v>269.02</v>
      </c>
      <c r="P153">
        <f>SmtRes!AG180</f>
        <v>436.39</v>
      </c>
      <c r="Q153">
        <f>SmtRes!DC180</f>
        <v>353.48</v>
      </c>
      <c r="R153">
        <f>ROUND(ROUND(Q153*Source!I593, 6)*1, 2)</f>
        <v>60.45</v>
      </c>
      <c r="S153">
        <f>SmtRes!AC180</f>
        <v>436.39</v>
      </c>
      <c r="T153">
        <f>ROUND(ROUND(Q153*Source!I593, 6)*SmtRes!AK180, 2)</f>
        <v>60.45</v>
      </c>
      <c r="U153">
        <f>SmtRes!X180</f>
        <v>-1802121576</v>
      </c>
      <c r="V153">
        <v>-514054631</v>
      </c>
      <c r="W153">
        <v>-514054631</v>
      </c>
      <c r="X153">
        <v>2</v>
      </c>
    </row>
    <row r="154" spans="1:24" x14ac:dyDescent="0.2">
      <c r="A154">
        <v>20</v>
      </c>
      <c r="B154">
        <v>179</v>
      </c>
      <c r="C154">
        <v>2</v>
      </c>
      <c r="D154">
        <v>0</v>
      </c>
      <c r="E154">
        <f>SmtRes!AV179</f>
        <v>0</v>
      </c>
      <c r="F154" t="str">
        <f>SmtRes!I179</f>
        <v>22.1-5-15</v>
      </c>
      <c r="G154" t="str">
        <f>SmtRes!K179</f>
        <v>Катки прицепные пневмоколесные, масса до 50 т</v>
      </c>
      <c r="H154" t="str">
        <f>SmtRes!O179</f>
        <v>маш.-ч</v>
      </c>
      <c r="I154">
        <f>SmtRes!Y179*Source!I593</f>
        <v>0.35568000000000005</v>
      </c>
      <c r="J154">
        <f>SmtRes!AO179</f>
        <v>1</v>
      </c>
      <c r="K154">
        <f>SmtRes!AF179</f>
        <v>416.25</v>
      </c>
      <c r="L154">
        <f>SmtRes!DB179</f>
        <v>865.8</v>
      </c>
      <c r="M154">
        <f>ROUND(ROUND(L154*Source!I593, 6)*1, 2)</f>
        <v>148.05000000000001</v>
      </c>
      <c r="N154">
        <f>SmtRes!AB179</f>
        <v>416.25</v>
      </c>
      <c r="O154">
        <f>ROUND(ROUND(L154*Source!I593, 6)*SmtRes!DA179, 2)</f>
        <v>148.05000000000001</v>
      </c>
      <c r="P154">
        <f>SmtRes!AG179</f>
        <v>204.9</v>
      </c>
      <c r="Q154">
        <f>SmtRes!DC179</f>
        <v>426.19</v>
      </c>
      <c r="R154">
        <f>ROUND(ROUND(Q154*Source!I593, 6)*1, 2)</f>
        <v>72.88</v>
      </c>
      <c r="S154">
        <f>SmtRes!AC179</f>
        <v>204.9</v>
      </c>
      <c r="T154">
        <f>ROUND(ROUND(Q154*Source!I593, 6)*SmtRes!AK179, 2)</f>
        <v>72.88</v>
      </c>
      <c r="U154">
        <f>SmtRes!X179</f>
        <v>1265029398</v>
      </c>
      <c r="V154">
        <v>-1472439335</v>
      </c>
      <c r="W154">
        <v>-1472439335</v>
      </c>
      <c r="X154">
        <v>2</v>
      </c>
    </row>
    <row r="155" spans="1:24" x14ac:dyDescent="0.2">
      <c r="A155">
        <v>20</v>
      </c>
      <c r="B155">
        <v>178</v>
      </c>
      <c r="C155">
        <v>2</v>
      </c>
      <c r="D155">
        <v>0</v>
      </c>
      <c r="E155">
        <f>SmtRes!AV178</f>
        <v>0</v>
      </c>
      <c r="F155" t="str">
        <f>SmtRes!I178</f>
        <v>22.1-2-1</v>
      </c>
      <c r="G155" t="str">
        <f>SmtRes!K178</f>
        <v>Тракторы на гусеничном ходу, мощность до 60 (81) кВт (л.с.)</v>
      </c>
      <c r="H155" t="str">
        <f>SmtRes!O178</f>
        <v>маш.-ч</v>
      </c>
      <c r="I155">
        <f>SmtRes!Y178*Source!I593</f>
        <v>0.35568000000000005</v>
      </c>
      <c r="J155">
        <f>SmtRes!AO178</f>
        <v>1</v>
      </c>
      <c r="K155">
        <f>SmtRes!AF178</f>
        <v>1159.46</v>
      </c>
      <c r="L155">
        <f>SmtRes!DB178</f>
        <v>2411.6799999999998</v>
      </c>
      <c r="M155">
        <f>ROUND(ROUND(L155*Source!I593, 6)*1, 2)</f>
        <v>412.4</v>
      </c>
      <c r="N155">
        <f>SmtRes!AB178</f>
        <v>1159.46</v>
      </c>
      <c r="O155">
        <f>ROUND(ROUND(L155*Source!I593, 6)*SmtRes!DA178, 2)</f>
        <v>412.4</v>
      </c>
      <c r="P155">
        <f>SmtRes!AG178</f>
        <v>525.74</v>
      </c>
      <c r="Q155">
        <f>SmtRes!DC178</f>
        <v>1093.54</v>
      </c>
      <c r="R155">
        <f>ROUND(ROUND(Q155*Source!I593, 6)*1, 2)</f>
        <v>187</v>
      </c>
      <c r="S155">
        <f>SmtRes!AC178</f>
        <v>525.74</v>
      </c>
      <c r="T155">
        <f>ROUND(ROUND(Q155*Source!I593, 6)*SmtRes!AK178, 2)</f>
        <v>187</v>
      </c>
      <c r="U155">
        <f>SmtRes!X178</f>
        <v>2063784432</v>
      </c>
      <c r="V155">
        <v>-1910138473</v>
      </c>
      <c r="W155">
        <v>-1910138473</v>
      </c>
      <c r="X155">
        <v>2</v>
      </c>
    </row>
    <row r="156" spans="1:24" x14ac:dyDescent="0.2">
      <c r="A156">
        <f>Source!A658</f>
        <v>4</v>
      </c>
      <c r="B156">
        <v>658</v>
      </c>
      <c r="G156" t="str">
        <f>Source!G658</f>
        <v>ПК № 67 - 299,5 кв.м (кв. 18, выд. 32)</v>
      </c>
    </row>
    <row r="157" spans="1:24" x14ac:dyDescent="0.2">
      <c r="A157">
        <f>Source!A662</f>
        <v>5</v>
      </c>
      <c r="B157">
        <v>662</v>
      </c>
      <c r="G157" t="str">
        <f>Source!G662</f>
        <v>Демонтаж</v>
      </c>
    </row>
    <row r="158" spans="1:24" x14ac:dyDescent="0.2">
      <c r="A158">
        <f>Source!A696</f>
        <v>5</v>
      </c>
      <c r="B158">
        <v>696</v>
      </c>
      <c r="G158" t="str">
        <f>Source!G696</f>
        <v>Установка оборудования для выгула собак</v>
      </c>
    </row>
    <row r="159" spans="1:24" x14ac:dyDescent="0.2">
      <c r="A159">
        <f>Source!A730</f>
        <v>5</v>
      </c>
      <c r="B159">
        <v>730</v>
      </c>
      <c r="G159" t="str">
        <f>Source!G730</f>
        <v>Установка ограждения</v>
      </c>
    </row>
    <row r="160" spans="1:24" x14ac:dyDescent="0.2">
      <c r="A160">
        <f>Source!A764</f>
        <v>5</v>
      </c>
      <c r="B160">
        <v>764</v>
      </c>
      <c r="G160" t="str">
        <f>Source!G764</f>
        <v>Устройство покрытия</v>
      </c>
    </row>
    <row r="161" spans="1:24" x14ac:dyDescent="0.2">
      <c r="A161">
        <v>20</v>
      </c>
      <c r="B161">
        <v>191</v>
      </c>
      <c r="C161">
        <v>2</v>
      </c>
      <c r="D161">
        <v>0</v>
      </c>
      <c r="E161">
        <f>SmtRes!AV191</f>
        <v>0</v>
      </c>
      <c r="F161" t="str">
        <f>SmtRes!I191</f>
        <v>22.1-1-43</v>
      </c>
      <c r="G161" t="str">
        <f>SmtRes!K191</f>
        <v>Бульдозеры гусеничные, мощность до 59 кВт (80 л.с.)</v>
      </c>
      <c r="H161" t="str">
        <f>SmtRes!O191</f>
        <v>маш.-ч</v>
      </c>
      <c r="I161">
        <f>SmtRes!Y191*Source!I768</f>
        <v>0.57144600000000001</v>
      </c>
      <c r="J161">
        <f>SmtRes!AO191</f>
        <v>1</v>
      </c>
      <c r="K161">
        <f>SmtRes!AF191</f>
        <v>923.83</v>
      </c>
      <c r="L161">
        <f>SmtRes!DB191</f>
        <v>1958.52</v>
      </c>
      <c r="M161">
        <f>ROUND(ROUND(L161*Source!I768, 6)*1, 2)</f>
        <v>527.91999999999996</v>
      </c>
      <c r="N161">
        <f>SmtRes!AB191</f>
        <v>923.83</v>
      </c>
      <c r="O161">
        <f>ROUND(ROUND(L161*Source!I768, 6)*SmtRes!DA191, 2)</f>
        <v>527.91999999999996</v>
      </c>
      <c r="P161">
        <f>SmtRes!AG191</f>
        <v>342.06</v>
      </c>
      <c r="Q161">
        <f>SmtRes!DC191</f>
        <v>725.17</v>
      </c>
      <c r="R161">
        <f>ROUND(ROUND(Q161*Source!I768, 6)*1, 2)</f>
        <v>195.47</v>
      </c>
      <c r="S161">
        <f>SmtRes!AC191</f>
        <v>342.06</v>
      </c>
      <c r="T161">
        <f>ROUND(ROUND(Q161*Source!I768, 6)*SmtRes!AK191, 2)</f>
        <v>195.47</v>
      </c>
      <c r="U161">
        <f>SmtRes!X191</f>
        <v>-1073508213</v>
      </c>
      <c r="V161">
        <v>-660268849</v>
      </c>
      <c r="W161">
        <v>-660268849</v>
      </c>
      <c r="X161">
        <v>2</v>
      </c>
    </row>
    <row r="162" spans="1:24" x14ac:dyDescent="0.2">
      <c r="A162">
        <v>20</v>
      </c>
      <c r="B162">
        <v>190</v>
      </c>
      <c r="C162">
        <v>2</v>
      </c>
      <c r="D162">
        <v>0</v>
      </c>
      <c r="E162">
        <f>SmtRes!AV190</f>
        <v>0</v>
      </c>
      <c r="F162" t="str">
        <f>SmtRes!I190</f>
        <v>22.1-1-19</v>
      </c>
      <c r="G162" t="str">
        <f>SmtRes!K190</f>
        <v>Экскаваторы на пневмоколесном ходу гидравлические, объем ковша до 0,25 м3</v>
      </c>
      <c r="H162" t="str">
        <f>SmtRes!O190</f>
        <v>маш.-ч</v>
      </c>
      <c r="I162">
        <f>SmtRes!Y190*Source!I768</f>
        <v>2.4987284999999999</v>
      </c>
      <c r="J162">
        <f>SmtRes!AO190</f>
        <v>1</v>
      </c>
      <c r="K162">
        <f>SmtRes!AF190</f>
        <v>675.33</v>
      </c>
      <c r="L162">
        <f>SmtRes!DB190</f>
        <v>6260.31</v>
      </c>
      <c r="M162">
        <f>ROUND(ROUND(L162*Source!I768, 6)*1, 2)</f>
        <v>1687.47</v>
      </c>
      <c r="N162">
        <f>SmtRes!AB190</f>
        <v>675.33</v>
      </c>
      <c r="O162">
        <f>ROUND(ROUND(L162*Source!I768, 6)*SmtRes!DA190, 2)</f>
        <v>1687.47</v>
      </c>
      <c r="P162">
        <f>SmtRes!AG190</f>
        <v>529.01</v>
      </c>
      <c r="Q162">
        <f>SmtRes!DC190</f>
        <v>4903.92</v>
      </c>
      <c r="R162">
        <f>ROUND(ROUND(Q162*Source!I768, 6)*1, 2)</f>
        <v>1321.85</v>
      </c>
      <c r="S162">
        <f>SmtRes!AC190</f>
        <v>529.01</v>
      </c>
      <c r="T162">
        <f>ROUND(ROUND(Q162*Source!I768, 6)*SmtRes!AK190, 2)</f>
        <v>1321.85</v>
      </c>
      <c r="U162">
        <f>SmtRes!X190</f>
        <v>-1331171294</v>
      </c>
      <c r="V162">
        <v>269381960</v>
      </c>
      <c r="W162">
        <v>269381960</v>
      </c>
      <c r="X162">
        <v>2</v>
      </c>
    </row>
    <row r="163" spans="1:24" x14ac:dyDescent="0.2">
      <c r="A163">
        <v>20</v>
      </c>
      <c r="B163">
        <v>193</v>
      </c>
      <c r="C163">
        <v>2</v>
      </c>
      <c r="D163">
        <v>0</v>
      </c>
      <c r="E163">
        <f>SmtRes!AV193</f>
        <v>0</v>
      </c>
      <c r="F163" t="str">
        <f>SmtRes!I193</f>
        <v>22.1-1-5</v>
      </c>
      <c r="G163" t="str">
        <f>SmtRes!K193</f>
        <v>Экскаваторы на гусеничном ходу гидравлические, объем ковша до 0,65 м3</v>
      </c>
      <c r="H163" t="str">
        <f>SmtRes!O193</f>
        <v>маш.-ч</v>
      </c>
      <c r="I163">
        <f>SmtRes!Y193*Source!I770</f>
        <v>0.72374174999999996</v>
      </c>
      <c r="J163">
        <f>SmtRes!AO193</f>
        <v>1</v>
      </c>
      <c r="K163">
        <f>SmtRes!AF193</f>
        <v>1451.71</v>
      </c>
      <c r="L163">
        <f>SmtRes!DB193</f>
        <v>77.959999999999994</v>
      </c>
      <c r="M163">
        <f>ROUND(ROUND(L163*Source!I770, 6)*1, 2)</f>
        <v>1050.71</v>
      </c>
      <c r="N163">
        <f>SmtRes!AB193</f>
        <v>1451.71</v>
      </c>
      <c r="O163">
        <f>ROUND(ROUND(L163*Source!I770, 6)*SmtRes!DA193, 2)</f>
        <v>1050.71</v>
      </c>
      <c r="P163">
        <f>SmtRes!AG193</f>
        <v>457.95</v>
      </c>
      <c r="Q163">
        <f>SmtRes!DC193</f>
        <v>24.59</v>
      </c>
      <c r="R163">
        <f>ROUND(ROUND(Q163*Source!I770, 6)*1, 2)</f>
        <v>331.41</v>
      </c>
      <c r="S163">
        <f>SmtRes!AC193</f>
        <v>457.95</v>
      </c>
      <c r="T163">
        <f>ROUND(ROUND(Q163*Source!I770, 6)*SmtRes!AK193, 2)</f>
        <v>331.41</v>
      </c>
      <c r="U163">
        <f>SmtRes!X193</f>
        <v>-202408269</v>
      </c>
      <c r="V163">
        <v>-1723912365</v>
      </c>
      <c r="W163">
        <v>-1723912365</v>
      </c>
      <c r="X163">
        <v>2</v>
      </c>
    </row>
    <row r="164" spans="1:24" x14ac:dyDescent="0.2">
      <c r="A164">
        <v>20</v>
      </c>
      <c r="B164">
        <v>196</v>
      </c>
      <c r="C164">
        <v>2</v>
      </c>
      <c r="D164">
        <v>0</v>
      </c>
      <c r="E164">
        <f>SmtRes!AV196</f>
        <v>0</v>
      </c>
      <c r="F164" t="str">
        <f>SmtRes!I196</f>
        <v>22.1-18-13</v>
      </c>
      <c r="G164" t="str">
        <f>SmtRes!K196</f>
        <v>Автомобили-самосвалы, грузоподъемность до 10 т</v>
      </c>
      <c r="H164" t="str">
        <f>SmtRes!O196</f>
        <v>маш.-ч</v>
      </c>
      <c r="I164">
        <f>SmtRes!Y196*Source!I772</f>
        <v>0.24259499999999998</v>
      </c>
      <c r="J164">
        <f>SmtRes!AO196</f>
        <v>1</v>
      </c>
      <c r="K164">
        <f>SmtRes!AF196</f>
        <v>993.6</v>
      </c>
      <c r="L164">
        <f>SmtRes!DB196</f>
        <v>17.88</v>
      </c>
      <c r="M164">
        <f>ROUND(ROUND(L164*Source!I772, 6)*1, 2)</f>
        <v>240.98</v>
      </c>
      <c r="N164">
        <f>SmtRes!AB196</f>
        <v>993.6</v>
      </c>
      <c r="O164">
        <f>ROUND(ROUND(L164*Source!I772, 6)*SmtRes!DA196, 2)</f>
        <v>240.98</v>
      </c>
      <c r="P164">
        <f>SmtRes!AG196</f>
        <v>301.8</v>
      </c>
      <c r="Q164">
        <f>SmtRes!DC196</f>
        <v>5.43</v>
      </c>
      <c r="R164">
        <f>ROUND(ROUND(Q164*Source!I772, 6)*1, 2)</f>
        <v>73.180000000000007</v>
      </c>
      <c r="S164">
        <f>SmtRes!AC196</f>
        <v>301.8</v>
      </c>
      <c r="T164">
        <f>ROUND(ROUND(Q164*Source!I772, 6)*SmtRes!AK196, 2)</f>
        <v>73.180000000000007</v>
      </c>
      <c r="U164">
        <f>SmtRes!X196</f>
        <v>-1546163025</v>
      </c>
      <c r="V164">
        <v>-1384078646</v>
      </c>
      <c r="W164">
        <v>-1384078646</v>
      </c>
      <c r="X164">
        <v>2</v>
      </c>
    </row>
    <row r="165" spans="1:24" x14ac:dyDescent="0.2">
      <c r="A165">
        <v>20</v>
      </c>
      <c r="B165">
        <v>195</v>
      </c>
      <c r="C165">
        <v>2</v>
      </c>
      <c r="D165">
        <v>0</v>
      </c>
      <c r="E165">
        <f>SmtRes!AV195</f>
        <v>0</v>
      </c>
      <c r="F165" t="str">
        <f>SmtRes!I195</f>
        <v>22.1-18-12</v>
      </c>
      <c r="G165" t="str">
        <f>SmtRes!K195</f>
        <v>Автомобили-самосвалы, грузоподъемность до 7 т</v>
      </c>
      <c r="H165" t="str">
        <f>SmtRes!O195</f>
        <v>маш.-ч</v>
      </c>
      <c r="I165">
        <f>SmtRes!Y195*Source!I772</f>
        <v>0.26955000000000001</v>
      </c>
      <c r="J165">
        <f>SmtRes!AO195</f>
        <v>1</v>
      </c>
      <c r="K165">
        <f>SmtRes!AF195</f>
        <v>952.49</v>
      </c>
      <c r="L165">
        <f>SmtRes!DB195</f>
        <v>19.05</v>
      </c>
      <c r="M165">
        <f>ROUND(ROUND(L165*Source!I772, 6)*1, 2)</f>
        <v>256.75</v>
      </c>
      <c r="N165">
        <f>SmtRes!AB195</f>
        <v>952.49</v>
      </c>
      <c r="O165">
        <f>ROUND(ROUND(L165*Source!I772, 6)*SmtRes!DA195, 2)</f>
        <v>256.75</v>
      </c>
      <c r="P165">
        <f>SmtRes!AG195</f>
        <v>301.5</v>
      </c>
      <c r="Q165">
        <f>SmtRes!DC195</f>
        <v>6.03</v>
      </c>
      <c r="R165">
        <f>ROUND(ROUND(Q165*Source!I772, 6)*1, 2)</f>
        <v>81.27</v>
      </c>
      <c r="S165">
        <f>SmtRes!AC195</f>
        <v>301.5</v>
      </c>
      <c r="T165">
        <f>ROUND(ROUND(Q165*Source!I772, 6)*SmtRes!AK195, 2)</f>
        <v>81.27</v>
      </c>
      <c r="U165">
        <f>SmtRes!X195</f>
        <v>468658695</v>
      </c>
      <c r="V165">
        <v>1032900138</v>
      </c>
      <c r="W165">
        <v>1032900138</v>
      </c>
      <c r="X165">
        <v>2</v>
      </c>
    </row>
    <row r="166" spans="1:24" x14ac:dyDescent="0.2">
      <c r="A166">
        <v>20</v>
      </c>
      <c r="B166">
        <v>198</v>
      </c>
      <c r="C166">
        <v>2</v>
      </c>
      <c r="D166">
        <v>0</v>
      </c>
      <c r="E166">
        <f>SmtRes!AV198</f>
        <v>0</v>
      </c>
      <c r="F166" t="str">
        <f>SmtRes!I198</f>
        <v>22.1-18-13</v>
      </c>
      <c r="G166" t="str">
        <f>SmtRes!K198</f>
        <v>Автомобили-самосвалы, грузоподъемность до 10 т</v>
      </c>
      <c r="H166" t="str">
        <f>SmtRes!O198</f>
        <v>маш.-ч</v>
      </c>
      <c r="I166">
        <f>SmtRes!Y198*Source!I773</f>
        <v>0.24708749999999999</v>
      </c>
      <c r="J166">
        <f>SmtRes!AO198</f>
        <v>1</v>
      </c>
      <c r="K166">
        <f>SmtRes!AF198</f>
        <v>993.6</v>
      </c>
      <c r="L166">
        <f>SmtRes!DB198</f>
        <v>54.65</v>
      </c>
      <c r="M166">
        <f>ROUND(ROUND(L166*Source!I773, 6)*1, 2)</f>
        <v>245.52</v>
      </c>
      <c r="N166">
        <f>SmtRes!AB198</f>
        <v>993.6</v>
      </c>
      <c r="O166">
        <f>ROUND(ROUND(L166*Source!I773, 6)*SmtRes!DA198, 2)</f>
        <v>245.52</v>
      </c>
      <c r="P166">
        <f>SmtRes!AG198</f>
        <v>301.8</v>
      </c>
      <c r="Q166">
        <f>SmtRes!DC198</f>
        <v>16.600000000000001</v>
      </c>
      <c r="R166">
        <f>ROUND(ROUND(Q166*Source!I773, 6)*1, 2)</f>
        <v>74.58</v>
      </c>
      <c r="S166">
        <f>SmtRes!AC198</f>
        <v>301.8</v>
      </c>
      <c r="T166">
        <f>ROUND(ROUND(Q166*Source!I773, 6)*SmtRes!AK198, 2)</f>
        <v>74.58</v>
      </c>
      <c r="U166">
        <f>SmtRes!X198</f>
        <v>-1546163025</v>
      </c>
      <c r="V166">
        <v>-1384078646</v>
      </c>
      <c r="W166">
        <v>-1384078646</v>
      </c>
      <c r="X166">
        <v>2</v>
      </c>
    </row>
    <row r="167" spans="1:24" x14ac:dyDescent="0.2">
      <c r="A167">
        <v>20</v>
      </c>
      <c r="B167">
        <v>197</v>
      </c>
      <c r="C167">
        <v>2</v>
      </c>
      <c r="D167">
        <v>0</v>
      </c>
      <c r="E167">
        <f>SmtRes!AV197</f>
        <v>0</v>
      </c>
      <c r="F167" t="str">
        <f>SmtRes!I197</f>
        <v>22.1-18-12</v>
      </c>
      <c r="G167" t="str">
        <f>SmtRes!K197</f>
        <v>Автомобили-самосвалы, грузоподъемность до 7 т</v>
      </c>
      <c r="H167" t="str">
        <f>SmtRes!O197</f>
        <v>маш.-ч</v>
      </c>
      <c r="I167">
        <f>SmtRes!Y197*Source!I773</f>
        <v>0.24259499999999998</v>
      </c>
      <c r="J167">
        <f>SmtRes!AO197</f>
        <v>1</v>
      </c>
      <c r="K167">
        <f>SmtRes!AF197</f>
        <v>952.49</v>
      </c>
      <c r="L167">
        <f>SmtRes!DB197</f>
        <v>51.43</v>
      </c>
      <c r="M167">
        <f>ROUND(ROUND(L167*Source!I773, 6)*1, 2)</f>
        <v>231.05</v>
      </c>
      <c r="N167">
        <f>SmtRes!AB197</f>
        <v>952.49</v>
      </c>
      <c r="O167">
        <f>ROUND(ROUND(L167*Source!I773, 6)*SmtRes!DA197, 2)</f>
        <v>231.05</v>
      </c>
      <c r="P167">
        <f>SmtRes!AG197</f>
        <v>301.5</v>
      </c>
      <c r="Q167">
        <f>SmtRes!DC197</f>
        <v>16.28</v>
      </c>
      <c r="R167">
        <f>ROUND(ROUND(Q167*Source!I773, 6)*1, 2)</f>
        <v>73.14</v>
      </c>
      <c r="S167">
        <f>SmtRes!AC197</f>
        <v>301.5</v>
      </c>
      <c r="T167">
        <f>ROUND(ROUND(Q167*Source!I773, 6)*SmtRes!AK197, 2)</f>
        <v>73.14</v>
      </c>
      <c r="U167">
        <f>SmtRes!X197</f>
        <v>468658695</v>
      </c>
      <c r="V167">
        <v>1032900138</v>
      </c>
      <c r="W167">
        <v>1032900138</v>
      </c>
      <c r="X167">
        <v>2</v>
      </c>
    </row>
    <row r="168" spans="1:24" x14ac:dyDescent="0.2">
      <c r="A168">
        <v>20</v>
      </c>
      <c r="B168">
        <v>200</v>
      </c>
      <c r="C168">
        <v>2</v>
      </c>
      <c r="D168">
        <v>0</v>
      </c>
      <c r="E168">
        <f>SmtRes!AV200</f>
        <v>0</v>
      </c>
      <c r="F168" t="str">
        <f>SmtRes!I200</f>
        <v>22.1-18-13</v>
      </c>
      <c r="G168" t="str">
        <f>SmtRes!K200</f>
        <v>Автомобили-самосвалы, грузоподъемность до 10 т</v>
      </c>
      <c r="H168" t="str">
        <f>SmtRes!O200</f>
        <v>маш.-ч</v>
      </c>
      <c r="I168">
        <f>SmtRes!Y200*Source!I774</f>
        <v>2.30016</v>
      </c>
      <c r="J168">
        <f>SmtRes!AO200</f>
        <v>1</v>
      </c>
      <c r="K168">
        <f>SmtRes!AF200</f>
        <v>993.6</v>
      </c>
      <c r="L168">
        <f>SmtRes!DB200</f>
        <v>127.2</v>
      </c>
      <c r="M168">
        <f>ROUND(ROUND(L168*Source!I774, 6)*1, 2)</f>
        <v>2285.7800000000002</v>
      </c>
      <c r="N168">
        <f>SmtRes!AB200</f>
        <v>993.6</v>
      </c>
      <c r="O168">
        <f>ROUND(ROUND(L168*Source!I774, 6)*SmtRes!DA200, 2)</f>
        <v>2285.7800000000002</v>
      </c>
      <c r="P168">
        <f>SmtRes!AG200</f>
        <v>301.8</v>
      </c>
      <c r="Q168">
        <f>SmtRes!DC200</f>
        <v>38.56</v>
      </c>
      <c r="R168">
        <f>ROUND(ROUND(Q168*Source!I774, 6)*1, 2)</f>
        <v>692.92</v>
      </c>
      <c r="S168">
        <f>SmtRes!AC200</f>
        <v>301.8</v>
      </c>
      <c r="T168">
        <f>ROUND(ROUND(Q168*Source!I774, 6)*SmtRes!AK200, 2)</f>
        <v>692.92</v>
      </c>
      <c r="U168">
        <f>SmtRes!X200</f>
        <v>-1546163025</v>
      </c>
      <c r="V168">
        <v>-1384078646</v>
      </c>
      <c r="W168">
        <v>-1384078646</v>
      </c>
      <c r="X168">
        <v>2</v>
      </c>
    </row>
    <row r="169" spans="1:24" x14ac:dyDescent="0.2">
      <c r="A169">
        <v>20</v>
      </c>
      <c r="B169">
        <v>199</v>
      </c>
      <c r="C169">
        <v>2</v>
      </c>
      <c r="D169">
        <v>0</v>
      </c>
      <c r="E169">
        <f>SmtRes!AV199</f>
        <v>0</v>
      </c>
      <c r="F169" t="str">
        <f>SmtRes!I199</f>
        <v>22.1-18-12</v>
      </c>
      <c r="G169" t="str">
        <f>SmtRes!K199</f>
        <v>Автомобили-самосвалы, грузоподъемность до 7 т</v>
      </c>
      <c r="H169" t="str">
        <f>SmtRes!O199</f>
        <v>маш.-ч</v>
      </c>
      <c r="I169">
        <f>SmtRes!Y199*Source!I774</f>
        <v>2.8752</v>
      </c>
      <c r="J169">
        <f>SmtRes!AO199</f>
        <v>1</v>
      </c>
      <c r="K169">
        <f>SmtRes!AF199</f>
        <v>952.49</v>
      </c>
      <c r="L169">
        <f>SmtRes!DB199</f>
        <v>152.32</v>
      </c>
      <c r="M169">
        <f>ROUND(ROUND(L169*Source!I774, 6)*1, 2)</f>
        <v>2737.19</v>
      </c>
      <c r="N169">
        <f>SmtRes!AB199</f>
        <v>952.49</v>
      </c>
      <c r="O169">
        <f>ROUND(ROUND(L169*Source!I774, 6)*SmtRes!DA199, 2)</f>
        <v>2737.19</v>
      </c>
      <c r="P169">
        <f>SmtRes!AG199</f>
        <v>301.5</v>
      </c>
      <c r="Q169">
        <f>SmtRes!DC199</f>
        <v>48.32</v>
      </c>
      <c r="R169">
        <f>ROUND(ROUND(Q169*Source!I774, 6)*1, 2)</f>
        <v>868.31</v>
      </c>
      <c r="S169">
        <f>SmtRes!AC199</f>
        <v>301.5</v>
      </c>
      <c r="T169">
        <f>ROUND(ROUND(Q169*Source!I774, 6)*SmtRes!AK199, 2)</f>
        <v>868.31</v>
      </c>
      <c r="U169">
        <f>SmtRes!X199</f>
        <v>468658695</v>
      </c>
      <c r="V169">
        <v>1032900138</v>
      </c>
      <c r="W169">
        <v>1032900138</v>
      </c>
      <c r="X169">
        <v>2</v>
      </c>
    </row>
    <row r="170" spans="1:24" x14ac:dyDescent="0.2">
      <c r="A170">
        <f>Source!A775</f>
        <v>17</v>
      </c>
      <c r="B170">
        <v>775</v>
      </c>
      <c r="C170">
        <v>3</v>
      </c>
      <c r="D170">
        <f>Source!BI775</f>
        <v>4</v>
      </c>
      <c r="E170">
        <f>Source!FS775</f>
        <v>0</v>
      </c>
      <c r="F170" t="str">
        <f>Source!F775</f>
        <v>21.25-0-1</v>
      </c>
      <c r="G170" t="str">
        <f>Source!G775</f>
        <v>Содержание свалки отходов строительства и сноса</v>
      </c>
      <c r="H170" t="str">
        <f>Source!H775</f>
        <v>т</v>
      </c>
      <c r="I170">
        <f>Source!I775</f>
        <v>17.97</v>
      </c>
      <c r="J170">
        <v>1</v>
      </c>
      <c r="K170">
        <f>Source!AC775</f>
        <v>197.96</v>
      </c>
      <c r="M170">
        <f>ROUND(K170*I170, 2)</f>
        <v>3557.34</v>
      </c>
      <c r="N170">
        <f>Source!AC775*IF(Source!BC775&lt;&gt; 0, Source!BC775, 1)</f>
        <v>197.96</v>
      </c>
      <c r="O170">
        <f>ROUND(N170*I170, 2)</f>
        <v>3557.34</v>
      </c>
      <c r="P170">
        <f>Source!AE775</f>
        <v>0</v>
      </c>
      <c r="R170">
        <f>ROUND(P170*I170, 2)</f>
        <v>0</v>
      </c>
      <c r="S170">
        <f>Source!AE775*IF(Source!BS775&lt;&gt; 0, Source!BS775, 1)</f>
        <v>0</v>
      </c>
      <c r="T170">
        <f>ROUND(S170*I170, 2)</f>
        <v>0</v>
      </c>
      <c r="U170">
        <f>Source!GF775</f>
        <v>-1219268023</v>
      </c>
      <c r="V170">
        <v>-96028578</v>
      </c>
      <c r="W170">
        <v>-96028578</v>
      </c>
      <c r="X170">
        <v>3</v>
      </c>
    </row>
    <row r="171" spans="1:24" x14ac:dyDescent="0.2">
      <c r="A171">
        <v>20</v>
      </c>
      <c r="B171">
        <v>208</v>
      </c>
      <c r="C171">
        <v>3</v>
      </c>
      <c r="D171">
        <v>0</v>
      </c>
      <c r="E171">
        <f>SmtRes!AV208</f>
        <v>0</v>
      </c>
      <c r="F171" t="str">
        <f>SmtRes!I208</f>
        <v>21.1-25-13</v>
      </c>
      <c r="G171" t="str">
        <f>SmtRes!K208</f>
        <v>Вода</v>
      </c>
      <c r="H171" t="str">
        <f>SmtRes!O208</f>
        <v>м3</v>
      </c>
      <c r="I171">
        <f>SmtRes!Y208*Source!I779</f>
        <v>1.4949999999999999</v>
      </c>
      <c r="J171">
        <f>SmtRes!AO208</f>
        <v>1</v>
      </c>
      <c r="K171">
        <f>SmtRes!AE208</f>
        <v>33.729999999999997</v>
      </c>
      <c r="L171">
        <f>SmtRes!DB208</f>
        <v>168.65</v>
      </c>
      <c r="M171">
        <f>ROUND(ROUND(L171*Source!I779, 6)*1, 2)</f>
        <v>50.43</v>
      </c>
      <c r="N171">
        <f>SmtRes!AA208</f>
        <v>33.729999999999997</v>
      </c>
      <c r="O171">
        <f>ROUND(ROUND(L171*Source!I779, 6)*SmtRes!DA208, 2)</f>
        <v>50.43</v>
      </c>
      <c r="P171">
        <f>SmtRes!AG208</f>
        <v>0</v>
      </c>
      <c r="Q171">
        <f>SmtRes!DC208</f>
        <v>0</v>
      </c>
      <c r="R171">
        <f>ROUND(ROUND(Q171*Source!I779, 6)*1, 2)</f>
        <v>0</v>
      </c>
      <c r="S171">
        <f>SmtRes!AC208</f>
        <v>0</v>
      </c>
      <c r="T171">
        <f>ROUND(ROUND(Q171*Source!I779, 6)*SmtRes!AK208, 2)</f>
        <v>0</v>
      </c>
      <c r="U171">
        <f>SmtRes!X208</f>
        <v>-1250124927</v>
      </c>
      <c r="V171">
        <v>-474033762</v>
      </c>
      <c r="W171">
        <v>-474033762</v>
      </c>
      <c r="X171">
        <v>3</v>
      </c>
    </row>
    <row r="172" spans="1:24" x14ac:dyDescent="0.2">
      <c r="A172">
        <v>20</v>
      </c>
      <c r="B172">
        <v>207</v>
      </c>
      <c r="C172">
        <v>3</v>
      </c>
      <c r="D172">
        <v>0</v>
      </c>
      <c r="E172">
        <f>SmtRes!AV207</f>
        <v>0</v>
      </c>
      <c r="F172" t="str">
        <f>SmtRes!I207</f>
        <v>21.1-12-10</v>
      </c>
      <c r="G172" t="str">
        <f>SmtRes!K207</f>
        <v>Песок для дорожных работ, рядовой</v>
      </c>
      <c r="H172" t="str">
        <f>SmtRes!O207</f>
        <v>м3</v>
      </c>
      <c r="I172">
        <f>SmtRes!Y207*Source!I779</f>
        <v>32.89</v>
      </c>
      <c r="J172">
        <f>SmtRes!AO207</f>
        <v>1</v>
      </c>
      <c r="K172">
        <f>SmtRes!AE207</f>
        <v>590.78</v>
      </c>
      <c r="L172">
        <f>SmtRes!DB207</f>
        <v>64985.8</v>
      </c>
      <c r="M172">
        <f>ROUND(ROUND(L172*Source!I779, 6)*1, 2)</f>
        <v>19430.75</v>
      </c>
      <c r="N172">
        <f>SmtRes!AA207</f>
        <v>590.78</v>
      </c>
      <c r="O172">
        <f>ROUND(ROUND(L172*Source!I779, 6)*SmtRes!DA207, 2)</f>
        <v>19430.75</v>
      </c>
      <c r="P172">
        <f>SmtRes!AG207</f>
        <v>0</v>
      </c>
      <c r="Q172">
        <f>SmtRes!DC207</f>
        <v>0</v>
      </c>
      <c r="R172">
        <f>ROUND(ROUND(Q172*Source!I779, 6)*1, 2)</f>
        <v>0</v>
      </c>
      <c r="S172">
        <f>SmtRes!AC207</f>
        <v>0</v>
      </c>
      <c r="T172">
        <f>ROUND(ROUND(Q172*Source!I779, 6)*SmtRes!AK207, 2)</f>
        <v>0</v>
      </c>
      <c r="U172">
        <f>SmtRes!X207</f>
        <v>189307774</v>
      </c>
      <c r="V172">
        <v>1387681249</v>
      </c>
      <c r="W172">
        <v>1387681249</v>
      </c>
      <c r="X172">
        <v>3</v>
      </c>
    </row>
    <row r="173" spans="1:24" x14ac:dyDescent="0.2">
      <c r="A173">
        <v>20</v>
      </c>
      <c r="B173">
        <v>206</v>
      </c>
      <c r="C173">
        <v>2</v>
      </c>
      <c r="D173">
        <v>0</v>
      </c>
      <c r="E173">
        <f>SmtRes!AV206</f>
        <v>0</v>
      </c>
      <c r="F173" t="str">
        <f>SmtRes!I206</f>
        <v>22.1-5-7</v>
      </c>
      <c r="G173" t="str">
        <f>SmtRes!K206</f>
        <v>Катки дорожные самоходные на пневмоколесном ходу, масса до 16 т</v>
      </c>
      <c r="H173" t="str">
        <f>SmtRes!O206</f>
        <v>маш.-ч</v>
      </c>
      <c r="I173">
        <f>SmtRes!Y206*Source!I779</f>
        <v>0.19434999999999999</v>
      </c>
      <c r="J173">
        <f>SmtRes!AO206</f>
        <v>1</v>
      </c>
      <c r="K173">
        <f>SmtRes!AF206</f>
        <v>1179.56</v>
      </c>
      <c r="L173">
        <f>SmtRes!DB206</f>
        <v>766.71</v>
      </c>
      <c r="M173">
        <f>ROUND(ROUND(L173*Source!I779, 6)*1, 2)</f>
        <v>229.25</v>
      </c>
      <c r="N173">
        <f>SmtRes!AB206</f>
        <v>1179.56</v>
      </c>
      <c r="O173">
        <f>ROUND(ROUND(L173*Source!I779, 6)*SmtRes!DA206, 2)</f>
        <v>229.25</v>
      </c>
      <c r="P173">
        <f>SmtRes!AG206</f>
        <v>439.28</v>
      </c>
      <c r="Q173">
        <f>SmtRes!DC206</f>
        <v>285.52999999999997</v>
      </c>
      <c r="R173">
        <f>ROUND(ROUND(Q173*Source!I779, 6)*1, 2)</f>
        <v>85.37</v>
      </c>
      <c r="S173">
        <f>SmtRes!AC206</f>
        <v>439.28</v>
      </c>
      <c r="T173">
        <f>ROUND(ROUND(Q173*Source!I779, 6)*SmtRes!AK206, 2)</f>
        <v>85.37</v>
      </c>
      <c r="U173">
        <f>SmtRes!X206</f>
        <v>393556487</v>
      </c>
      <c r="V173">
        <v>-801114187</v>
      </c>
      <c r="W173">
        <v>-801114187</v>
      </c>
      <c r="X173">
        <v>2</v>
      </c>
    </row>
    <row r="174" spans="1:24" x14ac:dyDescent="0.2">
      <c r="A174">
        <v>20</v>
      </c>
      <c r="B174">
        <v>205</v>
      </c>
      <c r="C174">
        <v>2</v>
      </c>
      <c r="D174">
        <v>0</v>
      </c>
      <c r="E174">
        <f>SmtRes!AV205</f>
        <v>0</v>
      </c>
      <c r="F174" t="str">
        <f>SmtRes!I205</f>
        <v>22.1-5-48</v>
      </c>
      <c r="G174" t="str">
        <f>SmtRes!K205</f>
        <v>Автогрейдеры, мощность 99-147 кВт (130-200 л.с.)</v>
      </c>
      <c r="H174" t="str">
        <f>SmtRes!O205</f>
        <v>маш.-ч</v>
      </c>
      <c r="I174">
        <f>SmtRes!Y205*Source!I779</f>
        <v>0.58005999999999991</v>
      </c>
      <c r="J174">
        <f>SmtRes!AO205</f>
        <v>1</v>
      </c>
      <c r="K174">
        <f>SmtRes!AF205</f>
        <v>1364.77</v>
      </c>
      <c r="L174">
        <f>SmtRes!DB205</f>
        <v>2647.65</v>
      </c>
      <c r="M174">
        <f>ROUND(ROUND(L174*Source!I779, 6)*1, 2)</f>
        <v>791.65</v>
      </c>
      <c r="N174">
        <f>SmtRes!AB205</f>
        <v>1364.77</v>
      </c>
      <c r="O174">
        <f>ROUND(ROUND(L174*Source!I779, 6)*SmtRes!DA205, 2)</f>
        <v>791.65</v>
      </c>
      <c r="P174">
        <f>SmtRes!AG205</f>
        <v>610.30999999999995</v>
      </c>
      <c r="Q174">
        <f>SmtRes!DC205</f>
        <v>1184</v>
      </c>
      <c r="R174">
        <f>ROUND(ROUND(Q174*Source!I779, 6)*1, 2)</f>
        <v>354.02</v>
      </c>
      <c r="S174">
        <f>SmtRes!AC205</f>
        <v>610.30999999999995</v>
      </c>
      <c r="T174">
        <f>ROUND(ROUND(Q174*Source!I779, 6)*SmtRes!AK205, 2)</f>
        <v>354.02</v>
      </c>
      <c r="U174">
        <f>SmtRes!X205</f>
        <v>-1453001133</v>
      </c>
      <c r="V174">
        <v>2009633333</v>
      </c>
      <c r="W174">
        <v>2009633333</v>
      </c>
      <c r="X174">
        <v>2</v>
      </c>
    </row>
    <row r="175" spans="1:24" x14ac:dyDescent="0.2">
      <c r="A175">
        <v>20</v>
      </c>
      <c r="B175">
        <v>204</v>
      </c>
      <c r="C175">
        <v>2</v>
      </c>
      <c r="D175">
        <v>0</v>
      </c>
      <c r="E175">
        <f>SmtRes!AV204</f>
        <v>0</v>
      </c>
      <c r="F175" t="str">
        <f>SmtRes!I204</f>
        <v>22.1-5-18</v>
      </c>
      <c r="G175" t="str">
        <f>SmtRes!K204</f>
        <v>Поливомоечные машины, емкость цистерны более 5000 л</v>
      </c>
      <c r="H175" t="str">
        <f>SmtRes!O204</f>
        <v>маш.-ч</v>
      </c>
      <c r="I175">
        <f>SmtRes!Y204*Source!I779</f>
        <v>0.24219000000000002</v>
      </c>
      <c r="J175">
        <f>SmtRes!AO204</f>
        <v>1</v>
      </c>
      <c r="K175">
        <f>SmtRes!AF204</f>
        <v>1942.21</v>
      </c>
      <c r="L175">
        <f>SmtRes!DB204</f>
        <v>1573.19</v>
      </c>
      <c r="M175">
        <f>ROUND(ROUND(L175*Source!I779, 6)*1, 2)</f>
        <v>470.38</v>
      </c>
      <c r="N175">
        <f>SmtRes!AB204</f>
        <v>1942.21</v>
      </c>
      <c r="O175">
        <f>ROUND(ROUND(L175*Source!I779, 6)*SmtRes!DA204, 2)</f>
        <v>470.38</v>
      </c>
      <c r="P175">
        <f>SmtRes!AG204</f>
        <v>436.39</v>
      </c>
      <c r="Q175">
        <f>SmtRes!DC204</f>
        <v>353.48</v>
      </c>
      <c r="R175">
        <f>ROUND(ROUND(Q175*Source!I779, 6)*1, 2)</f>
        <v>105.69</v>
      </c>
      <c r="S175">
        <f>SmtRes!AC204</f>
        <v>436.39</v>
      </c>
      <c r="T175">
        <f>ROUND(ROUND(Q175*Source!I779, 6)*SmtRes!AK204, 2)</f>
        <v>105.69</v>
      </c>
      <c r="U175">
        <f>SmtRes!X204</f>
        <v>-1802121576</v>
      </c>
      <c r="V175">
        <v>-514054631</v>
      </c>
      <c r="W175">
        <v>-514054631</v>
      </c>
      <c r="X175">
        <v>2</v>
      </c>
    </row>
    <row r="176" spans="1:24" x14ac:dyDescent="0.2">
      <c r="A176">
        <v>20</v>
      </c>
      <c r="B176">
        <v>203</v>
      </c>
      <c r="C176">
        <v>2</v>
      </c>
      <c r="D176">
        <v>0</v>
      </c>
      <c r="E176">
        <f>SmtRes!AV203</f>
        <v>0</v>
      </c>
      <c r="F176" t="str">
        <f>SmtRes!I203</f>
        <v>22.1-5-15</v>
      </c>
      <c r="G176" t="str">
        <f>SmtRes!K203</f>
        <v>Катки прицепные пневмоколесные, масса до 50 т</v>
      </c>
      <c r="H176" t="str">
        <f>SmtRes!O203</f>
        <v>маш.-ч</v>
      </c>
      <c r="I176">
        <f>SmtRes!Y203*Source!I779</f>
        <v>0.62192000000000003</v>
      </c>
      <c r="J176">
        <f>SmtRes!AO203</f>
        <v>1</v>
      </c>
      <c r="K176">
        <f>SmtRes!AF203</f>
        <v>416.25</v>
      </c>
      <c r="L176">
        <f>SmtRes!DB203</f>
        <v>865.8</v>
      </c>
      <c r="M176">
        <f>ROUND(ROUND(L176*Source!I779, 6)*1, 2)</f>
        <v>258.87</v>
      </c>
      <c r="N176">
        <f>SmtRes!AB203</f>
        <v>416.25</v>
      </c>
      <c r="O176">
        <f>ROUND(ROUND(L176*Source!I779, 6)*SmtRes!DA203, 2)</f>
        <v>258.87</v>
      </c>
      <c r="P176">
        <f>SmtRes!AG203</f>
        <v>204.9</v>
      </c>
      <c r="Q176">
        <f>SmtRes!DC203</f>
        <v>426.19</v>
      </c>
      <c r="R176">
        <f>ROUND(ROUND(Q176*Source!I779, 6)*1, 2)</f>
        <v>127.43</v>
      </c>
      <c r="S176">
        <f>SmtRes!AC203</f>
        <v>204.9</v>
      </c>
      <c r="T176">
        <f>ROUND(ROUND(Q176*Source!I779, 6)*SmtRes!AK203, 2)</f>
        <v>127.43</v>
      </c>
      <c r="U176">
        <f>SmtRes!X203</f>
        <v>1265029398</v>
      </c>
      <c r="V176">
        <v>-1472439335</v>
      </c>
      <c r="W176">
        <v>-1472439335</v>
      </c>
      <c r="X176">
        <v>2</v>
      </c>
    </row>
    <row r="177" spans="1:24" x14ac:dyDescent="0.2">
      <c r="A177">
        <v>20</v>
      </c>
      <c r="B177">
        <v>202</v>
      </c>
      <c r="C177">
        <v>2</v>
      </c>
      <c r="D177">
        <v>0</v>
      </c>
      <c r="E177">
        <f>SmtRes!AV202</f>
        <v>0</v>
      </c>
      <c r="F177" t="str">
        <f>SmtRes!I202</f>
        <v>22.1-2-1</v>
      </c>
      <c r="G177" t="str">
        <f>SmtRes!K202</f>
        <v>Тракторы на гусеничном ходу, мощность до 60 (81) кВт (л.с.)</v>
      </c>
      <c r="H177" t="str">
        <f>SmtRes!O202</f>
        <v>маш.-ч</v>
      </c>
      <c r="I177">
        <f>SmtRes!Y202*Source!I779</f>
        <v>0.62192000000000003</v>
      </c>
      <c r="J177">
        <f>SmtRes!AO202</f>
        <v>1</v>
      </c>
      <c r="K177">
        <f>SmtRes!AF202</f>
        <v>1159.46</v>
      </c>
      <c r="L177">
        <f>SmtRes!DB202</f>
        <v>2411.6799999999998</v>
      </c>
      <c r="M177">
        <f>ROUND(ROUND(L177*Source!I779, 6)*1, 2)</f>
        <v>721.09</v>
      </c>
      <c r="N177">
        <f>SmtRes!AB202</f>
        <v>1159.46</v>
      </c>
      <c r="O177">
        <f>ROUND(ROUND(L177*Source!I779, 6)*SmtRes!DA202, 2)</f>
        <v>721.09</v>
      </c>
      <c r="P177">
        <f>SmtRes!AG202</f>
        <v>525.74</v>
      </c>
      <c r="Q177">
        <f>SmtRes!DC202</f>
        <v>1093.54</v>
      </c>
      <c r="R177">
        <f>ROUND(ROUND(Q177*Source!I779, 6)*1, 2)</f>
        <v>326.97000000000003</v>
      </c>
      <c r="S177">
        <f>SmtRes!AC202</f>
        <v>525.74</v>
      </c>
      <c r="T177">
        <f>ROUND(ROUND(Q177*Source!I779, 6)*SmtRes!AK202, 2)</f>
        <v>326.97000000000003</v>
      </c>
      <c r="U177">
        <f>SmtRes!X202</f>
        <v>2063784432</v>
      </c>
      <c r="V177">
        <v>-1910138473</v>
      </c>
      <c r="W177">
        <v>-1910138473</v>
      </c>
      <c r="X177">
        <v>2</v>
      </c>
    </row>
    <row r="178" spans="1:24" x14ac:dyDescent="0.2">
      <c r="A178">
        <f>Source!A877</f>
        <v>3</v>
      </c>
      <c r="B178">
        <v>877</v>
      </c>
      <c r="G178" t="str">
        <f>Source!G877</f>
        <v>Ремонт экотроп (ЛЗ "Тропаревский" - 2,77 км (деревянные настилы - 4080 кв.м,деревянные перила - 315 кв.м, деревянная лестница - 208 кв.м) с демонтажем и монтажем МАФ</v>
      </c>
    </row>
    <row r="179" spans="1:24" x14ac:dyDescent="0.2">
      <c r="A179">
        <f>Source!A881</f>
        <v>4</v>
      </c>
      <c r="B179">
        <v>881</v>
      </c>
      <c r="G179" t="str">
        <f>Source!G881</f>
        <v>Деревянный настил</v>
      </c>
    </row>
    <row r="180" spans="1:24" x14ac:dyDescent="0.2">
      <c r="A180">
        <f>Source!A885</f>
        <v>5</v>
      </c>
      <c r="B180">
        <v>885</v>
      </c>
      <c r="G180" t="str">
        <f>Source!G885</f>
        <v>Демонтажные работы</v>
      </c>
    </row>
    <row r="181" spans="1:24" x14ac:dyDescent="0.2">
      <c r="A181">
        <v>20</v>
      </c>
      <c r="B181">
        <v>223</v>
      </c>
      <c r="C181">
        <v>2</v>
      </c>
      <c r="D181">
        <v>0</v>
      </c>
      <c r="E181">
        <f>SmtRes!AV223</f>
        <v>0</v>
      </c>
      <c r="F181" t="str">
        <f>SmtRes!I223</f>
        <v>22.1-30-30</v>
      </c>
      <c r="G181" t="str">
        <f>SmtRes!K223</f>
        <v>Рубанки ручные электрические</v>
      </c>
      <c r="H181" t="str">
        <f>SmtRes!O223</f>
        <v>маш.-ч</v>
      </c>
      <c r="I181">
        <f>SmtRes!Y223*Source!I890</f>
        <v>3.15E-2</v>
      </c>
      <c r="J181">
        <f>SmtRes!AO223</f>
        <v>1</v>
      </c>
      <c r="K181">
        <f>SmtRes!AF223</f>
        <v>6.28</v>
      </c>
      <c r="L181">
        <f>SmtRes!DB223</f>
        <v>0.06</v>
      </c>
      <c r="M181">
        <f>ROUND(ROUND(L181*Source!I890, 6)*1, 2)</f>
        <v>0.19</v>
      </c>
      <c r="N181">
        <f>SmtRes!AB223</f>
        <v>6.28</v>
      </c>
      <c r="O181">
        <f>ROUND(ROUND(L181*Source!I890, 6)*SmtRes!DA223, 2)</f>
        <v>0.19</v>
      </c>
      <c r="P181">
        <f>SmtRes!AG223</f>
        <v>0.01</v>
      </c>
      <c r="Q181">
        <f>SmtRes!DC223</f>
        <v>0</v>
      </c>
      <c r="R181">
        <f>ROUND(ROUND(Q181*Source!I890, 6)*1, 2)</f>
        <v>0</v>
      </c>
      <c r="S181">
        <f>SmtRes!AC223</f>
        <v>0.01</v>
      </c>
      <c r="T181">
        <f>ROUND(ROUND(Q181*Source!I890, 6)*SmtRes!AK223, 2)</f>
        <v>0</v>
      </c>
      <c r="U181">
        <f>SmtRes!X223</f>
        <v>1675990774</v>
      </c>
      <c r="V181">
        <v>1286183735</v>
      </c>
      <c r="W181">
        <v>1286183735</v>
      </c>
      <c r="X181">
        <v>2</v>
      </c>
    </row>
    <row r="182" spans="1:24" x14ac:dyDescent="0.2">
      <c r="A182">
        <v>20</v>
      </c>
      <c r="B182">
        <v>227</v>
      </c>
      <c r="C182">
        <v>2</v>
      </c>
      <c r="D182">
        <v>0</v>
      </c>
      <c r="E182">
        <f>SmtRes!AV227</f>
        <v>0</v>
      </c>
      <c r="F182" t="str">
        <f>SmtRes!I227</f>
        <v>22.1-1-5</v>
      </c>
      <c r="G182" t="str">
        <f>SmtRes!K227</f>
        <v>Экскаваторы на гусеничном ходу гидравлические, объем ковша до 0,65 м3</v>
      </c>
      <c r="H182" t="str">
        <f>SmtRes!O227</f>
        <v>маш.-ч</v>
      </c>
      <c r="I182">
        <f>SmtRes!Y227*Source!I892</f>
        <v>3.8021104673999999</v>
      </c>
      <c r="J182">
        <f>SmtRes!AO227</f>
        <v>1</v>
      </c>
      <c r="K182">
        <f>SmtRes!AF227</f>
        <v>1451.71</v>
      </c>
      <c r="L182">
        <f>SmtRes!DB227</f>
        <v>77.959999999999994</v>
      </c>
      <c r="M182">
        <f>ROUND(ROUND(L182*Source!I892, 6)*1, 2)</f>
        <v>5519.79</v>
      </c>
      <c r="N182">
        <f>SmtRes!AB227</f>
        <v>1451.71</v>
      </c>
      <c r="O182">
        <f>ROUND(ROUND(L182*Source!I892, 6)*SmtRes!DA227, 2)</f>
        <v>5519.79</v>
      </c>
      <c r="P182">
        <f>SmtRes!AG227</f>
        <v>457.95</v>
      </c>
      <c r="Q182">
        <f>SmtRes!DC227</f>
        <v>24.59</v>
      </c>
      <c r="R182">
        <f>ROUND(ROUND(Q182*Source!I892, 6)*1, 2)</f>
        <v>1741.04</v>
      </c>
      <c r="S182">
        <f>SmtRes!AC227</f>
        <v>457.95</v>
      </c>
      <c r="T182">
        <f>ROUND(ROUND(Q182*Source!I892, 6)*SmtRes!AK227, 2)</f>
        <v>1741.04</v>
      </c>
      <c r="U182">
        <f>SmtRes!X227</f>
        <v>-202408269</v>
      </c>
      <c r="V182">
        <v>-1723912365</v>
      </c>
      <c r="W182">
        <v>-1723912365</v>
      </c>
      <c r="X182">
        <v>2</v>
      </c>
    </row>
    <row r="183" spans="1:24" x14ac:dyDescent="0.2">
      <c r="A183">
        <v>20</v>
      </c>
      <c r="B183">
        <v>230</v>
      </c>
      <c r="C183">
        <v>2</v>
      </c>
      <c r="D183">
        <v>0</v>
      </c>
      <c r="E183">
        <f>SmtRes!AV230</f>
        <v>0</v>
      </c>
      <c r="F183" t="str">
        <f>SmtRes!I230</f>
        <v>22.1-18-13</v>
      </c>
      <c r="G183" t="str">
        <f>SmtRes!K230</f>
        <v>Автомобили-самосвалы, грузоподъемность до 10 т</v>
      </c>
      <c r="H183" t="str">
        <f>SmtRes!O230</f>
        <v>маш.-ч</v>
      </c>
      <c r="I183">
        <f>SmtRes!Y230*Source!I894</f>
        <v>1.274450436</v>
      </c>
      <c r="J183">
        <f>SmtRes!AO230</f>
        <v>1</v>
      </c>
      <c r="K183">
        <f>SmtRes!AF230</f>
        <v>993.6</v>
      </c>
      <c r="L183">
        <f>SmtRes!DB230</f>
        <v>17.88</v>
      </c>
      <c r="M183">
        <f>ROUND(ROUND(L183*Source!I894, 6)*1, 2)</f>
        <v>1265.95</v>
      </c>
      <c r="N183">
        <f>SmtRes!AB230</f>
        <v>993.6</v>
      </c>
      <c r="O183">
        <f>ROUND(ROUND(L183*Source!I894, 6)*SmtRes!DA230, 2)</f>
        <v>1265.95</v>
      </c>
      <c r="P183">
        <f>SmtRes!AG230</f>
        <v>301.8</v>
      </c>
      <c r="Q183">
        <f>SmtRes!DC230</f>
        <v>5.43</v>
      </c>
      <c r="R183">
        <f>ROUND(ROUND(Q183*Source!I894, 6)*1, 2)</f>
        <v>384.46</v>
      </c>
      <c r="S183">
        <f>SmtRes!AC230</f>
        <v>301.8</v>
      </c>
      <c r="T183">
        <f>ROUND(ROUND(Q183*Source!I894, 6)*SmtRes!AK230, 2)</f>
        <v>384.46</v>
      </c>
      <c r="U183">
        <f>SmtRes!X230</f>
        <v>-1546163025</v>
      </c>
      <c r="V183">
        <v>-1384078646</v>
      </c>
      <c r="W183">
        <v>-1384078646</v>
      </c>
      <c r="X183">
        <v>2</v>
      </c>
    </row>
    <row r="184" spans="1:24" x14ac:dyDescent="0.2">
      <c r="A184">
        <v>20</v>
      </c>
      <c r="B184">
        <v>229</v>
      </c>
      <c r="C184">
        <v>2</v>
      </c>
      <c r="D184">
        <v>0</v>
      </c>
      <c r="E184">
        <f>SmtRes!AV229</f>
        <v>0</v>
      </c>
      <c r="F184" t="str">
        <f>SmtRes!I229</f>
        <v>22.1-18-12</v>
      </c>
      <c r="G184" t="str">
        <f>SmtRes!K229</f>
        <v>Автомобили-самосвалы, грузоподъемность до 7 т</v>
      </c>
      <c r="H184" t="str">
        <f>SmtRes!O229</f>
        <v>маш.-ч</v>
      </c>
      <c r="I184">
        <f>SmtRes!Y229*Source!I894</f>
        <v>1.41605604</v>
      </c>
      <c r="J184">
        <f>SmtRes!AO229</f>
        <v>1</v>
      </c>
      <c r="K184">
        <f>SmtRes!AF229</f>
        <v>952.49</v>
      </c>
      <c r="L184">
        <f>SmtRes!DB229</f>
        <v>19.05</v>
      </c>
      <c r="M184">
        <f>ROUND(ROUND(L184*Source!I894, 6)*1, 2)</f>
        <v>1348.79</v>
      </c>
      <c r="N184">
        <f>SmtRes!AB229</f>
        <v>952.49</v>
      </c>
      <c r="O184">
        <f>ROUND(ROUND(L184*Source!I894, 6)*SmtRes!DA229, 2)</f>
        <v>1348.79</v>
      </c>
      <c r="P184">
        <f>SmtRes!AG229</f>
        <v>301.5</v>
      </c>
      <c r="Q184">
        <f>SmtRes!DC229</f>
        <v>6.03</v>
      </c>
      <c r="R184">
        <f>ROUND(ROUND(Q184*Source!I894, 6)*1, 2)</f>
        <v>426.94</v>
      </c>
      <c r="S184">
        <f>SmtRes!AC229</f>
        <v>301.5</v>
      </c>
      <c r="T184">
        <f>ROUND(ROUND(Q184*Source!I894, 6)*SmtRes!AK229, 2)</f>
        <v>426.94</v>
      </c>
      <c r="U184">
        <f>SmtRes!X229</f>
        <v>468658695</v>
      </c>
      <c r="V184">
        <v>1032900138</v>
      </c>
      <c r="W184">
        <v>1032900138</v>
      </c>
      <c r="X184">
        <v>2</v>
      </c>
    </row>
    <row r="185" spans="1:24" x14ac:dyDescent="0.2">
      <c r="A185">
        <v>20</v>
      </c>
      <c r="B185">
        <v>232</v>
      </c>
      <c r="C185">
        <v>2</v>
      </c>
      <c r="D185">
        <v>0</v>
      </c>
      <c r="E185">
        <f>SmtRes!AV232</f>
        <v>0</v>
      </c>
      <c r="F185" t="str">
        <f>SmtRes!I232</f>
        <v>22.1-18-13</v>
      </c>
      <c r="G185" t="str">
        <f>SmtRes!K232</f>
        <v>Автомобили-самосвалы, грузоподъемность до 10 т</v>
      </c>
      <c r="H185" t="str">
        <f>SmtRes!O232</f>
        <v>маш.-ч</v>
      </c>
      <c r="I185">
        <f>SmtRes!Y232*Source!I895</f>
        <v>0.43268378999999996</v>
      </c>
      <c r="J185">
        <f>SmtRes!AO232</f>
        <v>1</v>
      </c>
      <c r="K185">
        <f>SmtRes!AF232</f>
        <v>993.6</v>
      </c>
      <c r="L185">
        <f>SmtRes!DB232</f>
        <v>54.65</v>
      </c>
      <c r="M185">
        <f>ROUND(ROUND(L185*Source!I895, 6)*1, 2)</f>
        <v>429.93</v>
      </c>
      <c r="N185">
        <f>SmtRes!AB232</f>
        <v>993.6</v>
      </c>
      <c r="O185">
        <f>ROUND(ROUND(L185*Source!I895, 6)*SmtRes!DA232, 2)</f>
        <v>429.93</v>
      </c>
      <c r="P185">
        <f>SmtRes!AG232</f>
        <v>301.8</v>
      </c>
      <c r="Q185">
        <f>SmtRes!DC232</f>
        <v>16.600000000000001</v>
      </c>
      <c r="R185">
        <f>ROUND(ROUND(Q185*Source!I895, 6)*1, 2)</f>
        <v>130.59</v>
      </c>
      <c r="S185">
        <f>SmtRes!AC232</f>
        <v>301.8</v>
      </c>
      <c r="T185">
        <f>ROUND(ROUND(Q185*Source!I895, 6)*SmtRes!AK232, 2)</f>
        <v>130.59</v>
      </c>
      <c r="U185">
        <f>SmtRes!X232</f>
        <v>-1546163025</v>
      </c>
      <c r="V185">
        <v>-1384078646</v>
      </c>
      <c r="W185">
        <v>-1384078646</v>
      </c>
      <c r="X185">
        <v>2</v>
      </c>
    </row>
    <row r="186" spans="1:24" x14ac:dyDescent="0.2">
      <c r="A186">
        <v>20</v>
      </c>
      <c r="B186">
        <v>231</v>
      </c>
      <c r="C186">
        <v>2</v>
      </c>
      <c r="D186">
        <v>0</v>
      </c>
      <c r="E186">
        <f>SmtRes!AV231</f>
        <v>0</v>
      </c>
      <c r="F186" t="str">
        <f>SmtRes!I231</f>
        <v>22.1-18-12</v>
      </c>
      <c r="G186" t="str">
        <f>SmtRes!K231</f>
        <v>Автомобили-самосвалы, грузоподъемность до 7 т</v>
      </c>
      <c r="H186" t="str">
        <f>SmtRes!O231</f>
        <v>маш.-ч</v>
      </c>
      <c r="I186">
        <f>SmtRes!Y231*Source!I895</f>
        <v>0.42481681199999999</v>
      </c>
      <c r="J186">
        <f>SmtRes!AO231</f>
        <v>1</v>
      </c>
      <c r="K186">
        <f>SmtRes!AF231</f>
        <v>952.49</v>
      </c>
      <c r="L186">
        <f>SmtRes!DB231</f>
        <v>51.43</v>
      </c>
      <c r="M186">
        <f>ROUND(ROUND(L186*Source!I895, 6)*1, 2)</f>
        <v>404.6</v>
      </c>
      <c r="N186">
        <f>SmtRes!AB231</f>
        <v>952.49</v>
      </c>
      <c r="O186">
        <f>ROUND(ROUND(L186*Source!I895, 6)*SmtRes!DA231, 2)</f>
        <v>404.6</v>
      </c>
      <c r="P186">
        <f>SmtRes!AG231</f>
        <v>301.5</v>
      </c>
      <c r="Q186">
        <f>SmtRes!DC231</f>
        <v>16.28</v>
      </c>
      <c r="R186">
        <f>ROUND(ROUND(Q186*Source!I895, 6)*1, 2)</f>
        <v>128.07</v>
      </c>
      <c r="S186">
        <f>SmtRes!AC231</f>
        <v>301.5</v>
      </c>
      <c r="T186">
        <f>ROUND(ROUND(Q186*Source!I895, 6)*SmtRes!AK231, 2)</f>
        <v>128.07</v>
      </c>
      <c r="U186">
        <f>SmtRes!X231</f>
        <v>468658695</v>
      </c>
      <c r="V186">
        <v>1032900138</v>
      </c>
      <c r="W186">
        <v>1032900138</v>
      </c>
      <c r="X186">
        <v>2</v>
      </c>
    </row>
    <row r="187" spans="1:24" x14ac:dyDescent="0.2">
      <c r="A187">
        <v>20</v>
      </c>
      <c r="B187">
        <v>234</v>
      </c>
      <c r="C187">
        <v>2</v>
      </c>
      <c r="D187">
        <v>0</v>
      </c>
      <c r="E187">
        <f>SmtRes!AV234</f>
        <v>0</v>
      </c>
      <c r="F187" t="str">
        <f>SmtRes!I234</f>
        <v>22.1-18-13</v>
      </c>
      <c r="G187" t="str">
        <f>SmtRes!K234</f>
        <v>Автомобили-самосвалы, грузоподъемность до 10 т</v>
      </c>
      <c r="H187" t="str">
        <f>SmtRes!O234</f>
        <v>маш.-ч</v>
      </c>
      <c r="I187">
        <f>SmtRes!Y234*Source!I896</f>
        <v>15.104597760000001</v>
      </c>
      <c r="J187">
        <f>SmtRes!AO234</f>
        <v>1</v>
      </c>
      <c r="K187">
        <f>SmtRes!AF234</f>
        <v>993.6</v>
      </c>
      <c r="L187">
        <f>SmtRes!DB234</f>
        <v>190.8</v>
      </c>
      <c r="M187">
        <f>ROUND(ROUND(L187*Source!I896, 6)*1, 2)</f>
        <v>15010.19</v>
      </c>
      <c r="N187">
        <f>SmtRes!AB234</f>
        <v>993.6</v>
      </c>
      <c r="O187">
        <f>ROUND(ROUND(L187*Source!I896, 6)*SmtRes!DA234, 2)</f>
        <v>15010.19</v>
      </c>
      <c r="P187">
        <f>SmtRes!AG234</f>
        <v>301.8</v>
      </c>
      <c r="Q187">
        <f>SmtRes!DC234</f>
        <v>57.84</v>
      </c>
      <c r="R187">
        <f>ROUND(ROUND(Q187*Source!I896, 6)*1, 2)</f>
        <v>4550.26</v>
      </c>
      <c r="S187">
        <f>SmtRes!AC234</f>
        <v>301.8</v>
      </c>
      <c r="T187">
        <f>ROUND(ROUND(Q187*Source!I896, 6)*SmtRes!AK234, 2)</f>
        <v>4550.26</v>
      </c>
      <c r="U187">
        <f>SmtRes!X234</f>
        <v>-1546163025</v>
      </c>
      <c r="V187">
        <v>-1384078646</v>
      </c>
      <c r="W187">
        <v>-1384078646</v>
      </c>
      <c r="X187">
        <v>2</v>
      </c>
    </row>
    <row r="188" spans="1:24" x14ac:dyDescent="0.2">
      <c r="A188">
        <v>20</v>
      </c>
      <c r="B188">
        <v>233</v>
      </c>
      <c r="C188">
        <v>2</v>
      </c>
      <c r="D188">
        <v>0</v>
      </c>
      <c r="E188">
        <f>SmtRes!AV233</f>
        <v>0</v>
      </c>
      <c r="F188" t="str">
        <f>SmtRes!I233</f>
        <v>22.1-18-12</v>
      </c>
      <c r="G188" t="str">
        <f>SmtRes!K233</f>
        <v>Автомобили-самосвалы, грузоподъемность до 7 т</v>
      </c>
      <c r="H188" t="str">
        <f>SmtRes!O233</f>
        <v>маш.-ч</v>
      </c>
      <c r="I188">
        <f>SmtRes!Y233*Source!I896</f>
        <v>18.880747199999998</v>
      </c>
      <c r="J188">
        <f>SmtRes!AO233</f>
        <v>1</v>
      </c>
      <c r="K188">
        <f>SmtRes!AF233</f>
        <v>952.49</v>
      </c>
      <c r="L188">
        <f>SmtRes!DB233</f>
        <v>228.48</v>
      </c>
      <c r="M188">
        <f>ROUND(ROUND(L188*Source!I896, 6)*1, 2)</f>
        <v>17974.47</v>
      </c>
      <c r="N188">
        <f>SmtRes!AB233</f>
        <v>952.49</v>
      </c>
      <c r="O188">
        <f>ROUND(ROUND(L188*Source!I896, 6)*SmtRes!DA233, 2)</f>
        <v>17974.47</v>
      </c>
      <c r="P188">
        <f>SmtRes!AG233</f>
        <v>301.5</v>
      </c>
      <c r="Q188">
        <f>SmtRes!DC233</f>
        <v>72.48</v>
      </c>
      <c r="R188">
        <f>ROUND(ROUND(Q188*Source!I896, 6)*1, 2)</f>
        <v>5701.99</v>
      </c>
      <c r="S188">
        <f>SmtRes!AC233</f>
        <v>301.5</v>
      </c>
      <c r="T188">
        <f>ROUND(ROUND(Q188*Source!I896, 6)*SmtRes!AK233, 2)</f>
        <v>5701.99</v>
      </c>
      <c r="U188">
        <f>SmtRes!X233</f>
        <v>468658695</v>
      </c>
      <c r="V188">
        <v>1032900138</v>
      </c>
      <c r="W188">
        <v>1032900138</v>
      </c>
      <c r="X188">
        <v>2</v>
      </c>
    </row>
    <row r="189" spans="1:24" x14ac:dyDescent="0.2">
      <c r="A189">
        <f>Source!A897</f>
        <v>17</v>
      </c>
      <c r="B189">
        <v>897</v>
      </c>
      <c r="C189">
        <v>3</v>
      </c>
      <c r="D189">
        <f>Source!BI897</f>
        <v>4</v>
      </c>
      <c r="E189">
        <f>Source!FS897</f>
        <v>0</v>
      </c>
      <c r="F189" t="str">
        <f>Source!F897</f>
        <v>21.25-0-1</v>
      </c>
      <c r="G189" t="str">
        <f>Source!G897</f>
        <v>Содержание свалки отходов строительства и сноса</v>
      </c>
      <c r="H189" t="str">
        <f>Source!H897</f>
        <v>т</v>
      </c>
      <c r="I189">
        <f>Source!I897</f>
        <v>78.669780000000003</v>
      </c>
      <c r="J189">
        <v>1</v>
      </c>
      <c r="K189">
        <f>Source!AC897</f>
        <v>197.96</v>
      </c>
      <c r="M189">
        <f>ROUND(K189*I189, 2)</f>
        <v>15573.47</v>
      </c>
      <c r="N189">
        <f>Source!AC897*IF(Source!BC897&lt;&gt; 0, Source!BC897, 1)</f>
        <v>197.96</v>
      </c>
      <c r="O189">
        <f>ROUND(N189*I189, 2)</f>
        <v>15573.47</v>
      </c>
      <c r="P189">
        <f>Source!AE897</f>
        <v>0</v>
      </c>
      <c r="R189">
        <f>ROUND(P189*I189, 2)</f>
        <v>0</v>
      </c>
      <c r="S189">
        <f>Source!AE897*IF(Source!BS897&lt;&gt; 0, Source!BS897, 1)</f>
        <v>0</v>
      </c>
      <c r="T189">
        <f>ROUND(S189*I189, 2)</f>
        <v>0</v>
      </c>
      <c r="U189">
        <f>Source!GF897</f>
        <v>-1219268023</v>
      </c>
      <c r="V189">
        <v>-96028578</v>
      </c>
      <c r="W189">
        <v>-96028578</v>
      </c>
      <c r="X189">
        <v>3</v>
      </c>
    </row>
    <row r="190" spans="1:24" x14ac:dyDescent="0.2">
      <c r="A190">
        <f>Source!A930</f>
        <v>5</v>
      </c>
      <c r="B190">
        <v>930</v>
      </c>
      <c r="G190" t="str">
        <f>Source!G930</f>
        <v>Монтажные работы</v>
      </c>
    </row>
    <row r="191" spans="1:24" x14ac:dyDescent="0.2">
      <c r="A191">
        <v>20</v>
      </c>
      <c r="B191">
        <v>236</v>
      </c>
      <c r="C191">
        <v>2</v>
      </c>
      <c r="D191">
        <v>0</v>
      </c>
      <c r="E191">
        <f>SmtRes!AV236</f>
        <v>0</v>
      </c>
      <c r="F191" t="str">
        <f>SmtRes!I236</f>
        <v>22.1-30-30</v>
      </c>
      <c r="G191" t="str">
        <f>SmtRes!K236</f>
        <v>Рубанки ручные электрические</v>
      </c>
      <c r="H191" t="str">
        <f>SmtRes!O236</f>
        <v>маш.-ч</v>
      </c>
      <c r="I191">
        <f>SmtRes!Y236*Source!I934</f>
        <v>3.3799999999999997E-2</v>
      </c>
      <c r="J191">
        <f>SmtRes!AO236</f>
        <v>1</v>
      </c>
      <c r="K191">
        <f>SmtRes!AF236</f>
        <v>6.28</v>
      </c>
      <c r="L191">
        <f>SmtRes!DB236</f>
        <v>0.06</v>
      </c>
      <c r="M191">
        <f>ROUND(ROUND(L191*Source!I934, 6)*1, 2)</f>
        <v>0.2</v>
      </c>
      <c r="N191">
        <f>SmtRes!AB236</f>
        <v>6.28</v>
      </c>
      <c r="O191">
        <f>ROUND(ROUND(L191*Source!I934, 6)*SmtRes!DA236, 2)</f>
        <v>0.2</v>
      </c>
      <c r="P191">
        <f>SmtRes!AG236</f>
        <v>0.01</v>
      </c>
      <c r="Q191">
        <f>SmtRes!DC236</f>
        <v>0</v>
      </c>
      <c r="R191">
        <f>ROUND(ROUND(Q191*Source!I934, 6)*1, 2)</f>
        <v>0</v>
      </c>
      <c r="S191">
        <f>SmtRes!AC236</f>
        <v>0.01</v>
      </c>
      <c r="T191">
        <f>ROUND(ROUND(Q191*Source!I934, 6)*SmtRes!AK236, 2)</f>
        <v>0</v>
      </c>
      <c r="U191">
        <f>SmtRes!X236</f>
        <v>1675990774</v>
      </c>
      <c r="V191">
        <v>1286183735</v>
      </c>
      <c r="W191">
        <v>1286183735</v>
      </c>
      <c r="X191">
        <v>2</v>
      </c>
    </row>
    <row r="192" spans="1:24" x14ac:dyDescent="0.2">
      <c r="A192">
        <v>20</v>
      </c>
      <c r="B192">
        <v>245</v>
      </c>
      <c r="C192">
        <v>3</v>
      </c>
      <c r="D192">
        <v>0</v>
      </c>
      <c r="E192">
        <f>SmtRes!AV245</f>
        <v>0</v>
      </c>
      <c r="F192" t="str">
        <f>SmtRes!I245</f>
        <v>21.1-8-1</v>
      </c>
      <c r="G192" t="str">
        <f>SmtRes!K245</f>
        <v>Антисептики: натрий фтористый</v>
      </c>
      <c r="H192" t="str">
        <f>SmtRes!O245</f>
        <v>т</v>
      </c>
      <c r="I192">
        <f>SmtRes!Y245*Source!I936</f>
        <v>2.1283442399999998E-2</v>
      </c>
      <c r="J192">
        <f>SmtRes!AO245</f>
        <v>1</v>
      </c>
      <c r="K192">
        <f>SmtRes!AE245</f>
        <v>254205.88</v>
      </c>
      <c r="L192">
        <f>SmtRes!DB245</f>
        <v>864.3</v>
      </c>
      <c r="M192">
        <f>ROUND(ROUND(L192*Source!I936, 6)*1, 2)</f>
        <v>5410.38</v>
      </c>
      <c r="N192">
        <f>SmtRes!AA245</f>
        <v>254205.88</v>
      </c>
      <c r="O192">
        <f>ROUND(ROUND(L192*Source!I936, 6)*SmtRes!DA245, 2)</f>
        <v>5410.38</v>
      </c>
      <c r="P192">
        <f>SmtRes!AG245</f>
        <v>0</v>
      </c>
      <c r="Q192">
        <f>SmtRes!DC245</f>
        <v>0</v>
      </c>
      <c r="R192">
        <f>ROUND(ROUND(Q192*Source!I936, 6)*1, 2)</f>
        <v>0</v>
      </c>
      <c r="S192">
        <f>SmtRes!AC245</f>
        <v>0</v>
      </c>
      <c r="T192">
        <f>ROUND(ROUND(Q192*Source!I936, 6)*SmtRes!AK245, 2)</f>
        <v>0</v>
      </c>
      <c r="U192">
        <f>SmtRes!X245</f>
        <v>-1662483098</v>
      </c>
      <c r="V192">
        <v>-1202253279</v>
      </c>
      <c r="W192">
        <v>-1202253279</v>
      </c>
      <c r="X192">
        <v>3</v>
      </c>
    </row>
    <row r="193" spans="1:24" x14ac:dyDescent="0.2">
      <c r="A193">
        <v>20</v>
      </c>
      <c r="B193">
        <v>244</v>
      </c>
      <c r="C193">
        <v>3</v>
      </c>
      <c r="D193">
        <v>0</v>
      </c>
      <c r="E193">
        <f>SmtRes!AV244</f>
        <v>0</v>
      </c>
      <c r="F193" t="str">
        <f>SmtRes!I244</f>
        <v>21.1-3-48</v>
      </c>
      <c r="G193" t="str">
        <f>SmtRes!K244</f>
        <v>Материал рулонный кровельный, рубероид, марка РМ-350, с мелкой посыпкой</v>
      </c>
      <c r="H193" t="str">
        <f>SmtRes!O244</f>
        <v>м2</v>
      </c>
      <c r="I193">
        <f>SmtRes!Y244*Source!I936</f>
        <v>131.45655600000001</v>
      </c>
      <c r="J193">
        <f>SmtRes!AO244</f>
        <v>1</v>
      </c>
      <c r="K193">
        <f>SmtRes!AE244</f>
        <v>28.19</v>
      </c>
      <c r="L193">
        <f>SmtRes!DB244</f>
        <v>591.99</v>
      </c>
      <c r="M193">
        <f>ROUND(ROUND(L193*Source!I936, 6)*1, 2)</f>
        <v>3705.76</v>
      </c>
      <c r="N193">
        <f>SmtRes!AA244</f>
        <v>28.19</v>
      </c>
      <c r="O193">
        <f>ROUND(ROUND(L193*Source!I936, 6)*SmtRes!DA244, 2)</f>
        <v>3705.76</v>
      </c>
      <c r="P193">
        <f>SmtRes!AG244</f>
        <v>0</v>
      </c>
      <c r="Q193">
        <f>SmtRes!DC244</f>
        <v>0</v>
      </c>
      <c r="R193">
        <f>ROUND(ROUND(Q193*Source!I936, 6)*1, 2)</f>
        <v>0</v>
      </c>
      <c r="S193">
        <f>SmtRes!AC244</f>
        <v>0</v>
      </c>
      <c r="T193">
        <f>ROUND(ROUND(Q193*Source!I936, 6)*SmtRes!AK244, 2)</f>
        <v>0</v>
      </c>
      <c r="U193">
        <f>SmtRes!X244</f>
        <v>1019555630</v>
      </c>
      <c r="V193">
        <v>-1029428952</v>
      </c>
      <c r="W193">
        <v>-1029428952</v>
      </c>
      <c r="X193">
        <v>3</v>
      </c>
    </row>
    <row r="194" spans="1:24" x14ac:dyDescent="0.2">
      <c r="A194">
        <v>20</v>
      </c>
      <c r="B194">
        <v>243</v>
      </c>
      <c r="C194">
        <v>3</v>
      </c>
      <c r="D194">
        <v>0</v>
      </c>
      <c r="E194">
        <f>SmtRes!AV243</f>
        <v>0</v>
      </c>
      <c r="F194" t="str">
        <f>SmtRes!I243</f>
        <v>21.1-11-46</v>
      </c>
      <c r="G194" t="str">
        <f>SmtRes!K243</f>
        <v>Гвозди строительные</v>
      </c>
      <c r="H194" t="str">
        <f>SmtRes!O243</f>
        <v>т</v>
      </c>
      <c r="I194">
        <f>SmtRes!Y243*Source!I936</f>
        <v>1.00157376E-2</v>
      </c>
      <c r="J194">
        <f>SmtRes!AO243</f>
        <v>1</v>
      </c>
      <c r="K194">
        <f>SmtRes!AE243</f>
        <v>52914.53</v>
      </c>
      <c r="L194">
        <f>SmtRes!DB243</f>
        <v>84.66</v>
      </c>
      <c r="M194">
        <f>ROUND(ROUND(L194*Source!I936, 6)*1, 2)</f>
        <v>529.96</v>
      </c>
      <c r="N194">
        <f>SmtRes!AA243</f>
        <v>52914.53</v>
      </c>
      <c r="O194">
        <f>ROUND(ROUND(L194*Source!I936, 6)*SmtRes!DA243, 2)</f>
        <v>529.96</v>
      </c>
      <c r="P194">
        <f>SmtRes!AG243</f>
        <v>0</v>
      </c>
      <c r="Q194">
        <f>SmtRes!DC243</f>
        <v>0</v>
      </c>
      <c r="R194">
        <f>ROUND(ROUND(Q194*Source!I936, 6)*1, 2)</f>
        <v>0</v>
      </c>
      <c r="S194">
        <f>SmtRes!AC243</f>
        <v>0</v>
      </c>
      <c r="T194">
        <f>ROUND(ROUND(Q194*Source!I936, 6)*SmtRes!AK243, 2)</f>
        <v>0</v>
      </c>
      <c r="U194">
        <f>SmtRes!X243</f>
        <v>-509512801</v>
      </c>
      <c r="V194">
        <v>1529741761</v>
      </c>
      <c r="W194">
        <v>1529741761</v>
      </c>
      <c r="X194">
        <v>3</v>
      </c>
    </row>
    <row r="195" spans="1:24" x14ac:dyDescent="0.2">
      <c r="A195">
        <v>20</v>
      </c>
      <c r="B195">
        <v>242</v>
      </c>
      <c r="C195">
        <v>2</v>
      </c>
      <c r="D195">
        <v>0</v>
      </c>
      <c r="E195">
        <f>SmtRes!AV242</f>
        <v>0</v>
      </c>
      <c r="F195" t="str">
        <f>SmtRes!I242</f>
        <v>22.1-30-27</v>
      </c>
      <c r="G195" t="str">
        <f>SmtRes!K242</f>
        <v>Пилы дисковые электрические для резки пиломатериалов</v>
      </c>
      <c r="H195" t="str">
        <f>SmtRes!O242</f>
        <v>маш.-ч</v>
      </c>
      <c r="I195">
        <f>SmtRes!Y242*Source!I936</f>
        <v>2.5039344000000003</v>
      </c>
      <c r="J195">
        <f>SmtRes!AO242</f>
        <v>1</v>
      </c>
      <c r="K195">
        <f>SmtRes!AF242</f>
        <v>3.96</v>
      </c>
      <c r="L195">
        <f>SmtRes!DB242</f>
        <v>1.58</v>
      </c>
      <c r="M195">
        <f>ROUND(ROUND(L195*Source!I936, 6)*1, 2)</f>
        <v>9.89</v>
      </c>
      <c r="N195">
        <f>SmtRes!AB242</f>
        <v>3.96</v>
      </c>
      <c r="O195">
        <f>ROUND(ROUND(L195*Source!I936, 6)*SmtRes!DA242, 2)</f>
        <v>9.89</v>
      </c>
      <c r="P195">
        <f>SmtRes!AG242</f>
        <v>0.01</v>
      </c>
      <c r="Q195">
        <f>SmtRes!DC242</f>
        <v>0</v>
      </c>
      <c r="R195">
        <f>ROUND(ROUND(Q195*Source!I936, 6)*1, 2)</f>
        <v>0</v>
      </c>
      <c r="S195">
        <f>SmtRes!AC242</f>
        <v>0.01</v>
      </c>
      <c r="T195">
        <f>ROUND(ROUND(Q195*Source!I936, 6)*SmtRes!AK242, 2)</f>
        <v>0</v>
      </c>
      <c r="U195">
        <f>SmtRes!X242</f>
        <v>-114073091</v>
      </c>
      <c r="V195">
        <v>-622644077</v>
      </c>
      <c r="W195">
        <v>-622644077</v>
      </c>
      <c r="X195">
        <v>2</v>
      </c>
    </row>
    <row r="196" spans="1:24" x14ac:dyDescent="0.2">
      <c r="A196">
        <f>Source!A938</f>
        <v>17</v>
      </c>
      <c r="B196">
        <v>938</v>
      </c>
      <c r="C196">
        <v>3</v>
      </c>
      <c r="D196">
        <f>Source!BI938</f>
        <v>4</v>
      </c>
      <c r="E196">
        <f>Source!FS938</f>
        <v>0</v>
      </c>
      <c r="F196" t="str">
        <f>Source!F938</f>
        <v>Цена поставщика</v>
      </c>
      <c r="G196" t="str">
        <f>Source!G938</f>
        <v>Обрезной брус из лиственницы 150х100 мм</v>
      </c>
      <c r="H196" t="str">
        <f>Source!H938</f>
        <v>м3</v>
      </c>
      <c r="I196">
        <f>Source!I938</f>
        <v>0</v>
      </c>
      <c r="J196">
        <v>1</v>
      </c>
      <c r="K196">
        <f>Source!AC938</f>
        <v>14022.17</v>
      </c>
      <c r="M196">
        <f>ROUND(K196*I196, 2)</f>
        <v>0</v>
      </c>
      <c r="N196">
        <f>Source!AC938*IF(Source!BC938&lt;&gt; 0, Source!BC938, 1)</f>
        <v>14022.17</v>
      </c>
      <c r="O196">
        <f>ROUND(N196*I196, 2)</f>
        <v>0</v>
      </c>
      <c r="P196">
        <f>Source!AE938</f>
        <v>0</v>
      </c>
      <c r="R196">
        <f>ROUND(P196*I196, 2)</f>
        <v>0</v>
      </c>
      <c r="S196">
        <f>Source!AE938*IF(Source!BS938&lt;&gt; 0, Source!BS938, 1)</f>
        <v>0</v>
      </c>
      <c r="T196">
        <f>ROUND(S196*I196, 2)</f>
        <v>0</v>
      </c>
      <c r="U196">
        <f>Source!GF938</f>
        <v>-360520800</v>
      </c>
      <c r="V196">
        <v>82779127</v>
      </c>
      <c r="W196">
        <v>82779127</v>
      </c>
      <c r="X196">
        <v>3</v>
      </c>
    </row>
    <row r="197" spans="1:24" x14ac:dyDescent="0.2">
      <c r="A197">
        <f>Source!A939</f>
        <v>17</v>
      </c>
      <c r="B197">
        <v>939</v>
      </c>
      <c r="C197">
        <v>3</v>
      </c>
      <c r="D197">
        <f>Source!BI939</f>
        <v>4</v>
      </c>
      <c r="E197">
        <f>Source!FS939</f>
        <v>0</v>
      </c>
      <c r="F197" t="str">
        <f>Source!F939</f>
        <v>Цена поставщика</v>
      </c>
      <c r="G197" t="str">
        <f>Source!G939</f>
        <v>Обрезной брус из лиственницы 100х100 мм</v>
      </c>
      <c r="H197" t="str">
        <f>Source!H939</f>
        <v>м3</v>
      </c>
      <c r="I197">
        <f>Source!I939</f>
        <v>78.599999999999994</v>
      </c>
      <c r="J197">
        <v>1</v>
      </c>
      <c r="K197">
        <f>Source!AC939</f>
        <v>14022.17</v>
      </c>
      <c r="M197">
        <f>ROUND(K197*I197, 2)</f>
        <v>1102142.56</v>
      </c>
      <c r="N197">
        <f>Source!AC939*IF(Source!BC939&lt;&gt; 0, Source!BC939, 1)</f>
        <v>14022.17</v>
      </c>
      <c r="O197">
        <f>ROUND(N197*I197, 2)</f>
        <v>1102142.56</v>
      </c>
      <c r="P197">
        <f>Source!AE939</f>
        <v>0</v>
      </c>
      <c r="R197">
        <f>ROUND(P197*I197, 2)</f>
        <v>0</v>
      </c>
      <c r="S197">
        <f>Source!AE939*IF(Source!BS939&lt;&gt; 0, Source!BS939, 1)</f>
        <v>0</v>
      </c>
      <c r="T197">
        <f>ROUND(S197*I197, 2)</f>
        <v>0</v>
      </c>
      <c r="U197">
        <f>Source!GF939</f>
        <v>1239553028</v>
      </c>
      <c r="V197">
        <v>-1796058557</v>
      </c>
      <c r="W197">
        <v>-1796058557</v>
      </c>
      <c r="X197">
        <v>3</v>
      </c>
    </row>
    <row r="198" spans="1:24" x14ac:dyDescent="0.2">
      <c r="A198">
        <v>20</v>
      </c>
      <c r="B198">
        <v>250</v>
      </c>
      <c r="C198">
        <v>3</v>
      </c>
      <c r="D198">
        <v>0</v>
      </c>
      <c r="E198">
        <f>SmtRes!AV250</f>
        <v>0</v>
      </c>
      <c r="F198" t="str">
        <f>SmtRes!I250</f>
        <v>21.1-9-57</v>
      </c>
      <c r="G198" t="str">
        <f>SmtRes!K250</f>
        <v>Доски хвойных пород, обрезные, длина 2-6,5 м, сорт III, толщина 40-60 мм</v>
      </c>
      <c r="H198" t="str">
        <f>SmtRes!O250</f>
        <v>м3</v>
      </c>
      <c r="I198">
        <f>SmtRes!Y250*Source!I940</f>
        <v>30.8736</v>
      </c>
      <c r="J198">
        <f>SmtRes!AO250</f>
        <v>1</v>
      </c>
      <c r="K198">
        <f>SmtRes!AE250</f>
        <v>6697.08</v>
      </c>
      <c r="L198">
        <f>SmtRes!DB250</f>
        <v>4821.8999999999996</v>
      </c>
      <c r="M198">
        <f>ROUND(ROUND(L198*Source!I940, 6)*1, 2)</f>
        <v>206763.07</v>
      </c>
      <c r="N198">
        <f>SmtRes!AA250</f>
        <v>6697.08</v>
      </c>
      <c r="O198">
        <f>ROUND(ROUND(L198*Source!I940, 6)*SmtRes!DA250, 2)</f>
        <v>206763.07</v>
      </c>
      <c r="P198">
        <f>SmtRes!AG250</f>
        <v>0</v>
      </c>
      <c r="Q198">
        <f>SmtRes!DC250</f>
        <v>0</v>
      </c>
      <c r="R198">
        <f>ROUND(ROUND(Q198*Source!I940, 6)*1, 2)</f>
        <v>0</v>
      </c>
      <c r="S198">
        <f>SmtRes!AC250</f>
        <v>0</v>
      </c>
      <c r="T198">
        <f>ROUND(ROUND(Q198*Source!I940, 6)*SmtRes!AK250, 2)</f>
        <v>0</v>
      </c>
      <c r="U198">
        <f>SmtRes!X250</f>
        <v>1121281230</v>
      </c>
      <c r="V198">
        <v>1636960052</v>
      </c>
      <c r="W198">
        <v>1636960052</v>
      </c>
      <c r="X198">
        <v>3</v>
      </c>
    </row>
    <row r="199" spans="1:24" x14ac:dyDescent="0.2">
      <c r="A199">
        <v>20</v>
      </c>
      <c r="B199">
        <v>248</v>
      </c>
      <c r="C199">
        <v>3</v>
      </c>
      <c r="D199">
        <v>0</v>
      </c>
      <c r="E199">
        <f>SmtRes!AV248</f>
        <v>0</v>
      </c>
      <c r="F199" t="str">
        <f>SmtRes!I248</f>
        <v>21.1-11-46</v>
      </c>
      <c r="G199" t="str">
        <f>SmtRes!K248</f>
        <v>Гвозди строительные</v>
      </c>
      <c r="H199" t="str">
        <f>SmtRes!O248</f>
        <v>т</v>
      </c>
      <c r="I199">
        <f>SmtRes!Y248*Source!I940</f>
        <v>0.48540160000000004</v>
      </c>
      <c r="J199">
        <f>SmtRes!AO248</f>
        <v>1</v>
      </c>
      <c r="K199">
        <f>SmtRes!AE248</f>
        <v>52914.53</v>
      </c>
      <c r="L199">
        <f>SmtRes!DB248</f>
        <v>598.99</v>
      </c>
      <c r="M199">
        <f>ROUND(ROUND(L199*Source!I940, 6)*1, 2)</f>
        <v>25684.69</v>
      </c>
      <c r="N199">
        <f>SmtRes!AA248</f>
        <v>52914.53</v>
      </c>
      <c r="O199">
        <f>ROUND(ROUND(L199*Source!I940, 6)*SmtRes!DA248, 2)</f>
        <v>25684.69</v>
      </c>
      <c r="P199">
        <f>SmtRes!AG248</f>
        <v>0</v>
      </c>
      <c r="Q199">
        <f>SmtRes!DC248</f>
        <v>0</v>
      </c>
      <c r="R199">
        <f>ROUND(ROUND(Q199*Source!I940, 6)*1, 2)</f>
        <v>0</v>
      </c>
      <c r="S199">
        <f>SmtRes!AC248</f>
        <v>0</v>
      </c>
      <c r="T199">
        <f>ROUND(ROUND(Q199*Source!I940, 6)*SmtRes!AK248, 2)</f>
        <v>0</v>
      </c>
      <c r="U199">
        <f>SmtRes!X248</f>
        <v>993024992</v>
      </c>
      <c r="V199">
        <v>-130737708</v>
      </c>
      <c r="W199">
        <v>-130737708</v>
      </c>
      <c r="X199">
        <v>3</v>
      </c>
    </row>
    <row r="200" spans="1:24" x14ac:dyDescent="0.2">
      <c r="A200">
        <f>Source!A943</f>
        <v>17</v>
      </c>
      <c r="B200">
        <v>943</v>
      </c>
      <c r="C200">
        <v>3</v>
      </c>
      <c r="D200">
        <f>Source!BI943</f>
        <v>1</v>
      </c>
      <c r="E200">
        <f>Source!FS943</f>
        <v>0</v>
      </c>
      <c r="F200" t="str">
        <f>Source!F943</f>
        <v>Цена поставщика</v>
      </c>
      <c r="G200" t="str">
        <f>Source!G943</f>
        <v>Строганная доска из лиственницы 40х150 мм</v>
      </c>
      <c r="H200" t="str">
        <f>Source!H943</f>
        <v>м3</v>
      </c>
      <c r="I200">
        <f>Source!I943</f>
        <v>162</v>
      </c>
      <c r="J200">
        <v>1</v>
      </c>
      <c r="K200">
        <f>Source!AC943</f>
        <v>19263.830000000002</v>
      </c>
      <c r="M200">
        <f>ROUND(K200*I200, 2)</f>
        <v>3120740.46</v>
      </c>
      <c r="N200">
        <f>Source!AC943*IF(Source!BC943&lt;&gt; 0, Source!BC943, 1)</f>
        <v>19263.830000000002</v>
      </c>
      <c r="O200">
        <f>ROUND(N200*I200, 2)</f>
        <v>3120740.46</v>
      </c>
      <c r="P200">
        <f>Source!AE943</f>
        <v>0</v>
      </c>
      <c r="R200">
        <f>ROUND(P200*I200, 2)</f>
        <v>0</v>
      </c>
      <c r="S200">
        <f>Source!AE943*IF(Source!BS943&lt;&gt; 0, Source!BS943, 1)</f>
        <v>0</v>
      </c>
      <c r="T200">
        <f>ROUND(S200*I200, 2)</f>
        <v>0</v>
      </c>
      <c r="U200">
        <f>Source!GF943</f>
        <v>355861266</v>
      </c>
      <c r="V200">
        <v>-190982825</v>
      </c>
      <c r="W200">
        <v>-190982825</v>
      </c>
      <c r="X200">
        <v>3</v>
      </c>
    </row>
    <row r="201" spans="1:24" x14ac:dyDescent="0.2">
      <c r="A201">
        <v>20</v>
      </c>
      <c r="B201">
        <v>259</v>
      </c>
      <c r="C201">
        <v>3</v>
      </c>
      <c r="D201">
        <v>0</v>
      </c>
      <c r="E201">
        <f>SmtRes!AV259</f>
        <v>0</v>
      </c>
      <c r="F201" t="str">
        <f>SmtRes!I259</f>
        <v>21.1-9-13</v>
      </c>
      <c r="G201" t="str">
        <f>SmtRes!K259</f>
        <v>Бруски хвойных пород обрезные, длина 2-6,5 м, сорт III, толщина 50-60 мм</v>
      </c>
      <c r="H201" t="str">
        <f>SmtRes!O259</f>
        <v>м3</v>
      </c>
      <c r="I201">
        <f>SmtRes!Y259*Source!I944</f>
        <v>4.2210000000000001</v>
      </c>
      <c r="J201">
        <f>SmtRes!AO259</f>
        <v>1</v>
      </c>
      <c r="K201">
        <f>SmtRes!AE259</f>
        <v>6425.33</v>
      </c>
      <c r="L201">
        <f>SmtRes!DB259</f>
        <v>8609.94</v>
      </c>
      <c r="M201">
        <f>ROUND(ROUND(L201*Source!I944, 6)*1, 2)</f>
        <v>27121.31</v>
      </c>
      <c r="N201">
        <f>SmtRes!AA259</f>
        <v>6425.33</v>
      </c>
      <c r="O201">
        <f>ROUND(ROUND(L201*Source!I944, 6)*SmtRes!DA259, 2)</f>
        <v>27121.31</v>
      </c>
      <c r="P201">
        <f>SmtRes!AG259</f>
        <v>0</v>
      </c>
      <c r="Q201">
        <f>SmtRes!DC259</f>
        <v>0</v>
      </c>
      <c r="R201">
        <f>ROUND(ROUND(Q201*Source!I944, 6)*1, 2)</f>
        <v>0</v>
      </c>
      <c r="S201">
        <f>SmtRes!AC259</f>
        <v>0</v>
      </c>
      <c r="T201">
        <f>ROUND(ROUND(Q201*Source!I944, 6)*SmtRes!AK259, 2)</f>
        <v>0</v>
      </c>
      <c r="U201">
        <f>SmtRes!X259</f>
        <v>-2021759097</v>
      </c>
      <c r="V201">
        <v>1392106141</v>
      </c>
      <c r="W201">
        <v>1392106141</v>
      </c>
      <c r="X201">
        <v>3</v>
      </c>
    </row>
    <row r="202" spans="1:24" x14ac:dyDescent="0.2">
      <c r="A202">
        <v>20</v>
      </c>
      <c r="B202">
        <v>258</v>
      </c>
      <c r="C202">
        <v>3</v>
      </c>
      <c r="D202">
        <v>0</v>
      </c>
      <c r="E202">
        <f>SmtRes!AV258</f>
        <v>0</v>
      </c>
      <c r="F202" t="str">
        <f>SmtRes!I258</f>
        <v>21.1-9-11</v>
      </c>
      <c r="G202" t="str">
        <f>SmtRes!K258</f>
        <v>Бруски хвойных пород обрезные, длина 2-6,5 м, сорт II, толщина 50-60 мм</v>
      </c>
      <c r="H202" t="str">
        <f>SmtRes!O258</f>
        <v>м3</v>
      </c>
      <c r="I202">
        <f>SmtRes!Y258*Source!I944</f>
        <v>3.4335</v>
      </c>
      <c r="J202">
        <f>SmtRes!AO258</f>
        <v>1</v>
      </c>
      <c r="K202">
        <f>SmtRes!AE258</f>
        <v>9064.07</v>
      </c>
      <c r="L202">
        <f>SmtRes!DB258</f>
        <v>9879.84</v>
      </c>
      <c r="M202">
        <f>ROUND(ROUND(L202*Source!I944, 6)*1, 2)</f>
        <v>31121.5</v>
      </c>
      <c r="N202">
        <f>SmtRes!AA258</f>
        <v>9064.07</v>
      </c>
      <c r="O202">
        <f>ROUND(ROUND(L202*Source!I944, 6)*SmtRes!DA258, 2)</f>
        <v>31121.5</v>
      </c>
      <c r="P202">
        <f>SmtRes!AG258</f>
        <v>0</v>
      </c>
      <c r="Q202">
        <f>SmtRes!DC258</f>
        <v>0</v>
      </c>
      <c r="R202">
        <f>ROUND(ROUND(Q202*Source!I944, 6)*1, 2)</f>
        <v>0</v>
      </c>
      <c r="S202">
        <f>SmtRes!AC258</f>
        <v>0</v>
      </c>
      <c r="T202">
        <f>ROUND(ROUND(Q202*Source!I944, 6)*SmtRes!AK258, 2)</f>
        <v>0</v>
      </c>
      <c r="U202">
        <f>SmtRes!X258</f>
        <v>437522416</v>
      </c>
      <c r="V202">
        <v>424516699</v>
      </c>
      <c r="W202">
        <v>424516699</v>
      </c>
      <c r="X202">
        <v>3</v>
      </c>
    </row>
    <row r="203" spans="1:24" x14ac:dyDescent="0.2">
      <c r="A203">
        <v>20</v>
      </c>
      <c r="B203">
        <v>257</v>
      </c>
      <c r="C203">
        <v>3</v>
      </c>
      <c r="D203">
        <v>0</v>
      </c>
      <c r="E203">
        <f>SmtRes!AV257</f>
        <v>0</v>
      </c>
      <c r="F203" t="str">
        <f>SmtRes!I257</f>
        <v>21.1-8-2</v>
      </c>
      <c r="G203" t="str">
        <f>SmtRes!K257</f>
        <v>Антисептики: паста антисептическая</v>
      </c>
      <c r="H203" t="str">
        <f>SmtRes!O257</f>
        <v>т</v>
      </c>
      <c r="I203">
        <f>SmtRes!Y257*Source!I944</f>
        <v>8.1899999999999994E-3</v>
      </c>
      <c r="J203">
        <f>SmtRes!AO257</f>
        <v>1</v>
      </c>
      <c r="K203">
        <f>SmtRes!AE257</f>
        <v>91119.2</v>
      </c>
      <c r="L203">
        <f>SmtRes!DB257</f>
        <v>236.91</v>
      </c>
      <c r="M203">
        <f>ROUND(ROUND(L203*Source!I944, 6)*1, 2)</f>
        <v>746.27</v>
      </c>
      <c r="N203">
        <f>SmtRes!AA257</f>
        <v>91119.2</v>
      </c>
      <c r="O203">
        <f>ROUND(ROUND(L203*Source!I944, 6)*SmtRes!DA257, 2)</f>
        <v>746.27</v>
      </c>
      <c r="P203">
        <f>SmtRes!AG257</f>
        <v>0</v>
      </c>
      <c r="Q203">
        <f>SmtRes!DC257</f>
        <v>0</v>
      </c>
      <c r="R203">
        <f>ROUND(ROUND(Q203*Source!I944, 6)*1, 2)</f>
        <v>0</v>
      </c>
      <c r="S203">
        <f>SmtRes!AC257</f>
        <v>0</v>
      </c>
      <c r="T203">
        <f>ROUND(ROUND(Q203*Source!I944, 6)*SmtRes!AK257, 2)</f>
        <v>0</v>
      </c>
      <c r="U203">
        <f>SmtRes!X257</f>
        <v>279366352</v>
      </c>
      <c r="V203">
        <v>306520948</v>
      </c>
      <c r="W203">
        <v>306520948</v>
      </c>
      <c r="X203">
        <v>3</v>
      </c>
    </row>
    <row r="204" spans="1:24" x14ac:dyDescent="0.2">
      <c r="A204">
        <v>20</v>
      </c>
      <c r="B204">
        <v>256</v>
      </c>
      <c r="C204">
        <v>3</v>
      </c>
      <c r="D204">
        <v>0</v>
      </c>
      <c r="E204">
        <f>SmtRes!AV256</f>
        <v>0</v>
      </c>
      <c r="F204" t="str">
        <f>SmtRes!I256</f>
        <v>21.1-11-46</v>
      </c>
      <c r="G204" t="str">
        <f>SmtRes!K256</f>
        <v>Гвозди строительные</v>
      </c>
      <c r="H204" t="str">
        <f>SmtRes!O256</f>
        <v>т</v>
      </c>
      <c r="I204">
        <f>SmtRes!Y256*Source!I944</f>
        <v>1.7639999999999999E-2</v>
      </c>
      <c r="J204">
        <f>SmtRes!AO256</f>
        <v>1</v>
      </c>
      <c r="K204">
        <f>SmtRes!AE256</f>
        <v>52914.53</v>
      </c>
      <c r="L204">
        <f>SmtRes!DB256</f>
        <v>296.32</v>
      </c>
      <c r="M204">
        <f>ROUND(ROUND(L204*Source!I944, 6)*1, 2)</f>
        <v>933.41</v>
      </c>
      <c r="N204">
        <f>SmtRes!AA256</f>
        <v>52914.53</v>
      </c>
      <c r="O204">
        <f>ROUND(ROUND(L204*Source!I944, 6)*SmtRes!DA256, 2)</f>
        <v>933.41</v>
      </c>
      <c r="P204">
        <f>SmtRes!AG256</f>
        <v>0</v>
      </c>
      <c r="Q204">
        <f>SmtRes!DC256</f>
        <v>0</v>
      </c>
      <c r="R204">
        <f>ROUND(ROUND(Q204*Source!I944, 6)*1, 2)</f>
        <v>0</v>
      </c>
      <c r="S204">
        <f>SmtRes!AC256</f>
        <v>0</v>
      </c>
      <c r="T204">
        <f>ROUND(ROUND(Q204*Source!I944, 6)*SmtRes!AK256, 2)</f>
        <v>0</v>
      </c>
      <c r="U204">
        <f>SmtRes!X256</f>
        <v>993024992</v>
      </c>
      <c r="V204">
        <v>-130737708</v>
      </c>
      <c r="W204">
        <v>-130737708</v>
      </c>
      <c r="X204">
        <v>3</v>
      </c>
    </row>
    <row r="205" spans="1:24" x14ac:dyDescent="0.2">
      <c r="A205">
        <v>20</v>
      </c>
      <c r="B205">
        <v>255</v>
      </c>
      <c r="C205">
        <v>3</v>
      </c>
      <c r="D205">
        <v>0</v>
      </c>
      <c r="E205">
        <f>SmtRes!AV255</f>
        <v>0</v>
      </c>
      <c r="F205" t="str">
        <f>SmtRes!I255</f>
        <v>21.1-11-21</v>
      </c>
      <c r="G205" t="str">
        <f>SmtRes!K255</f>
        <v>Болты строительные черные с гайками и шайбами (10х100мм)</v>
      </c>
      <c r="H205" t="str">
        <f>SmtRes!O255</f>
        <v>т</v>
      </c>
      <c r="I205">
        <f>SmtRes!Y255*Source!I944</f>
        <v>9.6704999999999999E-2</v>
      </c>
      <c r="J205">
        <f>SmtRes!AO255</f>
        <v>1</v>
      </c>
      <c r="K205">
        <f>SmtRes!AE255</f>
        <v>103472.53</v>
      </c>
      <c r="L205">
        <f>SmtRes!DB255</f>
        <v>3176.61</v>
      </c>
      <c r="M205">
        <f>ROUND(ROUND(L205*Source!I944, 6)*1, 2)</f>
        <v>10006.32</v>
      </c>
      <c r="N205">
        <f>SmtRes!AA255</f>
        <v>103472.53</v>
      </c>
      <c r="O205">
        <f>ROUND(ROUND(L205*Source!I944, 6)*SmtRes!DA255, 2)</f>
        <v>10006.32</v>
      </c>
      <c r="P205">
        <f>SmtRes!AG255</f>
        <v>0</v>
      </c>
      <c r="Q205">
        <f>SmtRes!DC255</f>
        <v>0</v>
      </c>
      <c r="R205">
        <f>ROUND(ROUND(Q205*Source!I944, 6)*1, 2)</f>
        <v>0</v>
      </c>
      <c r="S205">
        <f>SmtRes!AC255</f>
        <v>0</v>
      </c>
      <c r="T205">
        <f>ROUND(ROUND(Q205*Source!I944, 6)*SmtRes!AK255, 2)</f>
        <v>0</v>
      </c>
      <c r="U205">
        <f>SmtRes!X255</f>
        <v>-220406470</v>
      </c>
      <c r="V205">
        <v>-1600164984</v>
      </c>
      <c r="W205">
        <v>-1600164984</v>
      </c>
      <c r="X205">
        <v>3</v>
      </c>
    </row>
    <row r="206" spans="1:24" x14ac:dyDescent="0.2">
      <c r="A206">
        <v>20</v>
      </c>
      <c r="B206">
        <v>254</v>
      </c>
      <c r="C206">
        <v>2</v>
      </c>
      <c r="D206">
        <v>0</v>
      </c>
      <c r="E206">
        <f>SmtRes!AV254</f>
        <v>0</v>
      </c>
      <c r="F206" t="str">
        <f>SmtRes!I254</f>
        <v>22.1-30-30</v>
      </c>
      <c r="G206" t="str">
        <f>SmtRes!K254</f>
        <v>Рубанки ручные электрические</v>
      </c>
      <c r="H206" t="str">
        <f>SmtRes!O254</f>
        <v>маш.-ч</v>
      </c>
      <c r="I206">
        <f>SmtRes!Y254*Source!I944</f>
        <v>6.3</v>
      </c>
      <c r="J206">
        <f>SmtRes!AO254</f>
        <v>1</v>
      </c>
      <c r="K206">
        <f>SmtRes!AF254</f>
        <v>6.28</v>
      </c>
      <c r="L206">
        <f>SmtRes!DB254</f>
        <v>12.56</v>
      </c>
      <c r="M206">
        <f>ROUND(ROUND(L206*Source!I944, 6)*1, 2)</f>
        <v>39.56</v>
      </c>
      <c r="N206">
        <f>SmtRes!AB254</f>
        <v>6.28</v>
      </c>
      <c r="O206">
        <f>ROUND(ROUND(L206*Source!I944, 6)*SmtRes!DA254, 2)</f>
        <v>39.56</v>
      </c>
      <c r="P206">
        <f>SmtRes!AG254</f>
        <v>0.01</v>
      </c>
      <c r="Q206">
        <f>SmtRes!DC254</f>
        <v>0.02</v>
      </c>
      <c r="R206">
        <f>ROUND(ROUND(Q206*Source!I944, 6)*1, 2)</f>
        <v>0.06</v>
      </c>
      <c r="S206">
        <f>SmtRes!AC254</f>
        <v>0.01</v>
      </c>
      <c r="T206">
        <f>ROUND(ROUND(Q206*Source!I944, 6)*SmtRes!AK254, 2)</f>
        <v>0.06</v>
      </c>
      <c r="U206">
        <f>SmtRes!X254</f>
        <v>1675990774</v>
      </c>
      <c r="V206">
        <v>1286183735</v>
      </c>
      <c r="W206">
        <v>1286183735</v>
      </c>
      <c r="X206">
        <v>2</v>
      </c>
    </row>
    <row r="207" spans="1:24" x14ac:dyDescent="0.2">
      <c r="A207">
        <v>20</v>
      </c>
      <c r="B207">
        <v>253</v>
      </c>
      <c r="C207">
        <v>2</v>
      </c>
      <c r="D207">
        <v>0</v>
      </c>
      <c r="E207">
        <f>SmtRes!AV253</f>
        <v>0</v>
      </c>
      <c r="F207" t="str">
        <f>SmtRes!I253</f>
        <v>22.1-30-102</v>
      </c>
      <c r="G207" t="str">
        <f>SmtRes!K253</f>
        <v>Дрели электрические, двухскоростные, мощностью 600 Вт</v>
      </c>
      <c r="H207" t="str">
        <f>SmtRes!O253</f>
        <v>маш.-ч</v>
      </c>
      <c r="I207">
        <f>SmtRes!Y253*Source!I944</f>
        <v>22.837499999999999</v>
      </c>
      <c r="J207">
        <f>SmtRes!AO253</f>
        <v>1</v>
      </c>
      <c r="K207">
        <f>SmtRes!AF253</f>
        <v>7.67</v>
      </c>
      <c r="L207">
        <f>SmtRes!DB253</f>
        <v>55.61</v>
      </c>
      <c r="M207">
        <f>ROUND(ROUND(L207*Source!I944, 6)*1, 2)</f>
        <v>175.17</v>
      </c>
      <c r="N207">
        <f>SmtRes!AB253</f>
        <v>7.67</v>
      </c>
      <c r="O207">
        <f>ROUND(ROUND(L207*Source!I944, 6)*SmtRes!DA253, 2)</f>
        <v>175.17</v>
      </c>
      <c r="P207">
        <f>SmtRes!AG253</f>
        <v>0.93</v>
      </c>
      <c r="Q207">
        <f>SmtRes!DC253</f>
        <v>6.74</v>
      </c>
      <c r="R207">
        <f>ROUND(ROUND(Q207*Source!I944, 6)*1, 2)</f>
        <v>21.23</v>
      </c>
      <c r="S207">
        <f>SmtRes!AC253</f>
        <v>0.93</v>
      </c>
      <c r="T207">
        <f>ROUND(ROUND(Q207*Source!I944, 6)*SmtRes!AK253, 2)</f>
        <v>21.23</v>
      </c>
      <c r="U207">
        <f>SmtRes!X253</f>
        <v>-2126916458</v>
      </c>
      <c r="V207">
        <v>1435917604</v>
      </c>
      <c r="W207">
        <v>1435917604</v>
      </c>
      <c r="X207">
        <v>2</v>
      </c>
    </row>
    <row r="208" spans="1:24" x14ac:dyDescent="0.2">
      <c r="A208">
        <v>20</v>
      </c>
      <c r="B208">
        <v>264</v>
      </c>
      <c r="C208">
        <v>3</v>
      </c>
      <c r="D208">
        <v>0</v>
      </c>
      <c r="E208">
        <f>SmtRes!AV264</f>
        <v>0</v>
      </c>
      <c r="F208" t="str">
        <f>SmtRes!I264</f>
        <v>21.1-6-90</v>
      </c>
      <c r="G208" t="str">
        <f>SmtRes!K264</f>
        <v>Олифа для окраски комбинированная "Оксоль"</v>
      </c>
      <c r="H208" t="str">
        <f>SmtRes!O264</f>
        <v>кг</v>
      </c>
      <c r="I208">
        <f>SmtRes!Y264*Source!I945</f>
        <v>14.899500000000002</v>
      </c>
      <c r="J208">
        <f>SmtRes!AO264</f>
        <v>1</v>
      </c>
      <c r="K208">
        <f>SmtRes!AE264</f>
        <v>80.150000000000006</v>
      </c>
      <c r="L208">
        <f>SmtRes!DB264</f>
        <v>758.22</v>
      </c>
      <c r="M208">
        <f>ROUND(ROUND(L208*Source!I945, 6)*1, 2)</f>
        <v>1194.2</v>
      </c>
      <c r="N208">
        <f>SmtRes!AA264</f>
        <v>80.150000000000006</v>
      </c>
      <c r="O208">
        <f>ROUND(ROUND(L208*Source!I945, 6)*SmtRes!DA264, 2)</f>
        <v>1194.2</v>
      </c>
      <c r="P208">
        <f>SmtRes!AG264</f>
        <v>0</v>
      </c>
      <c r="Q208">
        <f>SmtRes!DC264</f>
        <v>0</v>
      </c>
      <c r="R208">
        <f>ROUND(ROUND(Q208*Source!I945, 6)*1, 2)</f>
        <v>0</v>
      </c>
      <c r="S208">
        <f>SmtRes!AC264</f>
        <v>0</v>
      </c>
      <c r="T208">
        <f>ROUND(ROUND(Q208*Source!I945, 6)*SmtRes!AK264, 2)</f>
        <v>0</v>
      </c>
      <c r="U208">
        <f>SmtRes!X264</f>
        <v>-932985438</v>
      </c>
      <c r="V208">
        <v>1267773082</v>
      </c>
      <c r="W208">
        <v>1267773082</v>
      </c>
      <c r="X208">
        <v>3</v>
      </c>
    </row>
    <row r="209" spans="1:24" x14ac:dyDescent="0.2">
      <c r="A209">
        <v>20</v>
      </c>
      <c r="B209">
        <v>263</v>
      </c>
      <c r="C209">
        <v>3</v>
      </c>
      <c r="D209">
        <v>0</v>
      </c>
      <c r="E209">
        <f>SmtRes!AV263</f>
        <v>0</v>
      </c>
      <c r="F209" t="str">
        <f>SmtRes!I263</f>
        <v>21.1-6-47</v>
      </c>
      <c r="G209" t="str">
        <f>SmtRes!K263</f>
        <v>Краски масляные жидкотертые цветные (готовые к употреблению) для наружных и внутренних работ, марка МА-22</v>
      </c>
      <c r="H209" t="str">
        <f>SmtRes!O263</f>
        <v>т</v>
      </c>
      <c r="I209">
        <f>SmtRes!Y263*Source!I945</f>
        <v>4.7092499999999995E-2</v>
      </c>
      <c r="J209">
        <f>SmtRes!AO263</f>
        <v>1</v>
      </c>
      <c r="K209">
        <f>SmtRes!AE263</f>
        <v>70348.09</v>
      </c>
      <c r="L209">
        <f>SmtRes!DB263</f>
        <v>2103.41</v>
      </c>
      <c r="M209">
        <f>ROUND(ROUND(L209*Source!I945, 6)*1, 2)</f>
        <v>3312.87</v>
      </c>
      <c r="N209">
        <f>SmtRes!AA263</f>
        <v>70348.09</v>
      </c>
      <c r="O209">
        <f>ROUND(ROUND(L209*Source!I945, 6)*SmtRes!DA263, 2)</f>
        <v>3312.87</v>
      </c>
      <c r="P209">
        <f>SmtRes!AG263</f>
        <v>0</v>
      </c>
      <c r="Q209">
        <f>SmtRes!DC263</f>
        <v>0</v>
      </c>
      <c r="R209">
        <f>ROUND(ROUND(Q209*Source!I945, 6)*1, 2)</f>
        <v>0</v>
      </c>
      <c r="S209">
        <f>SmtRes!AC263</f>
        <v>0</v>
      </c>
      <c r="T209">
        <f>ROUND(ROUND(Q209*Source!I945, 6)*SmtRes!AK263, 2)</f>
        <v>0</v>
      </c>
      <c r="U209">
        <f>SmtRes!X263</f>
        <v>-1947677072</v>
      </c>
      <c r="V209">
        <v>766015812</v>
      </c>
      <c r="W209">
        <v>766015812</v>
      </c>
      <c r="X209">
        <v>3</v>
      </c>
    </row>
    <row r="210" spans="1:24" x14ac:dyDescent="0.2">
      <c r="A210">
        <v>20</v>
      </c>
      <c r="B210">
        <v>262</v>
      </c>
      <c r="C210">
        <v>3</v>
      </c>
      <c r="D210">
        <v>0</v>
      </c>
      <c r="E210">
        <f>SmtRes!AV262</f>
        <v>0</v>
      </c>
      <c r="F210" t="str">
        <f>SmtRes!I262</f>
        <v>21.1-25-407</v>
      </c>
      <c r="G210" t="str">
        <f>SmtRes!K262</f>
        <v>Шпатлевка масляно-клеевая универсальная</v>
      </c>
      <c r="H210" t="str">
        <f>SmtRes!O262</f>
        <v>т</v>
      </c>
      <c r="I210">
        <f>SmtRes!Y262*Source!I945</f>
        <v>8.6625000000000001E-3</v>
      </c>
      <c r="J210">
        <f>SmtRes!AO262</f>
        <v>1</v>
      </c>
      <c r="K210">
        <f>SmtRes!AE262</f>
        <v>25931.93</v>
      </c>
      <c r="L210">
        <f>SmtRes!DB262</f>
        <v>142.63</v>
      </c>
      <c r="M210">
        <f>ROUND(ROUND(L210*Source!I945, 6)*1, 2)</f>
        <v>224.64</v>
      </c>
      <c r="N210">
        <f>SmtRes!AA262</f>
        <v>25931.93</v>
      </c>
      <c r="O210">
        <f>ROUND(ROUND(L210*Source!I945, 6)*SmtRes!DA262, 2)</f>
        <v>224.64</v>
      </c>
      <c r="P210">
        <f>SmtRes!AG262</f>
        <v>0</v>
      </c>
      <c r="Q210">
        <f>SmtRes!DC262</f>
        <v>0</v>
      </c>
      <c r="R210">
        <f>ROUND(ROUND(Q210*Source!I945, 6)*1, 2)</f>
        <v>0</v>
      </c>
      <c r="S210">
        <f>SmtRes!AC262</f>
        <v>0</v>
      </c>
      <c r="T210">
        <f>ROUND(ROUND(Q210*Source!I945, 6)*SmtRes!AK262, 2)</f>
        <v>0</v>
      </c>
      <c r="U210">
        <f>SmtRes!X262</f>
        <v>144217631</v>
      </c>
      <c r="V210">
        <v>1038090933</v>
      </c>
      <c r="W210">
        <v>1038090933</v>
      </c>
      <c r="X210">
        <v>3</v>
      </c>
    </row>
    <row r="211" spans="1:24" x14ac:dyDescent="0.2">
      <c r="A211">
        <v>20</v>
      </c>
      <c r="B211">
        <v>261</v>
      </c>
      <c r="C211">
        <v>2</v>
      </c>
      <c r="D211">
        <v>0</v>
      </c>
      <c r="E211">
        <f>SmtRes!AV261</f>
        <v>0</v>
      </c>
      <c r="F211" t="str">
        <f>SmtRes!I261</f>
        <v>22.1-14-12</v>
      </c>
      <c r="G211" t="str">
        <f>SmtRes!K261</f>
        <v>Краскопульты электрические</v>
      </c>
      <c r="H211" t="str">
        <f>SmtRes!O261</f>
        <v>маш.-ч</v>
      </c>
      <c r="I211">
        <f>SmtRes!Y261*Source!I945</f>
        <v>5.1187499999999995</v>
      </c>
      <c r="J211">
        <f>SmtRes!AO261</f>
        <v>1</v>
      </c>
      <c r="K211">
        <f>SmtRes!AF261</f>
        <v>40.94</v>
      </c>
      <c r="L211">
        <f>SmtRes!DB261</f>
        <v>133.06</v>
      </c>
      <c r="M211">
        <f>ROUND(ROUND(L211*Source!I945, 6)*1, 2)</f>
        <v>209.57</v>
      </c>
      <c r="N211">
        <f>SmtRes!AB261</f>
        <v>40.94</v>
      </c>
      <c r="O211">
        <f>ROUND(ROUND(L211*Source!I945, 6)*SmtRes!DA261, 2)</f>
        <v>209.57</v>
      </c>
      <c r="P211">
        <f>SmtRes!AG261</f>
        <v>0.17</v>
      </c>
      <c r="Q211">
        <f>SmtRes!DC261</f>
        <v>0.55000000000000004</v>
      </c>
      <c r="R211">
        <f>ROUND(ROUND(Q211*Source!I945, 6)*1, 2)</f>
        <v>0.87</v>
      </c>
      <c r="S211">
        <f>SmtRes!AC261</f>
        <v>0.17</v>
      </c>
      <c r="T211">
        <f>ROUND(ROUND(Q211*Source!I945, 6)*SmtRes!AK261, 2)</f>
        <v>0.87</v>
      </c>
      <c r="U211">
        <f>SmtRes!X261</f>
        <v>1083206858</v>
      </c>
      <c r="V211">
        <v>-959899381</v>
      </c>
      <c r="W211">
        <v>-959899381</v>
      </c>
      <c r="X211">
        <v>2</v>
      </c>
    </row>
    <row r="212" spans="1:24" x14ac:dyDescent="0.2">
      <c r="A212">
        <v>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237"/>
  <sheetViews>
    <sheetView workbookViewId="0"/>
  </sheetViews>
  <sheetFormatPr defaultRowHeight="12.75" x14ac:dyDescent="0.2"/>
  <cols>
    <col min="1" max="1" width="12.7109375" customWidth="1"/>
    <col min="2" max="2" width="40.7109375" customWidth="1"/>
    <col min="3" max="6" width="12.7109375" customWidth="1"/>
    <col min="15" max="15" width="103.7109375" hidden="1" customWidth="1"/>
    <col min="16" max="18" width="0" hidden="1" customWidth="1"/>
  </cols>
  <sheetData>
    <row r="2" spans="1:17" ht="16.5" x14ac:dyDescent="0.2">
      <c r="A2" s="96" t="s">
        <v>623</v>
      </c>
      <c r="B2" s="97"/>
      <c r="C2" s="97"/>
      <c r="D2" s="97"/>
      <c r="E2" s="97"/>
      <c r="F2" s="97"/>
    </row>
    <row r="3" spans="1:17" ht="16.5" x14ac:dyDescent="0.2">
      <c r="A3" s="96" t="str">
        <f>CONCATENATE("Объект: ",IF(Source!G1047&lt;&gt;"Новый объект", Source!G1047, ""))</f>
        <v>Объект: Новый объединенный объект</v>
      </c>
      <c r="B3" s="97"/>
      <c r="C3" s="97"/>
      <c r="D3" s="97"/>
      <c r="E3" s="97"/>
      <c r="F3" s="97"/>
    </row>
    <row r="4" spans="1:17" x14ac:dyDescent="0.2">
      <c r="A4" s="76" t="s">
        <v>624</v>
      </c>
      <c r="B4" s="76" t="s">
        <v>625</v>
      </c>
      <c r="C4" s="76" t="s">
        <v>549</v>
      </c>
      <c r="D4" s="76" t="s">
        <v>626</v>
      </c>
      <c r="E4" s="99" t="s">
        <v>627</v>
      </c>
      <c r="F4" s="100"/>
    </row>
    <row r="5" spans="1:17" x14ac:dyDescent="0.2">
      <c r="A5" s="77"/>
      <c r="B5" s="77"/>
      <c r="C5" s="77"/>
      <c r="D5" s="77"/>
      <c r="E5" s="101"/>
      <c r="F5" s="102"/>
    </row>
    <row r="6" spans="1:17" ht="14.25" x14ac:dyDescent="0.2">
      <c r="A6" s="98"/>
      <c r="B6" s="98"/>
      <c r="C6" s="98"/>
      <c r="D6" s="98"/>
      <c r="E6" s="14" t="s">
        <v>628</v>
      </c>
      <c r="F6" s="14" t="s">
        <v>629</v>
      </c>
    </row>
    <row r="7" spans="1:17" ht="14.25" x14ac:dyDescent="0.2">
      <c r="A7" s="14">
        <v>1</v>
      </c>
      <c r="B7" s="14">
        <v>2</v>
      </c>
      <c r="C7" s="14">
        <v>3</v>
      </c>
      <c r="D7" s="14">
        <v>4</v>
      </c>
      <c r="E7" s="14">
        <v>5</v>
      </c>
      <c r="F7" s="14">
        <v>6</v>
      </c>
    </row>
    <row r="8" spans="1:17" ht="16.5" x14ac:dyDescent="0.2">
      <c r="A8" s="96" t="str">
        <f>CONCATENATE("Локальная смета: ",IF(Source!G22&lt;&gt;"Новая локальная смета", Source!G22, ""))</f>
        <v>Локальная смета: Локальная смета</v>
      </c>
      <c r="B8" s="97"/>
      <c r="C8" s="97"/>
      <c r="D8" s="97"/>
      <c r="E8" s="97"/>
      <c r="F8" s="97"/>
    </row>
    <row r="9" spans="1:17" ht="16.5" x14ac:dyDescent="0.2">
      <c r="A9" s="96" t="str">
        <f>CONCATENATE("Раздел: ",IF(Source!G26&lt;&gt;"Новый раздел", Source!G26, ""))</f>
        <v>Раздел: ЛЗ "Тропаревский" - 339,5 кв.м кв. 23, выд. 128</v>
      </c>
      <c r="B9" s="97"/>
      <c r="C9" s="97"/>
      <c r="D9" s="97"/>
      <c r="E9" s="97"/>
      <c r="F9" s="97"/>
    </row>
    <row r="10" spans="1:17" ht="16.5" x14ac:dyDescent="0.2">
      <c r="A10" s="96" t="str">
        <f>CONCATENATE("Подраздел: ",IF(Source!G30&lt;&gt;"Новый подраздел", Source!G30, ""))</f>
        <v>Подраздел: Демонтаж</v>
      </c>
      <c r="B10" s="97"/>
      <c r="C10" s="97"/>
      <c r="D10" s="97"/>
      <c r="E10" s="97"/>
      <c r="F10" s="97"/>
    </row>
    <row r="11" spans="1:17" ht="14.25" x14ac:dyDescent="0.2">
      <c r="A11" s="92" t="s">
        <v>630</v>
      </c>
      <c r="B11" s="93"/>
      <c r="C11" s="93"/>
      <c r="D11" s="93"/>
      <c r="E11" s="93"/>
      <c r="F11" s="93"/>
    </row>
    <row r="12" spans="1:17" ht="28.5" x14ac:dyDescent="0.2">
      <c r="A12" s="43" t="s">
        <v>400</v>
      </c>
      <c r="B12" s="35" t="s">
        <v>402</v>
      </c>
      <c r="C12" s="35" t="s">
        <v>397</v>
      </c>
      <c r="D12" s="36">
        <f>ROUND(SUMIF(RV_DATA!V9:'RV_DATA'!V14, 1032900138, RV_DATA!I9:'RV_DATA'!I14), 6)</f>
        <v>2.0747999999999999E-2</v>
      </c>
      <c r="E12" s="44">
        <f>ROUND(RV_DATA!K11, 6)</f>
        <v>952.49</v>
      </c>
      <c r="F12" s="44">
        <f>ROUND(SUMIF(RV_DATA!V9:'RV_DATA'!V14, 1032900138, RV_DATA!M9:'RV_DATA'!M14), 6)</f>
        <v>19.75</v>
      </c>
      <c r="Q12">
        <v>2</v>
      </c>
    </row>
    <row r="13" spans="1:17" ht="28.5" x14ac:dyDescent="0.2">
      <c r="A13" s="43" t="s">
        <v>403</v>
      </c>
      <c r="B13" s="35" t="s">
        <v>405</v>
      </c>
      <c r="C13" s="35" t="s">
        <v>397</v>
      </c>
      <c r="D13" s="36">
        <f>ROUND(SUMIF(RV_DATA!V9:'RV_DATA'!V14, -1384078646, RV_DATA!I9:'RV_DATA'!I14), 6)</f>
        <v>1.7403999999999999E-2</v>
      </c>
      <c r="E13" s="44">
        <f>ROUND(RV_DATA!K10, 6)</f>
        <v>993.6</v>
      </c>
      <c r="F13" s="44">
        <f>ROUND(SUMIF(RV_DATA!V9:'RV_DATA'!V14, -1384078646, RV_DATA!M9:'RV_DATA'!M14), 6)</f>
        <v>17.29</v>
      </c>
      <c r="Q13">
        <v>2</v>
      </c>
    </row>
    <row r="14" spans="1:17" ht="14.25" x14ac:dyDescent="0.2">
      <c r="A14" s="43" t="s">
        <v>394</v>
      </c>
      <c r="B14" s="35" t="s">
        <v>396</v>
      </c>
      <c r="C14" s="35" t="s">
        <v>397</v>
      </c>
      <c r="D14" s="36">
        <f>ROUND(SUMIF(RV_DATA!V9:'RV_DATA'!V14, 1286183735, RV_DATA!I9:'RV_DATA'!I14), 6)</f>
        <v>1.0499999999999999E-3</v>
      </c>
      <c r="E14" s="44">
        <f>ROUND(RV_DATA!K9, 6)</f>
        <v>6.28</v>
      </c>
      <c r="F14" s="44">
        <f>ROUND(SUMIF(RV_DATA!V9:'RV_DATA'!V14, 1286183735, RV_DATA!M9:'RV_DATA'!M14), 6)</f>
        <v>0.01</v>
      </c>
      <c r="Q14">
        <v>2</v>
      </c>
    </row>
    <row r="15" spans="1:17" ht="15" x14ac:dyDescent="0.25">
      <c r="A15" s="94" t="s">
        <v>631</v>
      </c>
      <c r="B15" s="94"/>
      <c r="C15" s="94"/>
      <c r="D15" s="94"/>
      <c r="E15" s="95">
        <f>SUMIF(Q12:Q14, 2, F12:F14)</f>
        <v>37.049999999999997</v>
      </c>
      <c r="F15" s="95"/>
    </row>
    <row r="16" spans="1:17" ht="14.25" x14ac:dyDescent="0.2">
      <c r="A16" s="92" t="s">
        <v>632</v>
      </c>
      <c r="B16" s="93"/>
      <c r="C16" s="93"/>
      <c r="D16" s="93"/>
      <c r="E16" s="93"/>
      <c r="F16" s="93"/>
    </row>
    <row r="17" spans="1:17" ht="28.5" x14ac:dyDescent="0.2">
      <c r="A17" s="43" t="s">
        <v>53</v>
      </c>
      <c r="B17" s="35" t="s">
        <v>54</v>
      </c>
      <c r="C17" s="35" t="s">
        <v>30</v>
      </c>
      <c r="D17" s="36">
        <f>ROUND(SUMIF(RV_DATA!V9:'RV_DATA'!V14, -96028578, RV_DATA!I9:'RV_DATA'!I14), 6)</f>
        <v>6.8250000000000005E-2</v>
      </c>
      <c r="E17" s="44">
        <f>ROUND(RV_DATA!K14, 6)</f>
        <v>197.96</v>
      </c>
      <c r="F17" s="44">
        <f>ROUND(SUMIF(RV_DATA!V9:'RV_DATA'!V14, -96028578, RV_DATA!M9:'RV_DATA'!M14), 6)</f>
        <v>13.51</v>
      </c>
      <c r="Q17">
        <v>3</v>
      </c>
    </row>
    <row r="18" spans="1:17" ht="15" x14ac:dyDescent="0.25">
      <c r="A18" s="94" t="s">
        <v>633</v>
      </c>
      <c r="B18" s="94"/>
      <c r="C18" s="94"/>
      <c r="D18" s="94"/>
      <c r="E18" s="95">
        <f>SUMIF(Q17:Q17, 3, F17:F17)</f>
        <v>13.51</v>
      </c>
      <c r="F18" s="95"/>
    </row>
    <row r="19" spans="1:17" ht="16.5" x14ac:dyDescent="0.2">
      <c r="A19" s="96" t="str">
        <f>CONCATENATE("Подраздел: ",IF(Source!G72&lt;&gt;"Новый подраздел", Source!G72, ""))</f>
        <v>Подраздел: Установка оборудования для выгула собак</v>
      </c>
      <c r="B19" s="97"/>
      <c r="C19" s="97"/>
      <c r="D19" s="97"/>
      <c r="E19" s="97"/>
      <c r="F19" s="97"/>
    </row>
    <row r="20" spans="1:17" ht="14.25" x14ac:dyDescent="0.2">
      <c r="A20" s="92" t="s">
        <v>630</v>
      </c>
      <c r="B20" s="93"/>
      <c r="C20" s="93"/>
      <c r="D20" s="93"/>
      <c r="E20" s="93"/>
      <c r="F20" s="93"/>
    </row>
    <row r="21" spans="1:17" ht="28.5" x14ac:dyDescent="0.2">
      <c r="A21" s="43" t="s">
        <v>406</v>
      </c>
      <c r="B21" s="35" t="s">
        <v>408</v>
      </c>
      <c r="C21" s="35" t="s">
        <v>397</v>
      </c>
      <c r="D21" s="36">
        <f>ROUND(SUMIF(RV_DATA!V16:'RV_DATA'!V22, 1736299718, RV_DATA!I16:'RV_DATA'!I22), 6)</f>
        <v>3.8</v>
      </c>
      <c r="E21" s="44">
        <f>ROUND(RV_DATA!K16, 6)</f>
        <v>31.01</v>
      </c>
      <c r="F21" s="44">
        <f>ROUND(SUMIF(RV_DATA!V16:'RV_DATA'!V22, 1736299718, RV_DATA!M16:'RV_DATA'!M22), 6)</f>
        <v>117.84</v>
      </c>
      <c r="Q21">
        <v>2</v>
      </c>
    </row>
    <row r="22" spans="1:17" ht="15" x14ac:dyDescent="0.25">
      <c r="A22" s="94" t="s">
        <v>631</v>
      </c>
      <c r="B22" s="94"/>
      <c r="C22" s="94"/>
      <c r="D22" s="94"/>
      <c r="E22" s="95">
        <f>SUMIF(Q21:Q21, 2, F21:F21)</f>
        <v>117.84</v>
      </c>
      <c r="F22" s="95"/>
    </row>
    <row r="23" spans="1:17" ht="14.25" x14ac:dyDescent="0.2">
      <c r="A23" s="92" t="s">
        <v>632</v>
      </c>
      <c r="B23" s="93"/>
      <c r="C23" s="93"/>
      <c r="D23" s="93"/>
      <c r="E23" s="93"/>
      <c r="F23" s="93"/>
    </row>
    <row r="24" spans="1:17" ht="28.5" x14ac:dyDescent="0.2">
      <c r="A24" s="43" t="s">
        <v>129</v>
      </c>
      <c r="B24" s="35" t="s">
        <v>151</v>
      </c>
      <c r="C24" s="35" t="s">
        <v>123</v>
      </c>
      <c r="D24" s="36">
        <f>ROUND(SUMIF(RV_DATA!V16:'RV_DATA'!V22, -1326419303, RV_DATA!I16:'RV_DATA'!I22), 6)</f>
        <v>1</v>
      </c>
      <c r="E24" s="44">
        <f>ROUND(RV_DATA!K17, 6)</f>
        <v>29364.73</v>
      </c>
      <c r="F24" s="44">
        <f>ROUND(SUMIF(RV_DATA!V16:'RV_DATA'!V22, -1326419303, RV_DATA!M16:'RV_DATA'!M22), 6)</f>
        <v>29364.73</v>
      </c>
      <c r="Q24">
        <v>3</v>
      </c>
    </row>
    <row r="25" spans="1:17" ht="28.5" x14ac:dyDescent="0.2">
      <c r="A25" s="43" t="s">
        <v>129</v>
      </c>
      <c r="B25" s="35" t="s">
        <v>155</v>
      </c>
      <c r="C25" s="35" t="s">
        <v>123</v>
      </c>
      <c r="D25" s="36">
        <f>ROUND(SUMIF(RV_DATA!V16:'RV_DATA'!V22, -883060739, RV_DATA!I16:'RV_DATA'!I22), 6)</f>
        <v>1</v>
      </c>
      <c r="E25" s="44">
        <f>ROUND(RV_DATA!K18, 6)</f>
        <v>18699.73</v>
      </c>
      <c r="F25" s="44">
        <f>ROUND(SUMIF(RV_DATA!V16:'RV_DATA'!V22, -883060739, RV_DATA!M16:'RV_DATA'!M22), 6)</f>
        <v>18699.73</v>
      </c>
      <c r="Q25">
        <v>3</v>
      </c>
    </row>
    <row r="26" spans="1:17" ht="28.5" x14ac:dyDescent="0.2">
      <c r="A26" s="43" t="s">
        <v>129</v>
      </c>
      <c r="B26" s="35" t="s">
        <v>158</v>
      </c>
      <c r="C26" s="35" t="s">
        <v>123</v>
      </c>
      <c r="D26" s="36">
        <f>ROUND(SUMIF(RV_DATA!V16:'RV_DATA'!V22, 801461365, RV_DATA!I16:'RV_DATA'!I22), 6)</f>
        <v>1</v>
      </c>
      <c r="E26" s="44">
        <f>ROUND(RV_DATA!K19, 6)</f>
        <v>17050</v>
      </c>
      <c r="F26" s="44">
        <f>ROUND(SUMIF(RV_DATA!V16:'RV_DATA'!V22, 801461365, RV_DATA!M16:'RV_DATA'!M22), 6)</f>
        <v>17050</v>
      </c>
      <c r="Q26">
        <v>3</v>
      </c>
    </row>
    <row r="27" spans="1:17" ht="28.5" x14ac:dyDescent="0.2">
      <c r="A27" s="43" t="s">
        <v>129</v>
      </c>
      <c r="B27" s="35" t="s">
        <v>161</v>
      </c>
      <c r="C27" s="35" t="s">
        <v>123</v>
      </c>
      <c r="D27" s="36">
        <f>ROUND(SUMIF(RV_DATA!V16:'RV_DATA'!V22, 612655710, RV_DATA!I16:'RV_DATA'!I22), 6)</f>
        <v>1</v>
      </c>
      <c r="E27" s="44">
        <f>ROUND(RV_DATA!K20, 6)</f>
        <v>17277.78</v>
      </c>
      <c r="F27" s="44">
        <f>ROUND(SUMIF(RV_DATA!V16:'RV_DATA'!V22, 612655710, RV_DATA!M16:'RV_DATA'!M22), 6)</f>
        <v>17277.78</v>
      </c>
      <c r="Q27">
        <v>3</v>
      </c>
    </row>
    <row r="28" spans="1:17" ht="28.5" x14ac:dyDescent="0.2">
      <c r="A28" s="43" t="s">
        <v>129</v>
      </c>
      <c r="B28" s="35" t="s">
        <v>164</v>
      </c>
      <c r="C28" s="35" t="s">
        <v>123</v>
      </c>
      <c r="D28" s="36">
        <f>ROUND(SUMIF(RV_DATA!V16:'RV_DATA'!V22, -970663437, RV_DATA!I16:'RV_DATA'!I22), 6)</f>
        <v>1</v>
      </c>
      <c r="E28" s="44">
        <f>ROUND(RV_DATA!K21, 6)</f>
        <v>19411.11</v>
      </c>
      <c r="F28" s="44">
        <f>ROUND(SUMIF(RV_DATA!V16:'RV_DATA'!V22, -970663437, RV_DATA!M16:'RV_DATA'!M22), 6)</f>
        <v>19411.11</v>
      </c>
      <c r="Q28">
        <v>3</v>
      </c>
    </row>
    <row r="29" spans="1:17" ht="28.5" x14ac:dyDescent="0.2">
      <c r="A29" s="43" t="s">
        <v>129</v>
      </c>
      <c r="B29" s="35" t="s">
        <v>167</v>
      </c>
      <c r="C29" s="35" t="s">
        <v>123</v>
      </c>
      <c r="D29" s="36">
        <f>ROUND(SUMIF(RV_DATA!V16:'RV_DATA'!V22, -1469256488, RV_DATA!I16:'RV_DATA'!I22), 6)</f>
        <v>1</v>
      </c>
      <c r="E29" s="44">
        <f>ROUND(RV_DATA!K22, 6)</f>
        <v>9847.23</v>
      </c>
      <c r="F29" s="44">
        <f>ROUND(SUMIF(RV_DATA!V16:'RV_DATA'!V22, -1469256488, RV_DATA!M16:'RV_DATA'!M22), 6)</f>
        <v>9847.23</v>
      </c>
      <c r="Q29">
        <v>3</v>
      </c>
    </row>
    <row r="30" spans="1:17" ht="15" x14ac:dyDescent="0.25">
      <c r="A30" s="94" t="s">
        <v>633</v>
      </c>
      <c r="B30" s="94"/>
      <c r="C30" s="94"/>
      <c r="D30" s="94"/>
      <c r="E30" s="95">
        <f>SUMIF(Q24:Q29, 3, F24:F29)</f>
        <v>111650.57999999999</v>
      </c>
      <c r="F30" s="95"/>
    </row>
    <row r="31" spans="1:17" ht="16.5" x14ac:dyDescent="0.2">
      <c r="A31" s="96" t="str">
        <f>CONCATENATE("Подраздел: ",IF(Source!G126&lt;&gt;"Новый подраздел", Source!G126, ""))</f>
        <v>Подраздел: Установка ограждения</v>
      </c>
      <c r="B31" s="97"/>
      <c r="C31" s="97"/>
      <c r="D31" s="97"/>
      <c r="E31" s="97"/>
      <c r="F31" s="97"/>
    </row>
    <row r="32" spans="1:17" ht="14.25" x14ac:dyDescent="0.2">
      <c r="A32" s="92" t="s">
        <v>630</v>
      </c>
      <c r="B32" s="93"/>
      <c r="C32" s="93"/>
      <c r="D32" s="93"/>
      <c r="E32" s="93"/>
      <c r="F32" s="93"/>
    </row>
    <row r="33" spans="1:17" ht="28.5" x14ac:dyDescent="0.2">
      <c r="A33" s="43" t="s">
        <v>446</v>
      </c>
      <c r="B33" s="35" t="s">
        <v>448</v>
      </c>
      <c r="C33" s="35" t="s">
        <v>397</v>
      </c>
      <c r="D33" s="36">
        <f>ROUND(SUMIF(RV_DATA!V24:'RV_DATA'!V38, 1645461481, RV_DATA!I24:'RV_DATA'!I38), 6)</f>
        <v>0.2</v>
      </c>
      <c r="E33" s="44">
        <f>ROUND(RV_DATA!K37, 6)</f>
        <v>55</v>
      </c>
      <c r="F33" s="44">
        <f>ROUND(SUMIF(RV_DATA!V24:'RV_DATA'!V38, 1645461481, RV_DATA!M24:'RV_DATA'!M38), 6)</f>
        <v>11</v>
      </c>
      <c r="Q33">
        <v>2</v>
      </c>
    </row>
    <row r="34" spans="1:17" ht="14.25" x14ac:dyDescent="0.2">
      <c r="A34" s="43" t="s">
        <v>422</v>
      </c>
      <c r="B34" s="35" t="s">
        <v>424</v>
      </c>
      <c r="C34" s="35" t="s">
        <v>397</v>
      </c>
      <c r="D34" s="36">
        <f>ROUND(SUMIF(RV_DATA!V24:'RV_DATA'!V38, 391800036, RV_DATA!I24:'RV_DATA'!I38), 6)</f>
        <v>46.8</v>
      </c>
      <c r="E34" s="44">
        <f>ROUND(RV_DATA!K32, 6)</f>
        <v>337.61</v>
      </c>
      <c r="F34" s="44">
        <f>ROUND(SUMIF(RV_DATA!V24:'RV_DATA'!V38, 391800036, RV_DATA!M24:'RV_DATA'!M38), 6)</f>
        <v>15800.15</v>
      </c>
      <c r="Q34">
        <v>2</v>
      </c>
    </row>
    <row r="35" spans="1:17" ht="28.5" x14ac:dyDescent="0.2">
      <c r="A35" s="43" t="s">
        <v>449</v>
      </c>
      <c r="B35" s="35" t="s">
        <v>451</v>
      </c>
      <c r="C35" s="35" t="s">
        <v>397</v>
      </c>
      <c r="D35" s="36">
        <f>ROUND(SUMIF(RV_DATA!V24:'RV_DATA'!V38, 65365534, RV_DATA!I24:'RV_DATA'!I38), 6)</f>
        <v>1</v>
      </c>
      <c r="E35" s="44">
        <f>ROUND(RV_DATA!K36, 6)</f>
        <v>619.44000000000005</v>
      </c>
      <c r="F35" s="44">
        <f>ROUND(SUMIF(RV_DATA!V24:'RV_DATA'!V38, 65365534, RV_DATA!M24:'RV_DATA'!M38), 6)</f>
        <v>619.44000000000005</v>
      </c>
      <c r="Q35">
        <v>2</v>
      </c>
    </row>
    <row r="36" spans="1:17" ht="14.25" x14ac:dyDescent="0.2">
      <c r="A36" s="43" t="s">
        <v>425</v>
      </c>
      <c r="B36" s="35" t="s">
        <v>427</v>
      </c>
      <c r="C36" s="35" t="s">
        <v>397</v>
      </c>
      <c r="D36" s="36">
        <f>ROUND(SUMIF(RV_DATA!V24:'RV_DATA'!V38, -1082568096, RV_DATA!I24:'RV_DATA'!I38), 6)</f>
        <v>0.72399999999999998</v>
      </c>
      <c r="E36" s="44">
        <f>ROUND(RV_DATA!K31, 6)</f>
        <v>5.82</v>
      </c>
      <c r="F36" s="44">
        <f>ROUND(SUMIF(RV_DATA!V24:'RV_DATA'!V38, -1082568096, RV_DATA!M24:'RV_DATA'!M38), 6)</f>
        <v>4.22</v>
      </c>
      <c r="Q36">
        <v>2</v>
      </c>
    </row>
    <row r="37" spans="1:17" ht="14.25" x14ac:dyDescent="0.2">
      <c r="A37" s="43" t="s">
        <v>428</v>
      </c>
      <c r="B37" s="35" t="s">
        <v>430</v>
      </c>
      <c r="C37" s="35" t="s">
        <v>397</v>
      </c>
      <c r="D37" s="36">
        <f>ROUND(SUMIF(RV_DATA!V24:'RV_DATA'!V38, 1634601875, RV_DATA!I24:'RV_DATA'!I38), 6)</f>
        <v>39.491999999999997</v>
      </c>
      <c r="E37" s="44">
        <f>ROUND(RV_DATA!K30, 6)</f>
        <v>10.62</v>
      </c>
      <c r="F37" s="44">
        <f>ROUND(SUMIF(RV_DATA!V24:'RV_DATA'!V38, 1634601875, RV_DATA!M24:'RV_DATA'!M38), 6)</f>
        <v>419.4</v>
      </c>
      <c r="Q37">
        <v>2</v>
      </c>
    </row>
    <row r="38" spans="1:17" ht="28.5" x14ac:dyDescent="0.2">
      <c r="A38" s="43" t="s">
        <v>431</v>
      </c>
      <c r="B38" s="35" t="s">
        <v>433</v>
      </c>
      <c r="C38" s="35" t="s">
        <v>397</v>
      </c>
      <c r="D38" s="36">
        <f>ROUND(SUMIF(RV_DATA!V24:'RV_DATA'!V38, -1631772537, RV_DATA!I24:'RV_DATA'!I38), 6)</f>
        <v>6.5880000000000001</v>
      </c>
      <c r="E38" s="44">
        <f>ROUND(RV_DATA!K29, 6)</f>
        <v>1180.29</v>
      </c>
      <c r="F38" s="44">
        <f>ROUND(SUMIF(RV_DATA!V24:'RV_DATA'!V38, -1631772537, RV_DATA!M24:'RV_DATA'!M38), 6)</f>
        <v>7775.75</v>
      </c>
      <c r="Q38">
        <v>2</v>
      </c>
    </row>
    <row r="39" spans="1:17" ht="15" x14ac:dyDescent="0.25">
      <c r="A39" s="94" t="s">
        <v>631</v>
      </c>
      <c r="B39" s="94"/>
      <c r="C39" s="94"/>
      <c r="D39" s="94"/>
      <c r="E39" s="95">
        <f>SUMIF(Q33:Q38, 2, F33:F38)</f>
        <v>24629.960000000003</v>
      </c>
      <c r="F39" s="95"/>
    </row>
    <row r="40" spans="1:17" ht="14.25" x14ac:dyDescent="0.2">
      <c r="A40" s="92" t="s">
        <v>632</v>
      </c>
      <c r="B40" s="93"/>
      <c r="C40" s="93"/>
      <c r="D40" s="93"/>
      <c r="E40" s="93"/>
      <c r="F40" s="93"/>
    </row>
    <row r="41" spans="1:17" ht="42.75" x14ac:dyDescent="0.2">
      <c r="A41" s="43" t="s">
        <v>434</v>
      </c>
      <c r="B41" s="35" t="s">
        <v>436</v>
      </c>
      <c r="C41" s="35" t="s">
        <v>206</v>
      </c>
      <c r="D41" s="36">
        <f>ROUND(SUMIF(RV_DATA!V24:'RV_DATA'!V38, 1750650908, RV_DATA!I24:'RV_DATA'!I38), 6)</f>
        <v>0.372</v>
      </c>
      <c r="E41" s="44">
        <f>ROUND(RV_DATA!K28, 6)</f>
        <v>2248.25</v>
      </c>
      <c r="F41" s="44">
        <f>ROUND(SUMIF(RV_DATA!V24:'RV_DATA'!V38, 1750650908, RV_DATA!M24:'RV_DATA'!M38), 6)</f>
        <v>836.35</v>
      </c>
      <c r="Q41">
        <v>3</v>
      </c>
    </row>
    <row r="42" spans="1:17" ht="28.5" x14ac:dyDescent="0.2">
      <c r="A42" s="43" t="s">
        <v>412</v>
      </c>
      <c r="B42" s="35" t="s">
        <v>414</v>
      </c>
      <c r="C42" s="35" t="s">
        <v>30</v>
      </c>
      <c r="D42" s="36">
        <f>ROUND(SUMIF(RV_DATA!V24:'RV_DATA'!V38, 1276245677, RV_DATA!I24:'RV_DATA'!I38), 6)</f>
        <v>8.4499999999999992E-3</v>
      </c>
      <c r="E42" s="44">
        <f>ROUND(RV_DATA!K27, 6)</f>
        <v>110728.72</v>
      </c>
      <c r="F42" s="44">
        <f>ROUND(SUMIF(RV_DATA!V24:'RV_DATA'!V38, 1276245677, RV_DATA!M24:'RV_DATA'!M38), 6)</f>
        <v>935.66</v>
      </c>
      <c r="Q42">
        <v>3</v>
      </c>
    </row>
    <row r="43" spans="1:17" ht="57" x14ac:dyDescent="0.2">
      <c r="A43" s="43" t="s">
        <v>437</v>
      </c>
      <c r="B43" s="35" t="s">
        <v>439</v>
      </c>
      <c r="C43" s="35" t="s">
        <v>206</v>
      </c>
      <c r="D43" s="36">
        <f>ROUND(SUMIF(RV_DATA!V24:'RV_DATA'!V38, -620134183, RV_DATA!I24:'RV_DATA'!I38), 6)</f>
        <v>3.9</v>
      </c>
      <c r="E43" s="44">
        <f>ROUND(RV_DATA!K26, 6)</f>
        <v>4082.17</v>
      </c>
      <c r="F43" s="44">
        <f>ROUND(SUMIF(RV_DATA!V24:'RV_DATA'!V38, -620134183, RV_DATA!M24:'RV_DATA'!M38), 6)</f>
        <v>15920.46</v>
      </c>
      <c r="Q43">
        <v>3</v>
      </c>
    </row>
    <row r="44" spans="1:17" ht="57" x14ac:dyDescent="0.2">
      <c r="A44" s="43" t="s">
        <v>180</v>
      </c>
      <c r="B44" s="35" t="s">
        <v>181</v>
      </c>
      <c r="C44" s="35" t="s">
        <v>123</v>
      </c>
      <c r="D44" s="36">
        <f>ROUND(SUMIF(RV_DATA!V24:'RV_DATA'!V38, 1992160820, RV_DATA!I24:'RV_DATA'!I38), 6)</f>
        <v>1</v>
      </c>
      <c r="E44" s="44">
        <f>ROUND(RV_DATA!K38, 6)</f>
        <v>10202.57</v>
      </c>
      <c r="F44" s="44">
        <f>ROUND(SUMIF(RV_DATA!V24:'RV_DATA'!V38, 1992160820, RV_DATA!M24:'RV_DATA'!M38), 6)</f>
        <v>10202.57</v>
      </c>
      <c r="Q44">
        <v>3</v>
      </c>
    </row>
    <row r="45" spans="1:17" ht="42.75" x14ac:dyDescent="0.2">
      <c r="A45" s="43" t="s">
        <v>440</v>
      </c>
      <c r="B45" s="35" t="s">
        <v>442</v>
      </c>
      <c r="C45" s="35" t="s">
        <v>384</v>
      </c>
      <c r="D45" s="36">
        <f>ROUND(SUMIF(RV_DATA!V24:'RV_DATA'!V38, -974834120, RV_DATA!I24:'RV_DATA'!I38), 6)</f>
        <v>104.4</v>
      </c>
      <c r="E45" s="44">
        <f>ROUND(RV_DATA!K25, 6)</f>
        <v>4886.66</v>
      </c>
      <c r="F45" s="44">
        <f>ROUND(SUMIF(RV_DATA!V24:'RV_DATA'!V38, -974834120, RV_DATA!M24:'RV_DATA'!M38), 6)</f>
        <v>510167.3</v>
      </c>
      <c r="Q45">
        <v>3</v>
      </c>
    </row>
    <row r="46" spans="1:17" ht="42.75" x14ac:dyDescent="0.2">
      <c r="A46" s="43" t="s">
        <v>443</v>
      </c>
      <c r="B46" s="35" t="s">
        <v>445</v>
      </c>
      <c r="C46" s="35" t="s">
        <v>123</v>
      </c>
      <c r="D46" s="36">
        <f>ROUND(SUMIF(RV_DATA!V24:'RV_DATA'!V38, -823327178, RV_DATA!I24:'RV_DATA'!I38), 6)</f>
        <v>45.6</v>
      </c>
      <c r="E46" s="44">
        <f>ROUND(RV_DATA!K24, 6)</f>
        <v>2843.73</v>
      </c>
      <c r="F46" s="44">
        <f>ROUND(SUMIF(RV_DATA!V24:'RV_DATA'!V38, -823327178, RV_DATA!M24:'RV_DATA'!M38), 6)</f>
        <v>129674.09</v>
      </c>
      <c r="Q46">
        <v>3</v>
      </c>
    </row>
    <row r="47" spans="1:17" ht="28.5" x14ac:dyDescent="0.2">
      <c r="A47" s="43" t="s">
        <v>452</v>
      </c>
      <c r="B47" s="35" t="s">
        <v>454</v>
      </c>
      <c r="C47" s="35" t="s">
        <v>123</v>
      </c>
      <c r="D47" s="36">
        <f>ROUND(SUMIF(RV_DATA!V24:'RV_DATA'!V38, -1233775020, RV_DATA!I24:'RV_DATA'!I38), 6)</f>
        <v>1</v>
      </c>
      <c r="E47" s="44">
        <f>ROUND(RV_DATA!K33, 6)</f>
        <v>52.44</v>
      </c>
      <c r="F47" s="44">
        <f>ROUND(SUMIF(RV_DATA!V24:'RV_DATA'!V38, -1233775020, RV_DATA!M24:'RV_DATA'!M38), 6)</f>
        <v>52.44</v>
      </c>
      <c r="Q47">
        <v>3</v>
      </c>
    </row>
    <row r="48" spans="1:17" ht="15" x14ac:dyDescent="0.25">
      <c r="A48" s="94" t="s">
        <v>633</v>
      </c>
      <c r="B48" s="94"/>
      <c r="C48" s="94"/>
      <c r="D48" s="94"/>
      <c r="E48" s="95">
        <f>SUMIF(Q41:Q47, 3, F41:F47)</f>
        <v>667788.86999999988</v>
      </c>
      <c r="F48" s="95"/>
    </row>
    <row r="49" spans="1:17" ht="16.5" x14ac:dyDescent="0.2">
      <c r="A49" s="96" t="str">
        <f>CONCATENATE("Подраздел: ",IF(Source!G164&lt;&gt;"Новый подраздел", Source!G164, ""))</f>
        <v>Подраздел: Устройство покрытия</v>
      </c>
      <c r="B49" s="97"/>
      <c r="C49" s="97"/>
      <c r="D49" s="97"/>
      <c r="E49" s="97"/>
      <c r="F49" s="97"/>
    </row>
    <row r="50" spans="1:17" ht="14.25" x14ac:dyDescent="0.2">
      <c r="A50" s="92" t="s">
        <v>630</v>
      </c>
      <c r="B50" s="93"/>
      <c r="C50" s="93"/>
      <c r="D50" s="93"/>
      <c r="E50" s="93"/>
      <c r="F50" s="93"/>
    </row>
    <row r="51" spans="1:17" ht="42.75" x14ac:dyDescent="0.2">
      <c r="A51" s="43" t="s">
        <v>455</v>
      </c>
      <c r="B51" s="35" t="s">
        <v>457</v>
      </c>
      <c r="C51" s="35" t="s">
        <v>397</v>
      </c>
      <c r="D51" s="36">
        <f>ROUND(SUMIF(RV_DATA!V40:'RV_DATA'!V56, 269381960, RV_DATA!I40:'RV_DATA'!I56), 6)</f>
        <v>2.832449</v>
      </c>
      <c r="E51" s="44">
        <f>ROUND(RV_DATA!K41, 6)</f>
        <v>675.33</v>
      </c>
      <c r="F51" s="44">
        <f>ROUND(SUMIF(RV_DATA!V40:'RV_DATA'!V56, 269381960, RV_DATA!M40:'RV_DATA'!M56), 6)</f>
        <v>1912.84</v>
      </c>
      <c r="Q51">
        <v>2</v>
      </c>
    </row>
    <row r="52" spans="1:17" ht="28.5" x14ac:dyDescent="0.2">
      <c r="A52" s="43" t="s">
        <v>458</v>
      </c>
      <c r="B52" s="35" t="s">
        <v>460</v>
      </c>
      <c r="C52" s="35" t="s">
        <v>397</v>
      </c>
      <c r="D52" s="36">
        <f>ROUND(SUMIF(RV_DATA!V40:'RV_DATA'!V56, -660268849, RV_DATA!I40:'RV_DATA'!I56), 6)</f>
        <v>0.64776599999999995</v>
      </c>
      <c r="E52" s="44">
        <f>ROUND(RV_DATA!K40, 6)</f>
        <v>923.83</v>
      </c>
      <c r="F52" s="44">
        <f>ROUND(SUMIF(RV_DATA!V40:'RV_DATA'!V56, -660268849, RV_DATA!M40:'RV_DATA'!M56), 6)</f>
        <v>598.42999999999995</v>
      </c>
      <c r="Q52">
        <v>2</v>
      </c>
    </row>
    <row r="53" spans="1:17" ht="42.75" x14ac:dyDescent="0.2">
      <c r="A53" s="43" t="s">
        <v>461</v>
      </c>
      <c r="B53" s="35" t="s">
        <v>463</v>
      </c>
      <c r="C53" s="35" t="s">
        <v>397</v>
      </c>
      <c r="D53" s="36">
        <f>ROUND(SUMIF(RV_DATA!V40:'RV_DATA'!V56, -1723912365, RV_DATA!I40:'RV_DATA'!I56), 6)</f>
        <v>8.2040000000000002E-2</v>
      </c>
      <c r="E53" s="44">
        <f>ROUND(RV_DATA!K42, 6)</f>
        <v>1451.71</v>
      </c>
      <c r="F53" s="44">
        <f>ROUND(SUMIF(RV_DATA!V40:'RV_DATA'!V56, -1723912365, RV_DATA!M40:'RV_DATA'!M56), 6)</f>
        <v>119.1</v>
      </c>
      <c r="Q53">
        <v>2</v>
      </c>
    </row>
    <row r="54" spans="1:17" ht="28.5" x14ac:dyDescent="0.2">
      <c r="A54" s="43" t="s">
        <v>400</v>
      </c>
      <c r="B54" s="35" t="s">
        <v>402</v>
      </c>
      <c r="C54" s="35" t="s">
        <v>397</v>
      </c>
      <c r="D54" s="36">
        <f>ROUND(SUMIF(RV_DATA!V40:'RV_DATA'!V56, 1032900138, RV_DATA!I40:'RV_DATA'!I56), 6)</f>
        <v>0.38397500000000001</v>
      </c>
      <c r="E54" s="44">
        <f>ROUND(RV_DATA!K44, 6)</f>
        <v>952.49</v>
      </c>
      <c r="F54" s="44">
        <f>ROUND(SUMIF(RV_DATA!V40:'RV_DATA'!V56, 1032900138, RV_DATA!M40:'RV_DATA'!M56), 6)</f>
        <v>365.57</v>
      </c>
      <c r="Q54">
        <v>2</v>
      </c>
    </row>
    <row r="55" spans="1:17" ht="28.5" x14ac:dyDescent="0.2">
      <c r="A55" s="43" t="s">
        <v>403</v>
      </c>
      <c r="B55" s="35" t="s">
        <v>405</v>
      </c>
      <c r="C55" s="35" t="s">
        <v>397</v>
      </c>
      <c r="D55" s="36">
        <f>ROUND(SUMIF(RV_DATA!V40:'RV_DATA'!V56, -1384078646, RV_DATA!I40:'RV_DATA'!I56), 6)</f>
        <v>0.31624400000000003</v>
      </c>
      <c r="E55" s="44">
        <f>ROUND(RV_DATA!K43, 6)</f>
        <v>993.6</v>
      </c>
      <c r="F55" s="44">
        <f>ROUND(SUMIF(RV_DATA!V40:'RV_DATA'!V56, -1384078646, RV_DATA!M40:'RV_DATA'!M56), 6)</f>
        <v>314.26</v>
      </c>
      <c r="Q55">
        <v>2</v>
      </c>
    </row>
    <row r="56" spans="1:17" ht="28.5" x14ac:dyDescent="0.2">
      <c r="A56" s="43" t="s">
        <v>464</v>
      </c>
      <c r="B56" s="35" t="s">
        <v>466</v>
      </c>
      <c r="C56" s="35" t="s">
        <v>397</v>
      </c>
      <c r="D56" s="36">
        <f>ROUND(SUMIF(RV_DATA!V40:'RV_DATA'!V56, -1910138473, RV_DATA!I40:'RV_DATA'!I56), 6)</f>
        <v>0.70616000000000001</v>
      </c>
      <c r="E56" s="44">
        <f>ROUND(RV_DATA!K56, 6)</f>
        <v>1159.46</v>
      </c>
      <c r="F56" s="44">
        <f>ROUND(SUMIF(RV_DATA!V40:'RV_DATA'!V56, -1910138473, RV_DATA!M40:'RV_DATA'!M56), 6)</f>
        <v>818.77</v>
      </c>
      <c r="Q56">
        <v>2</v>
      </c>
    </row>
    <row r="57" spans="1:17" ht="28.5" x14ac:dyDescent="0.2">
      <c r="A57" s="43" t="s">
        <v>467</v>
      </c>
      <c r="B57" s="35" t="s">
        <v>469</v>
      </c>
      <c r="C57" s="35" t="s">
        <v>397</v>
      </c>
      <c r="D57" s="36">
        <f>ROUND(SUMIF(RV_DATA!V40:'RV_DATA'!V56, -1472439335, RV_DATA!I40:'RV_DATA'!I56), 6)</f>
        <v>0.70616000000000001</v>
      </c>
      <c r="E57" s="44">
        <f>ROUND(RV_DATA!K55, 6)</f>
        <v>416.25</v>
      </c>
      <c r="F57" s="44">
        <f>ROUND(SUMIF(RV_DATA!V40:'RV_DATA'!V56, -1472439335, RV_DATA!M40:'RV_DATA'!M56), 6)</f>
        <v>293.94</v>
      </c>
      <c r="Q57">
        <v>2</v>
      </c>
    </row>
    <row r="58" spans="1:17" ht="28.5" x14ac:dyDescent="0.2">
      <c r="A58" s="43" t="s">
        <v>470</v>
      </c>
      <c r="B58" s="35" t="s">
        <v>472</v>
      </c>
      <c r="C58" s="35" t="s">
        <v>397</v>
      </c>
      <c r="D58" s="36">
        <f>ROUND(SUMIF(RV_DATA!V40:'RV_DATA'!V56, -514054631, RV_DATA!I40:'RV_DATA'!I56), 6)</f>
        <v>0.27499499999999999</v>
      </c>
      <c r="E58" s="44">
        <f>ROUND(RV_DATA!K54, 6)</f>
        <v>1942.21</v>
      </c>
      <c r="F58" s="44">
        <f>ROUND(SUMIF(RV_DATA!V40:'RV_DATA'!V56, -514054631, RV_DATA!M40:'RV_DATA'!M56), 6)</f>
        <v>534.1</v>
      </c>
      <c r="Q58">
        <v>2</v>
      </c>
    </row>
    <row r="59" spans="1:17" ht="28.5" x14ac:dyDescent="0.2">
      <c r="A59" s="43" t="s">
        <v>473</v>
      </c>
      <c r="B59" s="35" t="s">
        <v>475</v>
      </c>
      <c r="C59" s="35" t="s">
        <v>397</v>
      </c>
      <c r="D59" s="36">
        <f>ROUND(SUMIF(RV_DATA!V40:'RV_DATA'!V56, 2009633333, RV_DATA!I40:'RV_DATA'!I56), 6)</f>
        <v>0.65863000000000005</v>
      </c>
      <c r="E59" s="44">
        <f>ROUND(RV_DATA!K53, 6)</f>
        <v>1364.77</v>
      </c>
      <c r="F59" s="44">
        <f>ROUND(SUMIF(RV_DATA!V40:'RV_DATA'!V56, 2009633333, RV_DATA!M40:'RV_DATA'!M56), 6)</f>
        <v>898.88</v>
      </c>
      <c r="Q59">
        <v>2</v>
      </c>
    </row>
    <row r="60" spans="1:17" ht="28.5" x14ac:dyDescent="0.2">
      <c r="A60" s="43" t="s">
        <v>476</v>
      </c>
      <c r="B60" s="35" t="s">
        <v>478</v>
      </c>
      <c r="C60" s="35" t="s">
        <v>397</v>
      </c>
      <c r="D60" s="36">
        <f>ROUND(SUMIF(RV_DATA!V40:'RV_DATA'!V56, -801114187, RV_DATA!I40:'RV_DATA'!I56), 6)</f>
        <v>0.22067500000000001</v>
      </c>
      <c r="E60" s="44">
        <f>ROUND(RV_DATA!K52, 6)</f>
        <v>1179.56</v>
      </c>
      <c r="F60" s="44">
        <f>ROUND(SUMIF(RV_DATA!V40:'RV_DATA'!V56, -801114187, RV_DATA!M40:'RV_DATA'!M56), 6)</f>
        <v>260.3</v>
      </c>
      <c r="Q60">
        <v>2</v>
      </c>
    </row>
    <row r="61" spans="1:17" ht="15" x14ac:dyDescent="0.25">
      <c r="A61" s="94" t="s">
        <v>631</v>
      </c>
      <c r="B61" s="94"/>
      <c r="C61" s="94"/>
      <c r="D61" s="94"/>
      <c r="E61" s="95">
        <f>SUMIF(Q51:Q60, 2, F51:F60)</f>
        <v>6116.19</v>
      </c>
      <c r="F61" s="95"/>
    </row>
    <row r="62" spans="1:17" ht="14.25" x14ac:dyDescent="0.2">
      <c r="A62" s="92" t="s">
        <v>632</v>
      </c>
      <c r="B62" s="93"/>
      <c r="C62" s="93"/>
      <c r="D62" s="93"/>
      <c r="E62" s="93"/>
      <c r="F62" s="93"/>
    </row>
    <row r="63" spans="1:17" ht="14.25" x14ac:dyDescent="0.2">
      <c r="A63" s="43" t="s">
        <v>479</v>
      </c>
      <c r="B63" s="35" t="s">
        <v>481</v>
      </c>
      <c r="C63" s="35" t="s">
        <v>206</v>
      </c>
      <c r="D63" s="36">
        <f>ROUND(SUMIF(RV_DATA!V40:'RV_DATA'!V56, 1387681249, RV_DATA!I40:'RV_DATA'!I56), 6)</f>
        <v>37.344999999999999</v>
      </c>
      <c r="E63" s="44">
        <f>ROUND(RV_DATA!K51, 6)</f>
        <v>590.78</v>
      </c>
      <c r="F63" s="44">
        <f>ROUND(SUMIF(RV_DATA!V40:'RV_DATA'!V56, 1387681249, RV_DATA!M40:'RV_DATA'!M56), 6)</f>
        <v>22062.68</v>
      </c>
      <c r="Q63">
        <v>3</v>
      </c>
    </row>
    <row r="64" spans="1:17" ht="14.25" x14ac:dyDescent="0.2">
      <c r="A64" s="43" t="s">
        <v>482</v>
      </c>
      <c r="B64" s="35" t="s">
        <v>484</v>
      </c>
      <c r="C64" s="35" t="s">
        <v>206</v>
      </c>
      <c r="D64" s="36">
        <f>ROUND(SUMIF(RV_DATA!V40:'RV_DATA'!V56, -474033762, RV_DATA!I40:'RV_DATA'!I56), 6)</f>
        <v>1.6975</v>
      </c>
      <c r="E64" s="44">
        <f>ROUND(RV_DATA!K50, 6)</f>
        <v>33.729999999999997</v>
      </c>
      <c r="F64" s="44">
        <f>ROUND(SUMIF(RV_DATA!V40:'RV_DATA'!V56, -474033762, RV_DATA!M40:'RV_DATA'!M56), 6)</f>
        <v>57.26</v>
      </c>
      <c r="Q64">
        <v>3</v>
      </c>
    </row>
    <row r="65" spans="1:17" ht="28.5" x14ac:dyDescent="0.2">
      <c r="A65" s="43" t="s">
        <v>53</v>
      </c>
      <c r="B65" s="35" t="s">
        <v>54</v>
      </c>
      <c r="C65" s="35" t="s">
        <v>30</v>
      </c>
      <c r="D65" s="36">
        <f>ROUND(SUMIF(RV_DATA!V40:'RV_DATA'!V56, -96028578, RV_DATA!I40:'RV_DATA'!I56), 6)</f>
        <v>2.0369999999999999</v>
      </c>
      <c r="E65" s="44">
        <f>ROUND(RV_DATA!K49, 6)</f>
        <v>197.96</v>
      </c>
      <c r="F65" s="44">
        <f>ROUND(SUMIF(RV_DATA!V40:'RV_DATA'!V56, -96028578, RV_DATA!M40:'RV_DATA'!M56), 6)</f>
        <v>403.24</v>
      </c>
      <c r="Q65">
        <v>3</v>
      </c>
    </row>
    <row r="66" spans="1:17" ht="15" x14ac:dyDescent="0.25">
      <c r="A66" s="94" t="s">
        <v>633</v>
      </c>
      <c r="B66" s="94"/>
      <c r="C66" s="94"/>
      <c r="D66" s="94"/>
      <c r="E66" s="95">
        <f>SUMIF(Q63:Q65, 3, F63:F65)</f>
        <v>22523.18</v>
      </c>
      <c r="F66" s="95"/>
    </row>
    <row r="67" spans="1:17" ht="16.5" x14ac:dyDescent="0.2">
      <c r="A67" s="96" t="str">
        <f>CONCATENATE("Раздел: ",IF(Source!G244&lt;&gt;"Новый раздел", Source!G244, ""))</f>
        <v>Раздел: ЛЗ "Тропаревский" - 270 кв.м. кв. 12, выд. 14</v>
      </c>
      <c r="B67" s="97"/>
      <c r="C67" s="97"/>
      <c r="D67" s="97"/>
      <c r="E67" s="97"/>
      <c r="F67" s="97"/>
    </row>
    <row r="68" spans="1:17" ht="16.5" x14ac:dyDescent="0.2">
      <c r="A68" s="96" t="str">
        <f>CONCATENATE("Подраздел: ",IF(Source!G248&lt;&gt;"Новый подраздел", Source!G248, ""))</f>
        <v>Подраздел: Демонтаж</v>
      </c>
      <c r="B68" s="97"/>
      <c r="C68" s="97"/>
      <c r="D68" s="97"/>
      <c r="E68" s="97"/>
      <c r="F68" s="97"/>
    </row>
    <row r="69" spans="1:17" ht="14.25" x14ac:dyDescent="0.2">
      <c r="A69" s="92" t="s">
        <v>630</v>
      </c>
      <c r="B69" s="93"/>
      <c r="C69" s="93"/>
      <c r="D69" s="93"/>
      <c r="E69" s="93"/>
      <c r="F69" s="93"/>
    </row>
    <row r="70" spans="1:17" ht="28.5" x14ac:dyDescent="0.2">
      <c r="A70" s="43" t="s">
        <v>400</v>
      </c>
      <c r="B70" s="35" t="s">
        <v>402</v>
      </c>
      <c r="C70" s="35" t="s">
        <v>397</v>
      </c>
      <c r="D70" s="36">
        <f>ROUND(SUMIF(RV_DATA!V59:'RV_DATA'!V64, 1032900138, RV_DATA!I59:'RV_DATA'!I64), 6)</f>
        <v>1.4605999999999999E-2</v>
      </c>
      <c r="E70" s="44">
        <f>ROUND(RV_DATA!K61, 6)</f>
        <v>952.49</v>
      </c>
      <c r="F70" s="44">
        <f>ROUND(SUMIF(RV_DATA!V59:'RV_DATA'!V64, 1032900138, RV_DATA!M59:'RV_DATA'!M64), 6)</f>
        <v>13.91</v>
      </c>
      <c r="Q70">
        <v>2</v>
      </c>
    </row>
    <row r="71" spans="1:17" ht="28.5" x14ac:dyDescent="0.2">
      <c r="A71" s="43" t="s">
        <v>403</v>
      </c>
      <c r="B71" s="35" t="s">
        <v>405</v>
      </c>
      <c r="C71" s="35" t="s">
        <v>397</v>
      </c>
      <c r="D71" s="36">
        <f>ROUND(SUMIF(RV_DATA!V59:'RV_DATA'!V64, -1384078646, RV_DATA!I59:'RV_DATA'!I64), 6)</f>
        <v>1.2489999999999999E-2</v>
      </c>
      <c r="E71" s="44">
        <f>ROUND(RV_DATA!K60, 6)</f>
        <v>993.6</v>
      </c>
      <c r="F71" s="44">
        <f>ROUND(SUMIF(RV_DATA!V59:'RV_DATA'!V64, -1384078646, RV_DATA!M59:'RV_DATA'!M64), 6)</f>
        <v>12.41</v>
      </c>
      <c r="Q71">
        <v>2</v>
      </c>
    </row>
    <row r="72" spans="1:17" ht="14.25" x14ac:dyDescent="0.2">
      <c r="A72" s="43" t="s">
        <v>394</v>
      </c>
      <c r="B72" s="35" t="s">
        <v>396</v>
      </c>
      <c r="C72" s="35" t="s">
        <v>397</v>
      </c>
      <c r="D72" s="36">
        <f>ROUND(SUMIF(RV_DATA!V59:'RV_DATA'!V64, 1286183735, RV_DATA!I59:'RV_DATA'!I64), 6)</f>
        <v>1.0499999999999999E-3</v>
      </c>
      <c r="E72" s="44">
        <f>ROUND(RV_DATA!K59, 6)</f>
        <v>6.28</v>
      </c>
      <c r="F72" s="44">
        <f>ROUND(SUMIF(RV_DATA!V59:'RV_DATA'!V64, 1286183735, RV_DATA!M59:'RV_DATA'!M64), 6)</f>
        <v>0.01</v>
      </c>
      <c r="Q72">
        <v>2</v>
      </c>
    </row>
    <row r="73" spans="1:17" ht="15" x14ac:dyDescent="0.25">
      <c r="A73" s="94" t="s">
        <v>631</v>
      </c>
      <c r="B73" s="94"/>
      <c r="C73" s="94"/>
      <c r="D73" s="94"/>
      <c r="E73" s="95">
        <f>SUMIF(Q70:Q72, 2, F70:F72)</f>
        <v>26.330000000000002</v>
      </c>
      <c r="F73" s="95"/>
    </row>
    <row r="74" spans="1:17" ht="14.25" x14ac:dyDescent="0.2">
      <c r="A74" s="92" t="s">
        <v>632</v>
      </c>
      <c r="B74" s="93"/>
      <c r="C74" s="93"/>
      <c r="D74" s="93"/>
      <c r="E74" s="93"/>
      <c r="F74" s="93"/>
    </row>
    <row r="75" spans="1:17" ht="28.5" x14ac:dyDescent="0.2">
      <c r="A75" s="43" t="s">
        <v>53</v>
      </c>
      <c r="B75" s="35" t="s">
        <v>54</v>
      </c>
      <c r="C75" s="35" t="s">
        <v>30</v>
      </c>
      <c r="D75" s="36">
        <f>ROUND(SUMIF(RV_DATA!V59:'RV_DATA'!V64, -96028578, RV_DATA!I59:'RV_DATA'!I64), 6)</f>
        <v>6.8250000000000005E-2</v>
      </c>
      <c r="E75" s="44">
        <f>ROUND(RV_DATA!K64, 6)</f>
        <v>197.96</v>
      </c>
      <c r="F75" s="44">
        <f>ROUND(SUMIF(RV_DATA!V59:'RV_DATA'!V64, -96028578, RV_DATA!M59:'RV_DATA'!M64), 6)</f>
        <v>13.51</v>
      </c>
      <c r="Q75">
        <v>3</v>
      </c>
    </row>
    <row r="76" spans="1:17" ht="15" x14ac:dyDescent="0.25">
      <c r="A76" s="94" t="s">
        <v>633</v>
      </c>
      <c r="B76" s="94"/>
      <c r="C76" s="94"/>
      <c r="D76" s="94"/>
      <c r="E76" s="95">
        <f>SUMIF(Q75:Q75, 3, F75:F75)</f>
        <v>13.51</v>
      </c>
      <c r="F76" s="95"/>
    </row>
    <row r="77" spans="1:17" ht="16.5" x14ac:dyDescent="0.2">
      <c r="A77" s="96" t="str">
        <f>CONCATENATE("Подраздел: ",IF(Source!G289&lt;&gt;"Новый подраздел", Source!G289, ""))</f>
        <v>Подраздел: Установка оборудования для выгула собак</v>
      </c>
      <c r="B77" s="97"/>
      <c r="C77" s="97"/>
      <c r="D77" s="97"/>
      <c r="E77" s="97"/>
      <c r="F77" s="97"/>
    </row>
    <row r="78" spans="1:17" ht="14.25" x14ac:dyDescent="0.2">
      <c r="A78" s="92" t="s">
        <v>630</v>
      </c>
      <c r="B78" s="93"/>
      <c r="C78" s="93"/>
      <c r="D78" s="93"/>
      <c r="E78" s="93"/>
      <c r="F78" s="93"/>
    </row>
    <row r="79" spans="1:17" ht="28.5" x14ac:dyDescent="0.2">
      <c r="A79" s="43" t="s">
        <v>406</v>
      </c>
      <c r="B79" s="35" t="s">
        <v>408</v>
      </c>
      <c r="C79" s="35" t="s">
        <v>397</v>
      </c>
      <c r="D79" s="36">
        <f>ROUND(SUMIF(RV_DATA!V66:'RV_DATA'!V72, 1736299718, RV_DATA!I66:'RV_DATA'!I72), 6)</f>
        <v>3.8</v>
      </c>
      <c r="E79" s="44">
        <f>ROUND(RV_DATA!K66, 6)</f>
        <v>31.01</v>
      </c>
      <c r="F79" s="44">
        <f>ROUND(SUMIF(RV_DATA!V66:'RV_DATA'!V72, 1736299718, RV_DATA!M66:'RV_DATA'!M72), 6)</f>
        <v>117.84</v>
      </c>
      <c r="Q79">
        <v>2</v>
      </c>
    </row>
    <row r="80" spans="1:17" ht="15" x14ac:dyDescent="0.25">
      <c r="A80" s="94" t="s">
        <v>631</v>
      </c>
      <c r="B80" s="94"/>
      <c r="C80" s="94"/>
      <c r="D80" s="94"/>
      <c r="E80" s="95">
        <f>SUMIF(Q79:Q79, 2, F79:F79)</f>
        <v>117.84</v>
      </c>
      <c r="F80" s="95"/>
    </row>
    <row r="81" spans="1:17" ht="14.25" x14ac:dyDescent="0.2">
      <c r="A81" s="92" t="s">
        <v>632</v>
      </c>
      <c r="B81" s="93"/>
      <c r="C81" s="93"/>
      <c r="D81" s="93"/>
      <c r="E81" s="93"/>
      <c r="F81" s="93"/>
    </row>
    <row r="82" spans="1:17" ht="28.5" x14ac:dyDescent="0.2">
      <c r="A82" s="43" t="s">
        <v>129</v>
      </c>
      <c r="B82" s="35" t="s">
        <v>151</v>
      </c>
      <c r="C82" s="35" t="s">
        <v>123</v>
      </c>
      <c r="D82" s="36">
        <f>ROUND(SUMIF(RV_DATA!V66:'RV_DATA'!V72, -1326419303, RV_DATA!I66:'RV_DATA'!I72), 6)</f>
        <v>1</v>
      </c>
      <c r="E82" s="44">
        <f>ROUND(RV_DATA!K67, 6)</f>
        <v>29364.73</v>
      </c>
      <c r="F82" s="44">
        <f>ROUND(SUMIF(RV_DATA!V66:'RV_DATA'!V72, -1326419303, RV_DATA!M66:'RV_DATA'!M72), 6)</f>
        <v>29364.73</v>
      </c>
      <c r="Q82">
        <v>3</v>
      </c>
    </row>
    <row r="83" spans="1:17" ht="28.5" x14ac:dyDescent="0.2">
      <c r="A83" s="43" t="s">
        <v>129</v>
      </c>
      <c r="B83" s="35" t="s">
        <v>155</v>
      </c>
      <c r="C83" s="35" t="s">
        <v>123</v>
      </c>
      <c r="D83" s="36">
        <f>ROUND(SUMIF(RV_DATA!V66:'RV_DATA'!V72, -883060739, RV_DATA!I66:'RV_DATA'!I72), 6)</f>
        <v>1</v>
      </c>
      <c r="E83" s="44">
        <f>ROUND(RV_DATA!K68, 6)</f>
        <v>18699.73</v>
      </c>
      <c r="F83" s="44">
        <f>ROUND(SUMIF(RV_DATA!V66:'RV_DATA'!V72, -883060739, RV_DATA!M66:'RV_DATA'!M72), 6)</f>
        <v>18699.73</v>
      </c>
      <c r="Q83">
        <v>3</v>
      </c>
    </row>
    <row r="84" spans="1:17" ht="28.5" x14ac:dyDescent="0.2">
      <c r="A84" s="43" t="s">
        <v>129</v>
      </c>
      <c r="B84" s="35" t="s">
        <v>158</v>
      </c>
      <c r="C84" s="35" t="s">
        <v>123</v>
      </c>
      <c r="D84" s="36">
        <f>ROUND(SUMIF(RV_DATA!V66:'RV_DATA'!V72, 801461365, RV_DATA!I66:'RV_DATA'!I72), 6)</f>
        <v>1</v>
      </c>
      <c r="E84" s="44">
        <f>ROUND(RV_DATA!K69, 6)</f>
        <v>17050</v>
      </c>
      <c r="F84" s="44">
        <f>ROUND(SUMIF(RV_DATA!V66:'RV_DATA'!V72, 801461365, RV_DATA!M66:'RV_DATA'!M72), 6)</f>
        <v>17050</v>
      </c>
      <c r="Q84">
        <v>3</v>
      </c>
    </row>
    <row r="85" spans="1:17" ht="28.5" x14ac:dyDescent="0.2">
      <c r="A85" s="43" t="s">
        <v>129</v>
      </c>
      <c r="B85" s="35" t="s">
        <v>161</v>
      </c>
      <c r="C85" s="35" t="s">
        <v>123</v>
      </c>
      <c r="D85" s="36">
        <f>ROUND(SUMIF(RV_DATA!V66:'RV_DATA'!V72, 612655710, RV_DATA!I66:'RV_DATA'!I72), 6)</f>
        <v>1</v>
      </c>
      <c r="E85" s="44">
        <f>ROUND(RV_DATA!K70, 6)</f>
        <v>17277.78</v>
      </c>
      <c r="F85" s="44">
        <f>ROUND(SUMIF(RV_DATA!V66:'RV_DATA'!V72, 612655710, RV_DATA!M66:'RV_DATA'!M72), 6)</f>
        <v>17277.78</v>
      </c>
      <c r="Q85">
        <v>3</v>
      </c>
    </row>
    <row r="86" spans="1:17" ht="28.5" x14ac:dyDescent="0.2">
      <c r="A86" s="43" t="s">
        <v>129</v>
      </c>
      <c r="B86" s="35" t="s">
        <v>164</v>
      </c>
      <c r="C86" s="35" t="s">
        <v>123</v>
      </c>
      <c r="D86" s="36">
        <f>ROUND(SUMIF(RV_DATA!V66:'RV_DATA'!V72, -970663437, RV_DATA!I66:'RV_DATA'!I72), 6)</f>
        <v>1</v>
      </c>
      <c r="E86" s="44">
        <f>ROUND(RV_DATA!K71, 6)</f>
        <v>19411.11</v>
      </c>
      <c r="F86" s="44">
        <f>ROUND(SUMIF(RV_DATA!V66:'RV_DATA'!V72, -970663437, RV_DATA!M66:'RV_DATA'!M72), 6)</f>
        <v>19411.11</v>
      </c>
      <c r="Q86">
        <v>3</v>
      </c>
    </row>
    <row r="87" spans="1:17" ht="28.5" x14ac:dyDescent="0.2">
      <c r="A87" s="43" t="s">
        <v>129</v>
      </c>
      <c r="B87" s="35" t="s">
        <v>167</v>
      </c>
      <c r="C87" s="35" t="s">
        <v>123</v>
      </c>
      <c r="D87" s="36">
        <f>ROUND(SUMIF(RV_DATA!V66:'RV_DATA'!V72, -1469256488, RV_DATA!I66:'RV_DATA'!I72), 6)</f>
        <v>1</v>
      </c>
      <c r="E87" s="44">
        <f>ROUND(RV_DATA!K72, 6)</f>
        <v>9847.23</v>
      </c>
      <c r="F87" s="44">
        <f>ROUND(SUMIF(RV_DATA!V66:'RV_DATA'!V72, -1469256488, RV_DATA!M66:'RV_DATA'!M72), 6)</f>
        <v>9847.23</v>
      </c>
      <c r="Q87">
        <v>3</v>
      </c>
    </row>
    <row r="88" spans="1:17" ht="15" x14ac:dyDescent="0.25">
      <c r="A88" s="94" t="s">
        <v>633</v>
      </c>
      <c r="B88" s="94"/>
      <c r="C88" s="94"/>
      <c r="D88" s="94"/>
      <c r="E88" s="95">
        <f>SUMIF(Q82:Q87, 3, F82:F87)</f>
        <v>111650.57999999999</v>
      </c>
      <c r="F88" s="95"/>
    </row>
    <row r="89" spans="1:17" ht="16.5" x14ac:dyDescent="0.2">
      <c r="A89" s="96" t="str">
        <f>CONCATENATE("Подраздел: ",IF(Source!G331&lt;&gt;"Новый подраздел", Source!G331, ""))</f>
        <v>Подраздел: Установка ограждения</v>
      </c>
      <c r="B89" s="97"/>
      <c r="C89" s="97"/>
      <c r="D89" s="97"/>
      <c r="E89" s="97"/>
      <c r="F89" s="97"/>
    </row>
    <row r="90" spans="1:17" ht="14.25" x14ac:dyDescent="0.2">
      <c r="A90" s="92" t="s">
        <v>630</v>
      </c>
      <c r="B90" s="93"/>
      <c r="C90" s="93"/>
      <c r="D90" s="93"/>
      <c r="E90" s="93"/>
      <c r="F90" s="93"/>
    </row>
    <row r="91" spans="1:17" ht="28.5" x14ac:dyDescent="0.2">
      <c r="A91" s="43" t="s">
        <v>446</v>
      </c>
      <c r="B91" s="35" t="s">
        <v>448</v>
      </c>
      <c r="C91" s="35" t="s">
        <v>397</v>
      </c>
      <c r="D91" s="36">
        <f>ROUND(SUMIF(RV_DATA!V74:'RV_DATA'!V88, 1645461481, RV_DATA!I74:'RV_DATA'!I88), 6)</f>
        <v>0.2</v>
      </c>
      <c r="E91" s="44">
        <f>ROUND(RV_DATA!K87, 6)</f>
        <v>55</v>
      </c>
      <c r="F91" s="44">
        <f>ROUND(SUMIF(RV_DATA!V74:'RV_DATA'!V88, 1645461481, RV_DATA!M74:'RV_DATA'!M88), 6)</f>
        <v>11</v>
      </c>
      <c r="Q91">
        <v>2</v>
      </c>
    </row>
    <row r="92" spans="1:17" ht="14.25" x14ac:dyDescent="0.2">
      <c r="A92" s="43" t="s">
        <v>422</v>
      </c>
      <c r="B92" s="35" t="s">
        <v>424</v>
      </c>
      <c r="C92" s="35" t="s">
        <v>397</v>
      </c>
      <c r="D92" s="36">
        <f>ROUND(SUMIF(RV_DATA!V74:'RV_DATA'!V88, 391800036, RV_DATA!I74:'RV_DATA'!I88), 6)</f>
        <v>46.8</v>
      </c>
      <c r="E92" s="44">
        <f>ROUND(RV_DATA!K82, 6)</f>
        <v>337.61</v>
      </c>
      <c r="F92" s="44">
        <f>ROUND(SUMIF(RV_DATA!V74:'RV_DATA'!V88, 391800036, RV_DATA!M74:'RV_DATA'!M88), 6)</f>
        <v>15800.15</v>
      </c>
      <c r="Q92">
        <v>2</v>
      </c>
    </row>
    <row r="93" spans="1:17" ht="28.5" x14ac:dyDescent="0.2">
      <c r="A93" s="43" t="s">
        <v>449</v>
      </c>
      <c r="B93" s="35" t="s">
        <v>451</v>
      </c>
      <c r="C93" s="35" t="s">
        <v>397</v>
      </c>
      <c r="D93" s="36">
        <f>ROUND(SUMIF(RV_DATA!V74:'RV_DATA'!V88, 65365534, RV_DATA!I74:'RV_DATA'!I88), 6)</f>
        <v>1</v>
      </c>
      <c r="E93" s="44">
        <f>ROUND(RV_DATA!K86, 6)</f>
        <v>619.44000000000005</v>
      </c>
      <c r="F93" s="44">
        <f>ROUND(SUMIF(RV_DATA!V74:'RV_DATA'!V88, 65365534, RV_DATA!M74:'RV_DATA'!M88), 6)</f>
        <v>619.44000000000005</v>
      </c>
      <c r="Q93">
        <v>2</v>
      </c>
    </row>
    <row r="94" spans="1:17" ht="14.25" x14ac:dyDescent="0.2">
      <c r="A94" s="43" t="s">
        <v>425</v>
      </c>
      <c r="B94" s="35" t="s">
        <v>427</v>
      </c>
      <c r="C94" s="35" t="s">
        <v>397</v>
      </c>
      <c r="D94" s="36">
        <f>ROUND(SUMIF(RV_DATA!V74:'RV_DATA'!V88, -1082568096, RV_DATA!I74:'RV_DATA'!I88), 6)</f>
        <v>0.72399999999999998</v>
      </c>
      <c r="E94" s="44">
        <f>ROUND(RV_DATA!K81, 6)</f>
        <v>5.82</v>
      </c>
      <c r="F94" s="44">
        <f>ROUND(SUMIF(RV_DATA!V74:'RV_DATA'!V88, -1082568096, RV_DATA!M74:'RV_DATA'!M88), 6)</f>
        <v>4.22</v>
      </c>
      <c r="Q94">
        <v>2</v>
      </c>
    </row>
    <row r="95" spans="1:17" ht="14.25" x14ac:dyDescent="0.2">
      <c r="A95" s="43" t="s">
        <v>428</v>
      </c>
      <c r="B95" s="35" t="s">
        <v>430</v>
      </c>
      <c r="C95" s="35" t="s">
        <v>397</v>
      </c>
      <c r="D95" s="36">
        <f>ROUND(SUMIF(RV_DATA!V74:'RV_DATA'!V88, 1634601875, RV_DATA!I74:'RV_DATA'!I88), 6)</f>
        <v>39.491999999999997</v>
      </c>
      <c r="E95" s="44">
        <f>ROUND(RV_DATA!K80, 6)</f>
        <v>10.62</v>
      </c>
      <c r="F95" s="44">
        <f>ROUND(SUMIF(RV_DATA!V74:'RV_DATA'!V88, 1634601875, RV_DATA!M74:'RV_DATA'!M88), 6)</f>
        <v>419.4</v>
      </c>
      <c r="Q95">
        <v>2</v>
      </c>
    </row>
    <row r="96" spans="1:17" ht="28.5" x14ac:dyDescent="0.2">
      <c r="A96" s="43" t="s">
        <v>431</v>
      </c>
      <c r="B96" s="35" t="s">
        <v>433</v>
      </c>
      <c r="C96" s="35" t="s">
        <v>397</v>
      </c>
      <c r="D96" s="36">
        <f>ROUND(SUMIF(RV_DATA!V74:'RV_DATA'!V88, -1631772537, RV_DATA!I74:'RV_DATA'!I88), 6)</f>
        <v>6.5880000000000001</v>
      </c>
      <c r="E96" s="44">
        <f>ROUND(RV_DATA!K79, 6)</f>
        <v>1180.29</v>
      </c>
      <c r="F96" s="44">
        <f>ROUND(SUMIF(RV_DATA!V74:'RV_DATA'!V88, -1631772537, RV_DATA!M74:'RV_DATA'!M88), 6)</f>
        <v>7775.75</v>
      </c>
      <c r="Q96">
        <v>2</v>
      </c>
    </row>
    <row r="97" spans="1:17" ht="15" x14ac:dyDescent="0.25">
      <c r="A97" s="94" t="s">
        <v>631</v>
      </c>
      <c r="B97" s="94"/>
      <c r="C97" s="94"/>
      <c r="D97" s="94"/>
      <c r="E97" s="95">
        <f>SUMIF(Q91:Q96, 2, F91:F96)</f>
        <v>24629.960000000003</v>
      </c>
      <c r="F97" s="95"/>
    </row>
    <row r="98" spans="1:17" ht="14.25" x14ac:dyDescent="0.2">
      <c r="A98" s="92" t="s">
        <v>632</v>
      </c>
      <c r="B98" s="93"/>
      <c r="C98" s="93"/>
      <c r="D98" s="93"/>
      <c r="E98" s="93"/>
      <c r="F98" s="93"/>
    </row>
    <row r="99" spans="1:17" ht="42.75" x14ac:dyDescent="0.2">
      <c r="A99" s="43" t="s">
        <v>434</v>
      </c>
      <c r="B99" s="35" t="s">
        <v>436</v>
      </c>
      <c r="C99" s="35" t="s">
        <v>206</v>
      </c>
      <c r="D99" s="36">
        <f>ROUND(SUMIF(RV_DATA!V74:'RV_DATA'!V88, 1750650908, RV_DATA!I74:'RV_DATA'!I88), 6)</f>
        <v>0.372</v>
      </c>
      <c r="E99" s="44">
        <f>ROUND(RV_DATA!K78, 6)</f>
        <v>2248.25</v>
      </c>
      <c r="F99" s="44">
        <f>ROUND(SUMIF(RV_DATA!V74:'RV_DATA'!V88, 1750650908, RV_DATA!M74:'RV_DATA'!M88), 6)</f>
        <v>836.35</v>
      </c>
      <c r="Q99">
        <v>3</v>
      </c>
    </row>
    <row r="100" spans="1:17" ht="28.5" x14ac:dyDescent="0.2">
      <c r="A100" s="43" t="s">
        <v>412</v>
      </c>
      <c r="B100" s="35" t="s">
        <v>414</v>
      </c>
      <c r="C100" s="35" t="s">
        <v>30</v>
      </c>
      <c r="D100" s="36">
        <f>ROUND(SUMIF(RV_DATA!V74:'RV_DATA'!V88, 1276245677, RV_DATA!I74:'RV_DATA'!I88), 6)</f>
        <v>8.4499999999999992E-3</v>
      </c>
      <c r="E100" s="44">
        <f>ROUND(RV_DATA!K77, 6)</f>
        <v>110728.72</v>
      </c>
      <c r="F100" s="44">
        <f>ROUND(SUMIF(RV_DATA!V74:'RV_DATA'!V88, 1276245677, RV_DATA!M74:'RV_DATA'!M88), 6)</f>
        <v>935.66</v>
      </c>
      <c r="Q100">
        <v>3</v>
      </c>
    </row>
    <row r="101" spans="1:17" ht="57" x14ac:dyDescent="0.2">
      <c r="A101" s="43" t="s">
        <v>437</v>
      </c>
      <c r="B101" s="35" t="s">
        <v>439</v>
      </c>
      <c r="C101" s="35" t="s">
        <v>206</v>
      </c>
      <c r="D101" s="36">
        <f>ROUND(SUMIF(RV_DATA!V74:'RV_DATA'!V88, -620134183, RV_DATA!I74:'RV_DATA'!I88), 6)</f>
        <v>3.9</v>
      </c>
      <c r="E101" s="44">
        <f>ROUND(RV_DATA!K76, 6)</f>
        <v>4082.17</v>
      </c>
      <c r="F101" s="44">
        <f>ROUND(SUMIF(RV_DATA!V74:'RV_DATA'!V88, -620134183, RV_DATA!M74:'RV_DATA'!M88), 6)</f>
        <v>15920.46</v>
      </c>
      <c r="Q101">
        <v>3</v>
      </c>
    </row>
    <row r="102" spans="1:17" ht="57" x14ac:dyDescent="0.2">
      <c r="A102" s="43" t="s">
        <v>180</v>
      </c>
      <c r="B102" s="35" t="s">
        <v>181</v>
      </c>
      <c r="C102" s="35" t="s">
        <v>123</v>
      </c>
      <c r="D102" s="36">
        <f>ROUND(SUMIF(RV_DATA!V74:'RV_DATA'!V88, 1992160820, RV_DATA!I74:'RV_DATA'!I88), 6)</f>
        <v>1</v>
      </c>
      <c r="E102" s="44">
        <f>ROUND(RV_DATA!K88, 6)</f>
        <v>10202.57</v>
      </c>
      <c r="F102" s="44">
        <f>ROUND(SUMIF(RV_DATA!V74:'RV_DATA'!V88, 1992160820, RV_DATA!M74:'RV_DATA'!M88), 6)</f>
        <v>10202.57</v>
      </c>
      <c r="Q102">
        <v>3</v>
      </c>
    </row>
    <row r="103" spans="1:17" ht="42.75" x14ac:dyDescent="0.2">
      <c r="A103" s="43" t="s">
        <v>440</v>
      </c>
      <c r="B103" s="35" t="s">
        <v>442</v>
      </c>
      <c r="C103" s="35" t="s">
        <v>384</v>
      </c>
      <c r="D103" s="36">
        <f>ROUND(SUMIF(RV_DATA!V74:'RV_DATA'!V88, -974834120, RV_DATA!I74:'RV_DATA'!I88), 6)</f>
        <v>104.4</v>
      </c>
      <c r="E103" s="44">
        <f>ROUND(RV_DATA!K75, 6)</f>
        <v>4886.66</v>
      </c>
      <c r="F103" s="44">
        <f>ROUND(SUMIF(RV_DATA!V74:'RV_DATA'!V88, -974834120, RV_DATA!M74:'RV_DATA'!M88), 6)</f>
        <v>510167.3</v>
      </c>
      <c r="Q103">
        <v>3</v>
      </c>
    </row>
    <row r="104" spans="1:17" ht="42.75" x14ac:dyDescent="0.2">
      <c r="A104" s="43" t="s">
        <v>443</v>
      </c>
      <c r="B104" s="35" t="s">
        <v>445</v>
      </c>
      <c r="C104" s="35" t="s">
        <v>123</v>
      </c>
      <c r="D104" s="36">
        <f>ROUND(SUMIF(RV_DATA!V74:'RV_DATA'!V88, -823327178, RV_DATA!I74:'RV_DATA'!I88), 6)</f>
        <v>45.6</v>
      </c>
      <c r="E104" s="44">
        <f>ROUND(RV_DATA!K74, 6)</f>
        <v>2843.73</v>
      </c>
      <c r="F104" s="44">
        <f>ROUND(SUMIF(RV_DATA!V74:'RV_DATA'!V88, -823327178, RV_DATA!M74:'RV_DATA'!M88), 6)</f>
        <v>129674.09</v>
      </c>
      <c r="Q104">
        <v>3</v>
      </c>
    </row>
    <row r="105" spans="1:17" ht="28.5" x14ac:dyDescent="0.2">
      <c r="A105" s="43" t="s">
        <v>452</v>
      </c>
      <c r="B105" s="35" t="s">
        <v>454</v>
      </c>
      <c r="C105" s="35" t="s">
        <v>123</v>
      </c>
      <c r="D105" s="36">
        <f>ROUND(SUMIF(RV_DATA!V74:'RV_DATA'!V88, -1233775020, RV_DATA!I74:'RV_DATA'!I88), 6)</f>
        <v>1</v>
      </c>
      <c r="E105" s="44">
        <f>ROUND(RV_DATA!K83, 6)</f>
        <v>52.44</v>
      </c>
      <c r="F105" s="44">
        <f>ROUND(SUMIF(RV_DATA!V74:'RV_DATA'!V88, -1233775020, RV_DATA!M74:'RV_DATA'!M88), 6)</f>
        <v>52.44</v>
      </c>
      <c r="Q105">
        <v>3</v>
      </c>
    </row>
    <row r="106" spans="1:17" ht="15" x14ac:dyDescent="0.25">
      <c r="A106" s="94" t="s">
        <v>633</v>
      </c>
      <c r="B106" s="94"/>
      <c r="C106" s="94"/>
      <c r="D106" s="94"/>
      <c r="E106" s="95">
        <f>SUMIF(Q99:Q105, 3, F99:F105)</f>
        <v>667788.86999999988</v>
      </c>
      <c r="F106" s="95"/>
    </row>
    <row r="107" spans="1:17" ht="16.5" x14ac:dyDescent="0.2">
      <c r="A107" s="96" t="str">
        <f>CONCATENATE("Подраздел: ",IF(Source!G371&lt;&gt;"Новый подраздел", Source!G371, ""))</f>
        <v>Подраздел: Устройство покрытия</v>
      </c>
      <c r="B107" s="97"/>
      <c r="C107" s="97"/>
      <c r="D107" s="97"/>
      <c r="E107" s="97"/>
      <c r="F107" s="97"/>
    </row>
    <row r="108" spans="1:17" ht="14.25" x14ac:dyDescent="0.2">
      <c r="A108" s="92" t="s">
        <v>630</v>
      </c>
      <c r="B108" s="93"/>
      <c r="C108" s="93"/>
      <c r="D108" s="93"/>
      <c r="E108" s="93"/>
      <c r="F108" s="93"/>
    </row>
    <row r="109" spans="1:17" ht="42.75" x14ac:dyDescent="0.2">
      <c r="A109" s="43" t="s">
        <v>455</v>
      </c>
      <c r="B109" s="35" t="s">
        <v>457</v>
      </c>
      <c r="C109" s="35" t="s">
        <v>397</v>
      </c>
      <c r="D109" s="36">
        <f>ROUND(SUMIF(RV_DATA!V90:'RV_DATA'!V106, 269381960, RV_DATA!I90:'RV_DATA'!I106), 6)</f>
        <v>2.2526099999999998</v>
      </c>
      <c r="E109" s="44">
        <f>ROUND(RV_DATA!K91, 6)</f>
        <v>675.33</v>
      </c>
      <c r="F109" s="44">
        <f>ROUND(SUMIF(RV_DATA!V90:'RV_DATA'!V106, 269381960, RV_DATA!M90:'RV_DATA'!M106), 6)</f>
        <v>1521.26</v>
      </c>
      <c r="Q109">
        <v>2</v>
      </c>
    </row>
    <row r="110" spans="1:17" ht="28.5" x14ac:dyDescent="0.2">
      <c r="A110" s="43" t="s">
        <v>458</v>
      </c>
      <c r="B110" s="35" t="s">
        <v>460</v>
      </c>
      <c r="C110" s="35" t="s">
        <v>397</v>
      </c>
      <c r="D110" s="36">
        <f>ROUND(SUMIF(RV_DATA!V90:'RV_DATA'!V106, -660268849, RV_DATA!I90:'RV_DATA'!I106), 6)</f>
        <v>0.51515999999999995</v>
      </c>
      <c r="E110" s="44">
        <f>ROUND(RV_DATA!K90, 6)</f>
        <v>923.83</v>
      </c>
      <c r="F110" s="44">
        <f>ROUND(SUMIF(RV_DATA!V90:'RV_DATA'!V106, -660268849, RV_DATA!M90:'RV_DATA'!M106), 6)</f>
        <v>475.92</v>
      </c>
      <c r="Q110">
        <v>2</v>
      </c>
    </row>
    <row r="111" spans="1:17" ht="42.75" x14ac:dyDescent="0.2">
      <c r="A111" s="43" t="s">
        <v>461</v>
      </c>
      <c r="B111" s="35" t="s">
        <v>463</v>
      </c>
      <c r="C111" s="35" t="s">
        <v>397</v>
      </c>
      <c r="D111" s="36">
        <f>ROUND(SUMIF(RV_DATA!V90:'RV_DATA'!V106, -1723912365, RV_DATA!I90:'RV_DATA'!I106), 6)</f>
        <v>6.5245999999999998E-2</v>
      </c>
      <c r="E111" s="44">
        <f>ROUND(RV_DATA!K92, 6)</f>
        <v>1451.71</v>
      </c>
      <c r="F111" s="44">
        <f>ROUND(SUMIF(RV_DATA!V90:'RV_DATA'!V106, -1723912365, RV_DATA!M90:'RV_DATA'!M106), 6)</f>
        <v>94.72</v>
      </c>
      <c r="Q111">
        <v>2</v>
      </c>
    </row>
    <row r="112" spans="1:17" ht="28.5" x14ac:dyDescent="0.2">
      <c r="A112" s="43" t="s">
        <v>400</v>
      </c>
      <c r="B112" s="35" t="s">
        <v>402</v>
      </c>
      <c r="C112" s="35" t="s">
        <v>397</v>
      </c>
      <c r="D112" s="36">
        <f>ROUND(SUMIF(RV_DATA!V90:'RV_DATA'!V106, 1032900138, RV_DATA!I90:'RV_DATA'!I106), 6)</f>
        <v>0.30536999999999997</v>
      </c>
      <c r="E112" s="44">
        <f>ROUND(RV_DATA!K94, 6)</f>
        <v>952.49</v>
      </c>
      <c r="F112" s="44">
        <f>ROUND(SUMIF(RV_DATA!V90:'RV_DATA'!V106, 1032900138, RV_DATA!M90:'RV_DATA'!M106), 6)</f>
        <v>290.74</v>
      </c>
      <c r="Q112">
        <v>2</v>
      </c>
    </row>
    <row r="113" spans="1:17" ht="28.5" x14ac:dyDescent="0.2">
      <c r="A113" s="43" t="s">
        <v>403</v>
      </c>
      <c r="B113" s="35" t="s">
        <v>405</v>
      </c>
      <c r="C113" s="35" t="s">
        <v>397</v>
      </c>
      <c r="D113" s="36">
        <f>ROUND(SUMIF(RV_DATA!V90:'RV_DATA'!V106, -1384078646, RV_DATA!I90:'RV_DATA'!I106), 6)</f>
        <v>0.25150499999999998</v>
      </c>
      <c r="E113" s="44">
        <f>ROUND(RV_DATA!K93, 6)</f>
        <v>993.6</v>
      </c>
      <c r="F113" s="44">
        <f>ROUND(SUMIF(RV_DATA!V90:'RV_DATA'!V106, -1384078646, RV_DATA!M90:'RV_DATA'!M106), 6)</f>
        <v>249.91</v>
      </c>
      <c r="Q113">
        <v>2</v>
      </c>
    </row>
    <row r="114" spans="1:17" ht="28.5" x14ac:dyDescent="0.2">
      <c r="A114" s="43" t="s">
        <v>464</v>
      </c>
      <c r="B114" s="35" t="s">
        <v>466</v>
      </c>
      <c r="C114" s="35" t="s">
        <v>397</v>
      </c>
      <c r="D114" s="36">
        <f>ROUND(SUMIF(RV_DATA!V90:'RV_DATA'!V106, -1910138473, RV_DATA!I90:'RV_DATA'!I106), 6)</f>
        <v>0.56159999999999999</v>
      </c>
      <c r="E114" s="44">
        <f>ROUND(RV_DATA!K106, 6)</f>
        <v>1159.46</v>
      </c>
      <c r="F114" s="44">
        <f>ROUND(SUMIF(RV_DATA!V90:'RV_DATA'!V106, -1910138473, RV_DATA!M90:'RV_DATA'!M106), 6)</f>
        <v>651.15</v>
      </c>
      <c r="Q114">
        <v>2</v>
      </c>
    </row>
    <row r="115" spans="1:17" ht="28.5" x14ac:dyDescent="0.2">
      <c r="A115" s="43" t="s">
        <v>467</v>
      </c>
      <c r="B115" s="35" t="s">
        <v>469</v>
      </c>
      <c r="C115" s="35" t="s">
        <v>397</v>
      </c>
      <c r="D115" s="36">
        <f>ROUND(SUMIF(RV_DATA!V90:'RV_DATA'!V106, -1472439335, RV_DATA!I90:'RV_DATA'!I106), 6)</f>
        <v>0.56159999999999999</v>
      </c>
      <c r="E115" s="44">
        <f>ROUND(RV_DATA!K105, 6)</f>
        <v>416.25</v>
      </c>
      <c r="F115" s="44">
        <f>ROUND(SUMIF(RV_DATA!V90:'RV_DATA'!V106, -1472439335, RV_DATA!M90:'RV_DATA'!M106), 6)</f>
        <v>233.77</v>
      </c>
      <c r="Q115">
        <v>2</v>
      </c>
    </row>
    <row r="116" spans="1:17" ht="28.5" x14ac:dyDescent="0.2">
      <c r="A116" s="43" t="s">
        <v>470</v>
      </c>
      <c r="B116" s="35" t="s">
        <v>472</v>
      </c>
      <c r="C116" s="35" t="s">
        <v>397</v>
      </c>
      <c r="D116" s="36">
        <f>ROUND(SUMIF(RV_DATA!V90:'RV_DATA'!V106, -514054631, RV_DATA!I90:'RV_DATA'!I106), 6)</f>
        <v>0.21870000000000001</v>
      </c>
      <c r="E116" s="44">
        <f>ROUND(RV_DATA!K104, 6)</f>
        <v>1942.21</v>
      </c>
      <c r="F116" s="44">
        <f>ROUND(SUMIF(RV_DATA!V90:'RV_DATA'!V106, -514054631, RV_DATA!M90:'RV_DATA'!M106), 6)</f>
        <v>424.76</v>
      </c>
      <c r="Q116">
        <v>2</v>
      </c>
    </row>
    <row r="117" spans="1:17" ht="28.5" x14ac:dyDescent="0.2">
      <c r="A117" s="43" t="s">
        <v>473</v>
      </c>
      <c r="B117" s="35" t="s">
        <v>475</v>
      </c>
      <c r="C117" s="35" t="s">
        <v>397</v>
      </c>
      <c r="D117" s="36">
        <f>ROUND(SUMIF(RV_DATA!V90:'RV_DATA'!V106, 2009633333, RV_DATA!I90:'RV_DATA'!I106), 6)</f>
        <v>0.52380000000000004</v>
      </c>
      <c r="E117" s="44">
        <f>ROUND(RV_DATA!K103, 6)</f>
        <v>1364.77</v>
      </c>
      <c r="F117" s="44">
        <f>ROUND(SUMIF(RV_DATA!V90:'RV_DATA'!V106, 2009633333, RV_DATA!M90:'RV_DATA'!M106), 6)</f>
        <v>714.87</v>
      </c>
      <c r="Q117">
        <v>2</v>
      </c>
    </row>
    <row r="118" spans="1:17" ht="28.5" x14ac:dyDescent="0.2">
      <c r="A118" s="43" t="s">
        <v>476</v>
      </c>
      <c r="B118" s="35" t="s">
        <v>478</v>
      </c>
      <c r="C118" s="35" t="s">
        <v>397</v>
      </c>
      <c r="D118" s="36">
        <f>ROUND(SUMIF(RV_DATA!V90:'RV_DATA'!V106, -801114187, RV_DATA!I90:'RV_DATA'!I106), 6)</f>
        <v>0.17549999999999999</v>
      </c>
      <c r="E118" s="44">
        <f>ROUND(RV_DATA!K102, 6)</f>
        <v>1179.56</v>
      </c>
      <c r="F118" s="44">
        <f>ROUND(SUMIF(RV_DATA!V90:'RV_DATA'!V106, -801114187, RV_DATA!M90:'RV_DATA'!M106), 6)</f>
        <v>207.01</v>
      </c>
      <c r="Q118">
        <v>2</v>
      </c>
    </row>
    <row r="119" spans="1:17" ht="15" x14ac:dyDescent="0.25">
      <c r="A119" s="94" t="s">
        <v>631</v>
      </c>
      <c r="B119" s="94"/>
      <c r="C119" s="94"/>
      <c r="D119" s="94"/>
      <c r="E119" s="95">
        <f>SUMIF(Q109:Q118, 2, F109:F118)</f>
        <v>4864.1100000000006</v>
      </c>
      <c r="F119" s="95"/>
    </row>
    <row r="120" spans="1:17" ht="14.25" x14ac:dyDescent="0.2">
      <c r="A120" s="92" t="s">
        <v>632</v>
      </c>
      <c r="B120" s="93"/>
      <c r="C120" s="93"/>
      <c r="D120" s="93"/>
      <c r="E120" s="93"/>
      <c r="F120" s="93"/>
    </row>
    <row r="121" spans="1:17" ht="14.25" x14ac:dyDescent="0.2">
      <c r="A121" s="43" t="s">
        <v>479</v>
      </c>
      <c r="B121" s="35" t="s">
        <v>481</v>
      </c>
      <c r="C121" s="35" t="s">
        <v>206</v>
      </c>
      <c r="D121" s="36">
        <f>ROUND(SUMIF(RV_DATA!V90:'RV_DATA'!V106, 1387681249, RV_DATA!I90:'RV_DATA'!I106), 6)</f>
        <v>29.7</v>
      </c>
      <c r="E121" s="44">
        <f>ROUND(RV_DATA!K101, 6)</f>
        <v>590.78</v>
      </c>
      <c r="F121" s="44">
        <f>ROUND(SUMIF(RV_DATA!V90:'RV_DATA'!V106, 1387681249, RV_DATA!M90:'RV_DATA'!M106), 6)</f>
        <v>17546.169999999998</v>
      </c>
      <c r="Q121">
        <v>3</v>
      </c>
    </row>
    <row r="122" spans="1:17" ht="14.25" x14ac:dyDescent="0.2">
      <c r="A122" s="43" t="s">
        <v>482</v>
      </c>
      <c r="B122" s="35" t="s">
        <v>484</v>
      </c>
      <c r="C122" s="35" t="s">
        <v>206</v>
      </c>
      <c r="D122" s="36">
        <f>ROUND(SUMIF(RV_DATA!V90:'RV_DATA'!V106, -474033762, RV_DATA!I90:'RV_DATA'!I106), 6)</f>
        <v>1.35</v>
      </c>
      <c r="E122" s="44">
        <f>ROUND(RV_DATA!K100, 6)</f>
        <v>33.729999999999997</v>
      </c>
      <c r="F122" s="44">
        <f>ROUND(SUMIF(RV_DATA!V90:'RV_DATA'!V106, -474033762, RV_DATA!M90:'RV_DATA'!M106), 6)</f>
        <v>45.54</v>
      </c>
      <c r="Q122">
        <v>3</v>
      </c>
    </row>
    <row r="123" spans="1:17" ht="28.5" x14ac:dyDescent="0.2">
      <c r="A123" s="43" t="s">
        <v>53</v>
      </c>
      <c r="B123" s="35" t="s">
        <v>54</v>
      </c>
      <c r="C123" s="35" t="s">
        <v>30</v>
      </c>
      <c r="D123" s="36">
        <f>ROUND(SUMIF(RV_DATA!V90:'RV_DATA'!V106, -96028578, RV_DATA!I90:'RV_DATA'!I106), 6)</f>
        <v>1.62</v>
      </c>
      <c r="E123" s="44">
        <f>ROUND(RV_DATA!K99, 6)</f>
        <v>197.96</v>
      </c>
      <c r="F123" s="44">
        <f>ROUND(SUMIF(RV_DATA!V90:'RV_DATA'!V106, -96028578, RV_DATA!M90:'RV_DATA'!M106), 6)</f>
        <v>320.7</v>
      </c>
      <c r="Q123">
        <v>3</v>
      </c>
    </row>
    <row r="124" spans="1:17" ht="15" x14ac:dyDescent="0.25">
      <c r="A124" s="94" t="s">
        <v>633</v>
      </c>
      <c r="B124" s="94"/>
      <c r="C124" s="94"/>
      <c r="D124" s="94"/>
      <c r="E124" s="95">
        <f>SUMIF(Q121:Q123, 3, F121:F123)</f>
        <v>17912.41</v>
      </c>
      <c r="F124" s="95"/>
    </row>
    <row r="125" spans="1:17" ht="16.5" x14ac:dyDescent="0.2">
      <c r="A125" s="96" t="str">
        <f>CONCATENATE("Раздел: ",IF(Source!G451&lt;&gt;"Новый раздел", Source!G451, ""))</f>
        <v>Раздел: ЛЗ "Теплый Стан" - 171 кв.м (кв. 15, выд. 75)</v>
      </c>
      <c r="B125" s="97"/>
      <c r="C125" s="97"/>
      <c r="D125" s="97"/>
      <c r="E125" s="97"/>
      <c r="F125" s="97"/>
    </row>
    <row r="126" spans="1:17" ht="16.5" x14ac:dyDescent="0.2">
      <c r="A126" s="96" t="str">
        <f>CONCATENATE("Подраздел: ",IF(Source!G455&lt;&gt;"Новый подраздел", Source!G455, ""))</f>
        <v>Подраздел: Демонтаж</v>
      </c>
      <c r="B126" s="97"/>
      <c r="C126" s="97"/>
      <c r="D126" s="97"/>
      <c r="E126" s="97"/>
      <c r="F126" s="97"/>
    </row>
    <row r="127" spans="1:17" ht="14.25" x14ac:dyDescent="0.2">
      <c r="A127" s="92" t="s">
        <v>630</v>
      </c>
      <c r="B127" s="93"/>
      <c r="C127" s="93"/>
      <c r="D127" s="93"/>
      <c r="E127" s="93"/>
      <c r="F127" s="93"/>
    </row>
    <row r="128" spans="1:17" ht="28.5" x14ac:dyDescent="0.2">
      <c r="A128" s="43" t="s">
        <v>400</v>
      </c>
      <c r="B128" s="35" t="s">
        <v>402</v>
      </c>
      <c r="C128" s="35" t="s">
        <v>397</v>
      </c>
      <c r="D128" s="36">
        <f>ROUND(SUMIF(RV_DATA!V109:'RV_DATA'!V114, 1032900138, RV_DATA!I109:'RV_DATA'!I114), 6)</f>
        <v>1.4605999999999999E-2</v>
      </c>
      <c r="E128" s="44">
        <f>ROUND(RV_DATA!K111, 6)</f>
        <v>952.49</v>
      </c>
      <c r="F128" s="44">
        <f>ROUND(SUMIF(RV_DATA!V109:'RV_DATA'!V114, 1032900138, RV_DATA!M109:'RV_DATA'!M114), 6)</f>
        <v>13.91</v>
      </c>
      <c r="Q128">
        <v>2</v>
      </c>
    </row>
    <row r="129" spans="1:17" ht="28.5" x14ac:dyDescent="0.2">
      <c r="A129" s="43" t="s">
        <v>403</v>
      </c>
      <c r="B129" s="35" t="s">
        <v>405</v>
      </c>
      <c r="C129" s="35" t="s">
        <v>397</v>
      </c>
      <c r="D129" s="36">
        <f>ROUND(SUMIF(RV_DATA!V109:'RV_DATA'!V114, -1384078646, RV_DATA!I109:'RV_DATA'!I114), 6)</f>
        <v>1.2489999999999999E-2</v>
      </c>
      <c r="E129" s="44">
        <f>ROUND(RV_DATA!K110, 6)</f>
        <v>993.6</v>
      </c>
      <c r="F129" s="44">
        <f>ROUND(SUMIF(RV_DATA!V109:'RV_DATA'!V114, -1384078646, RV_DATA!M109:'RV_DATA'!M114), 6)</f>
        <v>12.41</v>
      </c>
      <c r="Q129">
        <v>2</v>
      </c>
    </row>
    <row r="130" spans="1:17" ht="14.25" x14ac:dyDescent="0.2">
      <c r="A130" s="43" t="s">
        <v>394</v>
      </c>
      <c r="B130" s="35" t="s">
        <v>396</v>
      </c>
      <c r="C130" s="35" t="s">
        <v>397</v>
      </c>
      <c r="D130" s="36">
        <f>ROUND(SUMIF(RV_DATA!V109:'RV_DATA'!V114, 1286183735, RV_DATA!I109:'RV_DATA'!I114), 6)</f>
        <v>1.0499999999999999E-3</v>
      </c>
      <c r="E130" s="44">
        <f>ROUND(RV_DATA!K109, 6)</f>
        <v>6.28</v>
      </c>
      <c r="F130" s="44">
        <f>ROUND(SUMIF(RV_DATA!V109:'RV_DATA'!V114, 1286183735, RV_DATA!M109:'RV_DATA'!M114), 6)</f>
        <v>0.01</v>
      </c>
      <c r="Q130">
        <v>2</v>
      </c>
    </row>
    <row r="131" spans="1:17" ht="15" x14ac:dyDescent="0.25">
      <c r="A131" s="94" t="s">
        <v>631</v>
      </c>
      <c r="B131" s="94"/>
      <c r="C131" s="94"/>
      <c r="D131" s="94"/>
      <c r="E131" s="95">
        <f>SUMIF(Q128:Q130, 2, F128:F130)</f>
        <v>26.330000000000002</v>
      </c>
      <c r="F131" s="95"/>
    </row>
    <row r="132" spans="1:17" ht="14.25" x14ac:dyDescent="0.2">
      <c r="A132" s="92" t="s">
        <v>632</v>
      </c>
      <c r="B132" s="93"/>
      <c r="C132" s="93"/>
      <c r="D132" s="93"/>
      <c r="E132" s="93"/>
      <c r="F132" s="93"/>
    </row>
    <row r="133" spans="1:17" ht="28.5" x14ac:dyDescent="0.2">
      <c r="A133" s="43" t="s">
        <v>53</v>
      </c>
      <c r="B133" s="35" t="s">
        <v>54</v>
      </c>
      <c r="C133" s="35" t="s">
        <v>30</v>
      </c>
      <c r="D133" s="36">
        <f>ROUND(SUMIF(RV_DATA!V109:'RV_DATA'!V114, -96028578, RV_DATA!I109:'RV_DATA'!I114), 6)</f>
        <v>6.8250000000000005E-2</v>
      </c>
      <c r="E133" s="44">
        <f>ROUND(RV_DATA!K114, 6)</f>
        <v>197.96</v>
      </c>
      <c r="F133" s="44">
        <f>ROUND(SUMIF(RV_DATA!V109:'RV_DATA'!V114, -96028578, RV_DATA!M109:'RV_DATA'!M114), 6)</f>
        <v>13.51</v>
      </c>
      <c r="Q133">
        <v>3</v>
      </c>
    </row>
    <row r="134" spans="1:17" ht="15" x14ac:dyDescent="0.25">
      <c r="A134" s="94" t="s">
        <v>633</v>
      </c>
      <c r="B134" s="94"/>
      <c r="C134" s="94"/>
      <c r="D134" s="94"/>
      <c r="E134" s="95">
        <f>SUMIF(Q133:Q133, 3, F133:F133)</f>
        <v>13.51</v>
      </c>
      <c r="F134" s="95"/>
    </row>
    <row r="135" spans="1:17" ht="16.5" x14ac:dyDescent="0.2">
      <c r="A135" s="96" t="str">
        <f>CONCATENATE("Подраздел: ",IF(Source!G497&lt;&gt;"Новый подраздел", Source!G497, ""))</f>
        <v>Подраздел: Установка оборудования для выгула собак</v>
      </c>
      <c r="B135" s="97"/>
      <c r="C135" s="97"/>
      <c r="D135" s="97"/>
      <c r="E135" s="97"/>
      <c r="F135" s="97"/>
    </row>
    <row r="136" spans="1:17" ht="14.25" x14ac:dyDescent="0.2">
      <c r="A136" s="92" t="s">
        <v>632</v>
      </c>
      <c r="B136" s="93"/>
      <c r="C136" s="93"/>
      <c r="D136" s="93"/>
      <c r="E136" s="93"/>
      <c r="F136" s="93"/>
    </row>
    <row r="137" spans="1:17" ht="28.5" x14ac:dyDescent="0.2">
      <c r="A137" s="43" t="s">
        <v>129</v>
      </c>
      <c r="B137" s="35" t="s">
        <v>151</v>
      </c>
      <c r="C137" s="35" t="s">
        <v>123</v>
      </c>
      <c r="D137" s="36">
        <f>ROUND(SUMIF(RV_DATA!V116:'RV_DATA'!V121, -1326419303, RV_DATA!I116:'RV_DATA'!I121), 6)</f>
        <v>1</v>
      </c>
      <c r="E137" s="44">
        <f>ROUND(RV_DATA!K116, 6)</f>
        <v>29364.73</v>
      </c>
      <c r="F137" s="44">
        <f>ROUND(SUMIF(RV_DATA!V116:'RV_DATA'!V121, -1326419303, RV_DATA!M116:'RV_DATA'!M121), 6)</f>
        <v>29364.73</v>
      </c>
      <c r="Q137">
        <v>3</v>
      </c>
    </row>
    <row r="138" spans="1:17" ht="28.5" x14ac:dyDescent="0.2">
      <c r="A138" s="43" t="s">
        <v>129</v>
      </c>
      <c r="B138" s="35" t="s">
        <v>155</v>
      </c>
      <c r="C138" s="35" t="s">
        <v>123</v>
      </c>
      <c r="D138" s="36">
        <f>ROUND(SUMIF(RV_DATA!V116:'RV_DATA'!V121, -883060739, RV_DATA!I116:'RV_DATA'!I121), 6)</f>
        <v>1</v>
      </c>
      <c r="E138" s="44">
        <f>ROUND(RV_DATA!K117, 6)</f>
        <v>18699.73</v>
      </c>
      <c r="F138" s="44">
        <f>ROUND(SUMIF(RV_DATA!V116:'RV_DATA'!V121, -883060739, RV_DATA!M116:'RV_DATA'!M121), 6)</f>
        <v>18699.73</v>
      </c>
      <c r="Q138">
        <v>3</v>
      </c>
    </row>
    <row r="139" spans="1:17" ht="28.5" x14ac:dyDescent="0.2">
      <c r="A139" s="43" t="s">
        <v>129</v>
      </c>
      <c r="B139" s="35" t="s">
        <v>158</v>
      </c>
      <c r="C139" s="35" t="s">
        <v>123</v>
      </c>
      <c r="D139" s="36">
        <f>ROUND(SUMIF(RV_DATA!V116:'RV_DATA'!V121, 801461365, RV_DATA!I116:'RV_DATA'!I121), 6)</f>
        <v>1</v>
      </c>
      <c r="E139" s="44">
        <f>ROUND(RV_DATA!K118, 6)</f>
        <v>17050</v>
      </c>
      <c r="F139" s="44">
        <f>ROUND(SUMIF(RV_DATA!V116:'RV_DATA'!V121, 801461365, RV_DATA!M116:'RV_DATA'!M121), 6)</f>
        <v>17050</v>
      </c>
      <c r="Q139">
        <v>3</v>
      </c>
    </row>
    <row r="140" spans="1:17" ht="28.5" x14ac:dyDescent="0.2">
      <c r="A140" s="43" t="s">
        <v>129</v>
      </c>
      <c r="B140" s="35" t="s">
        <v>161</v>
      </c>
      <c r="C140" s="35" t="s">
        <v>123</v>
      </c>
      <c r="D140" s="36">
        <f>ROUND(SUMIF(RV_DATA!V116:'RV_DATA'!V121, 612655710, RV_DATA!I116:'RV_DATA'!I121), 6)</f>
        <v>1</v>
      </c>
      <c r="E140" s="44">
        <f>ROUND(RV_DATA!K119, 6)</f>
        <v>17277.78</v>
      </c>
      <c r="F140" s="44">
        <f>ROUND(SUMIF(RV_DATA!V116:'RV_DATA'!V121, 612655710, RV_DATA!M116:'RV_DATA'!M121), 6)</f>
        <v>17277.78</v>
      </c>
      <c r="Q140">
        <v>3</v>
      </c>
    </row>
    <row r="141" spans="1:17" ht="28.5" x14ac:dyDescent="0.2">
      <c r="A141" s="43" t="s">
        <v>129</v>
      </c>
      <c r="B141" s="35" t="s">
        <v>164</v>
      </c>
      <c r="C141" s="35" t="s">
        <v>123</v>
      </c>
      <c r="D141" s="36">
        <f>ROUND(SUMIF(RV_DATA!V116:'RV_DATA'!V121, -970663437, RV_DATA!I116:'RV_DATA'!I121), 6)</f>
        <v>1</v>
      </c>
      <c r="E141" s="44">
        <f>ROUND(RV_DATA!K120, 6)</f>
        <v>19411.11</v>
      </c>
      <c r="F141" s="44">
        <f>ROUND(SUMIF(RV_DATA!V116:'RV_DATA'!V121, -970663437, RV_DATA!M116:'RV_DATA'!M121), 6)</f>
        <v>19411.11</v>
      </c>
      <c r="Q141">
        <v>3</v>
      </c>
    </row>
    <row r="142" spans="1:17" ht="28.5" x14ac:dyDescent="0.2">
      <c r="A142" s="43" t="s">
        <v>129</v>
      </c>
      <c r="B142" s="35" t="s">
        <v>167</v>
      </c>
      <c r="C142" s="35" t="s">
        <v>123</v>
      </c>
      <c r="D142" s="36">
        <f>ROUND(SUMIF(RV_DATA!V116:'RV_DATA'!V121, -1469256488, RV_DATA!I116:'RV_DATA'!I121), 6)</f>
        <v>1</v>
      </c>
      <c r="E142" s="44">
        <f>ROUND(RV_DATA!K121, 6)</f>
        <v>9847.23</v>
      </c>
      <c r="F142" s="44">
        <f>ROUND(SUMIF(RV_DATA!V116:'RV_DATA'!V121, -1469256488, RV_DATA!M116:'RV_DATA'!M121), 6)</f>
        <v>9847.23</v>
      </c>
      <c r="Q142">
        <v>3</v>
      </c>
    </row>
    <row r="143" spans="1:17" ht="15" x14ac:dyDescent="0.25">
      <c r="A143" s="94" t="s">
        <v>633</v>
      </c>
      <c r="B143" s="94"/>
      <c r="C143" s="94"/>
      <c r="D143" s="94"/>
      <c r="E143" s="95">
        <f>SUMIF(Q137:Q142, 3, F137:F142)</f>
        <v>111650.57999999999</v>
      </c>
      <c r="F143" s="95"/>
    </row>
    <row r="144" spans="1:17" ht="16.5" x14ac:dyDescent="0.2">
      <c r="A144" s="96" t="str">
        <f>CONCATENATE("Подраздел: ",IF(Source!G539&lt;&gt;"Новый подраздел", Source!G539, ""))</f>
        <v>Подраздел: Установка ограждения</v>
      </c>
      <c r="B144" s="97"/>
      <c r="C144" s="97"/>
      <c r="D144" s="97"/>
      <c r="E144" s="97"/>
      <c r="F144" s="97"/>
    </row>
    <row r="145" spans="1:17" ht="14.25" x14ac:dyDescent="0.2">
      <c r="A145" s="92" t="s">
        <v>630</v>
      </c>
      <c r="B145" s="93"/>
      <c r="C145" s="93"/>
      <c r="D145" s="93"/>
      <c r="E145" s="93"/>
      <c r="F145" s="93"/>
    </row>
    <row r="146" spans="1:17" ht="28.5" x14ac:dyDescent="0.2">
      <c r="A146" s="43" t="s">
        <v>446</v>
      </c>
      <c r="B146" s="35" t="s">
        <v>448</v>
      </c>
      <c r="C146" s="35" t="s">
        <v>397</v>
      </c>
      <c r="D146" s="36">
        <f>ROUND(SUMIF(RV_DATA!V123:'RV_DATA'!V137, 1645461481, RV_DATA!I123:'RV_DATA'!I137), 6)</f>
        <v>0.2</v>
      </c>
      <c r="E146" s="44">
        <f>ROUND(RV_DATA!K136, 6)</f>
        <v>55</v>
      </c>
      <c r="F146" s="44">
        <f>ROUND(SUMIF(RV_DATA!V123:'RV_DATA'!V137, 1645461481, RV_DATA!M123:'RV_DATA'!M137), 6)</f>
        <v>11</v>
      </c>
      <c r="Q146">
        <v>2</v>
      </c>
    </row>
    <row r="147" spans="1:17" ht="14.25" x14ac:dyDescent="0.2">
      <c r="A147" s="43" t="s">
        <v>422</v>
      </c>
      <c r="B147" s="35" t="s">
        <v>424</v>
      </c>
      <c r="C147" s="35" t="s">
        <v>397</v>
      </c>
      <c r="D147" s="36">
        <f>ROUND(SUMIF(RV_DATA!V123:'RV_DATA'!V137, 391800036, RV_DATA!I123:'RV_DATA'!I137), 6)</f>
        <v>46.8</v>
      </c>
      <c r="E147" s="44">
        <f>ROUND(RV_DATA!K131, 6)</f>
        <v>337.61</v>
      </c>
      <c r="F147" s="44">
        <f>ROUND(SUMIF(RV_DATA!V123:'RV_DATA'!V137, 391800036, RV_DATA!M123:'RV_DATA'!M137), 6)</f>
        <v>15800.15</v>
      </c>
      <c r="Q147">
        <v>2</v>
      </c>
    </row>
    <row r="148" spans="1:17" ht="28.5" x14ac:dyDescent="0.2">
      <c r="A148" s="43" t="s">
        <v>449</v>
      </c>
      <c r="B148" s="35" t="s">
        <v>451</v>
      </c>
      <c r="C148" s="35" t="s">
        <v>397</v>
      </c>
      <c r="D148" s="36">
        <f>ROUND(SUMIF(RV_DATA!V123:'RV_DATA'!V137, 65365534, RV_DATA!I123:'RV_DATA'!I137), 6)</f>
        <v>1</v>
      </c>
      <c r="E148" s="44">
        <f>ROUND(RV_DATA!K135, 6)</f>
        <v>619.44000000000005</v>
      </c>
      <c r="F148" s="44">
        <f>ROUND(SUMIF(RV_DATA!V123:'RV_DATA'!V137, 65365534, RV_DATA!M123:'RV_DATA'!M137), 6)</f>
        <v>619.44000000000005</v>
      </c>
      <c r="Q148">
        <v>2</v>
      </c>
    </row>
    <row r="149" spans="1:17" ht="14.25" x14ac:dyDescent="0.2">
      <c r="A149" s="43" t="s">
        <v>425</v>
      </c>
      <c r="B149" s="35" t="s">
        <v>427</v>
      </c>
      <c r="C149" s="35" t="s">
        <v>397</v>
      </c>
      <c r="D149" s="36">
        <f>ROUND(SUMIF(RV_DATA!V123:'RV_DATA'!V137, -1082568096, RV_DATA!I123:'RV_DATA'!I137), 6)</f>
        <v>0.72399999999999998</v>
      </c>
      <c r="E149" s="44">
        <f>ROUND(RV_DATA!K130, 6)</f>
        <v>5.82</v>
      </c>
      <c r="F149" s="44">
        <f>ROUND(SUMIF(RV_DATA!V123:'RV_DATA'!V137, -1082568096, RV_DATA!M123:'RV_DATA'!M137), 6)</f>
        <v>4.22</v>
      </c>
      <c r="Q149">
        <v>2</v>
      </c>
    </row>
    <row r="150" spans="1:17" ht="14.25" x14ac:dyDescent="0.2">
      <c r="A150" s="43" t="s">
        <v>428</v>
      </c>
      <c r="B150" s="35" t="s">
        <v>430</v>
      </c>
      <c r="C150" s="35" t="s">
        <v>397</v>
      </c>
      <c r="D150" s="36">
        <f>ROUND(SUMIF(RV_DATA!V123:'RV_DATA'!V137, 1634601875, RV_DATA!I123:'RV_DATA'!I137), 6)</f>
        <v>39.491999999999997</v>
      </c>
      <c r="E150" s="44">
        <f>ROUND(RV_DATA!K129, 6)</f>
        <v>10.62</v>
      </c>
      <c r="F150" s="44">
        <f>ROUND(SUMIF(RV_DATA!V123:'RV_DATA'!V137, 1634601875, RV_DATA!M123:'RV_DATA'!M137), 6)</f>
        <v>419.4</v>
      </c>
      <c r="Q150">
        <v>2</v>
      </c>
    </row>
    <row r="151" spans="1:17" ht="28.5" x14ac:dyDescent="0.2">
      <c r="A151" s="43" t="s">
        <v>431</v>
      </c>
      <c r="B151" s="35" t="s">
        <v>433</v>
      </c>
      <c r="C151" s="35" t="s">
        <v>397</v>
      </c>
      <c r="D151" s="36">
        <f>ROUND(SUMIF(RV_DATA!V123:'RV_DATA'!V137, -1631772537, RV_DATA!I123:'RV_DATA'!I137), 6)</f>
        <v>6.5880000000000001</v>
      </c>
      <c r="E151" s="44">
        <f>ROUND(RV_DATA!K128, 6)</f>
        <v>1180.29</v>
      </c>
      <c r="F151" s="44">
        <f>ROUND(SUMIF(RV_DATA!V123:'RV_DATA'!V137, -1631772537, RV_DATA!M123:'RV_DATA'!M137), 6)</f>
        <v>7775.75</v>
      </c>
      <c r="Q151">
        <v>2</v>
      </c>
    </row>
    <row r="152" spans="1:17" ht="15" x14ac:dyDescent="0.25">
      <c r="A152" s="94" t="s">
        <v>631</v>
      </c>
      <c r="B152" s="94"/>
      <c r="C152" s="94"/>
      <c r="D152" s="94"/>
      <c r="E152" s="95">
        <f>SUMIF(Q146:Q151, 2, F146:F151)</f>
        <v>24629.960000000003</v>
      </c>
      <c r="F152" s="95"/>
    </row>
    <row r="153" spans="1:17" ht="14.25" x14ac:dyDescent="0.2">
      <c r="A153" s="92" t="s">
        <v>632</v>
      </c>
      <c r="B153" s="93"/>
      <c r="C153" s="93"/>
      <c r="D153" s="93"/>
      <c r="E153" s="93"/>
      <c r="F153" s="93"/>
    </row>
    <row r="154" spans="1:17" ht="42.75" x14ac:dyDescent="0.2">
      <c r="A154" s="43" t="s">
        <v>434</v>
      </c>
      <c r="B154" s="35" t="s">
        <v>436</v>
      </c>
      <c r="C154" s="35" t="s">
        <v>206</v>
      </c>
      <c r="D154" s="36">
        <f>ROUND(SUMIF(RV_DATA!V123:'RV_DATA'!V137, 1750650908, RV_DATA!I123:'RV_DATA'!I137), 6)</f>
        <v>0.372</v>
      </c>
      <c r="E154" s="44">
        <f>ROUND(RV_DATA!K127, 6)</f>
        <v>2248.25</v>
      </c>
      <c r="F154" s="44">
        <f>ROUND(SUMIF(RV_DATA!V123:'RV_DATA'!V137, 1750650908, RV_DATA!M123:'RV_DATA'!M137), 6)</f>
        <v>836.35</v>
      </c>
      <c r="Q154">
        <v>3</v>
      </c>
    </row>
    <row r="155" spans="1:17" ht="28.5" x14ac:dyDescent="0.2">
      <c r="A155" s="43" t="s">
        <v>412</v>
      </c>
      <c r="B155" s="35" t="s">
        <v>414</v>
      </c>
      <c r="C155" s="35" t="s">
        <v>30</v>
      </c>
      <c r="D155" s="36">
        <f>ROUND(SUMIF(RV_DATA!V123:'RV_DATA'!V137, 1276245677, RV_DATA!I123:'RV_DATA'!I137), 6)</f>
        <v>8.4499999999999992E-3</v>
      </c>
      <c r="E155" s="44">
        <f>ROUND(RV_DATA!K126, 6)</f>
        <v>110728.72</v>
      </c>
      <c r="F155" s="44">
        <f>ROUND(SUMIF(RV_DATA!V123:'RV_DATA'!V137, 1276245677, RV_DATA!M123:'RV_DATA'!M137), 6)</f>
        <v>935.66</v>
      </c>
      <c r="Q155">
        <v>3</v>
      </c>
    </row>
    <row r="156" spans="1:17" ht="57" x14ac:dyDescent="0.2">
      <c r="A156" s="43" t="s">
        <v>437</v>
      </c>
      <c r="B156" s="35" t="s">
        <v>439</v>
      </c>
      <c r="C156" s="35" t="s">
        <v>206</v>
      </c>
      <c r="D156" s="36">
        <f>ROUND(SUMIF(RV_DATA!V123:'RV_DATA'!V137, -620134183, RV_DATA!I123:'RV_DATA'!I137), 6)</f>
        <v>3.9</v>
      </c>
      <c r="E156" s="44">
        <f>ROUND(RV_DATA!K125, 6)</f>
        <v>4082.17</v>
      </c>
      <c r="F156" s="44">
        <f>ROUND(SUMIF(RV_DATA!V123:'RV_DATA'!V137, -620134183, RV_DATA!M123:'RV_DATA'!M137), 6)</f>
        <v>15920.46</v>
      </c>
      <c r="Q156">
        <v>3</v>
      </c>
    </row>
    <row r="157" spans="1:17" ht="57" x14ac:dyDescent="0.2">
      <c r="A157" s="43" t="s">
        <v>180</v>
      </c>
      <c r="B157" s="35" t="s">
        <v>181</v>
      </c>
      <c r="C157" s="35" t="s">
        <v>123</v>
      </c>
      <c r="D157" s="36">
        <f>ROUND(SUMIF(RV_DATA!V123:'RV_DATA'!V137, 1992160820, RV_DATA!I123:'RV_DATA'!I137), 6)</f>
        <v>1</v>
      </c>
      <c r="E157" s="44">
        <f>ROUND(RV_DATA!K137, 6)</f>
        <v>10202.57</v>
      </c>
      <c r="F157" s="44">
        <f>ROUND(SUMIF(RV_DATA!V123:'RV_DATA'!V137, 1992160820, RV_DATA!M123:'RV_DATA'!M137), 6)</f>
        <v>10202.57</v>
      </c>
      <c r="Q157">
        <v>3</v>
      </c>
    </row>
    <row r="158" spans="1:17" ht="42.75" x14ac:dyDescent="0.2">
      <c r="A158" s="43" t="s">
        <v>440</v>
      </c>
      <c r="B158" s="35" t="s">
        <v>442</v>
      </c>
      <c r="C158" s="35" t="s">
        <v>384</v>
      </c>
      <c r="D158" s="36">
        <f>ROUND(SUMIF(RV_DATA!V123:'RV_DATA'!V137, -974834120, RV_DATA!I123:'RV_DATA'!I137), 6)</f>
        <v>104.4</v>
      </c>
      <c r="E158" s="44">
        <f>ROUND(RV_DATA!K124, 6)</f>
        <v>4886.66</v>
      </c>
      <c r="F158" s="44">
        <f>ROUND(SUMIF(RV_DATA!V123:'RV_DATA'!V137, -974834120, RV_DATA!M123:'RV_DATA'!M137), 6)</f>
        <v>510167.3</v>
      </c>
      <c r="Q158">
        <v>3</v>
      </c>
    </row>
    <row r="159" spans="1:17" ht="42.75" x14ac:dyDescent="0.2">
      <c r="A159" s="43" t="s">
        <v>443</v>
      </c>
      <c r="B159" s="35" t="s">
        <v>445</v>
      </c>
      <c r="C159" s="35" t="s">
        <v>123</v>
      </c>
      <c r="D159" s="36">
        <f>ROUND(SUMIF(RV_DATA!V123:'RV_DATA'!V137, -823327178, RV_DATA!I123:'RV_DATA'!I137), 6)</f>
        <v>45.6</v>
      </c>
      <c r="E159" s="44">
        <f>ROUND(RV_DATA!K123, 6)</f>
        <v>2843.73</v>
      </c>
      <c r="F159" s="44">
        <f>ROUND(SUMIF(RV_DATA!V123:'RV_DATA'!V137, -823327178, RV_DATA!M123:'RV_DATA'!M137), 6)</f>
        <v>129674.09</v>
      </c>
      <c r="Q159">
        <v>3</v>
      </c>
    </row>
    <row r="160" spans="1:17" ht="28.5" x14ac:dyDescent="0.2">
      <c r="A160" s="43" t="s">
        <v>452</v>
      </c>
      <c r="B160" s="35" t="s">
        <v>454</v>
      </c>
      <c r="C160" s="35" t="s">
        <v>123</v>
      </c>
      <c r="D160" s="36">
        <f>ROUND(SUMIF(RV_DATA!V123:'RV_DATA'!V137, -1233775020, RV_DATA!I123:'RV_DATA'!I137), 6)</f>
        <v>1</v>
      </c>
      <c r="E160" s="44">
        <f>ROUND(RV_DATA!K132, 6)</f>
        <v>52.44</v>
      </c>
      <c r="F160" s="44">
        <f>ROUND(SUMIF(RV_DATA!V123:'RV_DATA'!V137, -1233775020, RV_DATA!M123:'RV_DATA'!M137), 6)</f>
        <v>52.44</v>
      </c>
      <c r="Q160">
        <v>3</v>
      </c>
    </row>
    <row r="161" spans="1:17" ht="15" x14ac:dyDescent="0.25">
      <c r="A161" s="94" t="s">
        <v>633</v>
      </c>
      <c r="B161" s="94"/>
      <c r="C161" s="94"/>
      <c r="D161" s="94"/>
      <c r="E161" s="95">
        <f>SUMIF(Q154:Q160, 3, F154:F160)</f>
        <v>667788.86999999988</v>
      </c>
      <c r="F161" s="95"/>
    </row>
    <row r="162" spans="1:17" ht="16.5" x14ac:dyDescent="0.2">
      <c r="A162" s="96" t="str">
        <f>CONCATENATE("Подраздел: ",IF(Source!G580&lt;&gt;"Новый подраздел", Source!G580, ""))</f>
        <v>Подраздел: Устройство покрытия</v>
      </c>
      <c r="B162" s="97"/>
      <c r="C162" s="97"/>
      <c r="D162" s="97"/>
      <c r="E162" s="97"/>
      <c r="F162" s="97"/>
    </row>
    <row r="163" spans="1:17" ht="14.25" x14ac:dyDescent="0.2">
      <c r="A163" s="92" t="s">
        <v>630</v>
      </c>
      <c r="B163" s="93"/>
      <c r="C163" s="93"/>
      <c r="D163" s="93"/>
      <c r="E163" s="93"/>
      <c r="F163" s="93"/>
    </row>
    <row r="164" spans="1:17" ht="42.75" x14ac:dyDescent="0.2">
      <c r="A164" s="43" t="s">
        <v>455</v>
      </c>
      <c r="B164" s="35" t="s">
        <v>457</v>
      </c>
      <c r="C164" s="35" t="s">
        <v>397</v>
      </c>
      <c r="D164" s="36">
        <f>ROUND(SUMIF(RV_DATA!V139:'RV_DATA'!V155, 269381960, RV_DATA!I139:'RV_DATA'!I155), 6)</f>
        <v>1.4266529999999999</v>
      </c>
      <c r="E164" s="44">
        <f>ROUND(RV_DATA!K140, 6)</f>
        <v>675.33</v>
      </c>
      <c r="F164" s="44">
        <f>ROUND(SUMIF(RV_DATA!V139:'RV_DATA'!V155, 269381960, RV_DATA!M139:'RV_DATA'!M155), 6)</f>
        <v>963.46</v>
      </c>
      <c r="Q164">
        <v>2</v>
      </c>
    </row>
    <row r="165" spans="1:17" ht="28.5" x14ac:dyDescent="0.2">
      <c r="A165" s="43" t="s">
        <v>458</v>
      </c>
      <c r="B165" s="35" t="s">
        <v>460</v>
      </c>
      <c r="C165" s="35" t="s">
        <v>397</v>
      </c>
      <c r="D165" s="36">
        <f>ROUND(SUMIF(RV_DATA!V139:'RV_DATA'!V155, -660268849, RV_DATA!I139:'RV_DATA'!I155), 6)</f>
        <v>0.326268</v>
      </c>
      <c r="E165" s="44">
        <f>ROUND(RV_DATA!K139, 6)</f>
        <v>923.83</v>
      </c>
      <c r="F165" s="44">
        <f>ROUND(SUMIF(RV_DATA!V139:'RV_DATA'!V155, -660268849, RV_DATA!M139:'RV_DATA'!M155), 6)</f>
        <v>301.42</v>
      </c>
      <c r="Q165">
        <v>2</v>
      </c>
    </row>
    <row r="166" spans="1:17" ht="42.75" x14ac:dyDescent="0.2">
      <c r="A166" s="43" t="s">
        <v>461</v>
      </c>
      <c r="B166" s="35" t="s">
        <v>463</v>
      </c>
      <c r="C166" s="35" t="s">
        <v>397</v>
      </c>
      <c r="D166" s="36">
        <f>ROUND(SUMIF(RV_DATA!V139:'RV_DATA'!V155, -1723912365, RV_DATA!I139:'RV_DATA'!I155), 6)</f>
        <v>0.41322199999999998</v>
      </c>
      <c r="E166" s="44">
        <f>ROUND(RV_DATA!K141, 6)</f>
        <v>1451.71</v>
      </c>
      <c r="F166" s="44">
        <f>ROUND(SUMIF(RV_DATA!V139:'RV_DATA'!V155, -1723912365, RV_DATA!M139:'RV_DATA'!M155), 6)</f>
        <v>599.9</v>
      </c>
      <c r="Q166">
        <v>2</v>
      </c>
    </row>
    <row r="167" spans="1:17" ht="28.5" x14ac:dyDescent="0.2">
      <c r="A167" s="43" t="s">
        <v>400</v>
      </c>
      <c r="B167" s="35" t="s">
        <v>402</v>
      </c>
      <c r="C167" s="35" t="s">
        <v>397</v>
      </c>
      <c r="D167" s="36">
        <f>ROUND(SUMIF(RV_DATA!V139:'RV_DATA'!V155, 1032900138, RV_DATA!I139:'RV_DATA'!I155), 6)</f>
        <v>1.93401</v>
      </c>
      <c r="E167" s="44">
        <f>ROUND(RV_DATA!K143, 6)</f>
        <v>952.49</v>
      </c>
      <c r="F167" s="44">
        <f>ROUND(SUMIF(RV_DATA!V139:'RV_DATA'!V155, 1032900138, RV_DATA!M139:'RV_DATA'!M155), 6)</f>
        <v>1841.31</v>
      </c>
      <c r="Q167">
        <v>2</v>
      </c>
    </row>
    <row r="168" spans="1:17" ht="28.5" x14ac:dyDescent="0.2">
      <c r="A168" s="43" t="s">
        <v>403</v>
      </c>
      <c r="B168" s="35" t="s">
        <v>405</v>
      </c>
      <c r="C168" s="35" t="s">
        <v>397</v>
      </c>
      <c r="D168" s="36">
        <f>ROUND(SUMIF(RV_DATA!V139:'RV_DATA'!V155, -1384078646, RV_DATA!I139:'RV_DATA'!I155), 6)</f>
        <v>1.592865</v>
      </c>
      <c r="E168" s="44">
        <f>ROUND(RV_DATA!K142, 6)</f>
        <v>993.6</v>
      </c>
      <c r="F168" s="44">
        <f>ROUND(SUMIF(RV_DATA!V139:'RV_DATA'!V155, -1384078646, RV_DATA!M139:'RV_DATA'!M155), 6)</f>
        <v>1582.84</v>
      </c>
      <c r="Q168">
        <v>2</v>
      </c>
    </row>
    <row r="169" spans="1:17" ht="28.5" x14ac:dyDescent="0.2">
      <c r="A169" s="43" t="s">
        <v>464</v>
      </c>
      <c r="B169" s="35" t="s">
        <v>466</v>
      </c>
      <c r="C169" s="35" t="s">
        <v>397</v>
      </c>
      <c r="D169" s="36">
        <f>ROUND(SUMIF(RV_DATA!V139:'RV_DATA'!V155, -1910138473, RV_DATA!I139:'RV_DATA'!I155), 6)</f>
        <v>0.35568</v>
      </c>
      <c r="E169" s="44">
        <f>ROUND(RV_DATA!K155, 6)</f>
        <v>1159.46</v>
      </c>
      <c r="F169" s="44">
        <f>ROUND(SUMIF(RV_DATA!V139:'RV_DATA'!V155, -1910138473, RV_DATA!M139:'RV_DATA'!M155), 6)</f>
        <v>412.4</v>
      </c>
      <c r="Q169">
        <v>2</v>
      </c>
    </row>
    <row r="170" spans="1:17" ht="28.5" x14ac:dyDescent="0.2">
      <c r="A170" s="43" t="s">
        <v>467</v>
      </c>
      <c r="B170" s="35" t="s">
        <v>469</v>
      </c>
      <c r="C170" s="35" t="s">
        <v>397</v>
      </c>
      <c r="D170" s="36">
        <f>ROUND(SUMIF(RV_DATA!V139:'RV_DATA'!V155, -1472439335, RV_DATA!I139:'RV_DATA'!I155), 6)</f>
        <v>0.35568</v>
      </c>
      <c r="E170" s="44">
        <f>ROUND(RV_DATA!K154, 6)</f>
        <v>416.25</v>
      </c>
      <c r="F170" s="44">
        <f>ROUND(SUMIF(RV_DATA!V139:'RV_DATA'!V155, -1472439335, RV_DATA!M139:'RV_DATA'!M155), 6)</f>
        <v>148.05000000000001</v>
      </c>
      <c r="Q170">
        <v>2</v>
      </c>
    </row>
    <row r="171" spans="1:17" ht="28.5" x14ac:dyDescent="0.2">
      <c r="A171" s="43" t="s">
        <v>470</v>
      </c>
      <c r="B171" s="35" t="s">
        <v>472</v>
      </c>
      <c r="C171" s="35" t="s">
        <v>397</v>
      </c>
      <c r="D171" s="36">
        <f>ROUND(SUMIF(RV_DATA!V139:'RV_DATA'!V155, -514054631, RV_DATA!I139:'RV_DATA'!I155), 6)</f>
        <v>0.13850999999999999</v>
      </c>
      <c r="E171" s="44">
        <f>ROUND(RV_DATA!K153, 6)</f>
        <v>1942.21</v>
      </c>
      <c r="F171" s="44">
        <f>ROUND(SUMIF(RV_DATA!V139:'RV_DATA'!V155, -514054631, RV_DATA!M139:'RV_DATA'!M155), 6)</f>
        <v>269.02</v>
      </c>
      <c r="Q171">
        <v>2</v>
      </c>
    </row>
    <row r="172" spans="1:17" ht="28.5" x14ac:dyDescent="0.2">
      <c r="A172" s="43" t="s">
        <v>473</v>
      </c>
      <c r="B172" s="35" t="s">
        <v>475</v>
      </c>
      <c r="C172" s="35" t="s">
        <v>397</v>
      </c>
      <c r="D172" s="36">
        <f>ROUND(SUMIF(RV_DATA!V139:'RV_DATA'!V155, 2009633333, RV_DATA!I139:'RV_DATA'!I155), 6)</f>
        <v>0.33173999999999998</v>
      </c>
      <c r="E172" s="44">
        <f>ROUND(RV_DATA!K152, 6)</f>
        <v>1364.77</v>
      </c>
      <c r="F172" s="44">
        <f>ROUND(SUMIF(RV_DATA!V139:'RV_DATA'!V155, 2009633333, RV_DATA!M139:'RV_DATA'!M155), 6)</f>
        <v>452.75</v>
      </c>
      <c r="Q172">
        <v>2</v>
      </c>
    </row>
    <row r="173" spans="1:17" ht="28.5" x14ac:dyDescent="0.2">
      <c r="A173" s="43" t="s">
        <v>476</v>
      </c>
      <c r="B173" s="35" t="s">
        <v>478</v>
      </c>
      <c r="C173" s="35" t="s">
        <v>397</v>
      </c>
      <c r="D173" s="36">
        <f>ROUND(SUMIF(RV_DATA!V139:'RV_DATA'!V155, -801114187, RV_DATA!I139:'RV_DATA'!I155), 6)</f>
        <v>0.11115</v>
      </c>
      <c r="E173" s="44">
        <f>ROUND(RV_DATA!K151, 6)</f>
        <v>1179.56</v>
      </c>
      <c r="F173" s="44">
        <f>ROUND(SUMIF(RV_DATA!V139:'RV_DATA'!V155, -801114187, RV_DATA!M139:'RV_DATA'!M155), 6)</f>
        <v>131.11000000000001</v>
      </c>
      <c r="Q173">
        <v>2</v>
      </c>
    </row>
    <row r="174" spans="1:17" ht="15" x14ac:dyDescent="0.25">
      <c r="A174" s="94" t="s">
        <v>631</v>
      </c>
      <c r="B174" s="94"/>
      <c r="C174" s="94"/>
      <c r="D174" s="94"/>
      <c r="E174" s="95">
        <f>SUMIF(Q164:Q173, 2, F164:F173)</f>
        <v>6702.2599999999993</v>
      </c>
      <c r="F174" s="95"/>
    </row>
    <row r="175" spans="1:17" ht="14.25" x14ac:dyDescent="0.2">
      <c r="A175" s="92" t="s">
        <v>632</v>
      </c>
      <c r="B175" s="93"/>
      <c r="C175" s="93"/>
      <c r="D175" s="93"/>
      <c r="E175" s="93"/>
      <c r="F175" s="93"/>
    </row>
    <row r="176" spans="1:17" ht="14.25" x14ac:dyDescent="0.2">
      <c r="A176" s="43" t="s">
        <v>479</v>
      </c>
      <c r="B176" s="35" t="s">
        <v>481</v>
      </c>
      <c r="C176" s="35" t="s">
        <v>206</v>
      </c>
      <c r="D176" s="36">
        <f>ROUND(SUMIF(RV_DATA!V139:'RV_DATA'!V155, 1387681249, RV_DATA!I139:'RV_DATA'!I155), 6)</f>
        <v>18.809999999999999</v>
      </c>
      <c r="E176" s="44">
        <f>ROUND(RV_DATA!K150, 6)</f>
        <v>590.78</v>
      </c>
      <c r="F176" s="44">
        <f>ROUND(SUMIF(RV_DATA!V139:'RV_DATA'!V155, 1387681249, RV_DATA!M139:'RV_DATA'!M155), 6)</f>
        <v>11112.57</v>
      </c>
      <c r="Q176">
        <v>3</v>
      </c>
    </row>
    <row r="177" spans="1:17" ht="14.25" x14ac:dyDescent="0.2">
      <c r="A177" s="43" t="s">
        <v>482</v>
      </c>
      <c r="B177" s="35" t="s">
        <v>484</v>
      </c>
      <c r="C177" s="35" t="s">
        <v>206</v>
      </c>
      <c r="D177" s="36">
        <f>ROUND(SUMIF(RV_DATA!V139:'RV_DATA'!V155, -474033762, RV_DATA!I139:'RV_DATA'!I155), 6)</f>
        <v>0.85499999999999998</v>
      </c>
      <c r="E177" s="44">
        <f>ROUND(RV_DATA!K149, 6)</f>
        <v>33.729999999999997</v>
      </c>
      <c r="F177" s="44">
        <f>ROUND(SUMIF(RV_DATA!V139:'RV_DATA'!V155, -474033762, RV_DATA!M139:'RV_DATA'!M155), 6)</f>
        <v>28.84</v>
      </c>
      <c r="Q177">
        <v>3</v>
      </c>
    </row>
    <row r="178" spans="1:17" ht="28.5" x14ac:dyDescent="0.2">
      <c r="A178" s="43" t="s">
        <v>53</v>
      </c>
      <c r="B178" s="35" t="s">
        <v>54</v>
      </c>
      <c r="C178" s="35" t="s">
        <v>30</v>
      </c>
      <c r="D178" s="36">
        <f>ROUND(SUMIF(RV_DATA!V139:'RV_DATA'!V155, -96028578, RV_DATA!I139:'RV_DATA'!I155), 6)</f>
        <v>10.26</v>
      </c>
      <c r="E178" s="44">
        <f>ROUND(RV_DATA!K148, 6)</f>
        <v>197.96</v>
      </c>
      <c r="F178" s="44">
        <f>ROUND(SUMIF(RV_DATA!V139:'RV_DATA'!V155, -96028578, RV_DATA!M139:'RV_DATA'!M155), 6)</f>
        <v>2031.07</v>
      </c>
      <c r="Q178">
        <v>3</v>
      </c>
    </row>
    <row r="179" spans="1:17" ht="15" x14ac:dyDescent="0.25">
      <c r="A179" s="94" t="s">
        <v>633</v>
      </c>
      <c r="B179" s="94"/>
      <c r="C179" s="94"/>
      <c r="D179" s="94"/>
      <c r="E179" s="95">
        <f>SUMIF(Q176:Q178, 3, F176:F178)</f>
        <v>13172.48</v>
      </c>
      <c r="F179" s="95"/>
    </row>
    <row r="180" spans="1:17" ht="16.5" x14ac:dyDescent="0.2">
      <c r="A180" s="96" t="str">
        <f>CONCATENATE("Раздел: ",IF(Source!G660&lt;&gt;"Новый раздел", Source!G660, ""))</f>
        <v>Раздел: ПК № 67 - 299,5 кв.м (кв. 18, выд. 32)</v>
      </c>
      <c r="B180" s="97"/>
      <c r="C180" s="97"/>
      <c r="D180" s="97"/>
      <c r="E180" s="97"/>
      <c r="F180" s="97"/>
    </row>
    <row r="181" spans="1:17" ht="16.5" x14ac:dyDescent="0.2">
      <c r="A181" s="96" t="str">
        <f>CONCATENATE("Подраздел: ",IF(Source!G664&lt;&gt;"Новый подраздел", Source!G664, ""))</f>
        <v>Подраздел: Демонтаж</v>
      </c>
      <c r="B181" s="97"/>
      <c r="C181" s="97"/>
      <c r="D181" s="97"/>
      <c r="E181" s="97"/>
      <c r="F181" s="97"/>
    </row>
    <row r="182" spans="1:17" ht="16.5" x14ac:dyDescent="0.2">
      <c r="A182" s="96" t="str">
        <f>CONCATENATE("Подраздел: ",IF(Source!G698&lt;&gt;"Новый подраздел", Source!G698, ""))</f>
        <v>Подраздел: Установка оборудования для выгула собак</v>
      </c>
      <c r="B182" s="97"/>
      <c r="C182" s="97"/>
      <c r="D182" s="97"/>
      <c r="E182" s="97"/>
      <c r="F182" s="97"/>
    </row>
    <row r="183" spans="1:17" ht="16.5" x14ac:dyDescent="0.2">
      <c r="A183" s="96" t="str">
        <f>CONCATENATE("Подраздел: ",IF(Source!G732&lt;&gt;"Новый подраздел", Source!G732, ""))</f>
        <v>Подраздел: Установка ограждения</v>
      </c>
      <c r="B183" s="97"/>
      <c r="C183" s="97"/>
      <c r="D183" s="97"/>
      <c r="E183" s="97"/>
      <c r="F183" s="97"/>
    </row>
    <row r="184" spans="1:17" ht="16.5" x14ac:dyDescent="0.2">
      <c r="A184" s="96" t="str">
        <f>CONCATENATE("Подраздел: ",IF(Source!G766&lt;&gt;"Новый подраздел", Source!G766, ""))</f>
        <v>Подраздел: Устройство покрытия</v>
      </c>
      <c r="B184" s="97"/>
      <c r="C184" s="97"/>
      <c r="D184" s="97"/>
      <c r="E184" s="97"/>
      <c r="F184" s="97"/>
    </row>
    <row r="185" spans="1:17" ht="14.25" x14ac:dyDescent="0.2">
      <c r="A185" s="92" t="s">
        <v>630</v>
      </c>
      <c r="B185" s="93"/>
      <c r="C185" s="93"/>
      <c r="D185" s="93"/>
      <c r="E185" s="93"/>
      <c r="F185" s="93"/>
    </row>
    <row r="186" spans="1:17" ht="42.75" x14ac:dyDescent="0.2">
      <c r="A186" s="43" t="s">
        <v>455</v>
      </c>
      <c r="B186" s="35" t="s">
        <v>457</v>
      </c>
      <c r="C186" s="35" t="s">
        <v>397</v>
      </c>
      <c r="D186" s="36">
        <f>ROUND(SUMIF(RV_DATA!V161:'RV_DATA'!V177, 269381960, RV_DATA!I161:'RV_DATA'!I177), 6)</f>
        <v>2.498729</v>
      </c>
      <c r="E186" s="44">
        <f>ROUND(RV_DATA!K162, 6)</f>
        <v>675.33</v>
      </c>
      <c r="F186" s="44">
        <f>ROUND(SUMIF(RV_DATA!V161:'RV_DATA'!V177, 269381960, RV_DATA!M161:'RV_DATA'!M177), 6)</f>
        <v>1687.47</v>
      </c>
      <c r="Q186">
        <v>2</v>
      </c>
    </row>
    <row r="187" spans="1:17" ht="28.5" x14ac:dyDescent="0.2">
      <c r="A187" s="43" t="s">
        <v>458</v>
      </c>
      <c r="B187" s="35" t="s">
        <v>460</v>
      </c>
      <c r="C187" s="35" t="s">
        <v>397</v>
      </c>
      <c r="D187" s="36">
        <f>ROUND(SUMIF(RV_DATA!V161:'RV_DATA'!V177, -660268849, RV_DATA!I161:'RV_DATA'!I177), 6)</f>
        <v>0.57144600000000001</v>
      </c>
      <c r="E187" s="44">
        <f>ROUND(RV_DATA!K161, 6)</f>
        <v>923.83</v>
      </c>
      <c r="F187" s="44">
        <f>ROUND(SUMIF(RV_DATA!V161:'RV_DATA'!V177, -660268849, RV_DATA!M161:'RV_DATA'!M177), 6)</f>
        <v>527.91999999999996</v>
      </c>
      <c r="Q187">
        <v>2</v>
      </c>
    </row>
    <row r="188" spans="1:17" ht="42.75" x14ac:dyDescent="0.2">
      <c r="A188" s="43" t="s">
        <v>461</v>
      </c>
      <c r="B188" s="35" t="s">
        <v>463</v>
      </c>
      <c r="C188" s="35" t="s">
        <v>397</v>
      </c>
      <c r="D188" s="36">
        <f>ROUND(SUMIF(RV_DATA!V161:'RV_DATA'!V177, -1723912365, RV_DATA!I161:'RV_DATA'!I177), 6)</f>
        <v>0.723742</v>
      </c>
      <c r="E188" s="44">
        <f>ROUND(RV_DATA!K163, 6)</f>
        <v>1451.71</v>
      </c>
      <c r="F188" s="44">
        <f>ROUND(SUMIF(RV_DATA!V161:'RV_DATA'!V177, -1723912365, RV_DATA!M161:'RV_DATA'!M177), 6)</f>
        <v>1050.71</v>
      </c>
      <c r="Q188">
        <v>2</v>
      </c>
    </row>
    <row r="189" spans="1:17" ht="28.5" x14ac:dyDescent="0.2">
      <c r="A189" s="43" t="s">
        <v>400</v>
      </c>
      <c r="B189" s="35" t="s">
        <v>402</v>
      </c>
      <c r="C189" s="35" t="s">
        <v>397</v>
      </c>
      <c r="D189" s="36">
        <f>ROUND(SUMIF(RV_DATA!V161:'RV_DATA'!V177, 1032900138, RV_DATA!I161:'RV_DATA'!I177), 6)</f>
        <v>3.3873449999999998</v>
      </c>
      <c r="E189" s="44">
        <f>ROUND(RV_DATA!K165, 6)</f>
        <v>952.49</v>
      </c>
      <c r="F189" s="44">
        <f>ROUND(SUMIF(RV_DATA!V161:'RV_DATA'!V177, 1032900138, RV_DATA!M161:'RV_DATA'!M177), 6)</f>
        <v>3224.99</v>
      </c>
      <c r="Q189">
        <v>2</v>
      </c>
    </row>
    <row r="190" spans="1:17" ht="28.5" x14ac:dyDescent="0.2">
      <c r="A190" s="43" t="s">
        <v>403</v>
      </c>
      <c r="B190" s="35" t="s">
        <v>405</v>
      </c>
      <c r="C190" s="35" t="s">
        <v>397</v>
      </c>
      <c r="D190" s="36">
        <f>ROUND(SUMIF(RV_DATA!V161:'RV_DATA'!V177, -1384078646, RV_DATA!I161:'RV_DATA'!I177), 6)</f>
        <v>2.7898429999999999</v>
      </c>
      <c r="E190" s="44">
        <f>ROUND(RV_DATA!K164, 6)</f>
        <v>993.6</v>
      </c>
      <c r="F190" s="44">
        <f>ROUND(SUMIF(RV_DATA!V161:'RV_DATA'!V177, -1384078646, RV_DATA!M161:'RV_DATA'!M177), 6)</f>
        <v>2772.28</v>
      </c>
      <c r="Q190">
        <v>2</v>
      </c>
    </row>
    <row r="191" spans="1:17" ht="28.5" x14ac:dyDescent="0.2">
      <c r="A191" s="43" t="s">
        <v>464</v>
      </c>
      <c r="B191" s="35" t="s">
        <v>466</v>
      </c>
      <c r="C191" s="35" t="s">
        <v>397</v>
      </c>
      <c r="D191" s="36">
        <f>ROUND(SUMIF(RV_DATA!V161:'RV_DATA'!V177, -1910138473, RV_DATA!I161:'RV_DATA'!I177), 6)</f>
        <v>0.62192000000000003</v>
      </c>
      <c r="E191" s="44">
        <f>ROUND(RV_DATA!K177, 6)</f>
        <v>1159.46</v>
      </c>
      <c r="F191" s="44">
        <f>ROUND(SUMIF(RV_DATA!V161:'RV_DATA'!V177, -1910138473, RV_DATA!M161:'RV_DATA'!M177), 6)</f>
        <v>721.09</v>
      </c>
      <c r="Q191">
        <v>2</v>
      </c>
    </row>
    <row r="192" spans="1:17" ht="28.5" x14ac:dyDescent="0.2">
      <c r="A192" s="43" t="s">
        <v>467</v>
      </c>
      <c r="B192" s="35" t="s">
        <v>469</v>
      </c>
      <c r="C192" s="35" t="s">
        <v>397</v>
      </c>
      <c r="D192" s="36">
        <f>ROUND(SUMIF(RV_DATA!V161:'RV_DATA'!V177, -1472439335, RV_DATA!I161:'RV_DATA'!I177), 6)</f>
        <v>0.62192000000000003</v>
      </c>
      <c r="E192" s="44">
        <f>ROUND(RV_DATA!K176, 6)</f>
        <v>416.25</v>
      </c>
      <c r="F192" s="44">
        <f>ROUND(SUMIF(RV_DATA!V161:'RV_DATA'!V177, -1472439335, RV_DATA!M161:'RV_DATA'!M177), 6)</f>
        <v>258.87</v>
      </c>
      <c r="Q192">
        <v>2</v>
      </c>
    </row>
    <row r="193" spans="1:17" ht="28.5" x14ac:dyDescent="0.2">
      <c r="A193" s="43" t="s">
        <v>470</v>
      </c>
      <c r="B193" s="35" t="s">
        <v>472</v>
      </c>
      <c r="C193" s="35" t="s">
        <v>397</v>
      </c>
      <c r="D193" s="36">
        <f>ROUND(SUMIF(RV_DATA!V161:'RV_DATA'!V177, -514054631, RV_DATA!I161:'RV_DATA'!I177), 6)</f>
        <v>0.24218999999999999</v>
      </c>
      <c r="E193" s="44">
        <f>ROUND(RV_DATA!K175, 6)</f>
        <v>1942.21</v>
      </c>
      <c r="F193" s="44">
        <f>ROUND(SUMIF(RV_DATA!V161:'RV_DATA'!V177, -514054631, RV_DATA!M161:'RV_DATA'!M177), 6)</f>
        <v>470.38</v>
      </c>
      <c r="Q193">
        <v>2</v>
      </c>
    </row>
    <row r="194" spans="1:17" ht="28.5" x14ac:dyDescent="0.2">
      <c r="A194" s="43" t="s">
        <v>473</v>
      </c>
      <c r="B194" s="35" t="s">
        <v>475</v>
      </c>
      <c r="C194" s="35" t="s">
        <v>397</v>
      </c>
      <c r="D194" s="36">
        <f>ROUND(SUMIF(RV_DATA!V161:'RV_DATA'!V177, 2009633333, RV_DATA!I161:'RV_DATA'!I177), 6)</f>
        <v>0.58006000000000002</v>
      </c>
      <c r="E194" s="44">
        <f>ROUND(RV_DATA!K174, 6)</f>
        <v>1364.77</v>
      </c>
      <c r="F194" s="44">
        <f>ROUND(SUMIF(RV_DATA!V161:'RV_DATA'!V177, 2009633333, RV_DATA!M161:'RV_DATA'!M177), 6)</f>
        <v>791.65</v>
      </c>
      <c r="Q194">
        <v>2</v>
      </c>
    </row>
    <row r="195" spans="1:17" ht="28.5" x14ac:dyDescent="0.2">
      <c r="A195" s="43" t="s">
        <v>476</v>
      </c>
      <c r="B195" s="35" t="s">
        <v>478</v>
      </c>
      <c r="C195" s="35" t="s">
        <v>397</v>
      </c>
      <c r="D195" s="36">
        <f>ROUND(SUMIF(RV_DATA!V161:'RV_DATA'!V177, -801114187, RV_DATA!I161:'RV_DATA'!I177), 6)</f>
        <v>0.19434999999999999</v>
      </c>
      <c r="E195" s="44">
        <f>ROUND(RV_DATA!K173, 6)</f>
        <v>1179.56</v>
      </c>
      <c r="F195" s="44">
        <f>ROUND(SUMIF(RV_DATA!V161:'RV_DATA'!V177, -801114187, RV_DATA!M161:'RV_DATA'!M177), 6)</f>
        <v>229.25</v>
      </c>
      <c r="Q195">
        <v>2</v>
      </c>
    </row>
    <row r="196" spans="1:17" ht="15" x14ac:dyDescent="0.25">
      <c r="A196" s="94" t="s">
        <v>631</v>
      </c>
      <c r="B196" s="94"/>
      <c r="C196" s="94"/>
      <c r="D196" s="94"/>
      <c r="E196" s="95">
        <f>SUMIF(Q186:Q195, 2, F186:F195)</f>
        <v>11734.61</v>
      </c>
      <c r="F196" s="95"/>
    </row>
    <row r="197" spans="1:17" ht="14.25" x14ac:dyDescent="0.2">
      <c r="A197" s="92" t="s">
        <v>632</v>
      </c>
      <c r="B197" s="93"/>
      <c r="C197" s="93"/>
      <c r="D197" s="93"/>
      <c r="E197" s="93"/>
      <c r="F197" s="93"/>
    </row>
    <row r="198" spans="1:17" ht="14.25" x14ac:dyDescent="0.2">
      <c r="A198" s="43" t="s">
        <v>479</v>
      </c>
      <c r="B198" s="35" t="s">
        <v>481</v>
      </c>
      <c r="C198" s="35" t="s">
        <v>206</v>
      </c>
      <c r="D198" s="36">
        <f>ROUND(SUMIF(RV_DATA!V161:'RV_DATA'!V177, 1387681249, RV_DATA!I161:'RV_DATA'!I177), 6)</f>
        <v>32.89</v>
      </c>
      <c r="E198" s="44">
        <f>ROUND(RV_DATA!K172, 6)</f>
        <v>590.78</v>
      </c>
      <c r="F198" s="44">
        <f>ROUND(SUMIF(RV_DATA!V161:'RV_DATA'!V177, 1387681249, RV_DATA!M161:'RV_DATA'!M177), 6)</f>
        <v>19430.75</v>
      </c>
      <c r="Q198">
        <v>3</v>
      </c>
    </row>
    <row r="199" spans="1:17" ht="14.25" x14ac:dyDescent="0.2">
      <c r="A199" s="43" t="s">
        <v>482</v>
      </c>
      <c r="B199" s="35" t="s">
        <v>484</v>
      </c>
      <c r="C199" s="35" t="s">
        <v>206</v>
      </c>
      <c r="D199" s="36">
        <f>ROUND(SUMIF(RV_DATA!V161:'RV_DATA'!V177, -474033762, RV_DATA!I161:'RV_DATA'!I177), 6)</f>
        <v>1.4950000000000001</v>
      </c>
      <c r="E199" s="44">
        <f>ROUND(RV_DATA!K171, 6)</f>
        <v>33.729999999999997</v>
      </c>
      <c r="F199" s="44">
        <f>ROUND(SUMIF(RV_DATA!V161:'RV_DATA'!V177, -474033762, RV_DATA!M161:'RV_DATA'!M177), 6)</f>
        <v>50.43</v>
      </c>
      <c r="Q199">
        <v>3</v>
      </c>
    </row>
    <row r="200" spans="1:17" ht="28.5" x14ac:dyDescent="0.2">
      <c r="A200" s="43" t="s">
        <v>53</v>
      </c>
      <c r="B200" s="35" t="s">
        <v>54</v>
      </c>
      <c r="C200" s="35" t="s">
        <v>30</v>
      </c>
      <c r="D200" s="36">
        <f>ROUND(SUMIF(RV_DATA!V161:'RV_DATA'!V177, -96028578, RV_DATA!I161:'RV_DATA'!I177), 6)</f>
        <v>17.97</v>
      </c>
      <c r="E200" s="44">
        <f>ROUND(RV_DATA!K170, 6)</f>
        <v>197.96</v>
      </c>
      <c r="F200" s="44">
        <f>ROUND(SUMIF(RV_DATA!V161:'RV_DATA'!V177, -96028578, RV_DATA!M161:'RV_DATA'!M177), 6)</f>
        <v>3557.34</v>
      </c>
      <c r="Q200">
        <v>3</v>
      </c>
    </row>
    <row r="201" spans="1:17" ht="15" x14ac:dyDescent="0.25">
      <c r="A201" s="94" t="s">
        <v>633</v>
      </c>
      <c r="B201" s="94"/>
      <c r="C201" s="94"/>
      <c r="D201" s="94"/>
      <c r="E201" s="95">
        <f>SUMIF(Q198:Q200, 3, F198:F200)</f>
        <v>23038.52</v>
      </c>
      <c r="F201" s="95"/>
    </row>
    <row r="202" spans="1:17" ht="49.5" x14ac:dyDescent="0.2">
      <c r="A202" s="96" t="str">
        <f>CONCATENATE("Локальная смета: ",IF(Source!G879&lt;&gt;"Новая локальная смета", Source!G879, ""))</f>
        <v>Локальная смета: Ремонт экотроп (ЛЗ "Тропаревский" - 2,77 км (деревянные настилы - 4080 кв.м,деревянные перила - 315 кв.м, деревянная лестница - 208 кв.м) с демонтажем и монтажем МАФ</v>
      </c>
      <c r="B202" s="97"/>
      <c r="C202" s="97"/>
      <c r="D202" s="97"/>
      <c r="E202" s="97"/>
      <c r="F202" s="97"/>
      <c r="O202" s="45" t="s">
        <v>634</v>
      </c>
    </row>
    <row r="203" spans="1:17" ht="16.5" x14ac:dyDescent="0.2">
      <c r="A203" s="96" t="str">
        <f>CONCATENATE("Раздел: ",IF(Source!G883&lt;&gt;"Новый раздел", Source!G883, ""))</f>
        <v>Раздел: Деревянный настил</v>
      </c>
      <c r="B203" s="97"/>
      <c r="C203" s="97"/>
      <c r="D203" s="97"/>
      <c r="E203" s="97"/>
      <c r="F203" s="97"/>
    </row>
    <row r="204" spans="1:17" ht="16.5" x14ac:dyDescent="0.2">
      <c r="A204" s="96" t="str">
        <f>CONCATENATE("Подраздел: ",IF(Source!G887&lt;&gt;"Новый подраздел", Source!G887, ""))</f>
        <v>Подраздел: Демонтажные работы</v>
      </c>
      <c r="B204" s="97"/>
      <c r="C204" s="97"/>
      <c r="D204" s="97"/>
      <c r="E204" s="97"/>
      <c r="F204" s="97"/>
    </row>
    <row r="205" spans="1:17" ht="14.25" x14ac:dyDescent="0.2">
      <c r="A205" s="92" t="s">
        <v>630</v>
      </c>
      <c r="B205" s="93"/>
      <c r="C205" s="93"/>
      <c r="D205" s="93"/>
      <c r="E205" s="93"/>
      <c r="F205" s="93"/>
    </row>
    <row r="206" spans="1:17" ht="42.75" x14ac:dyDescent="0.2">
      <c r="A206" s="43" t="s">
        <v>461</v>
      </c>
      <c r="B206" s="35" t="s">
        <v>463</v>
      </c>
      <c r="C206" s="35" t="s">
        <v>397</v>
      </c>
      <c r="D206" s="36">
        <f>ROUND(SUMIF(RV_DATA!V181:'RV_DATA'!V189, -1723912365, RV_DATA!I181:'RV_DATA'!I189), 6)</f>
        <v>3.8021099999999999</v>
      </c>
      <c r="E206" s="44">
        <f>ROUND(RV_DATA!K182, 6)</f>
        <v>1451.71</v>
      </c>
      <c r="F206" s="44">
        <f>ROUND(SUMIF(RV_DATA!V181:'RV_DATA'!V189, -1723912365, RV_DATA!M181:'RV_DATA'!M189), 6)</f>
        <v>5519.79</v>
      </c>
      <c r="Q206">
        <v>2</v>
      </c>
    </row>
    <row r="207" spans="1:17" ht="28.5" x14ac:dyDescent="0.2">
      <c r="A207" s="43" t="s">
        <v>400</v>
      </c>
      <c r="B207" s="35" t="s">
        <v>402</v>
      </c>
      <c r="C207" s="35" t="s">
        <v>397</v>
      </c>
      <c r="D207" s="36">
        <f>ROUND(SUMIF(RV_DATA!V181:'RV_DATA'!V189, 1032900138, RV_DATA!I181:'RV_DATA'!I189), 6)</f>
        <v>20.721620000000001</v>
      </c>
      <c r="E207" s="44">
        <f>ROUND(RV_DATA!K184, 6)</f>
        <v>952.49</v>
      </c>
      <c r="F207" s="44">
        <f>ROUND(SUMIF(RV_DATA!V181:'RV_DATA'!V189, 1032900138, RV_DATA!M181:'RV_DATA'!M189), 6)</f>
        <v>19727.86</v>
      </c>
      <c r="Q207">
        <v>2</v>
      </c>
    </row>
    <row r="208" spans="1:17" ht="28.5" x14ac:dyDescent="0.2">
      <c r="A208" s="43" t="s">
        <v>403</v>
      </c>
      <c r="B208" s="35" t="s">
        <v>405</v>
      </c>
      <c r="C208" s="35" t="s">
        <v>397</v>
      </c>
      <c r="D208" s="36">
        <f>ROUND(SUMIF(RV_DATA!V181:'RV_DATA'!V189, -1384078646, RV_DATA!I181:'RV_DATA'!I189), 6)</f>
        <v>16.811731999999999</v>
      </c>
      <c r="E208" s="44">
        <f>ROUND(RV_DATA!K183, 6)</f>
        <v>993.6</v>
      </c>
      <c r="F208" s="44">
        <f>ROUND(SUMIF(RV_DATA!V181:'RV_DATA'!V189, -1384078646, RV_DATA!M181:'RV_DATA'!M189), 6)</f>
        <v>16706.07</v>
      </c>
      <c r="Q208">
        <v>2</v>
      </c>
    </row>
    <row r="209" spans="1:17" ht="14.25" x14ac:dyDescent="0.2">
      <c r="A209" s="43" t="s">
        <v>394</v>
      </c>
      <c r="B209" s="35" t="s">
        <v>396</v>
      </c>
      <c r="C209" s="35" t="s">
        <v>397</v>
      </c>
      <c r="D209" s="36">
        <f>ROUND(SUMIF(RV_DATA!V181:'RV_DATA'!V189, 1286183735, RV_DATA!I181:'RV_DATA'!I189), 6)</f>
        <v>3.15E-2</v>
      </c>
      <c r="E209" s="44">
        <f>ROUND(RV_DATA!K181, 6)</f>
        <v>6.28</v>
      </c>
      <c r="F209" s="44">
        <f>ROUND(SUMIF(RV_DATA!V181:'RV_DATA'!V189, 1286183735, RV_DATA!M181:'RV_DATA'!M189), 6)</f>
        <v>0.19</v>
      </c>
      <c r="Q209">
        <v>2</v>
      </c>
    </row>
    <row r="210" spans="1:17" ht="15" x14ac:dyDescent="0.25">
      <c r="A210" s="94" t="s">
        <v>631</v>
      </c>
      <c r="B210" s="94"/>
      <c r="C210" s="94"/>
      <c r="D210" s="94"/>
      <c r="E210" s="95">
        <f>SUMIF(Q206:Q209, 2, F206:F209)</f>
        <v>41953.91</v>
      </c>
      <c r="F210" s="95"/>
    </row>
    <row r="211" spans="1:17" ht="14.25" x14ac:dyDescent="0.2">
      <c r="A211" s="92" t="s">
        <v>632</v>
      </c>
      <c r="B211" s="93"/>
      <c r="C211" s="93"/>
      <c r="D211" s="93"/>
      <c r="E211" s="93"/>
      <c r="F211" s="93"/>
    </row>
    <row r="212" spans="1:17" ht="28.5" x14ac:dyDescent="0.2">
      <c r="A212" s="43" t="s">
        <v>53</v>
      </c>
      <c r="B212" s="35" t="s">
        <v>54</v>
      </c>
      <c r="C212" s="35" t="s">
        <v>30</v>
      </c>
      <c r="D212" s="36">
        <f>ROUND(SUMIF(RV_DATA!V181:'RV_DATA'!V189, -96028578, RV_DATA!I181:'RV_DATA'!I189), 6)</f>
        <v>78.669780000000003</v>
      </c>
      <c r="E212" s="44">
        <f>ROUND(RV_DATA!K189, 6)</f>
        <v>197.96</v>
      </c>
      <c r="F212" s="44">
        <f>ROUND(SUMIF(RV_DATA!V181:'RV_DATA'!V189, -96028578, RV_DATA!M181:'RV_DATA'!M189), 6)</f>
        <v>15573.47</v>
      </c>
      <c r="Q212">
        <v>3</v>
      </c>
    </row>
    <row r="213" spans="1:17" ht="15" x14ac:dyDescent="0.25">
      <c r="A213" s="94" t="s">
        <v>633</v>
      </c>
      <c r="B213" s="94"/>
      <c r="C213" s="94"/>
      <c r="D213" s="94"/>
      <c r="E213" s="95">
        <f>SUMIF(Q212:Q212, 3, F212:F212)</f>
        <v>15573.47</v>
      </c>
      <c r="F213" s="95"/>
    </row>
    <row r="214" spans="1:17" ht="16.5" x14ac:dyDescent="0.2">
      <c r="A214" s="96" t="str">
        <f>CONCATENATE("Подраздел: ",IF(Source!G932&lt;&gt;"Новый подраздел", Source!G932, ""))</f>
        <v>Подраздел: Монтажные работы</v>
      </c>
      <c r="B214" s="97"/>
      <c r="C214" s="97"/>
      <c r="D214" s="97"/>
      <c r="E214" s="97"/>
      <c r="F214" s="97"/>
    </row>
    <row r="215" spans="1:17" ht="14.25" x14ac:dyDescent="0.2">
      <c r="A215" s="92" t="s">
        <v>630</v>
      </c>
      <c r="B215" s="93"/>
      <c r="C215" s="93"/>
      <c r="D215" s="93"/>
      <c r="E215" s="93"/>
      <c r="F215" s="93"/>
    </row>
    <row r="216" spans="1:17" ht="14.25" x14ac:dyDescent="0.2">
      <c r="A216" s="43" t="s">
        <v>522</v>
      </c>
      <c r="B216" s="35" t="s">
        <v>524</v>
      </c>
      <c r="C216" s="35" t="s">
        <v>397</v>
      </c>
      <c r="D216" s="36">
        <f>ROUND(SUMIF(RV_DATA!V191:'RV_DATA'!V211, -959899381, RV_DATA!I191:'RV_DATA'!I211), 6)</f>
        <v>5.1187500000000004</v>
      </c>
      <c r="E216" s="44">
        <f>ROUND(RV_DATA!K211, 6)</f>
        <v>40.94</v>
      </c>
      <c r="F216" s="44">
        <f>ROUND(SUMIF(RV_DATA!V191:'RV_DATA'!V211, -959899381, RV_DATA!M191:'RV_DATA'!M211), 6)</f>
        <v>209.57</v>
      </c>
      <c r="Q216">
        <v>2</v>
      </c>
    </row>
    <row r="217" spans="1:17" ht="28.5" x14ac:dyDescent="0.2">
      <c r="A217" s="43" t="s">
        <v>510</v>
      </c>
      <c r="B217" s="35" t="s">
        <v>512</v>
      </c>
      <c r="C217" s="35" t="s">
        <v>397</v>
      </c>
      <c r="D217" s="36">
        <f>ROUND(SUMIF(RV_DATA!V191:'RV_DATA'!V211, 1435917604, RV_DATA!I191:'RV_DATA'!I211), 6)</f>
        <v>22.837499999999999</v>
      </c>
      <c r="E217" s="44">
        <f>ROUND(RV_DATA!K207, 6)</f>
        <v>7.67</v>
      </c>
      <c r="F217" s="44">
        <f>ROUND(SUMIF(RV_DATA!V191:'RV_DATA'!V211, 1435917604, RV_DATA!M191:'RV_DATA'!M211), 6)</f>
        <v>175.17</v>
      </c>
      <c r="Q217">
        <v>2</v>
      </c>
    </row>
    <row r="218" spans="1:17" ht="28.5" x14ac:dyDescent="0.2">
      <c r="A218" s="43" t="s">
        <v>500</v>
      </c>
      <c r="B218" s="35" t="s">
        <v>502</v>
      </c>
      <c r="C218" s="35" t="s">
        <v>397</v>
      </c>
      <c r="D218" s="36">
        <f>ROUND(SUMIF(RV_DATA!V191:'RV_DATA'!V211, -622644077, RV_DATA!I191:'RV_DATA'!I211), 6)</f>
        <v>2.5039340000000001</v>
      </c>
      <c r="E218" s="44">
        <f>ROUND(RV_DATA!K195, 6)</f>
        <v>3.96</v>
      </c>
      <c r="F218" s="44">
        <f>ROUND(SUMIF(RV_DATA!V191:'RV_DATA'!V211, -622644077, RV_DATA!M191:'RV_DATA'!M211), 6)</f>
        <v>9.89</v>
      </c>
      <c r="Q218">
        <v>2</v>
      </c>
    </row>
    <row r="219" spans="1:17" ht="14.25" x14ac:dyDescent="0.2">
      <c r="A219" s="43" t="s">
        <v>394</v>
      </c>
      <c r="B219" s="35" t="s">
        <v>396</v>
      </c>
      <c r="C219" s="35" t="s">
        <v>397</v>
      </c>
      <c r="D219" s="36">
        <f>ROUND(SUMIF(RV_DATA!V191:'RV_DATA'!V211, 1286183735, RV_DATA!I191:'RV_DATA'!I211), 6)</f>
        <v>6.3338000000000001</v>
      </c>
      <c r="E219" s="44">
        <f>ROUND(RV_DATA!K191, 6)</f>
        <v>6.28</v>
      </c>
      <c r="F219" s="44">
        <f>ROUND(SUMIF(RV_DATA!V191:'RV_DATA'!V211, 1286183735, RV_DATA!M191:'RV_DATA'!M211), 6)</f>
        <v>39.76</v>
      </c>
      <c r="Q219">
        <v>2</v>
      </c>
    </row>
    <row r="220" spans="1:17" ht="15" x14ac:dyDescent="0.25">
      <c r="A220" s="94" t="s">
        <v>631</v>
      </c>
      <c r="B220" s="94"/>
      <c r="C220" s="94"/>
      <c r="D220" s="94"/>
      <c r="E220" s="95">
        <f>SUMIF(Q216:Q219, 2, F216:F219)</f>
        <v>434.39</v>
      </c>
      <c r="F220" s="95"/>
    </row>
    <row r="221" spans="1:17" ht="14.25" x14ac:dyDescent="0.2">
      <c r="A221" s="92" t="s">
        <v>632</v>
      </c>
      <c r="B221" s="93"/>
      <c r="C221" s="93"/>
      <c r="D221" s="93"/>
      <c r="E221" s="93"/>
      <c r="F221" s="93"/>
    </row>
    <row r="222" spans="1:17" ht="28.5" x14ac:dyDescent="0.2">
      <c r="A222" s="43" t="s">
        <v>409</v>
      </c>
      <c r="B222" s="35" t="s">
        <v>411</v>
      </c>
      <c r="C222" s="35" t="s">
        <v>30</v>
      </c>
      <c r="D222" s="36">
        <f>ROUND(SUMIF(RV_DATA!V191:'RV_DATA'!V211, -1600164984, RV_DATA!I191:'RV_DATA'!I211), 6)</f>
        <v>9.6704999999999999E-2</v>
      </c>
      <c r="E222" s="44">
        <f>ROUND(RV_DATA!K205, 6)</f>
        <v>103472.53</v>
      </c>
      <c r="F222" s="44">
        <f>ROUND(SUMIF(RV_DATA!V191:'RV_DATA'!V211, -1600164984, RV_DATA!M191:'RV_DATA'!M211), 6)</f>
        <v>10006.32</v>
      </c>
      <c r="Q222">
        <v>3</v>
      </c>
    </row>
    <row r="223" spans="1:17" ht="14.25" x14ac:dyDescent="0.2">
      <c r="A223" s="43" t="s">
        <v>491</v>
      </c>
      <c r="B223" s="35" t="s">
        <v>493</v>
      </c>
      <c r="C223" s="35" t="s">
        <v>30</v>
      </c>
      <c r="D223" s="36">
        <f>ROUND(SUMIF(RV_DATA!V191:'RV_DATA'!V211, 1529741761, RV_DATA!I191:'RV_DATA'!I211), 6)</f>
        <v>1.0016000000000001E-2</v>
      </c>
      <c r="E223" s="44">
        <f>ROUND(RV_DATA!K194, 6)</f>
        <v>52914.53</v>
      </c>
      <c r="F223" s="44">
        <f>ROUND(SUMIF(RV_DATA!V191:'RV_DATA'!V211, 1529741761, RV_DATA!M191:'RV_DATA'!M211), 6)</f>
        <v>529.96</v>
      </c>
      <c r="Q223">
        <v>3</v>
      </c>
    </row>
    <row r="224" spans="1:17" ht="14.25" x14ac:dyDescent="0.2">
      <c r="A224" s="43" t="s">
        <v>491</v>
      </c>
      <c r="B224" s="35" t="s">
        <v>493</v>
      </c>
      <c r="C224" s="35" t="s">
        <v>30</v>
      </c>
      <c r="D224" s="36">
        <f>ROUND(SUMIF(RV_DATA!V191:'RV_DATA'!V211, -130737708, RV_DATA!I191:'RV_DATA'!I211), 6)</f>
        <v>0.50304199999999999</v>
      </c>
      <c r="E224" s="44">
        <f>ROUND(RV_DATA!K199, 6)</f>
        <v>52914.53</v>
      </c>
      <c r="F224" s="44">
        <f>ROUND(SUMIF(RV_DATA!V191:'RV_DATA'!V211, -130737708, RV_DATA!M191:'RV_DATA'!M211), 6)</f>
        <v>26618.1</v>
      </c>
      <c r="Q224">
        <v>3</v>
      </c>
    </row>
    <row r="225" spans="1:17" ht="28.5" x14ac:dyDescent="0.2">
      <c r="A225" s="43" t="s">
        <v>525</v>
      </c>
      <c r="B225" s="35" t="s">
        <v>527</v>
      </c>
      <c r="C225" s="35" t="s">
        <v>30</v>
      </c>
      <c r="D225" s="36">
        <f>ROUND(SUMIF(RV_DATA!V191:'RV_DATA'!V211, 1038090933, RV_DATA!I191:'RV_DATA'!I211), 6)</f>
        <v>8.6630000000000006E-3</v>
      </c>
      <c r="E225" s="44">
        <f>ROUND(RV_DATA!K210, 6)</f>
        <v>25931.93</v>
      </c>
      <c r="F225" s="44">
        <f>ROUND(SUMIF(RV_DATA!V191:'RV_DATA'!V211, 1038090933, RV_DATA!M191:'RV_DATA'!M211), 6)</f>
        <v>224.64</v>
      </c>
      <c r="Q225">
        <v>3</v>
      </c>
    </row>
    <row r="226" spans="1:17" ht="42.75" x14ac:dyDescent="0.2">
      <c r="A226" s="43" t="s">
        <v>504</v>
      </c>
      <c r="B226" s="35" t="s">
        <v>506</v>
      </c>
      <c r="C226" s="35" t="s">
        <v>225</v>
      </c>
      <c r="D226" s="36">
        <f>ROUND(SUMIF(RV_DATA!V191:'RV_DATA'!V211, -1029428952, RV_DATA!I191:'RV_DATA'!I211), 6)</f>
        <v>131.45655600000001</v>
      </c>
      <c r="E226" s="44">
        <f>ROUND(RV_DATA!K193, 6)</f>
        <v>28.19</v>
      </c>
      <c r="F226" s="44">
        <f>ROUND(SUMIF(RV_DATA!V191:'RV_DATA'!V211, -1029428952, RV_DATA!M191:'RV_DATA'!M211), 6)</f>
        <v>3705.76</v>
      </c>
      <c r="Q226">
        <v>3</v>
      </c>
    </row>
    <row r="227" spans="1:17" ht="57" x14ac:dyDescent="0.2">
      <c r="A227" s="43" t="s">
        <v>528</v>
      </c>
      <c r="B227" s="35" t="s">
        <v>530</v>
      </c>
      <c r="C227" s="35" t="s">
        <v>30</v>
      </c>
      <c r="D227" s="36">
        <f>ROUND(SUMIF(RV_DATA!V191:'RV_DATA'!V211, 766015812, RV_DATA!I191:'RV_DATA'!I211), 6)</f>
        <v>4.7093000000000003E-2</v>
      </c>
      <c r="E227" s="44">
        <f>ROUND(RV_DATA!K209, 6)</f>
        <v>70348.09</v>
      </c>
      <c r="F227" s="44">
        <f>ROUND(SUMIF(RV_DATA!V191:'RV_DATA'!V211, 766015812, RV_DATA!M191:'RV_DATA'!M211), 6)</f>
        <v>3312.87</v>
      </c>
      <c r="Q227">
        <v>3</v>
      </c>
    </row>
    <row r="228" spans="1:17" ht="28.5" x14ac:dyDescent="0.2">
      <c r="A228" s="43" t="s">
        <v>531</v>
      </c>
      <c r="B228" s="35" t="s">
        <v>533</v>
      </c>
      <c r="C228" s="35" t="s">
        <v>534</v>
      </c>
      <c r="D228" s="36">
        <f>ROUND(SUMIF(RV_DATA!V191:'RV_DATA'!V211, 1267773082, RV_DATA!I191:'RV_DATA'!I211), 6)</f>
        <v>14.8995</v>
      </c>
      <c r="E228" s="44">
        <f>ROUND(RV_DATA!K208, 6)</f>
        <v>80.150000000000006</v>
      </c>
      <c r="F228" s="44">
        <f>ROUND(SUMIF(RV_DATA!V191:'RV_DATA'!V211, 1267773082, RV_DATA!M191:'RV_DATA'!M211), 6)</f>
        <v>1194.2</v>
      </c>
      <c r="Q228">
        <v>3</v>
      </c>
    </row>
    <row r="229" spans="1:17" ht="14.25" x14ac:dyDescent="0.2">
      <c r="A229" s="43" t="s">
        <v>507</v>
      </c>
      <c r="B229" s="35" t="s">
        <v>509</v>
      </c>
      <c r="C229" s="35" t="s">
        <v>30</v>
      </c>
      <c r="D229" s="36">
        <f>ROUND(SUMIF(RV_DATA!V191:'RV_DATA'!V211, -1202253279, RV_DATA!I191:'RV_DATA'!I211), 6)</f>
        <v>2.1283E-2</v>
      </c>
      <c r="E229" s="44">
        <f>ROUND(RV_DATA!K192, 6)</f>
        <v>254205.88</v>
      </c>
      <c r="F229" s="44">
        <f>ROUND(SUMIF(RV_DATA!V191:'RV_DATA'!V211, -1202253279, RV_DATA!M191:'RV_DATA'!M211), 6)</f>
        <v>5410.38</v>
      </c>
      <c r="Q229">
        <v>3</v>
      </c>
    </row>
    <row r="230" spans="1:17" ht="14.25" x14ac:dyDescent="0.2">
      <c r="A230" s="43" t="s">
        <v>513</v>
      </c>
      <c r="B230" s="35" t="s">
        <v>515</v>
      </c>
      <c r="C230" s="35" t="s">
        <v>30</v>
      </c>
      <c r="D230" s="36">
        <f>ROUND(SUMIF(RV_DATA!V191:'RV_DATA'!V211, 306520948, RV_DATA!I191:'RV_DATA'!I211), 6)</f>
        <v>8.1899999999999994E-3</v>
      </c>
      <c r="E230" s="44">
        <f>ROUND(RV_DATA!K203, 6)</f>
        <v>91119.2</v>
      </c>
      <c r="F230" s="44">
        <f>ROUND(SUMIF(RV_DATA!V191:'RV_DATA'!V211, 306520948, RV_DATA!M191:'RV_DATA'!M211), 6)</f>
        <v>746.27</v>
      </c>
      <c r="Q230">
        <v>3</v>
      </c>
    </row>
    <row r="231" spans="1:17" ht="42.75" x14ac:dyDescent="0.2">
      <c r="A231" s="43" t="s">
        <v>516</v>
      </c>
      <c r="B231" s="35" t="s">
        <v>518</v>
      </c>
      <c r="C231" s="35" t="s">
        <v>206</v>
      </c>
      <c r="D231" s="36">
        <f>ROUND(SUMIF(RV_DATA!V191:'RV_DATA'!V211, 424516699, RV_DATA!I191:'RV_DATA'!I211), 6)</f>
        <v>3.4335</v>
      </c>
      <c r="E231" s="44">
        <f>ROUND(RV_DATA!K202, 6)</f>
        <v>9064.07</v>
      </c>
      <c r="F231" s="44">
        <f>ROUND(SUMIF(RV_DATA!V191:'RV_DATA'!V211, 424516699, RV_DATA!M191:'RV_DATA'!M211), 6)</f>
        <v>31121.5</v>
      </c>
      <c r="Q231">
        <v>3</v>
      </c>
    </row>
    <row r="232" spans="1:17" ht="42.75" x14ac:dyDescent="0.2">
      <c r="A232" s="43" t="s">
        <v>519</v>
      </c>
      <c r="B232" s="35" t="s">
        <v>521</v>
      </c>
      <c r="C232" s="35" t="s">
        <v>206</v>
      </c>
      <c r="D232" s="36">
        <f>ROUND(SUMIF(RV_DATA!V191:'RV_DATA'!V211, 1392106141, RV_DATA!I191:'RV_DATA'!I211), 6)</f>
        <v>4.2210000000000001</v>
      </c>
      <c r="E232" s="44">
        <f>ROUND(RV_DATA!K201, 6)</f>
        <v>6425.33</v>
      </c>
      <c r="F232" s="44">
        <f>ROUND(SUMIF(RV_DATA!V191:'RV_DATA'!V211, 1392106141, RV_DATA!M191:'RV_DATA'!M211), 6)</f>
        <v>27121.31</v>
      </c>
      <c r="Q232">
        <v>3</v>
      </c>
    </row>
    <row r="233" spans="1:17" ht="28.5" x14ac:dyDescent="0.2">
      <c r="A233" s="43" t="s">
        <v>494</v>
      </c>
      <c r="B233" s="35" t="s">
        <v>496</v>
      </c>
      <c r="C233" s="35" t="s">
        <v>206</v>
      </c>
      <c r="D233" s="36">
        <f>ROUND(SUMIF(RV_DATA!V191:'RV_DATA'!V211, 1636960052, RV_DATA!I191:'RV_DATA'!I211), 6)</f>
        <v>30.8736</v>
      </c>
      <c r="E233" s="44">
        <f>ROUND(RV_DATA!K198, 6)</f>
        <v>6697.08</v>
      </c>
      <c r="F233" s="44">
        <f>ROUND(SUMIF(RV_DATA!V191:'RV_DATA'!V211, 1636960052, RV_DATA!M191:'RV_DATA'!M211), 6)</f>
        <v>206763.07</v>
      </c>
      <c r="Q233">
        <v>3</v>
      </c>
    </row>
    <row r="234" spans="1:17" ht="28.5" x14ac:dyDescent="0.2">
      <c r="A234" s="43" t="s">
        <v>129</v>
      </c>
      <c r="B234" s="35" t="s">
        <v>342</v>
      </c>
      <c r="C234" s="35" t="s">
        <v>206</v>
      </c>
      <c r="D234" s="36">
        <f>ROUND(SUMIF(RV_DATA!V191:'RV_DATA'!V211, 82779127, RV_DATA!I191:'RV_DATA'!I211), 6)</f>
        <v>0</v>
      </c>
      <c r="E234" s="44">
        <f>ROUND(RV_DATA!K196, 6)</f>
        <v>14022.17</v>
      </c>
      <c r="F234" s="44">
        <f>ROUND(SUMIF(RV_DATA!V191:'RV_DATA'!V211, 82779127, RV_DATA!M191:'RV_DATA'!M211), 6)</f>
        <v>0</v>
      </c>
      <c r="Q234">
        <v>3</v>
      </c>
    </row>
    <row r="235" spans="1:17" ht="28.5" x14ac:dyDescent="0.2">
      <c r="A235" s="43" t="s">
        <v>129</v>
      </c>
      <c r="B235" s="35" t="s">
        <v>344</v>
      </c>
      <c r="C235" s="35" t="s">
        <v>206</v>
      </c>
      <c r="D235" s="36">
        <f>ROUND(SUMIF(RV_DATA!V191:'RV_DATA'!V211, -1796058557, RV_DATA!I191:'RV_DATA'!I211), 6)</f>
        <v>78.599999999999994</v>
      </c>
      <c r="E235" s="44">
        <f>ROUND(RV_DATA!K197, 6)</f>
        <v>14022.17</v>
      </c>
      <c r="F235" s="44">
        <f>ROUND(SUMIF(RV_DATA!V191:'RV_DATA'!V211, -1796058557, RV_DATA!M191:'RV_DATA'!M211), 6)</f>
        <v>1102142.56</v>
      </c>
      <c r="Q235">
        <v>3</v>
      </c>
    </row>
    <row r="236" spans="1:17" ht="28.5" x14ac:dyDescent="0.2">
      <c r="A236" s="43" t="s">
        <v>129</v>
      </c>
      <c r="B236" s="35" t="s">
        <v>354</v>
      </c>
      <c r="C236" s="35" t="s">
        <v>206</v>
      </c>
      <c r="D236" s="36">
        <f>ROUND(SUMIF(RV_DATA!V191:'RV_DATA'!V211, -190982825, RV_DATA!I191:'RV_DATA'!I211), 6)</f>
        <v>162</v>
      </c>
      <c r="E236" s="44">
        <f>ROUND(RV_DATA!K200, 6)</f>
        <v>19263.830000000002</v>
      </c>
      <c r="F236" s="44">
        <f>ROUND(SUMIF(RV_DATA!V191:'RV_DATA'!V211, -190982825, RV_DATA!M191:'RV_DATA'!M211), 6)</f>
        <v>3120740.46</v>
      </c>
      <c r="Q236">
        <v>3</v>
      </c>
    </row>
    <row r="237" spans="1:17" ht="15" x14ac:dyDescent="0.25">
      <c r="A237" s="94" t="s">
        <v>633</v>
      </c>
      <c r="B237" s="94"/>
      <c r="C237" s="94"/>
      <c r="D237" s="94"/>
      <c r="E237" s="95">
        <f>SUMIF(Q222:Q236, 3, F222:F236)</f>
        <v>4539637.4000000004</v>
      </c>
      <c r="F237" s="95"/>
    </row>
  </sheetData>
  <sortState ref="A222:R236">
    <sortCondition ref="A222"/>
  </sortState>
  <mergeCells count="119">
    <mergeCell ref="A2:F2"/>
    <mergeCell ref="A3:F3"/>
    <mergeCell ref="A4:A6"/>
    <mergeCell ref="B4:B6"/>
    <mergeCell ref="C4:C6"/>
    <mergeCell ref="D4:D6"/>
    <mergeCell ref="E4:F5"/>
    <mergeCell ref="A16:F16"/>
    <mergeCell ref="A18:D18"/>
    <mergeCell ref="E18:F18"/>
    <mergeCell ref="A19:F19"/>
    <mergeCell ref="A20:F20"/>
    <mergeCell ref="A22:D22"/>
    <mergeCell ref="E22:F22"/>
    <mergeCell ref="A8:F8"/>
    <mergeCell ref="A9:F9"/>
    <mergeCell ref="A10:F10"/>
    <mergeCell ref="A11:F11"/>
    <mergeCell ref="A15:D15"/>
    <mergeCell ref="E15:F15"/>
    <mergeCell ref="A40:F40"/>
    <mergeCell ref="A48:D48"/>
    <mergeCell ref="E48:F48"/>
    <mergeCell ref="A49:F49"/>
    <mergeCell ref="A50:F50"/>
    <mergeCell ref="A61:D61"/>
    <mergeCell ref="E61:F61"/>
    <mergeCell ref="A23:F23"/>
    <mergeCell ref="A30:D30"/>
    <mergeCell ref="E30:F30"/>
    <mergeCell ref="A31:F31"/>
    <mergeCell ref="A32:F32"/>
    <mergeCell ref="A39:D39"/>
    <mergeCell ref="E39:F39"/>
    <mergeCell ref="A73:D73"/>
    <mergeCell ref="E73:F73"/>
    <mergeCell ref="A74:F74"/>
    <mergeCell ref="A76:D76"/>
    <mergeCell ref="E76:F76"/>
    <mergeCell ref="A77:F77"/>
    <mergeCell ref="A62:F62"/>
    <mergeCell ref="A66:D66"/>
    <mergeCell ref="E66:F66"/>
    <mergeCell ref="A67:F67"/>
    <mergeCell ref="A68:F68"/>
    <mergeCell ref="A69:F69"/>
    <mergeCell ref="A89:F89"/>
    <mergeCell ref="A90:F90"/>
    <mergeCell ref="A97:D97"/>
    <mergeCell ref="E97:F97"/>
    <mergeCell ref="A98:F98"/>
    <mergeCell ref="A106:D106"/>
    <mergeCell ref="E106:F106"/>
    <mergeCell ref="A78:F78"/>
    <mergeCell ref="A80:D80"/>
    <mergeCell ref="E80:F80"/>
    <mergeCell ref="A81:F81"/>
    <mergeCell ref="A88:D88"/>
    <mergeCell ref="E88:F88"/>
    <mergeCell ref="A125:F125"/>
    <mergeCell ref="A126:F126"/>
    <mergeCell ref="A127:F127"/>
    <mergeCell ref="A131:D131"/>
    <mergeCell ref="E131:F131"/>
    <mergeCell ref="A132:F132"/>
    <mergeCell ref="A107:F107"/>
    <mergeCell ref="A108:F108"/>
    <mergeCell ref="A119:D119"/>
    <mergeCell ref="E119:F119"/>
    <mergeCell ref="A120:F120"/>
    <mergeCell ref="A124:D124"/>
    <mergeCell ref="E124:F124"/>
    <mergeCell ref="A144:F144"/>
    <mergeCell ref="A145:F145"/>
    <mergeCell ref="A152:D152"/>
    <mergeCell ref="E152:F152"/>
    <mergeCell ref="A153:F153"/>
    <mergeCell ref="A161:D161"/>
    <mergeCell ref="E161:F161"/>
    <mergeCell ref="A134:D134"/>
    <mergeCell ref="E134:F134"/>
    <mergeCell ref="A135:F135"/>
    <mergeCell ref="A136:F136"/>
    <mergeCell ref="A143:D143"/>
    <mergeCell ref="E143:F143"/>
    <mergeCell ref="A180:F180"/>
    <mergeCell ref="A181:F181"/>
    <mergeCell ref="A182:F182"/>
    <mergeCell ref="A183:F183"/>
    <mergeCell ref="A184:F184"/>
    <mergeCell ref="A185:F185"/>
    <mergeCell ref="A162:F162"/>
    <mergeCell ref="A163:F163"/>
    <mergeCell ref="A174:D174"/>
    <mergeCell ref="E174:F174"/>
    <mergeCell ref="A175:F175"/>
    <mergeCell ref="A179:D179"/>
    <mergeCell ref="E179:F179"/>
    <mergeCell ref="A203:F203"/>
    <mergeCell ref="A204:F204"/>
    <mergeCell ref="A205:F205"/>
    <mergeCell ref="A210:D210"/>
    <mergeCell ref="E210:F210"/>
    <mergeCell ref="A211:F211"/>
    <mergeCell ref="A196:D196"/>
    <mergeCell ref="E196:F196"/>
    <mergeCell ref="A197:F197"/>
    <mergeCell ref="A201:D201"/>
    <mergeCell ref="E201:F201"/>
    <mergeCell ref="A202:F202"/>
    <mergeCell ref="A221:F221"/>
    <mergeCell ref="A237:D237"/>
    <mergeCell ref="E237:F237"/>
    <mergeCell ref="A213:D213"/>
    <mergeCell ref="E213:F213"/>
    <mergeCell ref="A214:F214"/>
    <mergeCell ref="A215:F215"/>
    <mergeCell ref="A220:D220"/>
    <mergeCell ref="E220:F220"/>
  </mergeCells>
  <pageMargins left="0.6" right="0.4" top="0.65" bottom="0.4" header="0.4" footer="0.4"/>
  <pageSetup paperSize="9" scale="90" fitToHeight="0" orientation="portrait" verticalDpi="0" r:id="rId1"/>
  <headerFooter>
    <oddHeader>&amp;C&amp;P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1086"/>
  <sheetViews>
    <sheetView topLeftCell="A925" workbookViewId="0">
      <selection activeCell="I937" sqref="I937"/>
    </sheetView>
  </sheetViews>
  <sheetFormatPr defaultColWidth="9.140625" defaultRowHeight="12.75" x14ac:dyDescent="0.2"/>
  <cols>
    <col min="1" max="256" width="9.140625" customWidth="1"/>
  </cols>
  <sheetData>
    <row r="1" spans="1:133" x14ac:dyDescent="0.2">
      <c r="A1">
        <v>0</v>
      </c>
      <c r="B1" t="s">
        <v>0</v>
      </c>
      <c r="D1" t="s">
        <v>1</v>
      </c>
      <c r="F1">
        <v>0</v>
      </c>
      <c r="G1">
        <v>0</v>
      </c>
      <c r="H1">
        <v>0</v>
      </c>
      <c r="I1" t="s">
        <v>2</v>
      </c>
      <c r="J1" t="s">
        <v>3</v>
      </c>
      <c r="K1">
        <v>0</v>
      </c>
      <c r="L1">
        <v>30192</v>
      </c>
      <c r="M1">
        <v>10</v>
      </c>
      <c r="N1">
        <v>11</v>
      </c>
      <c r="O1">
        <v>1</v>
      </c>
      <c r="P1">
        <v>0</v>
      </c>
      <c r="Q1">
        <v>1</v>
      </c>
    </row>
    <row r="12" spans="1:133" x14ac:dyDescent="0.2">
      <c r="A12" s="1">
        <v>1</v>
      </c>
      <c r="B12" s="1">
        <v>1082</v>
      </c>
      <c r="C12" s="1">
        <v>0</v>
      </c>
      <c r="D12" s="1">
        <f>ROW(A1047)</f>
        <v>1047</v>
      </c>
      <c r="E12" s="1">
        <v>0</v>
      </c>
      <c r="F12" s="1" t="s">
        <v>4</v>
      </c>
      <c r="G12" s="1" t="s">
        <v>4</v>
      </c>
      <c r="H12" s="1" t="s">
        <v>3</v>
      </c>
      <c r="I12" s="1">
        <v>0</v>
      </c>
      <c r="J12" s="1" t="s">
        <v>3</v>
      </c>
      <c r="K12" s="1">
        <v>0</v>
      </c>
      <c r="L12" s="1"/>
      <c r="M12" s="1"/>
      <c r="N12" s="1"/>
      <c r="O12" s="1">
        <v>0</v>
      </c>
      <c r="P12" s="1">
        <v>0</v>
      </c>
      <c r="Q12" s="1">
        <v>0</v>
      </c>
      <c r="R12" s="1">
        <v>108</v>
      </c>
      <c r="S12" s="1"/>
      <c r="T12" s="1"/>
      <c r="U12" s="1" t="s">
        <v>3</v>
      </c>
      <c r="V12" s="1">
        <v>0</v>
      </c>
      <c r="W12" s="1" t="s">
        <v>3</v>
      </c>
      <c r="X12" s="1" t="s">
        <v>3</v>
      </c>
      <c r="Y12" s="1" t="s">
        <v>3</v>
      </c>
      <c r="Z12" s="1" t="s">
        <v>3</v>
      </c>
      <c r="AA12" s="1" t="s">
        <v>3</v>
      </c>
      <c r="AB12" s="1" t="s">
        <v>3</v>
      </c>
      <c r="AC12" s="1" t="s">
        <v>3</v>
      </c>
      <c r="AD12" s="1" t="s">
        <v>3</v>
      </c>
      <c r="AE12" s="1" t="s">
        <v>3</v>
      </c>
      <c r="AF12" s="1" t="s">
        <v>3</v>
      </c>
      <c r="AG12" s="1" t="s">
        <v>3</v>
      </c>
      <c r="AH12" s="1" t="s">
        <v>3</v>
      </c>
      <c r="AI12" s="1" t="s">
        <v>3</v>
      </c>
      <c r="AJ12" s="1" t="s">
        <v>3</v>
      </c>
      <c r="AK12" s="1"/>
      <c r="AL12" s="1" t="s">
        <v>3</v>
      </c>
      <c r="AM12" s="1" t="s">
        <v>3</v>
      </c>
      <c r="AN12" s="1" t="s">
        <v>3</v>
      </c>
      <c r="AO12" s="1"/>
      <c r="AP12" s="1" t="s">
        <v>3</v>
      </c>
      <c r="AQ12" s="1" t="s">
        <v>3</v>
      </c>
      <c r="AR12" s="1" t="s">
        <v>3</v>
      </c>
      <c r="AS12" s="1"/>
      <c r="AT12" s="1"/>
      <c r="AU12" s="1"/>
      <c r="AV12" s="1"/>
      <c r="AW12" s="1"/>
      <c r="AX12" s="1" t="s">
        <v>3</v>
      </c>
      <c r="AY12" s="1" t="s">
        <v>3</v>
      </c>
      <c r="AZ12" s="1" t="s">
        <v>3</v>
      </c>
      <c r="BA12" s="1"/>
      <c r="BB12" s="1"/>
      <c r="BC12" s="1"/>
      <c r="BD12" s="1"/>
      <c r="BE12" s="1"/>
      <c r="BF12" s="1"/>
      <c r="BG12" s="1"/>
      <c r="BH12" s="1" t="s">
        <v>5</v>
      </c>
      <c r="BI12" s="1" t="s">
        <v>6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0</v>
      </c>
      <c r="BP12" s="1">
        <v>6</v>
      </c>
      <c r="BQ12" s="1">
        <v>2</v>
      </c>
      <c r="BR12" s="1">
        <v>1</v>
      </c>
      <c r="BS12" s="1">
        <v>1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 t="s">
        <v>7</v>
      </c>
      <c r="BZ12" s="1" t="s">
        <v>8</v>
      </c>
      <c r="CA12" s="1" t="s">
        <v>9</v>
      </c>
      <c r="CB12" s="1" t="s">
        <v>9</v>
      </c>
      <c r="CC12" s="1" t="s">
        <v>9</v>
      </c>
      <c r="CD12" s="1" t="s">
        <v>9</v>
      </c>
      <c r="CE12" s="1" t="s">
        <v>10</v>
      </c>
      <c r="CF12" s="1">
        <v>0</v>
      </c>
      <c r="CG12" s="1">
        <v>0</v>
      </c>
      <c r="CH12" s="1">
        <v>8</v>
      </c>
      <c r="CI12" s="1" t="s">
        <v>3</v>
      </c>
      <c r="CJ12" s="1" t="s">
        <v>3</v>
      </c>
      <c r="CK12" s="1">
        <v>3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>
        <v>0</v>
      </c>
    </row>
    <row r="15" spans="1:133" x14ac:dyDescent="0.2">
      <c r="A15" s="1">
        <v>15</v>
      </c>
      <c r="B15" s="1">
        <v>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</row>
    <row r="18" spans="1:245" x14ac:dyDescent="0.2">
      <c r="A18" s="2">
        <v>52</v>
      </c>
      <c r="B18" s="2">
        <f t="shared" ref="B18:G18" si="0">B1047</f>
        <v>1082</v>
      </c>
      <c r="C18" s="2">
        <f t="shared" si="0"/>
        <v>1</v>
      </c>
      <c r="D18" s="2">
        <f t="shared" si="0"/>
        <v>12</v>
      </c>
      <c r="E18" s="2">
        <f t="shared" si="0"/>
        <v>0</v>
      </c>
      <c r="F18" s="2" t="str">
        <f t="shared" si="0"/>
        <v>Новый объединенный объект</v>
      </c>
      <c r="G18" s="2" t="str">
        <f t="shared" si="0"/>
        <v>Новый объединенный объект</v>
      </c>
      <c r="H18" s="2"/>
      <c r="I18" s="2"/>
      <c r="J18" s="2"/>
      <c r="K18" s="2"/>
      <c r="L18" s="2"/>
      <c r="M18" s="2"/>
      <c r="N18" s="2"/>
      <c r="O18" s="2">
        <f t="shared" ref="O18:AT18" si="1">O1047</f>
        <v>7755987.5</v>
      </c>
      <c r="P18" s="2">
        <f t="shared" si="1"/>
        <v>6970216.4800000004</v>
      </c>
      <c r="Q18" s="2">
        <f t="shared" si="1"/>
        <v>178709.04</v>
      </c>
      <c r="R18" s="2">
        <f t="shared" si="1"/>
        <v>72837.460000000006</v>
      </c>
      <c r="S18" s="2">
        <f t="shared" si="1"/>
        <v>607061.98</v>
      </c>
      <c r="T18" s="2">
        <f t="shared" si="1"/>
        <v>0</v>
      </c>
      <c r="U18" s="2">
        <f t="shared" si="1"/>
        <v>3177.0282167599999</v>
      </c>
      <c r="V18" s="2">
        <f t="shared" si="1"/>
        <v>0</v>
      </c>
      <c r="W18" s="2">
        <f t="shared" si="1"/>
        <v>0</v>
      </c>
      <c r="X18" s="2">
        <f t="shared" si="1"/>
        <v>424943.42</v>
      </c>
      <c r="Y18" s="2">
        <f t="shared" si="1"/>
        <v>60706.23</v>
      </c>
      <c r="Z18" s="2">
        <f t="shared" si="1"/>
        <v>0</v>
      </c>
      <c r="AA18" s="2">
        <f t="shared" si="1"/>
        <v>0</v>
      </c>
      <c r="AB18" s="2">
        <f t="shared" si="1"/>
        <v>0</v>
      </c>
      <c r="AC18" s="2">
        <f t="shared" si="1"/>
        <v>0</v>
      </c>
      <c r="AD18" s="2">
        <f t="shared" si="1"/>
        <v>0</v>
      </c>
      <c r="AE18" s="2">
        <f t="shared" si="1"/>
        <v>0</v>
      </c>
      <c r="AF18" s="2">
        <f t="shared" si="1"/>
        <v>0</v>
      </c>
      <c r="AG18" s="2">
        <f t="shared" si="1"/>
        <v>0</v>
      </c>
      <c r="AH18" s="2">
        <f t="shared" si="1"/>
        <v>0</v>
      </c>
      <c r="AI18" s="2">
        <f t="shared" si="1"/>
        <v>0</v>
      </c>
      <c r="AJ18" s="2">
        <f t="shared" si="1"/>
        <v>0</v>
      </c>
      <c r="AK18" s="2">
        <f t="shared" si="1"/>
        <v>0</v>
      </c>
      <c r="AL18" s="2">
        <f t="shared" si="1"/>
        <v>0</v>
      </c>
      <c r="AM18" s="2">
        <f t="shared" si="1"/>
        <v>0</v>
      </c>
      <c r="AN18" s="2">
        <f t="shared" si="1"/>
        <v>0</v>
      </c>
      <c r="AO18" s="2">
        <f t="shared" si="1"/>
        <v>0</v>
      </c>
      <c r="AP18" s="2">
        <f t="shared" si="1"/>
        <v>0</v>
      </c>
      <c r="AQ18" s="2">
        <f t="shared" si="1"/>
        <v>0</v>
      </c>
      <c r="AR18" s="2">
        <f t="shared" si="1"/>
        <v>8269169.9500000002</v>
      </c>
      <c r="AS18" s="2">
        <f t="shared" si="1"/>
        <v>3455692.2</v>
      </c>
      <c r="AT18" s="2">
        <f t="shared" si="1"/>
        <v>0</v>
      </c>
      <c r="AU18" s="2">
        <f t="shared" ref="AU18:BZ18" si="2">AU1047</f>
        <v>4813477.75</v>
      </c>
      <c r="AV18" s="2">
        <f t="shared" si="2"/>
        <v>6970216.4800000004</v>
      </c>
      <c r="AW18" s="2">
        <f t="shared" si="2"/>
        <v>6970216.4800000004</v>
      </c>
      <c r="AX18" s="2">
        <f t="shared" si="2"/>
        <v>0</v>
      </c>
      <c r="AY18" s="2">
        <f t="shared" si="2"/>
        <v>6970216.4800000004</v>
      </c>
      <c r="AZ18" s="2">
        <f t="shared" si="2"/>
        <v>0</v>
      </c>
      <c r="BA18" s="2">
        <f t="shared" si="2"/>
        <v>0</v>
      </c>
      <c r="BB18" s="2">
        <f t="shared" si="2"/>
        <v>0</v>
      </c>
      <c r="BC18" s="2">
        <f t="shared" si="2"/>
        <v>0</v>
      </c>
      <c r="BD18" s="2">
        <f t="shared" si="2"/>
        <v>0</v>
      </c>
      <c r="BE18" s="2">
        <f t="shared" si="2"/>
        <v>0</v>
      </c>
      <c r="BF18" s="2">
        <f t="shared" si="2"/>
        <v>0</v>
      </c>
      <c r="BG18" s="2">
        <f t="shared" si="2"/>
        <v>0</v>
      </c>
      <c r="BH18" s="2">
        <f t="shared" si="2"/>
        <v>0</v>
      </c>
      <c r="BI18" s="2">
        <f t="shared" si="2"/>
        <v>0</v>
      </c>
      <c r="BJ18" s="2">
        <f t="shared" si="2"/>
        <v>0</v>
      </c>
      <c r="BK18" s="2">
        <f t="shared" si="2"/>
        <v>0</v>
      </c>
      <c r="BL18" s="2">
        <f t="shared" si="2"/>
        <v>0</v>
      </c>
      <c r="BM18" s="2">
        <f t="shared" si="2"/>
        <v>0</v>
      </c>
      <c r="BN18" s="2">
        <f t="shared" si="2"/>
        <v>0</v>
      </c>
      <c r="BO18" s="2">
        <f t="shared" si="2"/>
        <v>0</v>
      </c>
      <c r="BP18" s="2">
        <f t="shared" si="2"/>
        <v>0</v>
      </c>
      <c r="BQ18" s="2">
        <f t="shared" si="2"/>
        <v>0</v>
      </c>
      <c r="BR18" s="2">
        <f t="shared" si="2"/>
        <v>0</v>
      </c>
      <c r="BS18" s="2">
        <f t="shared" si="2"/>
        <v>0</v>
      </c>
      <c r="BT18" s="2">
        <f t="shared" si="2"/>
        <v>0</v>
      </c>
      <c r="BU18" s="2">
        <f t="shared" si="2"/>
        <v>0</v>
      </c>
      <c r="BV18" s="2">
        <f t="shared" si="2"/>
        <v>0</v>
      </c>
      <c r="BW18" s="2">
        <f t="shared" si="2"/>
        <v>0</v>
      </c>
      <c r="BX18" s="2">
        <f t="shared" si="2"/>
        <v>0</v>
      </c>
      <c r="BY18" s="2">
        <f t="shared" si="2"/>
        <v>0</v>
      </c>
      <c r="BZ18" s="2">
        <f t="shared" si="2"/>
        <v>0</v>
      </c>
      <c r="CA18" s="2">
        <f t="shared" ref="CA18:DF18" si="3">CA1047</f>
        <v>0</v>
      </c>
      <c r="CB18" s="2">
        <f t="shared" si="3"/>
        <v>0</v>
      </c>
      <c r="CC18" s="2">
        <f t="shared" si="3"/>
        <v>0</v>
      </c>
      <c r="CD18" s="2">
        <f t="shared" si="3"/>
        <v>0</v>
      </c>
      <c r="CE18" s="2">
        <f t="shared" si="3"/>
        <v>0</v>
      </c>
      <c r="CF18" s="2">
        <f t="shared" si="3"/>
        <v>0</v>
      </c>
      <c r="CG18" s="2">
        <f t="shared" si="3"/>
        <v>0</v>
      </c>
      <c r="CH18" s="2">
        <f t="shared" si="3"/>
        <v>0</v>
      </c>
      <c r="CI18" s="2">
        <f t="shared" si="3"/>
        <v>0</v>
      </c>
      <c r="CJ18" s="2">
        <f t="shared" si="3"/>
        <v>0</v>
      </c>
      <c r="CK18" s="2">
        <f t="shared" si="3"/>
        <v>0</v>
      </c>
      <c r="CL18" s="2">
        <f t="shared" si="3"/>
        <v>0</v>
      </c>
      <c r="CM18" s="2">
        <f t="shared" si="3"/>
        <v>0</v>
      </c>
      <c r="CN18" s="2">
        <f t="shared" si="3"/>
        <v>0</v>
      </c>
      <c r="CO18" s="2">
        <f t="shared" si="3"/>
        <v>0</v>
      </c>
      <c r="CP18" s="2">
        <f t="shared" si="3"/>
        <v>0</v>
      </c>
      <c r="CQ18" s="2">
        <f t="shared" si="3"/>
        <v>0</v>
      </c>
      <c r="CR18" s="2">
        <f t="shared" si="3"/>
        <v>0</v>
      </c>
      <c r="CS18" s="2">
        <f t="shared" si="3"/>
        <v>0</v>
      </c>
      <c r="CT18" s="2">
        <f t="shared" si="3"/>
        <v>0</v>
      </c>
      <c r="CU18" s="2">
        <f t="shared" si="3"/>
        <v>0</v>
      </c>
      <c r="CV18" s="2">
        <f t="shared" si="3"/>
        <v>0</v>
      </c>
      <c r="CW18" s="2">
        <f t="shared" si="3"/>
        <v>0</v>
      </c>
      <c r="CX18" s="2">
        <f t="shared" si="3"/>
        <v>0</v>
      </c>
      <c r="CY18" s="2">
        <f t="shared" si="3"/>
        <v>0</v>
      </c>
      <c r="CZ18" s="2">
        <f t="shared" si="3"/>
        <v>0</v>
      </c>
      <c r="DA18" s="2">
        <f t="shared" si="3"/>
        <v>0</v>
      </c>
      <c r="DB18" s="2">
        <f t="shared" si="3"/>
        <v>0</v>
      </c>
      <c r="DC18" s="2">
        <f t="shared" si="3"/>
        <v>0</v>
      </c>
      <c r="DD18" s="2">
        <f t="shared" si="3"/>
        <v>0</v>
      </c>
      <c r="DE18" s="2">
        <f t="shared" si="3"/>
        <v>0</v>
      </c>
      <c r="DF18" s="2">
        <f t="shared" si="3"/>
        <v>0</v>
      </c>
      <c r="DG18" s="3">
        <f t="shared" ref="DG18:EL18" si="4">DG1047</f>
        <v>0</v>
      </c>
      <c r="DH18" s="3">
        <f t="shared" si="4"/>
        <v>0</v>
      </c>
      <c r="DI18" s="3">
        <f t="shared" si="4"/>
        <v>0</v>
      </c>
      <c r="DJ18" s="3">
        <f t="shared" si="4"/>
        <v>0</v>
      </c>
      <c r="DK18" s="3">
        <f t="shared" si="4"/>
        <v>0</v>
      </c>
      <c r="DL18" s="3">
        <f t="shared" si="4"/>
        <v>0</v>
      </c>
      <c r="DM18" s="3">
        <f t="shared" si="4"/>
        <v>0</v>
      </c>
      <c r="DN18" s="3">
        <f t="shared" si="4"/>
        <v>0</v>
      </c>
      <c r="DO18" s="3">
        <f t="shared" si="4"/>
        <v>0</v>
      </c>
      <c r="DP18" s="3">
        <f t="shared" si="4"/>
        <v>0</v>
      </c>
      <c r="DQ18" s="3">
        <f t="shared" si="4"/>
        <v>0</v>
      </c>
      <c r="DR18" s="3">
        <f t="shared" si="4"/>
        <v>0</v>
      </c>
      <c r="DS18" s="3">
        <f t="shared" si="4"/>
        <v>0</v>
      </c>
      <c r="DT18" s="3">
        <f t="shared" si="4"/>
        <v>0</v>
      </c>
      <c r="DU18" s="3">
        <f t="shared" si="4"/>
        <v>0</v>
      </c>
      <c r="DV18" s="3">
        <f t="shared" si="4"/>
        <v>0</v>
      </c>
      <c r="DW18" s="3">
        <f t="shared" si="4"/>
        <v>0</v>
      </c>
      <c r="DX18" s="3">
        <f t="shared" si="4"/>
        <v>0</v>
      </c>
      <c r="DY18" s="3">
        <f t="shared" si="4"/>
        <v>0</v>
      </c>
      <c r="DZ18" s="3">
        <f t="shared" si="4"/>
        <v>0</v>
      </c>
      <c r="EA18" s="3">
        <f t="shared" si="4"/>
        <v>0</v>
      </c>
      <c r="EB18" s="3">
        <f t="shared" si="4"/>
        <v>0</v>
      </c>
      <c r="EC18" s="3">
        <f t="shared" si="4"/>
        <v>0</v>
      </c>
      <c r="ED18" s="3">
        <f t="shared" si="4"/>
        <v>0</v>
      </c>
      <c r="EE18" s="3">
        <f t="shared" si="4"/>
        <v>0</v>
      </c>
      <c r="EF18" s="3">
        <f t="shared" si="4"/>
        <v>0</v>
      </c>
      <c r="EG18" s="3">
        <f t="shared" si="4"/>
        <v>0</v>
      </c>
      <c r="EH18" s="3">
        <f t="shared" si="4"/>
        <v>0</v>
      </c>
      <c r="EI18" s="3">
        <f t="shared" si="4"/>
        <v>0</v>
      </c>
      <c r="EJ18" s="3">
        <f t="shared" si="4"/>
        <v>0</v>
      </c>
      <c r="EK18" s="3">
        <f t="shared" si="4"/>
        <v>0</v>
      </c>
      <c r="EL18" s="3">
        <f t="shared" si="4"/>
        <v>0</v>
      </c>
      <c r="EM18" s="3">
        <f t="shared" ref="EM18:FR18" si="5">EM1047</f>
        <v>0</v>
      </c>
      <c r="EN18" s="3">
        <f t="shared" si="5"/>
        <v>0</v>
      </c>
      <c r="EO18" s="3">
        <f t="shared" si="5"/>
        <v>0</v>
      </c>
      <c r="EP18" s="3">
        <f t="shared" si="5"/>
        <v>0</v>
      </c>
      <c r="EQ18" s="3">
        <f t="shared" si="5"/>
        <v>0</v>
      </c>
      <c r="ER18" s="3">
        <f t="shared" si="5"/>
        <v>0</v>
      </c>
      <c r="ES18" s="3">
        <f t="shared" si="5"/>
        <v>0</v>
      </c>
      <c r="ET18" s="3">
        <f t="shared" si="5"/>
        <v>0</v>
      </c>
      <c r="EU18" s="3">
        <f t="shared" si="5"/>
        <v>0</v>
      </c>
      <c r="EV18" s="3">
        <f t="shared" si="5"/>
        <v>0</v>
      </c>
      <c r="EW18" s="3">
        <f t="shared" si="5"/>
        <v>0</v>
      </c>
      <c r="EX18" s="3">
        <f t="shared" si="5"/>
        <v>0</v>
      </c>
      <c r="EY18" s="3">
        <f t="shared" si="5"/>
        <v>0</v>
      </c>
      <c r="EZ18" s="3">
        <f t="shared" si="5"/>
        <v>0</v>
      </c>
      <c r="FA18" s="3">
        <f t="shared" si="5"/>
        <v>0</v>
      </c>
      <c r="FB18" s="3">
        <f t="shared" si="5"/>
        <v>0</v>
      </c>
      <c r="FC18" s="3">
        <f t="shared" si="5"/>
        <v>0</v>
      </c>
      <c r="FD18" s="3">
        <f t="shared" si="5"/>
        <v>0</v>
      </c>
      <c r="FE18" s="3">
        <f t="shared" si="5"/>
        <v>0</v>
      </c>
      <c r="FF18" s="3">
        <f t="shared" si="5"/>
        <v>0</v>
      </c>
      <c r="FG18" s="3">
        <f t="shared" si="5"/>
        <v>0</v>
      </c>
      <c r="FH18" s="3">
        <f t="shared" si="5"/>
        <v>0</v>
      </c>
      <c r="FI18" s="3">
        <f t="shared" si="5"/>
        <v>0</v>
      </c>
      <c r="FJ18" s="3">
        <f t="shared" si="5"/>
        <v>0</v>
      </c>
      <c r="FK18" s="3">
        <f t="shared" si="5"/>
        <v>0</v>
      </c>
      <c r="FL18" s="3">
        <f t="shared" si="5"/>
        <v>0</v>
      </c>
      <c r="FM18" s="3">
        <f t="shared" si="5"/>
        <v>0</v>
      </c>
      <c r="FN18" s="3">
        <f t="shared" si="5"/>
        <v>0</v>
      </c>
      <c r="FO18" s="3">
        <f t="shared" si="5"/>
        <v>0</v>
      </c>
      <c r="FP18" s="3">
        <f t="shared" si="5"/>
        <v>0</v>
      </c>
      <c r="FQ18" s="3">
        <f t="shared" si="5"/>
        <v>0</v>
      </c>
      <c r="FR18" s="3">
        <f t="shared" si="5"/>
        <v>0</v>
      </c>
      <c r="FS18" s="3">
        <f t="shared" ref="FS18:GX18" si="6">FS1047</f>
        <v>0</v>
      </c>
      <c r="FT18" s="3">
        <f t="shared" si="6"/>
        <v>0</v>
      </c>
      <c r="FU18" s="3">
        <f t="shared" si="6"/>
        <v>0</v>
      </c>
      <c r="FV18" s="3">
        <f t="shared" si="6"/>
        <v>0</v>
      </c>
      <c r="FW18" s="3">
        <f t="shared" si="6"/>
        <v>0</v>
      </c>
      <c r="FX18" s="3">
        <f t="shared" si="6"/>
        <v>0</v>
      </c>
      <c r="FY18" s="3">
        <f t="shared" si="6"/>
        <v>0</v>
      </c>
      <c r="FZ18" s="3">
        <f t="shared" si="6"/>
        <v>0</v>
      </c>
      <c r="GA18" s="3">
        <f t="shared" si="6"/>
        <v>0</v>
      </c>
      <c r="GB18" s="3">
        <f t="shared" si="6"/>
        <v>0</v>
      </c>
      <c r="GC18" s="3">
        <f t="shared" si="6"/>
        <v>0</v>
      </c>
      <c r="GD18" s="3">
        <f t="shared" si="6"/>
        <v>0</v>
      </c>
      <c r="GE18" s="3">
        <f t="shared" si="6"/>
        <v>0</v>
      </c>
      <c r="GF18" s="3">
        <f t="shared" si="6"/>
        <v>0</v>
      </c>
      <c r="GG18" s="3">
        <f t="shared" si="6"/>
        <v>0</v>
      </c>
      <c r="GH18" s="3">
        <f t="shared" si="6"/>
        <v>0</v>
      </c>
      <c r="GI18" s="3">
        <f t="shared" si="6"/>
        <v>0</v>
      </c>
      <c r="GJ18" s="3">
        <f t="shared" si="6"/>
        <v>0</v>
      </c>
      <c r="GK18" s="3">
        <f t="shared" si="6"/>
        <v>0</v>
      </c>
      <c r="GL18" s="3">
        <f t="shared" si="6"/>
        <v>0</v>
      </c>
      <c r="GM18" s="3">
        <f t="shared" si="6"/>
        <v>0</v>
      </c>
      <c r="GN18" s="3">
        <f t="shared" si="6"/>
        <v>0</v>
      </c>
      <c r="GO18" s="3">
        <f t="shared" si="6"/>
        <v>0</v>
      </c>
      <c r="GP18" s="3">
        <f t="shared" si="6"/>
        <v>0</v>
      </c>
      <c r="GQ18" s="3">
        <f t="shared" si="6"/>
        <v>0</v>
      </c>
      <c r="GR18" s="3">
        <f t="shared" si="6"/>
        <v>0</v>
      </c>
      <c r="GS18" s="3">
        <f t="shared" si="6"/>
        <v>0</v>
      </c>
      <c r="GT18" s="3">
        <f t="shared" si="6"/>
        <v>0</v>
      </c>
      <c r="GU18" s="3">
        <f t="shared" si="6"/>
        <v>0</v>
      </c>
      <c r="GV18" s="3">
        <f t="shared" si="6"/>
        <v>0</v>
      </c>
      <c r="GW18" s="3">
        <f t="shared" si="6"/>
        <v>0</v>
      </c>
      <c r="GX18" s="3">
        <f t="shared" si="6"/>
        <v>0</v>
      </c>
    </row>
    <row r="20" spans="1:245" x14ac:dyDescent="0.2">
      <c r="A20" s="1">
        <v>3</v>
      </c>
      <c r="B20" s="1">
        <v>1</v>
      </c>
      <c r="C20" s="1"/>
      <c r="D20" s="1">
        <f>ROW(A845)</f>
        <v>845</v>
      </c>
      <c r="E20" s="1"/>
      <c r="F20" s="1" t="s">
        <v>11</v>
      </c>
      <c r="G20" s="1" t="s">
        <v>12</v>
      </c>
      <c r="H20" s="1" t="s">
        <v>3</v>
      </c>
      <c r="I20" s="1">
        <v>0</v>
      </c>
      <c r="J20" s="1" t="s">
        <v>3</v>
      </c>
      <c r="K20" s="1">
        <v>-1</v>
      </c>
      <c r="L20" s="1" t="s">
        <v>3</v>
      </c>
      <c r="M20" s="1"/>
      <c r="N20" s="1"/>
      <c r="O20" s="1"/>
      <c r="P20" s="1"/>
      <c r="Q20" s="1"/>
      <c r="R20" s="1"/>
      <c r="S20" s="1"/>
      <c r="T20" s="1"/>
      <c r="U20" s="1" t="s">
        <v>3</v>
      </c>
      <c r="V20" s="1">
        <v>0</v>
      </c>
      <c r="W20" s="1"/>
      <c r="X20" s="1"/>
      <c r="Y20" s="1"/>
      <c r="Z20" s="1"/>
      <c r="AA20" s="1"/>
      <c r="AB20" s="1" t="s">
        <v>3</v>
      </c>
      <c r="AC20" s="1" t="s">
        <v>3</v>
      </c>
      <c r="AD20" s="1" t="s">
        <v>3</v>
      </c>
      <c r="AE20" s="1" t="s">
        <v>3</v>
      </c>
      <c r="AF20" s="1" t="s">
        <v>13</v>
      </c>
      <c r="AG20" s="1" t="s">
        <v>14</v>
      </c>
      <c r="AH20" s="1"/>
      <c r="AI20" s="1"/>
      <c r="AJ20" s="1"/>
      <c r="AK20" s="1"/>
      <c r="AL20" s="1"/>
      <c r="AM20" s="1"/>
      <c r="AN20" s="1"/>
      <c r="AO20" s="1"/>
      <c r="AP20" s="1" t="s">
        <v>3</v>
      </c>
      <c r="AQ20" s="1" t="s">
        <v>3</v>
      </c>
      <c r="AR20" s="1" t="s">
        <v>3</v>
      </c>
      <c r="AS20" s="1"/>
      <c r="AT20" s="1"/>
      <c r="AU20" s="1"/>
      <c r="AV20" s="1"/>
      <c r="AW20" s="1"/>
      <c r="AX20" s="1"/>
      <c r="AY20" s="1"/>
      <c r="AZ20" s="1" t="s">
        <v>3</v>
      </c>
      <c r="BA20" s="1"/>
      <c r="BB20" s="1" t="s">
        <v>3</v>
      </c>
      <c r="BC20" s="1" t="s">
        <v>3</v>
      </c>
      <c r="BD20" s="1" t="s">
        <v>3</v>
      </c>
      <c r="BE20" s="1" t="s">
        <v>3</v>
      </c>
      <c r="BF20" s="1" t="s">
        <v>3</v>
      </c>
      <c r="BG20" s="1" t="s">
        <v>3</v>
      </c>
      <c r="BH20" s="1" t="s">
        <v>3</v>
      </c>
      <c r="BI20" s="1" t="s">
        <v>3</v>
      </c>
      <c r="BJ20" s="1" t="s">
        <v>3</v>
      </c>
      <c r="BK20" s="1" t="s">
        <v>3</v>
      </c>
      <c r="BL20" s="1" t="s">
        <v>3</v>
      </c>
      <c r="BM20" s="1" t="s">
        <v>3</v>
      </c>
      <c r="BN20" s="1" t="s">
        <v>3</v>
      </c>
      <c r="BO20" s="1" t="s">
        <v>3</v>
      </c>
      <c r="BP20" s="1" t="s">
        <v>3</v>
      </c>
      <c r="BQ20" s="1"/>
      <c r="BR20" s="1"/>
      <c r="BS20" s="1"/>
      <c r="BT20" s="1"/>
      <c r="BU20" s="1"/>
      <c r="BV20" s="1"/>
      <c r="BW20" s="1"/>
      <c r="BX20" s="1">
        <v>0</v>
      </c>
      <c r="BY20" s="1"/>
      <c r="BZ20" s="1"/>
      <c r="CA20" s="1"/>
      <c r="CB20" s="1"/>
      <c r="CC20" s="1"/>
      <c r="CD20" s="1"/>
      <c r="CE20" s="1"/>
      <c r="CF20" s="1">
        <v>0</v>
      </c>
      <c r="CG20" s="1">
        <v>0</v>
      </c>
      <c r="CH20" s="1"/>
      <c r="CI20" s="1" t="s">
        <v>3</v>
      </c>
      <c r="CJ20" s="1" t="s">
        <v>3</v>
      </c>
      <c r="CK20" t="s">
        <v>3</v>
      </c>
      <c r="CL20" t="s">
        <v>3</v>
      </c>
      <c r="CM20" t="s">
        <v>3</v>
      </c>
      <c r="CN20" t="s">
        <v>3</v>
      </c>
      <c r="CO20" t="s">
        <v>3</v>
      </c>
      <c r="CP20" t="s">
        <v>3</v>
      </c>
    </row>
    <row r="22" spans="1:245" x14ac:dyDescent="0.2">
      <c r="A22" s="2">
        <v>52</v>
      </c>
      <c r="B22" s="2">
        <f t="shared" ref="B22:G22" si="7">B845</f>
        <v>1</v>
      </c>
      <c r="C22" s="2">
        <f t="shared" si="7"/>
        <v>3</v>
      </c>
      <c r="D22" s="2">
        <f t="shared" si="7"/>
        <v>20</v>
      </c>
      <c r="E22" s="2">
        <f t="shared" si="7"/>
        <v>0</v>
      </c>
      <c r="F22" s="2" t="str">
        <f t="shared" si="7"/>
        <v>Новая локальная смета</v>
      </c>
      <c r="G22" s="2" t="str">
        <f t="shared" si="7"/>
        <v>Локальная смета</v>
      </c>
      <c r="H22" s="2"/>
      <c r="I22" s="2"/>
      <c r="J22" s="2"/>
      <c r="K22" s="2"/>
      <c r="L22" s="2"/>
      <c r="M22" s="2"/>
      <c r="N22" s="2"/>
      <c r="O22" s="2">
        <f t="shared" ref="O22:AT22" si="8">O845</f>
        <v>2809731</v>
      </c>
      <c r="P22" s="2">
        <f t="shared" si="8"/>
        <v>2415005.46</v>
      </c>
      <c r="Q22" s="2">
        <f t="shared" si="8"/>
        <v>111068.89</v>
      </c>
      <c r="R22" s="2">
        <f t="shared" si="8"/>
        <v>34500.839999999997</v>
      </c>
      <c r="S22" s="2">
        <f t="shared" si="8"/>
        <v>283656.65000000002</v>
      </c>
      <c r="T22" s="2">
        <f t="shared" si="8"/>
        <v>0</v>
      </c>
      <c r="U22" s="2">
        <f t="shared" si="8"/>
        <v>1354.9346799999998</v>
      </c>
      <c r="V22" s="2">
        <f t="shared" si="8"/>
        <v>0</v>
      </c>
      <c r="W22" s="2">
        <f t="shared" si="8"/>
        <v>0</v>
      </c>
      <c r="X22" s="2">
        <f t="shared" si="8"/>
        <v>198559.68</v>
      </c>
      <c r="Y22" s="2">
        <f t="shared" si="8"/>
        <v>28365.68</v>
      </c>
      <c r="Z22" s="2">
        <f t="shared" si="8"/>
        <v>0</v>
      </c>
      <c r="AA22" s="2">
        <f t="shared" si="8"/>
        <v>0</v>
      </c>
      <c r="AB22" s="2">
        <f t="shared" si="8"/>
        <v>0</v>
      </c>
      <c r="AC22" s="2">
        <f t="shared" si="8"/>
        <v>0</v>
      </c>
      <c r="AD22" s="2">
        <f t="shared" si="8"/>
        <v>0</v>
      </c>
      <c r="AE22" s="2">
        <f t="shared" si="8"/>
        <v>0</v>
      </c>
      <c r="AF22" s="2">
        <f t="shared" si="8"/>
        <v>0</v>
      </c>
      <c r="AG22" s="2">
        <f t="shared" si="8"/>
        <v>0</v>
      </c>
      <c r="AH22" s="2">
        <f t="shared" si="8"/>
        <v>0</v>
      </c>
      <c r="AI22" s="2">
        <f t="shared" si="8"/>
        <v>0</v>
      </c>
      <c r="AJ22" s="2">
        <f t="shared" si="8"/>
        <v>0</v>
      </c>
      <c r="AK22" s="2">
        <f t="shared" si="8"/>
        <v>0</v>
      </c>
      <c r="AL22" s="2">
        <f t="shared" si="8"/>
        <v>0</v>
      </c>
      <c r="AM22" s="2">
        <f t="shared" si="8"/>
        <v>0</v>
      </c>
      <c r="AN22" s="2">
        <f t="shared" si="8"/>
        <v>0</v>
      </c>
      <c r="AO22" s="2">
        <f t="shared" si="8"/>
        <v>0</v>
      </c>
      <c r="AP22" s="2">
        <f t="shared" si="8"/>
        <v>0</v>
      </c>
      <c r="AQ22" s="2">
        <f t="shared" si="8"/>
        <v>0</v>
      </c>
      <c r="AR22" s="2">
        <f t="shared" si="8"/>
        <v>3062284.91</v>
      </c>
      <c r="AS22" s="2">
        <f t="shared" si="8"/>
        <v>334951.74</v>
      </c>
      <c r="AT22" s="2">
        <f t="shared" si="8"/>
        <v>0</v>
      </c>
      <c r="AU22" s="2">
        <f t="shared" ref="AU22:BZ22" si="9">AU845</f>
        <v>2727333.17</v>
      </c>
      <c r="AV22" s="2">
        <f t="shared" si="9"/>
        <v>2415005.46</v>
      </c>
      <c r="AW22" s="2">
        <f t="shared" si="9"/>
        <v>2415005.46</v>
      </c>
      <c r="AX22" s="2">
        <f t="shared" si="9"/>
        <v>0</v>
      </c>
      <c r="AY22" s="2">
        <f t="shared" si="9"/>
        <v>2415005.46</v>
      </c>
      <c r="AZ22" s="2">
        <f t="shared" si="9"/>
        <v>0</v>
      </c>
      <c r="BA22" s="2">
        <f t="shared" si="9"/>
        <v>0</v>
      </c>
      <c r="BB22" s="2">
        <f t="shared" si="9"/>
        <v>0</v>
      </c>
      <c r="BC22" s="2">
        <f t="shared" si="9"/>
        <v>0</v>
      </c>
      <c r="BD22" s="2">
        <f t="shared" si="9"/>
        <v>0</v>
      </c>
      <c r="BE22" s="2">
        <f t="shared" si="9"/>
        <v>0</v>
      </c>
      <c r="BF22" s="2">
        <f t="shared" si="9"/>
        <v>0</v>
      </c>
      <c r="BG22" s="2">
        <f t="shared" si="9"/>
        <v>0</v>
      </c>
      <c r="BH22" s="2">
        <f t="shared" si="9"/>
        <v>0</v>
      </c>
      <c r="BI22" s="2">
        <f t="shared" si="9"/>
        <v>0</v>
      </c>
      <c r="BJ22" s="2">
        <f t="shared" si="9"/>
        <v>0</v>
      </c>
      <c r="BK22" s="2">
        <f t="shared" si="9"/>
        <v>0</v>
      </c>
      <c r="BL22" s="2">
        <f t="shared" si="9"/>
        <v>0</v>
      </c>
      <c r="BM22" s="2">
        <f t="shared" si="9"/>
        <v>0</v>
      </c>
      <c r="BN22" s="2">
        <f t="shared" si="9"/>
        <v>0</v>
      </c>
      <c r="BO22" s="2">
        <f t="shared" si="9"/>
        <v>0</v>
      </c>
      <c r="BP22" s="2">
        <f t="shared" si="9"/>
        <v>0</v>
      </c>
      <c r="BQ22" s="2">
        <f t="shared" si="9"/>
        <v>0</v>
      </c>
      <c r="BR22" s="2">
        <f t="shared" si="9"/>
        <v>0</v>
      </c>
      <c r="BS22" s="2">
        <f t="shared" si="9"/>
        <v>0</v>
      </c>
      <c r="BT22" s="2">
        <f t="shared" si="9"/>
        <v>0</v>
      </c>
      <c r="BU22" s="2">
        <f t="shared" si="9"/>
        <v>0</v>
      </c>
      <c r="BV22" s="2">
        <f t="shared" si="9"/>
        <v>0</v>
      </c>
      <c r="BW22" s="2">
        <f t="shared" si="9"/>
        <v>0</v>
      </c>
      <c r="BX22" s="2">
        <f t="shared" si="9"/>
        <v>0</v>
      </c>
      <c r="BY22" s="2">
        <f t="shared" si="9"/>
        <v>0</v>
      </c>
      <c r="BZ22" s="2">
        <f t="shared" si="9"/>
        <v>0</v>
      </c>
      <c r="CA22" s="2">
        <f t="shared" ref="CA22:DF22" si="10">CA845</f>
        <v>0</v>
      </c>
      <c r="CB22" s="2">
        <f t="shared" si="10"/>
        <v>0</v>
      </c>
      <c r="CC22" s="2">
        <f t="shared" si="10"/>
        <v>0</v>
      </c>
      <c r="CD22" s="2">
        <f t="shared" si="10"/>
        <v>0</v>
      </c>
      <c r="CE22" s="2">
        <f t="shared" si="10"/>
        <v>0</v>
      </c>
      <c r="CF22" s="2">
        <f t="shared" si="10"/>
        <v>0</v>
      </c>
      <c r="CG22" s="2">
        <f t="shared" si="10"/>
        <v>0</v>
      </c>
      <c r="CH22" s="2">
        <f t="shared" si="10"/>
        <v>0</v>
      </c>
      <c r="CI22" s="2">
        <f t="shared" si="10"/>
        <v>0</v>
      </c>
      <c r="CJ22" s="2">
        <f t="shared" si="10"/>
        <v>0</v>
      </c>
      <c r="CK22" s="2">
        <f t="shared" si="10"/>
        <v>0</v>
      </c>
      <c r="CL22" s="2">
        <f t="shared" si="10"/>
        <v>0</v>
      </c>
      <c r="CM22" s="2">
        <f t="shared" si="10"/>
        <v>0</v>
      </c>
      <c r="CN22" s="2">
        <f t="shared" si="10"/>
        <v>0</v>
      </c>
      <c r="CO22" s="2">
        <f t="shared" si="10"/>
        <v>0</v>
      </c>
      <c r="CP22" s="2">
        <f t="shared" si="10"/>
        <v>0</v>
      </c>
      <c r="CQ22" s="2">
        <f t="shared" si="10"/>
        <v>0</v>
      </c>
      <c r="CR22" s="2">
        <f t="shared" si="10"/>
        <v>0</v>
      </c>
      <c r="CS22" s="2">
        <f t="shared" si="10"/>
        <v>0</v>
      </c>
      <c r="CT22" s="2">
        <f t="shared" si="10"/>
        <v>0</v>
      </c>
      <c r="CU22" s="2">
        <f t="shared" si="10"/>
        <v>0</v>
      </c>
      <c r="CV22" s="2">
        <f t="shared" si="10"/>
        <v>0</v>
      </c>
      <c r="CW22" s="2">
        <f t="shared" si="10"/>
        <v>0</v>
      </c>
      <c r="CX22" s="2">
        <f t="shared" si="10"/>
        <v>0</v>
      </c>
      <c r="CY22" s="2">
        <f t="shared" si="10"/>
        <v>0</v>
      </c>
      <c r="CZ22" s="2">
        <f t="shared" si="10"/>
        <v>0</v>
      </c>
      <c r="DA22" s="2">
        <f t="shared" si="10"/>
        <v>0</v>
      </c>
      <c r="DB22" s="2">
        <f t="shared" si="10"/>
        <v>0</v>
      </c>
      <c r="DC22" s="2">
        <f t="shared" si="10"/>
        <v>0</v>
      </c>
      <c r="DD22" s="2">
        <f t="shared" si="10"/>
        <v>0</v>
      </c>
      <c r="DE22" s="2">
        <f t="shared" si="10"/>
        <v>0</v>
      </c>
      <c r="DF22" s="2">
        <f t="shared" si="10"/>
        <v>0</v>
      </c>
      <c r="DG22" s="3">
        <f t="shared" ref="DG22:EL22" si="11">DG845</f>
        <v>0</v>
      </c>
      <c r="DH22" s="3">
        <f t="shared" si="11"/>
        <v>0</v>
      </c>
      <c r="DI22" s="3">
        <f t="shared" si="11"/>
        <v>0</v>
      </c>
      <c r="DJ22" s="3">
        <f t="shared" si="11"/>
        <v>0</v>
      </c>
      <c r="DK22" s="3">
        <f t="shared" si="11"/>
        <v>0</v>
      </c>
      <c r="DL22" s="3">
        <f t="shared" si="11"/>
        <v>0</v>
      </c>
      <c r="DM22" s="3">
        <f t="shared" si="11"/>
        <v>0</v>
      </c>
      <c r="DN22" s="3">
        <f t="shared" si="11"/>
        <v>0</v>
      </c>
      <c r="DO22" s="3">
        <f t="shared" si="11"/>
        <v>0</v>
      </c>
      <c r="DP22" s="3">
        <f t="shared" si="11"/>
        <v>0</v>
      </c>
      <c r="DQ22" s="3">
        <f t="shared" si="11"/>
        <v>0</v>
      </c>
      <c r="DR22" s="3">
        <f t="shared" si="11"/>
        <v>0</v>
      </c>
      <c r="DS22" s="3">
        <f t="shared" si="11"/>
        <v>0</v>
      </c>
      <c r="DT22" s="3">
        <f t="shared" si="11"/>
        <v>0</v>
      </c>
      <c r="DU22" s="3">
        <f t="shared" si="11"/>
        <v>0</v>
      </c>
      <c r="DV22" s="3">
        <f t="shared" si="11"/>
        <v>0</v>
      </c>
      <c r="DW22" s="3">
        <f t="shared" si="11"/>
        <v>0</v>
      </c>
      <c r="DX22" s="3">
        <f t="shared" si="11"/>
        <v>0</v>
      </c>
      <c r="DY22" s="3">
        <f t="shared" si="11"/>
        <v>0</v>
      </c>
      <c r="DZ22" s="3">
        <f t="shared" si="11"/>
        <v>0</v>
      </c>
      <c r="EA22" s="3">
        <f t="shared" si="11"/>
        <v>0</v>
      </c>
      <c r="EB22" s="3">
        <f t="shared" si="11"/>
        <v>0</v>
      </c>
      <c r="EC22" s="3">
        <f t="shared" si="11"/>
        <v>0</v>
      </c>
      <c r="ED22" s="3">
        <f t="shared" si="11"/>
        <v>0</v>
      </c>
      <c r="EE22" s="3">
        <f t="shared" si="11"/>
        <v>0</v>
      </c>
      <c r="EF22" s="3">
        <f t="shared" si="11"/>
        <v>0</v>
      </c>
      <c r="EG22" s="3">
        <f t="shared" si="11"/>
        <v>0</v>
      </c>
      <c r="EH22" s="3">
        <f t="shared" si="11"/>
        <v>0</v>
      </c>
      <c r="EI22" s="3">
        <f t="shared" si="11"/>
        <v>0</v>
      </c>
      <c r="EJ22" s="3">
        <f t="shared" si="11"/>
        <v>0</v>
      </c>
      <c r="EK22" s="3">
        <f t="shared" si="11"/>
        <v>0</v>
      </c>
      <c r="EL22" s="3">
        <f t="shared" si="11"/>
        <v>0</v>
      </c>
      <c r="EM22" s="3">
        <f t="shared" ref="EM22:FR22" si="12">EM845</f>
        <v>0</v>
      </c>
      <c r="EN22" s="3">
        <f t="shared" si="12"/>
        <v>0</v>
      </c>
      <c r="EO22" s="3">
        <f t="shared" si="12"/>
        <v>0</v>
      </c>
      <c r="EP22" s="3">
        <f t="shared" si="12"/>
        <v>0</v>
      </c>
      <c r="EQ22" s="3">
        <f t="shared" si="12"/>
        <v>0</v>
      </c>
      <c r="ER22" s="3">
        <f t="shared" si="12"/>
        <v>0</v>
      </c>
      <c r="ES22" s="3">
        <f t="shared" si="12"/>
        <v>0</v>
      </c>
      <c r="ET22" s="3">
        <f t="shared" si="12"/>
        <v>0</v>
      </c>
      <c r="EU22" s="3">
        <f t="shared" si="12"/>
        <v>0</v>
      </c>
      <c r="EV22" s="3">
        <f t="shared" si="12"/>
        <v>0</v>
      </c>
      <c r="EW22" s="3">
        <f t="shared" si="12"/>
        <v>0</v>
      </c>
      <c r="EX22" s="3">
        <f t="shared" si="12"/>
        <v>0</v>
      </c>
      <c r="EY22" s="3">
        <f t="shared" si="12"/>
        <v>0</v>
      </c>
      <c r="EZ22" s="3">
        <f t="shared" si="12"/>
        <v>0</v>
      </c>
      <c r="FA22" s="3">
        <f t="shared" si="12"/>
        <v>0</v>
      </c>
      <c r="FB22" s="3">
        <f t="shared" si="12"/>
        <v>0</v>
      </c>
      <c r="FC22" s="3">
        <f t="shared" si="12"/>
        <v>0</v>
      </c>
      <c r="FD22" s="3">
        <f t="shared" si="12"/>
        <v>0</v>
      </c>
      <c r="FE22" s="3">
        <f t="shared" si="12"/>
        <v>0</v>
      </c>
      <c r="FF22" s="3">
        <f t="shared" si="12"/>
        <v>0</v>
      </c>
      <c r="FG22" s="3">
        <f t="shared" si="12"/>
        <v>0</v>
      </c>
      <c r="FH22" s="3">
        <f t="shared" si="12"/>
        <v>0</v>
      </c>
      <c r="FI22" s="3">
        <f t="shared" si="12"/>
        <v>0</v>
      </c>
      <c r="FJ22" s="3">
        <f t="shared" si="12"/>
        <v>0</v>
      </c>
      <c r="FK22" s="3">
        <f t="shared" si="12"/>
        <v>0</v>
      </c>
      <c r="FL22" s="3">
        <f t="shared" si="12"/>
        <v>0</v>
      </c>
      <c r="FM22" s="3">
        <f t="shared" si="12"/>
        <v>0</v>
      </c>
      <c r="FN22" s="3">
        <f t="shared" si="12"/>
        <v>0</v>
      </c>
      <c r="FO22" s="3">
        <f t="shared" si="12"/>
        <v>0</v>
      </c>
      <c r="FP22" s="3">
        <f t="shared" si="12"/>
        <v>0</v>
      </c>
      <c r="FQ22" s="3">
        <f t="shared" si="12"/>
        <v>0</v>
      </c>
      <c r="FR22" s="3">
        <f t="shared" si="12"/>
        <v>0</v>
      </c>
      <c r="FS22" s="3">
        <f t="shared" ref="FS22:GX22" si="13">FS845</f>
        <v>0</v>
      </c>
      <c r="FT22" s="3">
        <f t="shared" si="13"/>
        <v>0</v>
      </c>
      <c r="FU22" s="3">
        <f t="shared" si="13"/>
        <v>0</v>
      </c>
      <c r="FV22" s="3">
        <f t="shared" si="13"/>
        <v>0</v>
      </c>
      <c r="FW22" s="3">
        <f t="shared" si="13"/>
        <v>0</v>
      </c>
      <c r="FX22" s="3">
        <f t="shared" si="13"/>
        <v>0</v>
      </c>
      <c r="FY22" s="3">
        <f t="shared" si="13"/>
        <v>0</v>
      </c>
      <c r="FZ22" s="3">
        <f t="shared" si="13"/>
        <v>0</v>
      </c>
      <c r="GA22" s="3">
        <f t="shared" si="13"/>
        <v>0</v>
      </c>
      <c r="GB22" s="3">
        <f t="shared" si="13"/>
        <v>0</v>
      </c>
      <c r="GC22" s="3">
        <f t="shared" si="13"/>
        <v>0</v>
      </c>
      <c r="GD22" s="3">
        <f t="shared" si="13"/>
        <v>0</v>
      </c>
      <c r="GE22" s="3">
        <f t="shared" si="13"/>
        <v>0</v>
      </c>
      <c r="GF22" s="3">
        <f t="shared" si="13"/>
        <v>0</v>
      </c>
      <c r="GG22" s="3">
        <f t="shared" si="13"/>
        <v>0</v>
      </c>
      <c r="GH22" s="3">
        <f t="shared" si="13"/>
        <v>0</v>
      </c>
      <c r="GI22" s="3">
        <f t="shared" si="13"/>
        <v>0</v>
      </c>
      <c r="GJ22" s="3">
        <f t="shared" si="13"/>
        <v>0</v>
      </c>
      <c r="GK22" s="3">
        <f t="shared" si="13"/>
        <v>0</v>
      </c>
      <c r="GL22" s="3">
        <f t="shared" si="13"/>
        <v>0</v>
      </c>
      <c r="GM22" s="3">
        <f t="shared" si="13"/>
        <v>0</v>
      </c>
      <c r="GN22" s="3">
        <f t="shared" si="13"/>
        <v>0</v>
      </c>
      <c r="GO22" s="3">
        <f t="shared" si="13"/>
        <v>0</v>
      </c>
      <c r="GP22" s="3">
        <f t="shared" si="13"/>
        <v>0</v>
      </c>
      <c r="GQ22" s="3">
        <f t="shared" si="13"/>
        <v>0</v>
      </c>
      <c r="GR22" s="3">
        <f t="shared" si="13"/>
        <v>0</v>
      </c>
      <c r="GS22" s="3">
        <f t="shared" si="13"/>
        <v>0</v>
      </c>
      <c r="GT22" s="3">
        <f t="shared" si="13"/>
        <v>0</v>
      </c>
      <c r="GU22" s="3">
        <f t="shared" si="13"/>
        <v>0</v>
      </c>
      <c r="GV22" s="3">
        <f t="shared" si="13"/>
        <v>0</v>
      </c>
      <c r="GW22" s="3">
        <f t="shared" si="13"/>
        <v>0</v>
      </c>
      <c r="GX22" s="3">
        <f t="shared" si="13"/>
        <v>0</v>
      </c>
    </row>
    <row r="24" spans="1:245" x14ac:dyDescent="0.2">
      <c r="A24" s="1">
        <v>4</v>
      </c>
      <c r="B24" s="1">
        <v>1</v>
      </c>
      <c r="C24" s="1"/>
      <c r="D24" s="1">
        <f>ROW(A210)</f>
        <v>210</v>
      </c>
      <c r="E24" s="1"/>
      <c r="F24" s="1" t="s">
        <v>15</v>
      </c>
      <c r="G24" s="1" t="s">
        <v>16</v>
      </c>
      <c r="H24" s="1" t="s">
        <v>3</v>
      </c>
      <c r="I24" s="1">
        <v>0</v>
      </c>
      <c r="J24" s="1"/>
      <c r="K24" s="1">
        <v>0</v>
      </c>
      <c r="L24" s="1"/>
      <c r="M24" s="1"/>
      <c r="N24" s="1"/>
      <c r="O24" s="1"/>
      <c r="P24" s="1"/>
      <c r="Q24" s="1"/>
      <c r="R24" s="1"/>
      <c r="S24" s="1"/>
      <c r="T24" s="1"/>
      <c r="U24" s="1" t="s">
        <v>3</v>
      </c>
      <c r="V24" s="1">
        <v>0</v>
      </c>
      <c r="W24" s="1"/>
      <c r="X24" s="1"/>
      <c r="Y24" s="1"/>
      <c r="Z24" s="1"/>
      <c r="AA24" s="1"/>
      <c r="AB24" s="1" t="s">
        <v>3</v>
      </c>
      <c r="AC24" s="1" t="s">
        <v>3</v>
      </c>
      <c r="AD24" s="1" t="s">
        <v>3</v>
      </c>
      <c r="AE24" s="1" t="s">
        <v>3</v>
      </c>
      <c r="AF24" s="1" t="s">
        <v>3</v>
      </c>
      <c r="AG24" s="1" t="s">
        <v>3</v>
      </c>
      <c r="AH24" s="1"/>
      <c r="AI24" s="1"/>
      <c r="AJ24" s="1"/>
      <c r="AK24" s="1"/>
      <c r="AL24" s="1"/>
      <c r="AM24" s="1"/>
      <c r="AN24" s="1"/>
      <c r="AO24" s="1"/>
      <c r="AP24" s="1" t="s">
        <v>3</v>
      </c>
      <c r="AQ24" s="1" t="s">
        <v>3</v>
      </c>
      <c r="AR24" s="1" t="s">
        <v>3</v>
      </c>
      <c r="AS24" s="1"/>
      <c r="AT24" s="1"/>
      <c r="AU24" s="1"/>
      <c r="AV24" s="1"/>
      <c r="AW24" s="1"/>
      <c r="AX24" s="1"/>
      <c r="AY24" s="1"/>
      <c r="AZ24" s="1" t="s">
        <v>3</v>
      </c>
      <c r="BA24" s="1"/>
      <c r="BB24" s="1" t="s">
        <v>3</v>
      </c>
      <c r="BC24" s="1" t="s">
        <v>3</v>
      </c>
      <c r="BD24" s="1" t="s">
        <v>3</v>
      </c>
      <c r="BE24" s="1" t="s">
        <v>3</v>
      </c>
      <c r="BF24" s="1" t="s">
        <v>3</v>
      </c>
      <c r="BG24" s="1" t="s">
        <v>3</v>
      </c>
      <c r="BH24" s="1" t="s">
        <v>3</v>
      </c>
      <c r="BI24" s="1" t="s">
        <v>3</v>
      </c>
      <c r="BJ24" s="1" t="s">
        <v>3</v>
      </c>
      <c r="BK24" s="1" t="s">
        <v>3</v>
      </c>
      <c r="BL24" s="1" t="s">
        <v>3</v>
      </c>
      <c r="BM24" s="1" t="s">
        <v>3</v>
      </c>
      <c r="BN24" s="1" t="s">
        <v>3</v>
      </c>
      <c r="BO24" s="1" t="s">
        <v>3</v>
      </c>
      <c r="BP24" s="1" t="s">
        <v>3</v>
      </c>
      <c r="BQ24" s="1"/>
      <c r="BR24" s="1"/>
      <c r="BS24" s="1"/>
      <c r="BT24" s="1"/>
      <c r="BU24" s="1"/>
      <c r="BV24" s="1"/>
      <c r="BW24" s="1"/>
      <c r="BX24" s="1">
        <v>0</v>
      </c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>
        <v>0</v>
      </c>
    </row>
    <row r="26" spans="1:245" x14ac:dyDescent="0.2">
      <c r="A26" s="2">
        <v>52</v>
      </c>
      <c r="B26" s="2">
        <f t="shared" ref="B26:G26" si="14">B210</f>
        <v>1</v>
      </c>
      <c r="C26" s="2">
        <f t="shared" si="14"/>
        <v>4</v>
      </c>
      <c r="D26" s="2">
        <f t="shared" si="14"/>
        <v>24</v>
      </c>
      <c r="E26" s="2">
        <f t="shared" si="14"/>
        <v>0</v>
      </c>
      <c r="F26" s="2" t="str">
        <f t="shared" si="14"/>
        <v>Новый раздел</v>
      </c>
      <c r="G26" s="2" t="str">
        <f t="shared" si="14"/>
        <v>ЛЗ "Тропаревский" - 339,5 кв.м кв. 23, выд. 128</v>
      </c>
      <c r="H26" s="2"/>
      <c r="I26" s="2"/>
      <c r="J26" s="2"/>
      <c r="K26" s="2"/>
      <c r="L26" s="2"/>
      <c r="M26" s="2"/>
      <c r="N26" s="2"/>
      <c r="O26" s="2">
        <f t="shared" ref="O26:AT26" si="15">O210</f>
        <v>926588.17</v>
      </c>
      <c r="P26" s="2">
        <f t="shared" si="15"/>
        <v>801976.14</v>
      </c>
      <c r="Q26" s="2">
        <f t="shared" si="15"/>
        <v>31397.759999999998</v>
      </c>
      <c r="R26" s="2">
        <f t="shared" si="15"/>
        <v>8300.8799999999992</v>
      </c>
      <c r="S26" s="2">
        <f t="shared" si="15"/>
        <v>93214.27</v>
      </c>
      <c r="T26" s="2">
        <f t="shared" si="15"/>
        <v>0</v>
      </c>
      <c r="U26" s="2">
        <f t="shared" si="15"/>
        <v>444.81305449999996</v>
      </c>
      <c r="V26" s="2">
        <f t="shared" si="15"/>
        <v>0</v>
      </c>
      <c r="W26" s="2">
        <f t="shared" si="15"/>
        <v>0</v>
      </c>
      <c r="X26" s="2">
        <f t="shared" si="15"/>
        <v>65250</v>
      </c>
      <c r="Y26" s="2">
        <f t="shared" si="15"/>
        <v>9321.43</v>
      </c>
      <c r="Z26" s="2">
        <f t="shared" si="15"/>
        <v>0</v>
      </c>
      <c r="AA26" s="2">
        <f t="shared" si="15"/>
        <v>0</v>
      </c>
      <c r="AB26" s="2">
        <f t="shared" si="15"/>
        <v>0</v>
      </c>
      <c r="AC26" s="2">
        <f t="shared" si="15"/>
        <v>0</v>
      </c>
      <c r="AD26" s="2">
        <f t="shared" si="15"/>
        <v>0</v>
      </c>
      <c r="AE26" s="2">
        <f t="shared" si="15"/>
        <v>0</v>
      </c>
      <c r="AF26" s="2">
        <f t="shared" si="15"/>
        <v>0</v>
      </c>
      <c r="AG26" s="2">
        <f t="shared" si="15"/>
        <v>0</v>
      </c>
      <c r="AH26" s="2">
        <f t="shared" si="15"/>
        <v>0</v>
      </c>
      <c r="AI26" s="2">
        <f t="shared" si="15"/>
        <v>0</v>
      </c>
      <c r="AJ26" s="2">
        <f t="shared" si="15"/>
        <v>0</v>
      </c>
      <c r="AK26" s="2">
        <f t="shared" si="15"/>
        <v>0</v>
      </c>
      <c r="AL26" s="2">
        <f t="shared" si="15"/>
        <v>0</v>
      </c>
      <c r="AM26" s="2">
        <f t="shared" si="15"/>
        <v>0</v>
      </c>
      <c r="AN26" s="2">
        <f t="shared" si="15"/>
        <v>0</v>
      </c>
      <c r="AO26" s="2">
        <f t="shared" si="15"/>
        <v>0</v>
      </c>
      <c r="AP26" s="2">
        <f t="shared" si="15"/>
        <v>0</v>
      </c>
      <c r="AQ26" s="2">
        <f t="shared" si="15"/>
        <v>0</v>
      </c>
      <c r="AR26" s="2">
        <f t="shared" si="15"/>
        <v>1009347.51</v>
      </c>
      <c r="AS26" s="2">
        <f t="shared" si="15"/>
        <v>111650.58</v>
      </c>
      <c r="AT26" s="2">
        <f t="shared" si="15"/>
        <v>0</v>
      </c>
      <c r="AU26" s="2">
        <f t="shared" ref="AU26:BZ26" si="16">AU210</f>
        <v>897696.93</v>
      </c>
      <c r="AV26" s="2">
        <f t="shared" si="16"/>
        <v>801976.14</v>
      </c>
      <c r="AW26" s="2">
        <f t="shared" si="16"/>
        <v>801976.14</v>
      </c>
      <c r="AX26" s="2">
        <f t="shared" si="16"/>
        <v>0</v>
      </c>
      <c r="AY26" s="2">
        <f t="shared" si="16"/>
        <v>801976.14</v>
      </c>
      <c r="AZ26" s="2">
        <f t="shared" si="16"/>
        <v>0</v>
      </c>
      <c r="BA26" s="2">
        <f t="shared" si="16"/>
        <v>0</v>
      </c>
      <c r="BB26" s="2">
        <f t="shared" si="16"/>
        <v>0</v>
      </c>
      <c r="BC26" s="2">
        <f t="shared" si="16"/>
        <v>0</v>
      </c>
      <c r="BD26" s="2">
        <f t="shared" si="16"/>
        <v>0</v>
      </c>
      <c r="BE26" s="2">
        <f t="shared" si="16"/>
        <v>0</v>
      </c>
      <c r="BF26" s="2">
        <f t="shared" si="16"/>
        <v>0</v>
      </c>
      <c r="BG26" s="2">
        <f t="shared" si="16"/>
        <v>0</v>
      </c>
      <c r="BH26" s="2">
        <f t="shared" si="16"/>
        <v>0</v>
      </c>
      <c r="BI26" s="2">
        <f t="shared" si="16"/>
        <v>0</v>
      </c>
      <c r="BJ26" s="2">
        <f t="shared" si="16"/>
        <v>0</v>
      </c>
      <c r="BK26" s="2">
        <f t="shared" si="16"/>
        <v>0</v>
      </c>
      <c r="BL26" s="2">
        <f t="shared" si="16"/>
        <v>0</v>
      </c>
      <c r="BM26" s="2">
        <f t="shared" si="16"/>
        <v>0</v>
      </c>
      <c r="BN26" s="2">
        <f t="shared" si="16"/>
        <v>0</v>
      </c>
      <c r="BO26" s="2">
        <f t="shared" si="16"/>
        <v>0</v>
      </c>
      <c r="BP26" s="2">
        <f t="shared" si="16"/>
        <v>0</v>
      </c>
      <c r="BQ26" s="2">
        <f t="shared" si="16"/>
        <v>0</v>
      </c>
      <c r="BR26" s="2">
        <f t="shared" si="16"/>
        <v>0</v>
      </c>
      <c r="BS26" s="2">
        <f t="shared" si="16"/>
        <v>0</v>
      </c>
      <c r="BT26" s="2">
        <f t="shared" si="16"/>
        <v>0</v>
      </c>
      <c r="BU26" s="2">
        <f t="shared" si="16"/>
        <v>0</v>
      </c>
      <c r="BV26" s="2">
        <f t="shared" si="16"/>
        <v>0</v>
      </c>
      <c r="BW26" s="2">
        <f t="shared" si="16"/>
        <v>0</v>
      </c>
      <c r="BX26" s="2">
        <f t="shared" si="16"/>
        <v>0</v>
      </c>
      <c r="BY26" s="2">
        <f t="shared" si="16"/>
        <v>0</v>
      </c>
      <c r="BZ26" s="2">
        <f t="shared" si="16"/>
        <v>0</v>
      </c>
      <c r="CA26" s="2">
        <f t="shared" ref="CA26:DF26" si="17">CA210</f>
        <v>0</v>
      </c>
      <c r="CB26" s="2">
        <f t="shared" si="17"/>
        <v>0</v>
      </c>
      <c r="CC26" s="2">
        <f t="shared" si="17"/>
        <v>0</v>
      </c>
      <c r="CD26" s="2">
        <f t="shared" si="17"/>
        <v>0</v>
      </c>
      <c r="CE26" s="2">
        <f t="shared" si="17"/>
        <v>0</v>
      </c>
      <c r="CF26" s="2">
        <f t="shared" si="17"/>
        <v>0</v>
      </c>
      <c r="CG26" s="2">
        <f t="shared" si="17"/>
        <v>0</v>
      </c>
      <c r="CH26" s="2">
        <f t="shared" si="17"/>
        <v>0</v>
      </c>
      <c r="CI26" s="2">
        <f t="shared" si="17"/>
        <v>0</v>
      </c>
      <c r="CJ26" s="2">
        <f t="shared" si="17"/>
        <v>0</v>
      </c>
      <c r="CK26" s="2">
        <f t="shared" si="17"/>
        <v>0</v>
      </c>
      <c r="CL26" s="2">
        <f t="shared" si="17"/>
        <v>0</v>
      </c>
      <c r="CM26" s="2">
        <f t="shared" si="17"/>
        <v>0</v>
      </c>
      <c r="CN26" s="2">
        <f t="shared" si="17"/>
        <v>0</v>
      </c>
      <c r="CO26" s="2">
        <f t="shared" si="17"/>
        <v>0</v>
      </c>
      <c r="CP26" s="2">
        <f t="shared" si="17"/>
        <v>0</v>
      </c>
      <c r="CQ26" s="2">
        <f t="shared" si="17"/>
        <v>0</v>
      </c>
      <c r="CR26" s="2">
        <f t="shared" si="17"/>
        <v>0</v>
      </c>
      <c r="CS26" s="2">
        <f t="shared" si="17"/>
        <v>0</v>
      </c>
      <c r="CT26" s="2">
        <f t="shared" si="17"/>
        <v>0</v>
      </c>
      <c r="CU26" s="2">
        <f t="shared" si="17"/>
        <v>0</v>
      </c>
      <c r="CV26" s="2">
        <f t="shared" si="17"/>
        <v>0</v>
      </c>
      <c r="CW26" s="2">
        <f t="shared" si="17"/>
        <v>0</v>
      </c>
      <c r="CX26" s="2">
        <f t="shared" si="17"/>
        <v>0</v>
      </c>
      <c r="CY26" s="2">
        <f t="shared" si="17"/>
        <v>0</v>
      </c>
      <c r="CZ26" s="2">
        <f t="shared" si="17"/>
        <v>0</v>
      </c>
      <c r="DA26" s="2">
        <f t="shared" si="17"/>
        <v>0</v>
      </c>
      <c r="DB26" s="2">
        <f t="shared" si="17"/>
        <v>0</v>
      </c>
      <c r="DC26" s="2">
        <f t="shared" si="17"/>
        <v>0</v>
      </c>
      <c r="DD26" s="2">
        <f t="shared" si="17"/>
        <v>0</v>
      </c>
      <c r="DE26" s="2">
        <f t="shared" si="17"/>
        <v>0</v>
      </c>
      <c r="DF26" s="2">
        <f t="shared" si="17"/>
        <v>0</v>
      </c>
      <c r="DG26" s="3">
        <f t="shared" ref="DG26:EL26" si="18">DG210</f>
        <v>0</v>
      </c>
      <c r="DH26" s="3">
        <f t="shared" si="18"/>
        <v>0</v>
      </c>
      <c r="DI26" s="3">
        <f t="shared" si="18"/>
        <v>0</v>
      </c>
      <c r="DJ26" s="3">
        <f t="shared" si="18"/>
        <v>0</v>
      </c>
      <c r="DK26" s="3">
        <f t="shared" si="18"/>
        <v>0</v>
      </c>
      <c r="DL26" s="3">
        <f t="shared" si="18"/>
        <v>0</v>
      </c>
      <c r="DM26" s="3">
        <f t="shared" si="18"/>
        <v>0</v>
      </c>
      <c r="DN26" s="3">
        <f t="shared" si="18"/>
        <v>0</v>
      </c>
      <c r="DO26" s="3">
        <f t="shared" si="18"/>
        <v>0</v>
      </c>
      <c r="DP26" s="3">
        <f t="shared" si="18"/>
        <v>0</v>
      </c>
      <c r="DQ26" s="3">
        <f t="shared" si="18"/>
        <v>0</v>
      </c>
      <c r="DR26" s="3">
        <f t="shared" si="18"/>
        <v>0</v>
      </c>
      <c r="DS26" s="3">
        <f t="shared" si="18"/>
        <v>0</v>
      </c>
      <c r="DT26" s="3">
        <f t="shared" si="18"/>
        <v>0</v>
      </c>
      <c r="DU26" s="3">
        <f t="shared" si="18"/>
        <v>0</v>
      </c>
      <c r="DV26" s="3">
        <f t="shared" si="18"/>
        <v>0</v>
      </c>
      <c r="DW26" s="3">
        <f t="shared" si="18"/>
        <v>0</v>
      </c>
      <c r="DX26" s="3">
        <f t="shared" si="18"/>
        <v>0</v>
      </c>
      <c r="DY26" s="3">
        <f t="shared" si="18"/>
        <v>0</v>
      </c>
      <c r="DZ26" s="3">
        <f t="shared" si="18"/>
        <v>0</v>
      </c>
      <c r="EA26" s="3">
        <f t="shared" si="18"/>
        <v>0</v>
      </c>
      <c r="EB26" s="3">
        <f t="shared" si="18"/>
        <v>0</v>
      </c>
      <c r="EC26" s="3">
        <f t="shared" si="18"/>
        <v>0</v>
      </c>
      <c r="ED26" s="3">
        <f t="shared" si="18"/>
        <v>0</v>
      </c>
      <c r="EE26" s="3">
        <f t="shared" si="18"/>
        <v>0</v>
      </c>
      <c r="EF26" s="3">
        <f t="shared" si="18"/>
        <v>0</v>
      </c>
      <c r="EG26" s="3">
        <f t="shared" si="18"/>
        <v>0</v>
      </c>
      <c r="EH26" s="3">
        <f t="shared" si="18"/>
        <v>0</v>
      </c>
      <c r="EI26" s="3">
        <f t="shared" si="18"/>
        <v>0</v>
      </c>
      <c r="EJ26" s="3">
        <f t="shared" si="18"/>
        <v>0</v>
      </c>
      <c r="EK26" s="3">
        <f t="shared" si="18"/>
        <v>0</v>
      </c>
      <c r="EL26" s="3">
        <f t="shared" si="18"/>
        <v>0</v>
      </c>
      <c r="EM26" s="3">
        <f t="shared" ref="EM26:FR26" si="19">EM210</f>
        <v>0</v>
      </c>
      <c r="EN26" s="3">
        <f t="shared" si="19"/>
        <v>0</v>
      </c>
      <c r="EO26" s="3">
        <f t="shared" si="19"/>
        <v>0</v>
      </c>
      <c r="EP26" s="3">
        <f t="shared" si="19"/>
        <v>0</v>
      </c>
      <c r="EQ26" s="3">
        <f t="shared" si="19"/>
        <v>0</v>
      </c>
      <c r="ER26" s="3">
        <f t="shared" si="19"/>
        <v>0</v>
      </c>
      <c r="ES26" s="3">
        <f t="shared" si="19"/>
        <v>0</v>
      </c>
      <c r="ET26" s="3">
        <f t="shared" si="19"/>
        <v>0</v>
      </c>
      <c r="EU26" s="3">
        <f t="shared" si="19"/>
        <v>0</v>
      </c>
      <c r="EV26" s="3">
        <f t="shared" si="19"/>
        <v>0</v>
      </c>
      <c r="EW26" s="3">
        <f t="shared" si="19"/>
        <v>0</v>
      </c>
      <c r="EX26" s="3">
        <f t="shared" si="19"/>
        <v>0</v>
      </c>
      <c r="EY26" s="3">
        <f t="shared" si="19"/>
        <v>0</v>
      </c>
      <c r="EZ26" s="3">
        <f t="shared" si="19"/>
        <v>0</v>
      </c>
      <c r="FA26" s="3">
        <f t="shared" si="19"/>
        <v>0</v>
      </c>
      <c r="FB26" s="3">
        <f t="shared" si="19"/>
        <v>0</v>
      </c>
      <c r="FC26" s="3">
        <f t="shared" si="19"/>
        <v>0</v>
      </c>
      <c r="FD26" s="3">
        <f t="shared" si="19"/>
        <v>0</v>
      </c>
      <c r="FE26" s="3">
        <f t="shared" si="19"/>
        <v>0</v>
      </c>
      <c r="FF26" s="3">
        <f t="shared" si="19"/>
        <v>0</v>
      </c>
      <c r="FG26" s="3">
        <f t="shared" si="19"/>
        <v>0</v>
      </c>
      <c r="FH26" s="3">
        <f t="shared" si="19"/>
        <v>0</v>
      </c>
      <c r="FI26" s="3">
        <f t="shared" si="19"/>
        <v>0</v>
      </c>
      <c r="FJ26" s="3">
        <f t="shared" si="19"/>
        <v>0</v>
      </c>
      <c r="FK26" s="3">
        <f t="shared" si="19"/>
        <v>0</v>
      </c>
      <c r="FL26" s="3">
        <f t="shared" si="19"/>
        <v>0</v>
      </c>
      <c r="FM26" s="3">
        <f t="shared" si="19"/>
        <v>0</v>
      </c>
      <c r="FN26" s="3">
        <f t="shared" si="19"/>
        <v>0</v>
      </c>
      <c r="FO26" s="3">
        <f t="shared" si="19"/>
        <v>0</v>
      </c>
      <c r="FP26" s="3">
        <f t="shared" si="19"/>
        <v>0</v>
      </c>
      <c r="FQ26" s="3">
        <f t="shared" si="19"/>
        <v>0</v>
      </c>
      <c r="FR26" s="3">
        <f t="shared" si="19"/>
        <v>0</v>
      </c>
      <c r="FS26" s="3">
        <f t="shared" ref="FS26:GX26" si="20">FS210</f>
        <v>0</v>
      </c>
      <c r="FT26" s="3">
        <f t="shared" si="20"/>
        <v>0</v>
      </c>
      <c r="FU26" s="3">
        <f t="shared" si="20"/>
        <v>0</v>
      </c>
      <c r="FV26" s="3">
        <f t="shared" si="20"/>
        <v>0</v>
      </c>
      <c r="FW26" s="3">
        <f t="shared" si="20"/>
        <v>0</v>
      </c>
      <c r="FX26" s="3">
        <f t="shared" si="20"/>
        <v>0</v>
      </c>
      <c r="FY26" s="3">
        <f t="shared" si="20"/>
        <v>0</v>
      </c>
      <c r="FZ26" s="3">
        <f t="shared" si="20"/>
        <v>0</v>
      </c>
      <c r="GA26" s="3">
        <f t="shared" si="20"/>
        <v>0</v>
      </c>
      <c r="GB26" s="3">
        <f t="shared" si="20"/>
        <v>0</v>
      </c>
      <c r="GC26" s="3">
        <f t="shared" si="20"/>
        <v>0</v>
      </c>
      <c r="GD26" s="3">
        <f t="shared" si="20"/>
        <v>0</v>
      </c>
      <c r="GE26" s="3">
        <f t="shared" si="20"/>
        <v>0</v>
      </c>
      <c r="GF26" s="3">
        <f t="shared" si="20"/>
        <v>0</v>
      </c>
      <c r="GG26" s="3">
        <f t="shared" si="20"/>
        <v>0</v>
      </c>
      <c r="GH26" s="3">
        <f t="shared" si="20"/>
        <v>0</v>
      </c>
      <c r="GI26" s="3">
        <f t="shared" si="20"/>
        <v>0</v>
      </c>
      <c r="GJ26" s="3">
        <f t="shared" si="20"/>
        <v>0</v>
      </c>
      <c r="GK26" s="3">
        <f t="shared" si="20"/>
        <v>0</v>
      </c>
      <c r="GL26" s="3">
        <f t="shared" si="20"/>
        <v>0</v>
      </c>
      <c r="GM26" s="3">
        <f t="shared" si="20"/>
        <v>0</v>
      </c>
      <c r="GN26" s="3">
        <f t="shared" si="20"/>
        <v>0</v>
      </c>
      <c r="GO26" s="3">
        <f t="shared" si="20"/>
        <v>0</v>
      </c>
      <c r="GP26" s="3">
        <f t="shared" si="20"/>
        <v>0</v>
      </c>
      <c r="GQ26" s="3">
        <f t="shared" si="20"/>
        <v>0</v>
      </c>
      <c r="GR26" s="3">
        <f t="shared" si="20"/>
        <v>0</v>
      </c>
      <c r="GS26" s="3">
        <f t="shared" si="20"/>
        <v>0</v>
      </c>
      <c r="GT26" s="3">
        <f t="shared" si="20"/>
        <v>0</v>
      </c>
      <c r="GU26" s="3">
        <f t="shared" si="20"/>
        <v>0</v>
      </c>
      <c r="GV26" s="3">
        <f t="shared" si="20"/>
        <v>0</v>
      </c>
      <c r="GW26" s="3">
        <f t="shared" si="20"/>
        <v>0</v>
      </c>
      <c r="GX26" s="3">
        <f t="shared" si="20"/>
        <v>0</v>
      </c>
    </row>
    <row r="28" spans="1:245" x14ac:dyDescent="0.2">
      <c r="A28" s="1">
        <v>5</v>
      </c>
      <c r="B28" s="1">
        <v>1</v>
      </c>
      <c r="C28" s="1"/>
      <c r="D28" s="1">
        <f>ROW(A40)</f>
        <v>40</v>
      </c>
      <c r="E28" s="1"/>
      <c r="F28" s="1" t="s">
        <v>17</v>
      </c>
      <c r="G28" s="1" t="s">
        <v>18</v>
      </c>
      <c r="H28" s="1" t="s">
        <v>3</v>
      </c>
      <c r="I28" s="1">
        <v>0</v>
      </c>
      <c r="J28" s="1"/>
      <c r="K28" s="1">
        <v>0</v>
      </c>
      <c r="L28" s="1"/>
      <c r="M28" s="1"/>
      <c r="N28" s="1"/>
      <c r="O28" s="1"/>
      <c r="P28" s="1"/>
      <c r="Q28" s="1"/>
      <c r="R28" s="1"/>
      <c r="S28" s="1"/>
      <c r="T28" s="1"/>
      <c r="U28" s="1" t="s">
        <v>3</v>
      </c>
      <c r="V28" s="1">
        <v>0</v>
      </c>
      <c r="W28" s="1"/>
      <c r="X28" s="1"/>
      <c r="Y28" s="1"/>
      <c r="Z28" s="1"/>
      <c r="AA28" s="1"/>
      <c r="AB28" s="1" t="s">
        <v>3</v>
      </c>
      <c r="AC28" s="1" t="s">
        <v>3</v>
      </c>
      <c r="AD28" s="1" t="s">
        <v>3</v>
      </c>
      <c r="AE28" s="1" t="s">
        <v>3</v>
      </c>
      <c r="AF28" s="1" t="s">
        <v>3</v>
      </c>
      <c r="AG28" s="1" t="s">
        <v>3</v>
      </c>
      <c r="AH28" s="1"/>
      <c r="AI28" s="1"/>
      <c r="AJ28" s="1"/>
      <c r="AK28" s="1"/>
      <c r="AL28" s="1"/>
      <c r="AM28" s="1"/>
      <c r="AN28" s="1"/>
      <c r="AO28" s="1"/>
      <c r="AP28" s="1" t="s">
        <v>3</v>
      </c>
      <c r="AQ28" s="1" t="s">
        <v>3</v>
      </c>
      <c r="AR28" s="1" t="s">
        <v>3</v>
      </c>
      <c r="AS28" s="1"/>
      <c r="AT28" s="1"/>
      <c r="AU28" s="1"/>
      <c r="AV28" s="1"/>
      <c r="AW28" s="1"/>
      <c r="AX28" s="1"/>
      <c r="AY28" s="1"/>
      <c r="AZ28" s="1" t="s">
        <v>3</v>
      </c>
      <c r="BA28" s="1"/>
      <c r="BB28" s="1" t="s">
        <v>3</v>
      </c>
      <c r="BC28" s="1" t="s">
        <v>3</v>
      </c>
      <c r="BD28" s="1" t="s">
        <v>3</v>
      </c>
      <c r="BE28" s="1" t="s">
        <v>3</v>
      </c>
      <c r="BF28" s="1" t="s">
        <v>3</v>
      </c>
      <c r="BG28" s="1" t="s">
        <v>3</v>
      </c>
      <c r="BH28" s="1" t="s">
        <v>3</v>
      </c>
      <c r="BI28" s="1" t="s">
        <v>3</v>
      </c>
      <c r="BJ28" s="1" t="s">
        <v>3</v>
      </c>
      <c r="BK28" s="1" t="s">
        <v>3</v>
      </c>
      <c r="BL28" s="1" t="s">
        <v>3</v>
      </c>
      <c r="BM28" s="1" t="s">
        <v>3</v>
      </c>
      <c r="BN28" s="1" t="s">
        <v>3</v>
      </c>
      <c r="BO28" s="1" t="s">
        <v>3</v>
      </c>
      <c r="BP28" s="1" t="s">
        <v>3</v>
      </c>
      <c r="BQ28" s="1"/>
      <c r="BR28" s="1"/>
      <c r="BS28" s="1"/>
      <c r="BT28" s="1"/>
      <c r="BU28" s="1"/>
      <c r="BV28" s="1"/>
      <c r="BW28" s="1"/>
      <c r="BX28" s="1">
        <v>0</v>
      </c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>
        <v>0</v>
      </c>
    </row>
    <row r="30" spans="1:245" x14ac:dyDescent="0.2">
      <c r="A30" s="2">
        <v>52</v>
      </c>
      <c r="B30" s="2">
        <f t="shared" ref="B30:G30" si="21">B40</f>
        <v>1</v>
      </c>
      <c r="C30" s="2">
        <f t="shared" si="21"/>
        <v>5</v>
      </c>
      <c r="D30" s="2">
        <f t="shared" si="21"/>
        <v>28</v>
      </c>
      <c r="E30" s="2">
        <f t="shared" si="21"/>
        <v>0</v>
      </c>
      <c r="F30" s="2" t="str">
        <f t="shared" si="21"/>
        <v>Новый подраздел</v>
      </c>
      <c r="G30" s="2" t="str">
        <f t="shared" si="21"/>
        <v>Демонтаж</v>
      </c>
      <c r="H30" s="2"/>
      <c r="I30" s="2"/>
      <c r="J30" s="2"/>
      <c r="K30" s="2"/>
      <c r="L30" s="2"/>
      <c r="M30" s="2"/>
      <c r="N30" s="2"/>
      <c r="O30" s="2">
        <f t="shared" ref="O30:AT30" si="22">O40</f>
        <v>364.71</v>
      </c>
      <c r="P30" s="2">
        <f t="shared" si="22"/>
        <v>13.51</v>
      </c>
      <c r="Q30" s="2">
        <f t="shared" si="22"/>
        <v>62.72</v>
      </c>
      <c r="R30" s="2">
        <f t="shared" si="22"/>
        <v>37.18</v>
      </c>
      <c r="S30" s="2">
        <f t="shared" si="22"/>
        <v>288.48</v>
      </c>
      <c r="T30" s="2">
        <f t="shared" si="22"/>
        <v>0</v>
      </c>
      <c r="U30" s="2">
        <f t="shared" si="22"/>
        <v>1.6603649999999999</v>
      </c>
      <c r="V30" s="2">
        <f t="shared" si="22"/>
        <v>0</v>
      </c>
      <c r="W30" s="2">
        <f t="shared" si="22"/>
        <v>0</v>
      </c>
      <c r="X30" s="2">
        <f t="shared" si="22"/>
        <v>201.94</v>
      </c>
      <c r="Y30" s="2">
        <f t="shared" si="22"/>
        <v>28.85</v>
      </c>
      <c r="Z30" s="2">
        <f t="shared" si="22"/>
        <v>0</v>
      </c>
      <c r="AA30" s="2">
        <f t="shared" si="22"/>
        <v>0</v>
      </c>
      <c r="AB30" s="2">
        <f t="shared" si="22"/>
        <v>364.71</v>
      </c>
      <c r="AC30" s="2">
        <f t="shared" si="22"/>
        <v>13.51</v>
      </c>
      <c r="AD30" s="2">
        <f t="shared" si="22"/>
        <v>62.72</v>
      </c>
      <c r="AE30" s="2">
        <f t="shared" si="22"/>
        <v>37.18</v>
      </c>
      <c r="AF30" s="2">
        <f t="shared" si="22"/>
        <v>288.48</v>
      </c>
      <c r="AG30" s="2">
        <f t="shared" si="22"/>
        <v>0</v>
      </c>
      <c r="AH30" s="2">
        <f t="shared" si="22"/>
        <v>1.6603649999999999</v>
      </c>
      <c r="AI30" s="2">
        <f t="shared" si="22"/>
        <v>0</v>
      </c>
      <c r="AJ30" s="2">
        <f t="shared" si="22"/>
        <v>0</v>
      </c>
      <c r="AK30" s="2">
        <f t="shared" si="22"/>
        <v>201.94</v>
      </c>
      <c r="AL30" s="2">
        <f t="shared" si="22"/>
        <v>28.85</v>
      </c>
      <c r="AM30" s="2">
        <f t="shared" si="22"/>
        <v>0</v>
      </c>
      <c r="AN30" s="2">
        <f t="shared" si="22"/>
        <v>0</v>
      </c>
      <c r="AO30" s="2">
        <f t="shared" si="22"/>
        <v>0</v>
      </c>
      <c r="AP30" s="2">
        <f t="shared" si="22"/>
        <v>0</v>
      </c>
      <c r="AQ30" s="2">
        <f t="shared" si="22"/>
        <v>0</v>
      </c>
      <c r="AR30" s="2">
        <f t="shared" si="22"/>
        <v>595.5</v>
      </c>
      <c r="AS30" s="2">
        <f t="shared" si="22"/>
        <v>0</v>
      </c>
      <c r="AT30" s="2">
        <f t="shared" si="22"/>
        <v>0</v>
      </c>
      <c r="AU30" s="2">
        <f t="shared" ref="AU30:BZ30" si="23">AU40</f>
        <v>595.5</v>
      </c>
      <c r="AV30" s="2">
        <f t="shared" si="23"/>
        <v>13.51</v>
      </c>
      <c r="AW30" s="2">
        <f t="shared" si="23"/>
        <v>13.51</v>
      </c>
      <c r="AX30" s="2">
        <f t="shared" si="23"/>
        <v>0</v>
      </c>
      <c r="AY30" s="2">
        <f t="shared" si="23"/>
        <v>13.51</v>
      </c>
      <c r="AZ30" s="2">
        <f t="shared" si="23"/>
        <v>0</v>
      </c>
      <c r="BA30" s="2">
        <f t="shared" si="23"/>
        <v>0</v>
      </c>
      <c r="BB30" s="2">
        <f t="shared" si="23"/>
        <v>0</v>
      </c>
      <c r="BC30" s="2">
        <f t="shared" si="23"/>
        <v>0</v>
      </c>
      <c r="BD30" s="2">
        <f t="shared" si="23"/>
        <v>0</v>
      </c>
      <c r="BE30" s="2">
        <f t="shared" si="23"/>
        <v>0</v>
      </c>
      <c r="BF30" s="2">
        <f t="shared" si="23"/>
        <v>0</v>
      </c>
      <c r="BG30" s="2">
        <f t="shared" si="23"/>
        <v>0</v>
      </c>
      <c r="BH30" s="2">
        <f t="shared" si="23"/>
        <v>0</v>
      </c>
      <c r="BI30" s="2">
        <f t="shared" si="23"/>
        <v>0</v>
      </c>
      <c r="BJ30" s="2">
        <f t="shared" si="23"/>
        <v>0</v>
      </c>
      <c r="BK30" s="2">
        <f t="shared" si="23"/>
        <v>0</v>
      </c>
      <c r="BL30" s="2">
        <f t="shared" si="23"/>
        <v>0</v>
      </c>
      <c r="BM30" s="2">
        <f t="shared" si="23"/>
        <v>0</v>
      </c>
      <c r="BN30" s="2">
        <f t="shared" si="23"/>
        <v>0</v>
      </c>
      <c r="BO30" s="2">
        <f t="shared" si="23"/>
        <v>0</v>
      </c>
      <c r="BP30" s="2">
        <f t="shared" si="23"/>
        <v>0</v>
      </c>
      <c r="BQ30" s="2">
        <f t="shared" si="23"/>
        <v>0</v>
      </c>
      <c r="BR30" s="2">
        <f t="shared" si="23"/>
        <v>0</v>
      </c>
      <c r="BS30" s="2">
        <f t="shared" si="23"/>
        <v>0</v>
      </c>
      <c r="BT30" s="2">
        <f t="shared" si="23"/>
        <v>0</v>
      </c>
      <c r="BU30" s="2">
        <f t="shared" si="23"/>
        <v>0</v>
      </c>
      <c r="BV30" s="2">
        <f t="shared" si="23"/>
        <v>0</v>
      </c>
      <c r="BW30" s="2">
        <f t="shared" si="23"/>
        <v>0</v>
      </c>
      <c r="BX30" s="2">
        <f t="shared" si="23"/>
        <v>0</v>
      </c>
      <c r="BY30" s="2">
        <f t="shared" si="23"/>
        <v>0</v>
      </c>
      <c r="BZ30" s="2">
        <f t="shared" si="23"/>
        <v>0</v>
      </c>
      <c r="CA30" s="2">
        <f t="shared" ref="CA30:DF30" si="24">CA40</f>
        <v>595.5</v>
      </c>
      <c r="CB30" s="2">
        <f t="shared" si="24"/>
        <v>0</v>
      </c>
      <c r="CC30" s="2">
        <f t="shared" si="24"/>
        <v>0</v>
      </c>
      <c r="CD30" s="2">
        <f t="shared" si="24"/>
        <v>595.5</v>
      </c>
      <c r="CE30" s="2">
        <f t="shared" si="24"/>
        <v>13.51</v>
      </c>
      <c r="CF30" s="2">
        <f t="shared" si="24"/>
        <v>13.51</v>
      </c>
      <c r="CG30" s="2">
        <f t="shared" si="24"/>
        <v>0</v>
      </c>
      <c r="CH30" s="2">
        <f t="shared" si="24"/>
        <v>13.51</v>
      </c>
      <c r="CI30" s="2">
        <f t="shared" si="24"/>
        <v>0</v>
      </c>
      <c r="CJ30" s="2">
        <f t="shared" si="24"/>
        <v>0</v>
      </c>
      <c r="CK30" s="2">
        <f t="shared" si="24"/>
        <v>0</v>
      </c>
      <c r="CL30" s="2">
        <f t="shared" si="24"/>
        <v>0</v>
      </c>
      <c r="CM30" s="2">
        <f t="shared" si="24"/>
        <v>0</v>
      </c>
      <c r="CN30" s="2">
        <f t="shared" si="24"/>
        <v>0</v>
      </c>
      <c r="CO30" s="2">
        <f t="shared" si="24"/>
        <v>0</v>
      </c>
      <c r="CP30" s="2">
        <f t="shared" si="24"/>
        <v>0</v>
      </c>
      <c r="CQ30" s="2">
        <f t="shared" si="24"/>
        <v>0</v>
      </c>
      <c r="CR30" s="2">
        <f t="shared" si="24"/>
        <v>0</v>
      </c>
      <c r="CS30" s="2">
        <f t="shared" si="24"/>
        <v>0</v>
      </c>
      <c r="CT30" s="2">
        <f t="shared" si="24"/>
        <v>0</v>
      </c>
      <c r="CU30" s="2">
        <f t="shared" si="24"/>
        <v>0</v>
      </c>
      <c r="CV30" s="2">
        <f t="shared" si="24"/>
        <v>0</v>
      </c>
      <c r="CW30" s="2">
        <f t="shared" si="24"/>
        <v>0</v>
      </c>
      <c r="CX30" s="2">
        <f t="shared" si="24"/>
        <v>0</v>
      </c>
      <c r="CY30" s="2">
        <f t="shared" si="24"/>
        <v>0</v>
      </c>
      <c r="CZ30" s="2">
        <f t="shared" si="24"/>
        <v>0</v>
      </c>
      <c r="DA30" s="2">
        <f t="shared" si="24"/>
        <v>0</v>
      </c>
      <c r="DB30" s="2">
        <f t="shared" si="24"/>
        <v>0</v>
      </c>
      <c r="DC30" s="2">
        <f t="shared" si="24"/>
        <v>0</v>
      </c>
      <c r="DD30" s="2">
        <f t="shared" si="24"/>
        <v>0</v>
      </c>
      <c r="DE30" s="2">
        <f t="shared" si="24"/>
        <v>0</v>
      </c>
      <c r="DF30" s="2">
        <f t="shared" si="24"/>
        <v>0</v>
      </c>
      <c r="DG30" s="3">
        <f t="shared" ref="DG30:EL30" si="25">DG40</f>
        <v>0</v>
      </c>
      <c r="DH30" s="3">
        <f t="shared" si="25"/>
        <v>0</v>
      </c>
      <c r="DI30" s="3">
        <f t="shared" si="25"/>
        <v>0</v>
      </c>
      <c r="DJ30" s="3">
        <f t="shared" si="25"/>
        <v>0</v>
      </c>
      <c r="DK30" s="3">
        <f t="shared" si="25"/>
        <v>0</v>
      </c>
      <c r="DL30" s="3">
        <f t="shared" si="25"/>
        <v>0</v>
      </c>
      <c r="DM30" s="3">
        <f t="shared" si="25"/>
        <v>0</v>
      </c>
      <c r="DN30" s="3">
        <f t="shared" si="25"/>
        <v>0</v>
      </c>
      <c r="DO30" s="3">
        <f t="shared" si="25"/>
        <v>0</v>
      </c>
      <c r="DP30" s="3">
        <f t="shared" si="25"/>
        <v>0</v>
      </c>
      <c r="DQ30" s="3">
        <f t="shared" si="25"/>
        <v>0</v>
      </c>
      <c r="DR30" s="3">
        <f t="shared" si="25"/>
        <v>0</v>
      </c>
      <c r="DS30" s="3">
        <f t="shared" si="25"/>
        <v>0</v>
      </c>
      <c r="DT30" s="3">
        <f t="shared" si="25"/>
        <v>0</v>
      </c>
      <c r="DU30" s="3">
        <f t="shared" si="25"/>
        <v>0</v>
      </c>
      <c r="DV30" s="3">
        <f t="shared" si="25"/>
        <v>0</v>
      </c>
      <c r="DW30" s="3">
        <f t="shared" si="25"/>
        <v>0</v>
      </c>
      <c r="DX30" s="3">
        <f t="shared" si="25"/>
        <v>0</v>
      </c>
      <c r="DY30" s="3">
        <f t="shared" si="25"/>
        <v>0</v>
      </c>
      <c r="DZ30" s="3">
        <f t="shared" si="25"/>
        <v>0</v>
      </c>
      <c r="EA30" s="3">
        <f t="shared" si="25"/>
        <v>0</v>
      </c>
      <c r="EB30" s="3">
        <f t="shared" si="25"/>
        <v>0</v>
      </c>
      <c r="EC30" s="3">
        <f t="shared" si="25"/>
        <v>0</v>
      </c>
      <c r="ED30" s="3">
        <f t="shared" si="25"/>
        <v>0</v>
      </c>
      <c r="EE30" s="3">
        <f t="shared" si="25"/>
        <v>0</v>
      </c>
      <c r="EF30" s="3">
        <f t="shared" si="25"/>
        <v>0</v>
      </c>
      <c r="EG30" s="3">
        <f t="shared" si="25"/>
        <v>0</v>
      </c>
      <c r="EH30" s="3">
        <f t="shared" si="25"/>
        <v>0</v>
      </c>
      <c r="EI30" s="3">
        <f t="shared" si="25"/>
        <v>0</v>
      </c>
      <c r="EJ30" s="3">
        <f t="shared" si="25"/>
        <v>0</v>
      </c>
      <c r="EK30" s="3">
        <f t="shared" si="25"/>
        <v>0</v>
      </c>
      <c r="EL30" s="3">
        <f t="shared" si="25"/>
        <v>0</v>
      </c>
      <c r="EM30" s="3">
        <f t="shared" ref="EM30:FR30" si="26">EM40</f>
        <v>0</v>
      </c>
      <c r="EN30" s="3">
        <f t="shared" si="26"/>
        <v>0</v>
      </c>
      <c r="EO30" s="3">
        <f t="shared" si="26"/>
        <v>0</v>
      </c>
      <c r="EP30" s="3">
        <f t="shared" si="26"/>
        <v>0</v>
      </c>
      <c r="EQ30" s="3">
        <f t="shared" si="26"/>
        <v>0</v>
      </c>
      <c r="ER30" s="3">
        <f t="shared" si="26"/>
        <v>0</v>
      </c>
      <c r="ES30" s="3">
        <f t="shared" si="26"/>
        <v>0</v>
      </c>
      <c r="ET30" s="3">
        <f t="shared" si="26"/>
        <v>0</v>
      </c>
      <c r="EU30" s="3">
        <f t="shared" si="26"/>
        <v>0</v>
      </c>
      <c r="EV30" s="3">
        <f t="shared" si="26"/>
        <v>0</v>
      </c>
      <c r="EW30" s="3">
        <f t="shared" si="26"/>
        <v>0</v>
      </c>
      <c r="EX30" s="3">
        <f t="shared" si="26"/>
        <v>0</v>
      </c>
      <c r="EY30" s="3">
        <f t="shared" si="26"/>
        <v>0</v>
      </c>
      <c r="EZ30" s="3">
        <f t="shared" si="26"/>
        <v>0</v>
      </c>
      <c r="FA30" s="3">
        <f t="shared" si="26"/>
        <v>0</v>
      </c>
      <c r="FB30" s="3">
        <f t="shared" si="26"/>
        <v>0</v>
      </c>
      <c r="FC30" s="3">
        <f t="shared" si="26"/>
        <v>0</v>
      </c>
      <c r="FD30" s="3">
        <f t="shared" si="26"/>
        <v>0</v>
      </c>
      <c r="FE30" s="3">
        <f t="shared" si="26"/>
        <v>0</v>
      </c>
      <c r="FF30" s="3">
        <f t="shared" si="26"/>
        <v>0</v>
      </c>
      <c r="FG30" s="3">
        <f t="shared" si="26"/>
        <v>0</v>
      </c>
      <c r="FH30" s="3">
        <f t="shared" si="26"/>
        <v>0</v>
      </c>
      <c r="FI30" s="3">
        <f t="shared" si="26"/>
        <v>0</v>
      </c>
      <c r="FJ30" s="3">
        <f t="shared" si="26"/>
        <v>0</v>
      </c>
      <c r="FK30" s="3">
        <f t="shared" si="26"/>
        <v>0</v>
      </c>
      <c r="FL30" s="3">
        <f t="shared" si="26"/>
        <v>0</v>
      </c>
      <c r="FM30" s="3">
        <f t="shared" si="26"/>
        <v>0</v>
      </c>
      <c r="FN30" s="3">
        <f t="shared" si="26"/>
        <v>0</v>
      </c>
      <c r="FO30" s="3">
        <f t="shared" si="26"/>
        <v>0</v>
      </c>
      <c r="FP30" s="3">
        <f t="shared" si="26"/>
        <v>0</v>
      </c>
      <c r="FQ30" s="3">
        <f t="shared" si="26"/>
        <v>0</v>
      </c>
      <c r="FR30" s="3">
        <f t="shared" si="26"/>
        <v>0</v>
      </c>
      <c r="FS30" s="3">
        <f t="shared" ref="FS30:GX30" si="27">FS40</f>
        <v>0</v>
      </c>
      <c r="FT30" s="3">
        <f t="shared" si="27"/>
        <v>0</v>
      </c>
      <c r="FU30" s="3">
        <f t="shared" si="27"/>
        <v>0</v>
      </c>
      <c r="FV30" s="3">
        <f t="shared" si="27"/>
        <v>0</v>
      </c>
      <c r="FW30" s="3">
        <f t="shared" si="27"/>
        <v>0</v>
      </c>
      <c r="FX30" s="3">
        <f t="shared" si="27"/>
        <v>0</v>
      </c>
      <c r="FY30" s="3">
        <f t="shared" si="27"/>
        <v>0</v>
      </c>
      <c r="FZ30" s="3">
        <f t="shared" si="27"/>
        <v>0</v>
      </c>
      <c r="GA30" s="3">
        <f t="shared" si="27"/>
        <v>0</v>
      </c>
      <c r="GB30" s="3">
        <f t="shared" si="27"/>
        <v>0</v>
      </c>
      <c r="GC30" s="3">
        <f t="shared" si="27"/>
        <v>0</v>
      </c>
      <c r="GD30" s="3">
        <f t="shared" si="27"/>
        <v>0</v>
      </c>
      <c r="GE30" s="3">
        <f t="shared" si="27"/>
        <v>0</v>
      </c>
      <c r="GF30" s="3">
        <f t="shared" si="27"/>
        <v>0</v>
      </c>
      <c r="GG30" s="3">
        <f t="shared" si="27"/>
        <v>0</v>
      </c>
      <c r="GH30" s="3">
        <f t="shared" si="27"/>
        <v>0</v>
      </c>
      <c r="GI30" s="3">
        <f t="shared" si="27"/>
        <v>0</v>
      </c>
      <c r="GJ30" s="3">
        <f t="shared" si="27"/>
        <v>0</v>
      </c>
      <c r="GK30" s="3">
        <f t="shared" si="27"/>
        <v>0</v>
      </c>
      <c r="GL30" s="3">
        <f t="shared" si="27"/>
        <v>0</v>
      </c>
      <c r="GM30" s="3">
        <f t="shared" si="27"/>
        <v>0</v>
      </c>
      <c r="GN30" s="3">
        <f t="shared" si="27"/>
        <v>0</v>
      </c>
      <c r="GO30" s="3">
        <f t="shared" si="27"/>
        <v>0</v>
      </c>
      <c r="GP30" s="3">
        <f t="shared" si="27"/>
        <v>0</v>
      </c>
      <c r="GQ30" s="3">
        <f t="shared" si="27"/>
        <v>0</v>
      </c>
      <c r="GR30" s="3">
        <f t="shared" si="27"/>
        <v>0</v>
      </c>
      <c r="GS30" s="3">
        <f t="shared" si="27"/>
        <v>0</v>
      </c>
      <c r="GT30" s="3">
        <f t="shared" si="27"/>
        <v>0</v>
      </c>
      <c r="GU30" s="3">
        <f t="shared" si="27"/>
        <v>0</v>
      </c>
      <c r="GV30" s="3">
        <f t="shared" si="27"/>
        <v>0</v>
      </c>
      <c r="GW30" s="3">
        <f t="shared" si="27"/>
        <v>0</v>
      </c>
      <c r="GX30" s="3">
        <f t="shared" si="27"/>
        <v>0</v>
      </c>
    </row>
    <row r="32" spans="1:245" x14ac:dyDescent="0.2">
      <c r="A32">
        <v>17</v>
      </c>
      <c r="B32">
        <v>1</v>
      </c>
      <c r="C32">
        <f>ROW(SmtRes!A3)</f>
        <v>3</v>
      </c>
      <c r="D32">
        <f>ROW(EtalonRes!A3)</f>
        <v>3</v>
      </c>
      <c r="E32" t="s">
        <v>19</v>
      </c>
      <c r="F32" t="s">
        <v>20</v>
      </c>
      <c r="G32" t="s">
        <v>21</v>
      </c>
      <c r="H32" t="s">
        <v>22</v>
      </c>
      <c r="I32">
        <f>ROUND(((1*2)+(3+3+1)+(3*0.5))/100,9)</f>
        <v>0.105</v>
      </c>
      <c r="J32">
        <v>0</v>
      </c>
      <c r="O32">
        <f t="shared" ref="O32:O38" si="28">ROUND(CP32,2)</f>
        <v>280.32</v>
      </c>
      <c r="P32">
        <f t="shared" ref="P32:P38" si="29">ROUND(CQ32*I32,2)</f>
        <v>0</v>
      </c>
      <c r="Q32">
        <f t="shared" ref="Q32:Q38" si="30">ROUND(CR32*I32,2)</f>
        <v>0.01</v>
      </c>
      <c r="R32">
        <f t="shared" ref="R32:R38" si="31">ROUND(CS32*I32,2)</f>
        <v>0</v>
      </c>
      <c r="S32">
        <f t="shared" ref="S32:S38" si="32">ROUND(CT32*I32,2)</f>
        <v>280.31</v>
      </c>
      <c r="T32">
        <f t="shared" ref="T32:T38" si="33">ROUND(CU32*I32,2)</f>
        <v>0</v>
      </c>
      <c r="U32">
        <f t="shared" ref="U32:U38" si="34">CV32*I32</f>
        <v>1.5907499999999999</v>
      </c>
      <c r="V32">
        <f t="shared" ref="V32:V38" si="35">CW32*I32</f>
        <v>0</v>
      </c>
      <c r="W32">
        <f t="shared" ref="W32:W38" si="36">ROUND(CX32*I32,2)</f>
        <v>0</v>
      </c>
      <c r="X32">
        <f t="shared" ref="X32:Y38" si="37">ROUND(CY32,2)</f>
        <v>196.22</v>
      </c>
      <c r="Y32">
        <f t="shared" si="37"/>
        <v>28.03</v>
      </c>
      <c r="AA32">
        <v>38214492</v>
      </c>
      <c r="AB32">
        <f t="shared" ref="AB32:AB38" si="38">ROUND((AC32+AD32+AF32),6)</f>
        <v>2669.64</v>
      </c>
      <c r="AC32">
        <f>ROUND((ES32),6)</f>
        <v>0</v>
      </c>
      <c r="AD32">
        <f>ROUND((((ET32)-(EU32))+AE32),6)</f>
        <v>0.06</v>
      </c>
      <c r="AE32">
        <f>ROUND((EU32),6)</f>
        <v>0</v>
      </c>
      <c r="AF32">
        <f>ROUND((EV32),6)</f>
        <v>2669.58</v>
      </c>
      <c r="AG32">
        <f t="shared" ref="AG32:AG38" si="39">ROUND((AP32),6)</f>
        <v>0</v>
      </c>
      <c r="AH32">
        <f>(EW32)</f>
        <v>15.15</v>
      </c>
      <c r="AI32">
        <f>(EX32)</f>
        <v>0</v>
      </c>
      <c r="AJ32">
        <f t="shared" ref="AJ32:AJ38" si="40">(AS32)</f>
        <v>0</v>
      </c>
      <c r="AK32">
        <v>2669.64</v>
      </c>
      <c r="AL32">
        <v>0</v>
      </c>
      <c r="AM32">
        <v>0.06</v>
      </c>
      <c r="AN32">
        <v>0</v>
      </c>
      <c r="AO32">
        <v>2669.58</v>
      </c>
      <c r="AP32">
        <v>0</v>
      </c>
      <c r="AQ32">
        <v>15.15</v>
      </c>
      <c r="AR32">
        <v>0</v>
      </c>
      <c r="AS32">
        <v>0</v>
      </c>
      <c r="AT32">
        <v>70</v>
      </c>
      <c r="AU32">
        <v>10</v>
      </c>
      <c r="AV32">
        <v>1</v>
      </c>
      <c r="AW32">
        <v>1</v>
      </c>
      <c r="AZ32">
        <v>1</v>
      </c>
      <c r="BA32">
        <v>1</v>
      </c>
      <c r="BB32">
        <v>1</v>
      </c>
      <c r="BC32">
        <v>1</v>
      </c>
      <c r="BD32" t="s">
        <v>3</v>
      </c>
      <c r="BE32" t="s">
        <v>3</v>
      </c>
      <c r="BF32" t="s">
        <v>3</v>
      </c>
      <c r="BG32" t="s">
        <v>3</v>
      </c>
      <c r="BH32">
        <v>0</v>
      </c>
      <c r="BI32">
        <v>4</v>
      </c>
      <c r="BJ32" t="s">
        <v>23</v>
      </c>
      <c r="BM32">
        <v>0</v>
      </c>
      <c r="BN32">
        <v>0</v>
      </c>
      <c r="BO32" t="s">
        <v>3</v>
      </c>
      <c r="BP32">
        <v>0</v>
      </c>
      <c r="BQ32">
        <v>1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 t="s">
        <v>3</v>
      </c>
      <c r="BZ32">
        <v>70</v>
      </c>
      <c r="CA32">
        <v>10</v>
      </c>
      <c r="CE32">
        <v>0</v>
      </c>
      <c r="CF32">
        <v>0</v>
      </c>
      <c r="CG32">
        <v>0</v>
      </c>
      <c r="CM32">
        <v>0</v>
      </c>
      <c r="CN32" t="s">
        <v>3</v>
      </c>
      <c r="CO32">
        <v>0</v>
      </c>
      <c r="CP32">
        <f t="shared" ref="CP32:CP38" si="41">(P32+Q32+S32)</f>
        <v>280.32</v>
      </c>
      <c r="CQ32">
        <f t="shared" ref="CQ32:CQ38" si="42">(AC32*BC32*AW32)</f>
        <v>0</v>
      </c>
      <c r="CR32">
        <f>((((ET32)*BB32-(EU32)*BS32)+AE32*BS32)*AV32)</f>
        <v>0.06</v>
      </c>
      <c r="CS32">
        <f t="shared" ref="CS32:CS38" si="43">(AE32*BS32*AV32)</f>
        <v>0</v>
      </c>
      <c r="CT32">
        <f t="shared" ref="CT32:CT38" si="44">(AF32*BA32*AV32)</f>
        <v>2669.58</v>
      </c>
      <c r="CU32">
        <f t="shared" ref="CU32:CU38" si="45">AG32</f>
        <v>0</v>
      </c>
      <c r="CV32">
        <f t="shared" ref="CV32:CV38" si="46">(AH32*AV32)</f>
        <v>15.15</v>
      </c>
      <c r="CW32">
        <f t="shared" ref="CW32:CX38" si="47">AI32</f>
        <v>0</v>
      </c>
      <c r="CX32">
        <f t="shared" si="47"/>
        <v>0</v>
      </c>
      <c r="CY32">
        <f t="shared" ref="CY32:CY38" si="48">((S32*BZ32)/100)</f>
        <v>196.21700000000001</v>
      </c>
      <c r="CZ32">
        <f t="shared" ref="CZ32:CZ38" si="49">((S32*CA32)/100)</f>
        <v>28.030999999999999</v>
      </c>
      <c r="DC32" t="s">
        <v>3</v>
      </c>
      <c r="DD32" t="s">
        <v>3</v>
      </c>
      <c r="DE32" t="s">
        <v>3</v>
      </c>
      <c r="DF32" t="s">
        <v>3</v>
      </c>
      <c r="DG32" t="s">
        <v>3</v>
      </c>
      <c r="DH32" t="s">
        <v>3</v>
      </c>
      <c r="DI32" t="s">
        <v>3</v>
      </c>
      <c r="DJ32" t="s">
        <v>3</v>
      </c>
      <c r="DK32" t="s">
        <v>3</v>
      </c>
      <c r="DL32" t="s">
        <v>3</v>
      </c>
      <c r="DM32" t="s">
        <v>3</v>
      </c>
      <c r="DN32">
        <v>0</v>
      </c>
      <c r="DO32">
        <v>0</v>
      </c>
      <c r="DP32">
        <v>1</v>
      </c>
      <c r="DQ32">
        <v>1</v>
      </c>
      <c r="DU32">
        <v>1005</v>
      </c>
      <c r="DV32" t="s">
        <v>22</v>
      </c>
      <c r="DW32" t="s">
        <v>22</v>
      </c>
      <c r="DX32">
        <v>100</v>
      </c>
      <c r="EE32">
        <v>38628631</v>
      </c>
      <c r="EF32">
        <v>1</v>
      </c>
      <c r="EG32" t="s">
        <v>24</v>
      </c>
      <c r="EH32">
        <v>0</v>
      </c>
      <c r="EI32" t="s">
        <v>3</v>
      </c>
      <c r="EJ32">
        <v>4</v>
      </c>
      <c r="EK32">
        <v>0</v>
      </c>
      <c r="EL32" t="s">
        <v>25</v>
      </c>
      <c r="EM32" t="s">
        <v>26</v>
      </c>
      <c r="EO32" t="s">
        <v>3</v>
      </c>
      <c r="EQ32">
        <v>0</v>
      </c>
      <c r="ER32">
        <v>2669.64</v>
      </c>
      <c r="ES32">
        <v>0</v>
      </c>
      <c r="ET32">
        <v>0.06</v>
      </c>
      <c r="EU32">
        <v>0</v>
      </c>
      <c r="EV32">
        <v>2669.58</v>
      </c>
      <c r="EW32">
        <v>15.15</v>
      </c>
      <c r="EX32">
        <v>0</v>
      </c>
      <c r="EY32">
        <v>0</v>
      </c>
      <c r="FQ32">
        <v>0</v>
      </c>
      <c r="FR32">
        <f t="shared" ref="FR32:FR38" si="50">ROUND(IF(AND(BH32=3,BI32=3),P32,0),2)</f>
        <v>0</v>
      </c>
      <c r="FS32">
        <v>0</v>
      </c>
      <c r="FX32">
        <v>70</v>
      </c>
      <c r="FY32">
        <v>10</v>
      </c>
      <c r="GA32" t="s">
        <v>3</v>
      </c>
      <c r="GD32">
        <v>0</v>
      </c>
      <c r="GF32">
        <v>-52895716</v>
      </c>
      <c r="GG32">
        <v>2</v>
      </c>
      <c r="GH32">
        <v>1</v>
      </c>
      <c r="GI32">
        <v>-2</v>
      </c>
      <c r="GJ32">
        <v>0</v>
      </c>
      <c r="GK32">
        <f>ROUND(R32*(R12)/100,2)</f>
        <v>0</v>
      </c>
      <c r="GL32">
        <f t="shared" ref="GL32:GL38" si="51">ROUND(IF(AND(BH32=3,BI32=3,FS32&lt;&gt;0),P32,0),2)</f>
        <v>0</v>
      </c>
      <c r="GM32">
        <f>ROUND(O32+X32+Y32+GK32,2)+GX32</f>
        <v>504.57</v>
      </c>
      <c r="GN32">
        <f>IF(OR(BI32=0,BI32=1),ROUND(O32+X32+Y32+GK32,2),0)</f>
        <v>0</v>
      </c>
      <c r="GO32">
        <f>IF(BI32=2,ROUND(O32+X32+Y32+GK32,2),0)</f>
        <v>0</v>
      </c>
      <c r="GP32">
        <f>IF(BI32=4,ROUND(O32+X32+Y32+GK32,2)+GX32,0)</f>
        <v>504.57</v>
      </c>
      <c r="GR32">
        <v>0</v>
      </c>
      <c r="GS32">
        <v>3</v>
      </c>
      <c r="GT32">
        <v>0</v>
      </c>
      <c r="GU32" t="s">
        <v>3</v>
      </c>
      <c r="GV32">
        <f t="shared" ref="GV32:GV38" si="52">ROUND((GT32),6)</f>
        <v>0</v>
      </c>
      <c r="GW32">
        <v>1</v>
      </c>
      <c r="GX32">
        <f t="shared" ref="GX32:GX38" si="53">ROUND(HC32*I32,2)</f>
        <v>0</v>
      </c>
      <c r="HA32">
        <v>0</v>
      </c>
      <c r="HB32">
        <v>0</v>
      </c>
      <c r="HC32">
        <f t="shared" ref="HC32:HC38" si="54">GV32*GW32</f>
        <v>0</v>
      </c>
      <c r="HE32" t="s">
        <v>3</v>
      </c>
      <c r="HF32" t="s">
        <v>3</v>
      </c>
      <c r="IK32">
        <v>0</v>
      </c>
    </row>
    <row r="33" spans="1:245" x14ac:dyDescent="0.2">
      <c r="A33">
        <v>17</v>
      </c>
      <c r="B33">
        <v>1</v>
      </c>
      <c r="E33" t="s">
        <v>27</v>
      </c>
      <c r="F33" t="s">
        <v>28</v>
      </c>
      <c r="G33" t="s">
        <v>29</v>
      </c>
      <c r="H33" t="s">
        <v>30</v>
      </c>
      <c r="I33">
        <v>0</v>
      </c>
      <c r="J33">
        <v>0</v>
      </c>
      <c r="O33">
        <f t="shared" si="28"/>
        <v>0</v>
      </c>
      <c r="P33">
        <f t="shared" si="29"/>
        <v>0</v>
      </c>
      <c r="Q33">
        <f t="shared" si="30"/>
        <v>0</v>
      </c>
      <c r="R33">
        <f t="shared" si="31"/>
        <v>0</v>
      </c>
      <c r="S33">
        <f t="shared" si="32"/>
        <v>0</v>
      </c>
      <c r="T33">
        <f t="shared" si="33"/>
        <v>0</v>
      </c>
      <c r="U33">
        <f t="shared" si="34"/>
        <v>0</v>
      </c>
      <c r="V33">
        <f t="shared" si="35"/>
        <v>0</v>
      </c>
      <c r="W33">
        <f t="shared" si="36"/>
        <v>0</v>
      </c>
      <c r="X33">
        <f t="shared" si="37"/>
        <v>0</v>
      </c>
      <c r="Y33">
        <f t="shared" si="37"/>
        <v>0</v>
      </c>
      <c r="AA33">
        <v>38214492</v>
      </c>
      <c r="AB33">
        <f t="shared" si="38"/>
        <v>5321.74</v>
      </c>
      <c r="AC33">
        <f>ROUND(((ES33*0)),6)</f>
        <v>0</v>
      </c>
      <c r="AD33">
        <f>ROUND(((((ET33*0.2))-((EU33*0.2)))+AE33),6)</f>
        <v>144.864</v>
      </c>
      <c r="AE33">
        <f>ROUND(((EU33*0.2)),6)</f>
        <v>5.5679999999999996</v>
      </c>
      <c r="AF33">
        <f>ROUND(((EV33*0.2)),6)</f>
        <v>5176.8760000000002</v>
      </c>
      <c r="AG33">
        <f t="shared" si="39"/>
        <v>0</v>
      </c>
      <c r="AH33">
        <f>((EW33*0.2))</f>
        <v>22.080000000000002</v>
      </c>
      <c r="AI33">
        <f>((EX33*0.2))</f>
        <v>0</v>
      </c>
      <c r="AJ33">
        <f t="shared" si="40"/>
        <v>0</v>
      </c>
      <c r="AK33">
        <v>107108.08</v>
      </c>
      <c r="AL33">
        <v>80499.38</v>
      </c>
      <c r="AM33">
        <v>724.32</v>
      </c>
      <c r="AN33">
        <v>27.84</v>
      </c>
      <c r="AO33">
        <v>25884.38</v>
      </c>
      <c r="AP33">
        <v>0</v>
      </c>
      <c r="AQ33">
        <v>110.4</v>
      </c>
      <c r="AR33">
        <v>0</v>
      </c>
      <c r="AS33">
        <v>0</v>
      </c>
      <c r="AT33">
        <v>70</v>
      </c>
      <c r="AU33">
        <v>10</v>
      </c>
      <c r="AV33">
        <v>1</v>
      </c>
      <c r="AW33">
        <v>1</v>
      </c>
      <c r="AZ33">
        <v>1</v>
      </c>
      <c r="BA33">
        <v>1</v>
      </c>
      <c r="BB33">
        <v>1</v>
      </c>
      <c r="BC33">
        <v>1</v>
      </c>
      <c r="BD33" t="s">
        <v>3</v>
      </c>
      <c r="BE33" t="s">
        <v>3</v>
      </c>
      <c r="BF33" t="s">
        <v>3</v>
      </c>
      <c r="BG33" t="s">
        <v>3</v>
      </c>
      <c r="BH33">
        <v>0</v>
      </c>
      <c r="BI33">
        <v>4</v>
      </c>
      <c r="BJ33" t="s">
        <v>31</v>
      </c>
      <c r="BM33">
        <v>0</v>
      </c>
      <c r="BN33">
        <v>0</v>
      </c>
      <c r="BO33" t="s">
        <v>3</v>
      </c>
      <c r="BP33">
        <v>0</v>
      </c>
      <c r="BQ33">
        <v>1</v>
      </c>
      <c r="BR33">
        <v>0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 t="s">
        <v>3</v>
      </c>
      <c r="BZ33">
        <v>70</v>
      </c>
      <c r="CA33">
        <v>10</v>
      </c>
      <c r="CE33">
        <v>0</v>
      </c>
      <c r="CF33">
        <v>0</v>
      </c>
      <c r="CG33">
        <v>0</v>
      </c>
      <c r="CM33">
        <v>0</v>
      </c>
      <c r="CN33" t="s">
        <v>3</v>
      </c>
      <c r="CO33">
        <v>0</v>
      </c>
      <c r="CP33">
        <f t="shared" si="41"/>
        <v>0</v>
      </c>
      <c r="CQ33">
        <f t="shared" si="42"/>
        <v>0</v>
      </c>
      <c r="CR33">
        <f>(((((ET33*0.2))*BB33-((EU33*0.2))*BS33)+AE33*BS33)*AV33)</f>
        <v>144.864</v>
      </c>
      <c r="CS33">
        <f t="shared" si="43"/>
        <v>5.5679999999999996</v>
      </c>
      <c r="CT33">
        <f t="shared" si="44"/>
        <v>5176.8760000000002</v>
      </c>
      <c r="CU33">
        <f t="shared" si="45"/>
        <v>0</v>
      </c>
      <c r="CV33">
        <f t="shared" si="46"/>
        <v>22.080000000000002</v>
      </c>
      <c r="CW33">
        <f t="shared" si="47"/>
        <v>0</v>
      </c>
      <c r="CX33">
        <f t="shared" si="47"/>
        <v>0</v>
      </c>
      <c r="CY33">
        <f t="shared" si="48"/>
        <v>0</v>
      </c>
      <c r="CZ33">
        <f t="shared" si="49"/>
        <v>0</v>
      </c>
      <c r="DC33" t="s">
        <v>3</v>
      </c>
      <c r="DD33" t="s">
        <v>32</v>
      </c>
      <c r="DE33" t="s">
        <v>33</v>
      </c>
      <c r="DF33" t="s">
        <v>33</v>
      </c>
      <c r="DG33" t="s">
        <v>33</v>
      </c>
      <c r="DH33" t="s">
        <v>3</v>
      </c>
      <c r="DI33" t="s">
        <v>33</v>
      </c>
      <c r="DJ33" t="s">
        <v>33</v>
      </c>
      <c r="DK33" t="s">
        <v>3</v>
      </c>
      <c r="DL33" t="s">
        <v>3</v>
      </c>
      <c r="DM33" t="s">
        <v>3</v>
      </c>
      <c r="DN33">
        <v>0</v>
      </c>
      <c r="DO33">
        <v>0</v>
      </c>
      <c r="DP33">
        <v>1</v>
      </c>
      <c r="DQ33">
        <v>1</v>
      </c>
      <c r="DU33">
        <v>1009</v>
      </c>
      <c r="DV33" t="s">
        <v>30</v>
      </c>
      <c r="DW33" t="s">
        <v>30</v>
      </c>
      <c r="DX33">
        <v>1000</v>
      </c>
      <c r="EE33">
        <v>38628631</v>
      </c>
      <c r="EF33">
        <v>1</v>
      </c>
      <c r="EG33" t="s">
        <v>24</v>
      </c>
      <c r="EH33">
        <v>0</v>
      </c>
      <c r="EI33" t="s">
        <v>3</v>
      </c>
      <c r="EJ33">
        <v>4</v>
      </c>
      <c r="EK33">
        <v>0</v>
      </c>
      <c r="EL33" t="s">
        <v>25</v>
      </c>
      <c r="EM33" t="s">
        <v>26</v>
      </c>
      <c r="EO33" t="s">
        <v>3</v>
      </c>
      <c r="EQ33">
        <v>0</v>
      </c>
      <c r="ER33">
        <v>107108.08</v>
      </c>
      <c r="ES33">
        <v>80499.38</v>
      </c>
      <c r="ET33">
        <v>724.32</v>
      </c>
      <c r="EU33">
        <v>27.84</v>
      </c>
      <c r="EV33">
        <v>25884.38</v>
      </c>
      <c r="EW33">
        <v>110.4</v>
      </c>
      <c r="EX33">
        <v>0</v>
      </c>
      <c r="EY33">
        <v>0</v>
      </c>
      <c r="FQ33">
        <v>0</v>
      </c>
      <c r="FR33">
        <f t="shared" si="50"/>
        <v>0</v>
      </c>
      <c r="FS33">
        <v>0</v>
      </c>
      <c r="FX33">
        <v>70</v>
      </c>
      <c r="FY33">
        <v>10</v>
      </c>
      <c r="GA33" t="s">
        <v>3</v>
      </c>
      <c r="GD33">
        <v>0</v>
      </c>
      <c r="GF33">
        <v>-1500878806</v>
      </c>
      <c r="GG33">
        <v>2</v>
      </c>
      <c r="GH33">
        <v>1</v>
      </c>
      <c r="GI33">
        <v>-2</v>
      </c>
      <c r="GJ33">
        <v>0</v>
      </c>
      <c r="GK33">
        <f>ROUND(R33*(R12)/100,2)</f>
        <v>0</v>
      </c>
      <c r="GL33">
        <f t="shared" si="51"/>
        <v>0</v>
      </c>
      <c r="GM33">
        <f>ROUND(O33+X33+Y33+GK33,2)+GX33</f>
        <v>0</v>
      </c>
      <c r="GN33">
        <f>IF(OR(BI33=0,BI33=1),ROUND(O33+X33+Y33+GK33,2),0)</f>
        <v>0</v>
      </c>
      <c r="GO33">
        <f>IF(BI33=2,ROUND(O33+X33+Y33+GK33,2),0)</f>
        <v>0</v>
      </c>
      <c r="GP33">
        <f>IF(BI33=4,ROUND(O33+X33+Y33+GK33,2)+GX33,0)</f>
        <v>0</v>
      </c>
      <c r="GR33">
        <v>0</v>
      </c>
      <c r="GS33">
        <v>0</v>
      </c>
      <c r="GT33">
        <v>0</v>
      </c>
      <c r="GU33" t="s">
        <v>3</v>
      </c>
      <c r="GV33">
        <f t="shared" si="52"/>
        <v>0</v>
      </c>
      <c r="GW33">
        <v>1</v>
      </c>
      <c r="GX33">
        <f t="shared" si="53"/>
        <v>0</v>
      </c>
      <c r="HA33">
        <v>0</v>
      </c>
      <c r="HB33">
        <v>0</v>
      </c>
      <c r="HC33">
        <f t="shared" si="54"/>
        <v>0</v>
      </c>
      <c r="HE33" t="s">
        <v>3</v>
      </c>
      <c r="HF33" t="s">
        <v>3</v>
      </c>
      <c r="IK33">
        <v>0</v>
      </c>
    </row>
    <row r="34" spans="1:245" x14ac:dyDescent="0.2">
      <c r="A34">
        <v>17</v>
      </c>
      <c r="B34">
        <v>1</v>
      </c>
      <c r="C34">
        <f>ROW(SmtRes!A4)</f>
        <v>4</v>
      </c>
      <c r="D34">
        <f>ROW(EtalonRes!A4)</f>
        <v>4</v>
      </c>
      <c r="E34" t="s">
        <v>34</v>
      </c>
      <c r="F34" t="s">
        <v>35</v>
      </c>
      <c r="G34" t="s">
        <v>36</v>
      </c>
      <c r="H34" t="s">
        <v>30</v>
      </c>
      <c r="I34">
        <v>6.8250000000000005E-2</v>
      </c>
      <c r="J34">
        <v>0</v>
      </c>
      <c r="O34">
        <f t="shared" si="28"/>
        <v>8.17</v>
      </c>
      <c r="P34">
        <f t="shared" si="29"/>
        <v>0</v>
      </c>
      <c r="Q34">
        <f t="shared" si="30"/>
        <v>0</v>
      </c>
      <c r="R34">
        <f t="shared" si="31"/>
        <v>0</v>
      </c>
      <c r="S34">
        <f t="shared" si="32"/>
        <v>8.17</v>
      </c>
      <c r="T34">
        <f t="shared" si="33"/>
        <v>0</v>
      </c>
      <c r="U34">
        <f t="shared" si="34"/>
        <v>6.961500000000001E-2</v>
      </c>
      <c r="V34">
        <f t="shared" si="35"/>
        <v>0</v>
      </c>
      <c r="W34">
        <f t="shared" si="36"/>
        <v>0</v>
      </c>
      <c r="X34">
        <f t="shared" si="37"/>
        <v>5.72</v>
      </c>
      <c r="Y34">
        <f t="shared" si="37"/>
        <v>0.82</v>
      </c>
      <c r="AA34">
        <v>38214492</v>
      </c>
      <c r="AB34">
        <f t="shared" si="38"/>
        <v>119.69</v>
      </c>
      <c r="AC34">
        <f>ROUND((ES34),6)</f>
        <v>0</v>
      </c>
      <c r="AD34">
        <f>ROUND((((ET34)-(EU34))+AE34),6)</f>
        <v>0</v>
      </c>
      <c r="AE34">
        <f t="shared" ref="AE34:AF36" si="55">ROUND((EU34),6)</f>
        <v>0</v>
      </c>
      <c r="AF34">
        <f t="shared" si="55"/>
        <v>119.69</v>
      </c>
      <c r="AG34">
        <f t="shared" si="39"/>
        <v>0</v>
      </c>
      <c r="AH34">
        <f t="shared" ref="AH34:AI36" si="56">(EW34)</f>
        <v>1.02</v>
      </c>
      <c r="AI34">
        <f t="shared" si="56"/>
        <v>0</v>
      </c>
      <c r="AJ34">
        <f t="shared" si="40"/>
        <v>0</v>
      </c>
      <c r="AK34">
        <v>119.69</v>
      </c>
      <c r="AL34">
        <v>0</v>
      </c>
      <c r="AM34">
        <v>0</v>
      </c>
      <c r="AN34">
        <v>0</v>
      </c>
      <c r="AO34">
        <v>119.69</v>
      </c>
      <c r="AP34">
        <v>0</v>
      </c>
      <c r="AQ34">
        <v>1.02</v>
      </c>
      <c r="AR34">
        <v>0</v>
      </c>
      <c r="AS34">
        <v>0</v>
      </c>
      <c r="AT34">
        <v>70</v>
      </c>
      <c r="AU34">
        <v>10</v>
      </c>
      <c r="AV34">
        <v>1</v>
      </c>
      <c r="AW34">
        <v>1</v>
      </c>
      <c r="AZ34">
        <v>1</v>
      </c>
      <c r="BA34">
        <v>1</v>
      </c>
      <c r="BB34">
        <v>1</v>
      </c>
      <c r="BC34">
        <v>1</v>
      </c>
      <c r="BD34" t="s">
        <v>3</v>
      </c>
      <c r="BE34" t="s">
        <v>3</v>
      </c>
      <c r="BF34" t="s">
        <v>3</v>
      </c>
      <c r="BG34" t="s">
        <v>3</v>
      </c>
      <c r="BH34">
        <v>0</v>
      </c>
      <c r="BI34">
        <v>4</v>
      </c>
      <c r="BJ34" t="s">
        <v>37</v>
      </c>
      <c r="BM34">
        <v>0</v>
      </c>
      <c r="BN34">
        <v>0</v>
      </c>
      <c r="BO34" t="s">
        <v>3</v>
      </c>
      <c r="BP34">
        <v>0</v>
      </c>
      <c r="BQ34">
        <v>1</v>
      </c>
      <c r="BR34">
        <v>0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 t="s">
        <v>3</v>
      </c>
      <c r="BZ34">
        <v>70</v>
      </c>
      <c r="CA34">
        <v>10</v>
      </c>
      <c r="CE34">
        <v>0</v>
      </c>
      <c r="CF34">
        <v>0</v>
      </c>
      <c r="CG34">
        <v>0</v>
      </c>
      <c r="CM34">
        <v>0</v>
      </c>
      <c r="CN34" t="s">
        <v>3</v>
      </c>
      <c r="CO34">
        <v>0</v>
      </c>
      <c r="CP34">
        <f t="shared" si="41"/>
        <v>8.17</v>
      </c>
      <c r="CQ34">
        <f t="shared" si="42"/>
        <v>0</v>
      </c>
      <c r="CR34">
        <f>((((ET34)*BB34-(EU34)*BS34)+AE34*BS34)*AV34)</f>
        <v>0</v>
      </c>
      <c r="CS34">
        <f t="shared" si="43"/>
        <v>0</v>
      </c>
      <c r="CT34">
        <f t="shared" si="44"/>
        <v>119.69</v>
      </c>
      <c r="CU34">
        <f t="shared" si="45"/>
        <v>0</v>
      </c>
      <c r="CV34">
        <f t="shared" si="46"/>
        <v>1.02</v>
      </c>
      <c r="CW34">
        <f t="shared" si="47"/>
        <v>0</v>
      </c>
      <c r="CX34">
        <f t="shared" si="47"/>
        <v>0</v>
      </c>
      <c r="CY34">
        <f t="shared" si="48"/>
        <v>5.7189999999999994</v>
      </c>
      <c r="CZ34">
        <f t="shared" si="49"/>
        <v>0.81700000000000006</v>
      </c>
      <c r="DC34" t="s">
        <v>3</v>
      </c>
      <c r="DD34" t="s">
        <v>3</v>
      </c>
      <c r="DE34" t="s">
        <v>3</v>
      </c>
      <c r="DF34" t="s">
        <v>3</v>
      </c>
      <c r="DG34" t="s">
        <v>3</v>
      </c>
      <c r="DH34" t="s">
        <v>3</v>
      </c>
      <c r="DI34" t="s">
        <v>3</v>
      </c>
      <c r="DJ34" t="s">
        <v>3</v>
      </c>
      <c r="DK34" t="s">
        <v>3</v>
      </c>
      <c r="DL34" t="s">
        <v>3</v>
      </c>
      <c r="DM34" t="s">
        <v>3</v>
      </c>
      <c r="DN34">
        <v>0</v>
      </c>
      <c r="DO34">
        <v>0</v>
      </c>
      <c r="DP34">
        <v>1</v>
      </c>
      <c r="DQ34">
        <v>1</v>
      </c>
      <c r="DU34">
        <v>1009</v>
      </c>
      <c r="DV34" t="s">
        <v>30</v>
      </c>
      <c r="DW34" t="s">
        <v>30</v>
      </c>
      <c r="DX34">
        <v>1000</v>
      </c>
      <c r="EE34">
        <v>38628631</v>
      </c>
      <c r="EF34">
        <v>1</v>
      </c>
      <c r="EG34" t="s">
        <v>24</v>
      </c>
      <c r="EH34">
        <v>0</v>
      </c>
      <c r="EI34" t="s">
        <v>3</v>
      </c>
      <c r="EJ34">
        <v>4</v>
      </c>
      <c r="EK34">
        <v>0</v>
      </c>
      <c r="EL34" t="s">
        <v>25</v>
      </c>
      <c r="EM34" t="s">
        <v>26</v>
      </c>
      <c r="EO34" t="s">
        <v>3</v>
      </c>
      <c r="EQ34">
        <v>0</v>
      </c>
      <c r="ER34">
        <v>119.69</v>
      </c>
      <c r="ES34">
        <v>0</v>
      </c>
      <c r="ET34">
        <v>0</v>
      </c>
      <c r="EU34">
        <v>0</v>
      </c>
      <c r="EV34">
        <v>119.69</v>
      </c>
      <c r="EW34">
        <v>1.02</v>
      </c>
      <c r="EX34">
        <v>0</v>
      </c>
      <c r="EY34">
        <v>0</v>
      </c>
      <c r="FQ34">
        <v>0</v>
      </c>
      <c r="FR34">
        <f t="shared" si="50"/>
        <v>0</v>
      </c>
      <c r="FS34">
        <v>0</v>
      </c>
      <c r="FX34">
        <v>70</v>
      </c>
      <c r="FY34">
        <v>10</v>
      </c>
      <c r="GA34" t="s">
        <v>3</v>
      </c>
      <c r="GD34">
        <v>0</v>
      </c>
      <c r="GF34">
        <v>1555540630</v>
      </c>
      <c r="GG34">
        <v>2</v>
      </c>
      <c r="GH34">
        <v>1</v>
      </c>
      <c r="GI34">
        <v>-2</v>
      </c>
      <c r="GJ34">
        <v>0</v>
      </c>
      <c r="GK34">
        <f>ROUND(R34*(R12)/100,2)</f>
        <v>0</v>
      </c>
      <c r="GL34">
        <f t="shared" si="51"/>
        <v>0</v>
      </c>
      <c r="GM34">
        <f>ROUND(O34+X34+Y34+GK34,2)+GX34</f>
        <v>14.71</v>
      </c>
      <c r="GN34">
        <f>IF(OR(BI34=0,BI34=1),ROUND(O34+X34+Y34+GK34,2),0)</f>
        <v>0</v>
      </c>
      <c r="GO34">
        <f>IF(BI34=2,ROUND(O34+X34+Y34+GK34,2),0)</f>
        <v>0</v>
      </c>
      <c r="GP34">
        <f>IF(BI34=4,ROUND(O34+X34+Y34+GK34,2)+GX34,0)</f>
        <v>14.71</v>
      </c>
      <c r="GR34">
        <v>0</v>
      </c>
      <c r="GS34">
        <v>3</v>
      </c>
      <c r="GT34">
        <v>0</v>
      </c>
      <c r="GU34" t="s">
        <v>3</v>
      </c>
      <c r="GV34">
        <f t="shared" si="52"/>
        <v>0</v>
      </c>
      <c r="GW34">
        <v>1</v>
      </c>
      <c r="GX34">
        <f t="shared" si="53"/>
        <v>0</v>
      </c>
      <c r="HA34">
        <v>0</v>
      </c>
      <c r="HB34">
        <v>0</v>
      </c>
      <c r="HC34">
        <f t="shared" si="54"/>
        <v>0</v>
      </c>
      <c r="HE34" t="s">
        <v>3</v>
      </c>
      <c r="HF34" t="s">
        <v>3</v>
      </c>
      <c r="IK34">
        <v>0</v>
      </c>
    </row>
    <row r="35" spans="1:245" x14ac:dyDescent="0.2">
      <c r="A35">
        <v>17</v>
      </c>
      <c r="B35">
        <v>1</v>
      </c>
      <c r="C35">
        <f>ROW(SmtRes!A6)</f>
        <v>6</v>
      </c>
      <c r="D35">
        <f>ROW(EtalonRes!A6)</f>
        <v>6</v>
      </c>
      <c r="E35" t="s">
        <v>38</v>
      </c>
      <c r="F35" t="s">
        <v>39</v>
      </c>
      <c r="G35" t="s">
        <v>40</v>
      </c>
      <c r="H35" t="s">
        <v>30</v>
      </c>
      <c r="I35">
        <v>0</v>
      </c>
      <c r="J35">
        <v>0</v>
      </c>
      <c r="O35">
        <f t="shared" si="28"/>
        <v>0</v>
      </c>
      <c r="P35">
        <f t="shared" si="29"/>
        <v>0</v>
      </c>
      <c r="Q35">
        <f t="shared" si="30"/>
        <v>0</v>
      </c>
      <c r="R35">
        <f t="shared" si="31"/>
        <v>0</v>
      </c>
      <c r="S35">
        <f t="shared" si="32"/>
        <v>0</v>
      </c>
      <c r="T35">
        <f t="shared" si="33"/>
        <v>0</v>
      </c>
      <c r="U35">
        <f t="shared" si="34"/>
        <v>0</v>
      </c>
      <c r="V35">
        <f t="shared" si="35"/>
        <v>0</v>
      </c>
      <c r="W35">
        <f t="shared" si="36"/>
        <v>0</v>
      </c>
      <c r="X35">
        <f t="shared" si="37"/>
        <v>0</v>
      </c>
      <c r="Y35">
        <f t="shared" si="37"/>
        <v>0</v>
      </c>
      <c r="AA35">
        <v>38214492</v>
      </c>
      <c r="AB35">
        <f t="shared" si="38"/>
        <v>62.5</v>
      </c>
      <c r="AC35">
        <f>ROUND((ES35),6)</f>
        <v>0</v>
      </c>
      <c r="AD35">
        <f>ROUND((((ET35)-(EU35))+AE35),6)</f>
        <v>62.5</v>
      </c>
      <c r="AE35">
        <f t="shared" si="55"/>
        <v>37.020000000000003</v>
      </c>
      <c r="AF35">
        <f t="shared" si="55"/>
        <v>0</v>
      </c>
      <c r="AG35">
        <f t="shared" si="39"/>
        <v>0</v>
      </c>
      <c r="AH35">
        <f t="shared" si="56"/>
        <v>0</v>
      </c>
      <c r="AI35">
        <f t="shared" si="56"/>
        <v>0</v>
      </c>
      <c r="AJ35">
        <f t="shared" si="40"/>
        <v>0</v>
      </c>
      <c r="AK35">
        <v>62.5</v>
      </c>
      <c r="AL35">
        <v>0</v>
      </c>
      <c r="AM35">
        <v>62.5</v>
      </c>
      <c r="AN35">
        <v>37.020000000000003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1</v>
      </c>
      <c r="AZ35">
        <v>1</v>
      </c>
      <c r="BA35">
        <v>1</v>
      </c>
      <c r="BB35">
        <v>1</v>
      </c>
      <c r="BC35">
        <v>1</v>
      </c>
      <c r="BD35" t="s">
        <v>3</v>
      </c>
      <c r="BE35" t="s">
        <v>3</v>
      </c>
      <c r="BF35" t="s">
        <v>3</v>
      </c>
      <c r="BG35" t="s">
        <v>3</v>
      </c>
      <c r="BH35">
        <v>0</v>
      </c>
      <c r="BI35">
        <v>4</v>
      </c>
      <c r="BJ35" t="s">
        <v>41</v>
      </c>
      <c r="BM35">
        <v>1</v>
      </c>
      <c r="BN35">
        <v>0</v>
      </c>
      <c r="BO35" t="s">
        <v>3</v>
      </c>
      <c r="BP35">
        <v>0</v>
      </c>
      <c r="BQ35">
        <v>1</v>
      </c>
      <c r="BR35">
        <v>0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 t="s">
        <v>3</v>
      </c>
      <c r="BZ35">
        <v>0</v>
      </c>
      <c r="CA35">
        <v>0</v>
      </c>
      <c r="CE35">
        <v>0</v>
      </c>
      <c r="CF35">
        <v>0</v>
      </c>
      <c r="CG35">
        <v>0</v>
      </c>
      <c r="CM35">
        <v>0</v>
      </c>
      <c r="CN35" t="s">
        <v>3</v>
      </c>
      <c r="CO35">
        <v>0</v>
      </c>
      <c r="CP35">
        <f t="shared" si="41"/>
        <v>0</v>
      </c>
      <c r="CQ35">
        <f t="shared" si="42"/>
        <v>0</v>
      </c>
      <c r="CR35">
        <f>((((ET35)*BB35-(EU35)*BS35)+AE35*BS35)*AV35)</f>
        <v>62.5</v>
      </c>
      <c r="CS35">
        <f t="shared" si="43"/>
        <v>37.020000000000003</v>
      </c>
      <c r="CT35">
        <f t="shared" si="44"/>
        <v>0</v>
      </c>
      <c r="CU35">
        <f t="shared" si="45"/>
        <v>0</v>
      </c>
      <c r="CV35">
        <f t="shared" si="46"/>
        <v>0</v>
      </c>
      <c r="CW35">
        <f t="shared" si="47"/>
        <v>0</v>
      </c>
      <c r="CX35">
        <f t="shared" si="47"/>
        <v>0</v>
      </c>
      <c r="CY35">
        <f t="shared" si="48"/>
        <v>0</v>
      </c>
      <c r="CZ35">
        <f t="shared" si="49"/>
        <v>0</v>
      </c>
      <c r="DC35" t="s">
        <v>3</v>
      </c>
      <c r="DD35" t="s">
        <v>3</v>
      </c>
      <c r="DE35" t="s">
        <v>3</v>
      </c>
      <c r="DF35" t="s">
        <v>3</v>
      </c>
      <c r="DG35" t="s">
        <v>3</v>
      </c>
      <c r="DH35" t="s">
        <v>3</v>
      </c>
      <c r="DI35" t="s">
        <v>3</v>
      </c>
      <c r="DJ35" t="s">
        <v>3</v>
      </c>
      <c r="DK35" t="s">
        <v>3</v>
      </c>
      <c r="DL35" t="s">
        <v>3</v>
      </c>
      <c r="DM35" t="s">
        <v>3</v>
      </c>
      <c r="DN35">
        <v>0</v>
      </c>
      <c r="DO35">
        <v>0</v>
      </c>
      <c r="DP35">
        <v>1</v>
      </c>
      <c r="DQ35">
        <v>1</v>
      </c>
      <c r="DU35">
        <v>1009</v>
      </c>
      <c r="DV35" t="s">
        <v>30</v>
      </c>
      <c r="DW35" t="s">
        <v>30</v>
      </c>
      <c r="DX35">
        <v>1000</v>
      </c>
      <c r="EE35">
        <v>38628633</v>
      </c>
      <c r="EF35">
        <v>1</v>
      </c>
      <c r="EG35" t="s">
        <v>24</v>
      </c>
      <c r="EH35">
        <v>0</v>
      </c>
      <c r="EI35" t="s">
        <v>3</v>
      </c>
      <c r="EJ35">
        <v>4</v>
      </c>
      <c r="EK35">
        <v>1</v>
      </c>
      <c r="EL35" t="s">
        <v>42</v>
      </c>
      <c r="EM35" t="s">
        <v>26</v>
      </c>
      <c r="EO35" t="s">
        <v>3</v>
      </c>
      <c r="EQ35">
        <v>0</v>
      </c>
      <c r="ER35">
        <v>62.5</v>
      </c>
      <c r="ES35">
        <v>0</v>
      </c>
      <c r="ET35">
        <v>62.5</v>
      </c>
      <c r="EU35">
        <v>37.020000000000003</v>
      </c>
      <c r="EV35">
        <v>0</v>
      </c>
      <c r="EW35">
        <v>0</v>
      </c>
      <c r="EX35">
        <v>0</v>
      </c>
      <c r="EY35">
        <v>0</v>
      </c>
      <c r="FQ35">
        <v>0</v>
      </c>
      <c r="FR35">
        <f t="shared" si="50"/>
        <v>0</v>
      </c>
      <c r="FS35">
        <v>0</v>
      </c>
      <c r="FX35">
        <v>0</v>
      </c>
      <c r="FY35">
        <v>0</v>
      </c>
      <c r="GA35" t="s">
        <v>3</v>
      </c>
      <c r="GD35">
        <v>1</v>
      </c>
      <c r="GF35">
        <v>-283681225</v>
      </c>
      <c r="GG35">
        <v>2</v>
      </c>
      <c r="GH35">
        <v>1</v>
      </c>
      <c r="GI35">
        <v>-2</v>
      </c>
      <c r="GJ35">
        <v>0</v>
      </c>
      <c r="GK35">
        <v>0</v>
      </c>
      <c r="GL35">
        <f t="shared" si="51"/>
        <v>0</v>
      </c>
      <c r="GM35">
        <f>ROUND(O35+X35+Y35,2)+GX35</f>
        <v>0</v>
      </c>
      <c r="GN35">
        <f>IF(OR(BI35=0,BI35=1),ROUND(O35+X35+Y35,2),0)</f>
        <v>0</v>
      </c>
      <c r="GO35">
        <f>IF(BI35=2,ROUND(O35+X35+Y35,2),0)</f>
        <v>0</v>
      </c>
      <c r="GP35">
        <f>IF(BI35=4,ROUND(O35+X35+Y35,2)+GX35,0)</f>
        <v>0</v>
      </c>
      <c r="GR35">
        <v>0</v>
      </c>
      <c r="GS35">
        <v>3</v>
      </c>
      <c r="GT35">
        <v>0</v>
      </c>
      <c r="GU35" t="s">
        <v>3</v>
      </c>
      <c r="GV35">
        <f t="shared" si="52"/>
        <v>0</v>
      </c>
      <c r="GW35">
        <v>1</v>
      </c>
      <c r="GX35">
        <f t="shared" si="53"/>
        <v>0</v>
      </c>
      <c r="HA35">
        <v>0</v>
      </c>
      <c r="HB35">
        <v>0</v>
      </c>
      <c r="HC35">
        <f t="shared" si="54"/>
        <v>0</v>
      </c>
      <c r="HE35" t="s">
        <v>3</v>
      </c>
      <c r="HF35" t="s">
        <v>3</v>
      </c>
      <c r="IK35">
        <v>0</v>
      </c>
    </row>
    <row r="36" spans="1:245" x14ac:dyDescent="0.2">
      <c r="A36">
        <v>17</v>
      </c>
      <c r="B36">
        <v>1</v>
      </c>
      <c r="C36">
        <f>ROW(SmtRes!A8)</f>
        <v>8</v>
      </c>
      <c r="D36">
        <f>ROW(EtalonRes!A8)</f>
        <v>8</v>
      </c>
      <c r="E36" t="s">
        <v>43</v>
      </c>
      <c r="F36" t="s">
        <v>44</v>
      </c>
      <c r="G36" t="s">
        <v>45</v>
      </c>
      <c r="H36" t="s">
        <v>30</v>
      </c>
      <c r="I36">
        <f>ROUND(I34,9)</f>
        <v>6.8250000000000005E-2</v>
      </c>
      <c r="J36">
        <v>0</v>
      </c>
      <c r="O36">
        <f t="shared" si="28"/>
        <v>12.24</v>
      </c>
      <c r="P36">
        <f t="shared" si="29"/>
        <v>0</v>
      </c>
      <c r="Q36">
        <f t="shared" si="30"/>
        <v>12.24</v>
      </c>
      <c r="R36">
        <f t="shared" si="31"/>
        <v>7.25</v>
      </c>
      <c r="S36">
        <f t="shared" si="32"/>
        <v>0</v>
      </c>
      <c r="T36">
        <f t="shared" si="33"/>
        <v>0</v>
      </c>
      <c r="U36">
        <f t="shared" si="34"/>
        <v>0</v>
      </c>
      <c r="V36">
        <f t="shared" si="35"/>
        <v>0</v>
      </c>
      <c r="W36">
        <f t="shared" si="36"/>
        <v>0</v>
      </c>
      <c r="X36">
        <f t="shared" si="37"/>
        <v>0</v>
      </c>
      <c r="Y36">
        <f t="shared" si="37"/>
        <v>0</v>
      </c>
      <c r="AA36">
        <v>38214492</v>
      </c>
      <c r="AB36">
        <f t="shared" si="38"/>
        <v>179.4</v>
      </c>
      <c r="AC36">
        <f>ROUND((ES36),6)</f>
        <v>0</v>
      </c>
      <c r="AD36">
        <f>ROUND((((ET36)-(EU36))+AE36),6)</f>
        <v>179.4</v>
      </c>
      <c r="AE36">
        <f t="shared" si="55"/>
        <v>106.2</v>
      </c>
      <c r="AF36">
        <f t="shared" si="55"/>
        <v>0</v>
      </c>
      <c r="AG36">
        <f t="shared" si="39"/>
        <v>0</v>
      </c>
      <c r="AH36">
        <f t="shared" si="56"/>
        <v>0</v>
      </c>
      <c r="AI36">
        <f t="shared" si="56"/>
        <v>0</v>
      </c>
      <c r="AJ36">
        <f t="shared" si="40"/>
        <v>0</v>
      </c>
      <c r="AK36">
        <v>179.4</v>
      </c>
      <c r="AL36">
        <v>0</v>
      </c>
      <c r="AM36">
        <v>179.4</v>
      </c>
      <c r="AN36">
        <v>106.2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1</v>
      </c>
      <c r="AZ36">
        <v>1</v>
      </c>
      <c r="BA36">
        <v>1</v>
      </c>
      <c r="BB36">
        <v>1</v>
      </c>
      <c r="BC36">
        <v>1</v>
      </c>
      <c r="BD36" t="s">
        <v>3</v>
      </c>
      <c r="BE36" t="s">
        <v>3</v>
      </c>
      <c r="BF36" t="s">
        <v>3</v>
      </c>
      <c r="BG36" t="s">
        <v>3</v>
      </c>
      <c r="BH36">
        <v>0</v>
      </c>
      <c r="BI36">
        <v>4</v>
      </c>
      <c r="BJ36" t="s">
        <v>46</v>
      </c>
      <c r="BM36">
        <v>1</v>
      </c>
      <c r="BN36">
        <v>0</v>
      </c>
      <c r="BO36" t="s">
        <v>3</v>
      </c>
      <c r="BP36">
        <v>0</v>
      </c>
      <c r="BQ36">
        <v>1</v>
      </c>
      <c r="BR36">
        <v>0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 t="s">
        <v>3</v>
      </c>
      <c r="BZ36">
        <v>0</v>
      </c>
      <c r="CA36">
        <v>0</v>
      </c>
      <c r="CE36">
        <v>0</v>
      </c>
      <c r="CF36">
        <v>0</v>
      </c>
      <c r="CG36">
        <v>0</v>
      </c>
      <c r="CM36">
        <v>0</v>
      </c>
      <c r="CN36" t="s">
        <v>3</v>
      </c>
      <c r="CO36">
        <v>0</v>
      </c>
      <c r="CP36">
        <f t="shared" si="41"/>
        <v>12.24</v>
      </c>
      <c r="CQ36">
        <f t="shared" si="42"/>
        <v>0</v>
      </c>
      <c r="CR36">
        <f>((((ET36)*BB36-(EU36)*BS36)+AE36*BS36)*AV36)</f>
        <v>179.4</v>
      </c>
      <c r="CS36">
        <f t="shared" si="43"/>
        <v>106.2</v>
      </c>
      <c r="CT36">
        <f t="shared" si="44"/>
        <v>0</v>
      </c>
      <c r="CU36">
        <f t="shared" si="45"/>
        <v>0</v>
      </c>
      <c r="CV36">
        <f t="shared" si="46"/>
        <v>0</v>
      </c>
      <c r="CW36">
        <f t="shared" si="47"/>
        <v>0</v>
      </c>
      <c r="CX36">
        <f t="shared" si="47"/>
        <v>0</v>
      </c>
      <c r="CY36">
        <f t="shared" si="48"/>
        <v>0</v>
      </c>
      <c r="CZ36">
        <f t="shared" si="49"/>
        <v>0</v>
      </c>
      <c r="DC36" t="s">
        <v>3</v>
      </c>
      <c r="DD36" t="s">
        <v>3</v>
      </c>
      <c r="DE36" t="s">
        <v>3</v>
      </c>
      <c r="DF36" t="s">
        <v>3</v>
      </c>
      <c r="DG36" t="s">
        <v>3</v>
      </c>
      <c r="DH36" t="s">
        <v>3</v>
      </c>
      <c r="DI36" t="s">
        <v>3</v>
      </c>
      <c r="DJ36" t="s">
        <v>3</v>
      </c>
      <c r="DK36" t="s">
        <v>3</v>
      </c>
      <c r="DL36" t="s">
        <v>3</v>
      </c>
      <c r="DM36" t="s">
        <v>3</v>
      </c>
      <c r="DN36">
        <v>0</v>
      </c>
      <c r="DO36">
        <v>0</v>
      </c>
      <c r="DP36">
        <v>1</v>
      </c>
      <c r="DQ36">
        <v>1</v>
      </c>
      <c r="DU36">
        <v>1009</v>
      </c>
      <c r="DV36" t="s">
        <v>30</v>
      </c>
      <c r="DW36" t="s">
        <v>30</v>
      </c>
      <c r="DX36">
        <v>1000</v>
      </c>
      <c r="EE36">
        <v>38628633</v>
      </c>
      <c r="EF36">
        <v>1</v>
      </c>
      <c r="EG36" t="s">
        <v>24</v>
      </c>
      <c r="EH36">
        <v>0</v>
      </c>
      <c r="EI36" t="s">
        <v>3</v>
      </c>
      <c r="EJ36">
        <v>4</v>
      </c>
      <c r="EK36">
        <v>1</v>
      </c>
      <c r="EL36" t="s">
        <v>42</v>
      </c>
      <c r="EM36" t="s">
        <v>26</v>
      </c>
      <c r="EO36" t="s">
        <v>3</v>
      </c>
      <c r="EQ36">
        <v>0</v>
      </c>
      <c r="ER36">
        <v>179.4</v>
      </c>
      <c r="ES36">
        <v>0</v>
      </c>
      <c r="ET36">
        <v>179.4</v>
      </c>
      <c r="EU36">
        <v>106.2</v>
      </c>
      <c r="EV36">
        <v>0</v>
      </c>
      <c r="EW36">
        <v>0</v>
      </c>
      <c r="EX36">
        <v>0</v>
      </c>
      <c r="EY36">
        <v>0</v>
      </c>
      <c r="FQ36">
        <v>0</v>
      </c>
      <c r="FR36">
        <f t="shared" si="50"/>
        <v>0</v>
      </c>
      <c r="FS36">
        <v>0</v>
      </c>
      <c r="FX36">
        <v>0</v>
      </c>
      <c r="FY36">
        <v>0</v>
      </c>
      <c r="GA36" t="s">
        <v>3</v>
      </c>
      <c r="GD36">
        <v>1</v>
      </c>
      <c r="GF36">
        <v>1779235029</v>
      </c>
      <c r="GG36">
        <v>2</v>
      </c>
      <c r="GH36">
        <v>1</v>
      </c>
      <c r="GI36">
        <v>-2</v>
      </c>
      <c r="GJ36">
        <v>0</v>
      </c>
      <c r="GK36">
        <v>0</v>
      </c>
      <c r="GL36">
        <f t="shared" si="51"/>
        <v>0</v>
      </c>
      <c r="GM36">
        <f>ROUND(O36+X36+Y36,2)+GX36</f>
        <v>12.24</v>
      </c>
      <c r="GN36">
        <f>IF(OR(BI36=0,BI36=1),ROUND(O36+X36+Y36,2),0)</f>
        <v>0</v>
      </c>
      <c r="GO36">
        <f>IF(BI36=2,ROUND(O36+X36+Y36,2),0)</f>
        <v>0</v>
      </c>
      <c r="GP36">
        <f>IF(BI36=4,ROUND(O36+X36+Y36,2)+GX36,0)</f>
        <v>12.24</v>
      </c>
      <c r="GR36">
        <v>0</v>
      </c>
      <c r="GS36">
        <v>3</v>
      </c>
      <c r="GT36">
        <v>0</v>
      </c>
      <c r="GU36" t="s">
        <v>3</v>
      </c>
      <c r="GV36">
        <f t="shared" si="52"/>
        <v>0</v>
      </c>
      <c r="GW36">
        <v>1</v>
      </c>
      <c r="GX36">
        <f t="shared" si="53"/>
        <v>0</v>
      </c>
      <c r="HA36">
        <v>0</v>
      </c>
      <c r="HB36">
        <v>0</v>
      </c>
      <c r="HC36">
        <f t="shared" si="54"/>
        <v>0</v>
      </c>
      <c r="HE36" t="s">
        <v>3</v>
      </c>
      <c r="HF36" t="s">
        <v>3</v>
      </c>
      <c r="IK36">
        <v>0</v>
      </c>
    </row>
    <row r="37" spans="1:245" x14ac:dyDescent="0.2">
      <c r="A37">
        <v>17</v>
      </c>
      <c r="B37">
        <v>1</v>
      </c>
      <c r="C37">
        <f>ROW(SmtRes!A10)</f>
        <v>10</v>
      </c>
      <c r="D37">
        <f>ROW(EtalonRes!A10)</f>
        <v>10</v>
      </c>
      <c r="E37" t="s">
        <v>47</v>
      </c>
      <c r="F37" t="s">
        <v>48</v>
      </c>
      <c r="G37" t="s">
        <v>49</v>
      </c>
      <c r="H37" t="s">
        <v>30</v>
      </c>
      <c r="I37">
        <f>ROUND(I36,9)</f>
        <v>6.8250000000000005E-2</v>
      </c>
      <c r="J37">
        <v>0</v>
      </c>
      <c r="O37">
        <f t="shared" si="28"/>
        <v>50.47</v>
      </c>
      <c r="P37">
        <f t="shared" si="29"/>
        <v>0</v>
      </c>
      <c r="Q37">
        <f t="shared" si="30"/>
        <v>50.47</v>
      </c>
      <c r="R37">
        <f t="shared" si="31"/>
        <v>29.93</v>
      </c>
      <c r="S37">
        <f t="shared" si="32"/>
        <v>0</v>
      </c>
      <c r="T37">
        <f t="shared" si="33"/>
        <v>0</v>
      </c>
      <c r="U37">
        <f t="shared" si="34"/>
        <v>0</v>
      </c>
      <c r="V37">
        <f t="shared" si="35"/>
        <v>0</v>
      </c>
      <c r="W37">
        <f t="shared" si="36"/>
        <v>0</v>
      </c>
      <c r="X37">
        <f t="shared" si="37"/>
        <v>0</v>
      </c>
      <c r="Y37">
        <f t="shared" si="37"/>
        <v>0</v>
      </c>
      <c r="AA37">
        <v>38214492</v>
      </c>
      <c r="AB37">
        <f t="shared" si="38"/>
        <v>739.5</v>
      </c>
      <c r="AC37">
        <f>ROUND(((ES37*25)),6)</f>
        <v>0</v>
      </c>
      <c r="AD37">
        <f>ROUND(((((ET37*25))-((EU37*25)))+AE37),6)</f>
        <v>739.5</v>
      </c>
      <c r="AE37">
        <f>ROUND(((EU37*25)),6)</f>
        <v>438.5</v>
      </c>
      <c r="AF37">
        <f>ROUND(((EV37*25)),6)</f>
        <v>0</v>
      </c>
      <c r="AG37">
        <f t="shared" si="39"/>
        <v>0</v>
      </c>
      <c r="AH37">
        <f>((EW37*25))</f>
        <v>0</v>
      </c>
      <c r="AI37">
        <f>((EX37*25))</f>
        <v>0</v>
      </c>
      <c r="AJ37">
        <f t="shared" si="40"/>
        <v>0</v>
      </c>
      <c r="AK37">
        <v>29.58</v>
      </c>
      <c r="AL37">
        <v>0</v>
      </c>
      <c r="AM37">
        <v>29.58</v>
      </c>
      <c r="AN37">
        <v>17.54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>
        <v>1</v>
      </c>
      <c r="AZ37">
        <v>1</v>
      </c>
      <c r="BA37">
        <v>1</v>
      </c>
      <c r="BB37">
        <v>1</v>
      </c>
      <c r="BC37">
        <v>1</v>
      </c>
      <c r="BD37" t="s">
        <v>3</v>
      </c>
      <c r="BE37" t="s">
        <v>3</v>
      </c>
      <c r="BF37" t="s">
        <v>3</v>
      </c>
      <c r="BG37" t="s">
        <v>3</v>
      </c>
      <c r="BH37">
        <v>0</v>
      </c>
      <c r="BI37">
        <v>4</v>
      </c>
      <c r="BJ37" t="s">
        <v>50</v>
      </c>
      <c r="BM37">
        <v>1</v>
      </c>
      <c r="BN37">
        <v>0</v>
      </c>
      <c r="BO37" t="s">
        <v>3</v>
      </c>
      <c r="BP37">
        <v>0</v>
      </c>
      <c r="BQ37">
        <v>1</v>
      </c>
      <c r="BR37">
        <v>0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 t="s">
        <v>3</v>
      </c>
      <c r="BZ37">
        <v>0</v>
      </c>
      <c r="CA37">
        <v>0</v>
      </c>
      <c r="CE37">
        <v>0</v>
      </c>
      <c r="CF37">
        <v>0</v>
      </c>
      <c r="CG37">
        <v>0</v>
      </c>
      <c r="CM37">
        <v>0</v>
      </c>
      <c r="CN37" t="s">
        <v>3</v>
      </c>
      <c r="CO37">
        <v>0</v>
      </c>
      <c r="CP37">
        <f t="shared" si="41"/>
        <v>50.47</v>
      </c>
      <c r="CQ37">
        <f t="shared" si="42"/>
        <v>0</v>
      </c>
      <c r="CR37">
        <f>(((((ET37*25))*BB37-((EU37*25))*BS37)+AE37*BS37)*AV37)</f>
        <v>739.5</v>
      </c>
      <c r="CS37">
        <f t="shared" si="43"/>
        <v>438.5</v>
      </c>
      <c r="CT37">
        <f t="shared" si="44"/>
        <v>0</v>
      </c>
      <c r="CU37">
        <f t="shared" si="45"/>
        <v>0</v>
      </c>
      <c r="CV37">
        <f t="shared" si="46"/>
        <v>0</v>
      </c>
      <c r="CW37">
        <f t="shared" si="47"/>
        <v>0</v>
      </c>
      <c r="CX37">
        <f t="shared" si="47"/>
        <v>0</v>
      </c>
      <c r="CY37">
        <f t="shared" si="48"/>
        <v>0</v>
      </c>
      <c r="CZ37">
        <f t="shared" si="49"/>
        <v>0</v>
      </c>
      <c r="DC37" t="s">
        <v>3</v>
      </c>
      <c r="DD37" t="s">
        <v>51</v>
      </c>
      <c r="DE37" t="s">
        <v>51</v>
      </c>
      <c r="DF37" t="s">
        <v>51</v>
      </c>
      <c r="DG37" t="s">
        <v>51</v>
      </c>
      <c r="DH37" t="s">
        <v>3</v>
      </c>
      <c r="DI37" t="s">
        <v>51</v>
      </c>
      <c r="DJ37" t="s">
        <v>51</v>
      </c>
      <c r="DK37" t="s">
        <v>3</v>
      </c>
      <c r="DL37" t="s">
        <v>3</v>
      </c>
      <c r="DM37" t="s">
        <v>3</v>
      </c>
      <c r="DN37">
        <v>0</v>
      </c>
      <c r="DO37">
        <v>0</v>
      </c>
      <c r="DP37">
        <v>1</v>
      </c>
      <c r="DQ37">
        <v>1</v>
      </c>
      <c r="DU37">
        <v>1009</v>
      </c>
      <c r="DV37" t="s">
        <v>30</v>
      </c>
      <c r="DW37" t="s">
        <v>30</v>
      </c>
      <c r="DX37">
        <v>1000</v>
      </c>
      <c r="EE37">
        <v>38628633</v>
      </c>
      <c r="EF37">
        <v>1</v>
      </c>
      <c r="EG37" t="s">
        <v>24</v>
      </c>
      <c r="EH37">
        <v>0</v>
      </c>
      <c r="EI37" t="s">
        <v>3</v>
      </c>
      <c r="EJ37">
        <v>4</v>
      </c>
      <c r="EK37">
        <v>1</v>
      </c>
      <c r="EL37" t="s">
        <v>42</v>
      </c>
      <c r="EM37" t="s">
        <v>26</v>
      </c>
      <c r="EO37" t="s">
        <v>3</v>
      </c>
      <c r="EQ37">
        <v>0</v>
      </c>
      <c r="ER37">
        <v>29.58</v>
      </c>
      <c r="ES37">
        <v>0</v>
      </c>
      <c r="ET37">
        <v>29.58</v>
      </c>
      <c r="EU37">
        <v>17.54</v>
      </c>
      <c r="EV37">
        <v>0</v>
      </c>
      <c r="EW37">
        <v>0</v>
      </c>
      <c r="EX37">
        <v>0</v>
      </c>
      <c r="EY37">
        <v>0</v>
      </c>
      <c r="FQ37">
        <v>0</v>
      </c>
      <c r="FR37">
        <f t="shared" si="50"/>
        <v>0</v>
      </c>
      <c r="FS37">
        <v>0</v>
      </c>
      <c r="FX37">
        <v>0</v>
      </c>
      <c r="FY37">
        <v>0</v>
      </c>
      <c r="GA37" t="s">
        <v>3</v>
      </c>
      <c r="GD37">
        <v>1</v>
      </c>
      <c r="GF37">
        <v>-576512497</v>
      </c>
      <c r="GG37">
        <v>2</v>
      </c>
      <c r="GH37">
        <v>1</v>
      </c>
      <c r="GI37">
        <v>-2</v>
      </c>
      <c r="GJ37">
        <v>0</v>
      </c>
      <c r="GK37">
        <v>0</v>
      </c>
      <c r="GL37">
        <f t="shared" si="51"/>
        <v>0</v>
      </c>
      <c r="GM37">
        <f>ROUND(O37+X37+Y37,2)+GX37</f>
        <v>50.47</v>
      </c>
      <c r="GN37">
        <f>IF(OR(BI37=0,BI37=1),ROUND(O37+X37+Y37,2),0)</f>
        <v>0</v>
      </c>
      <c r="GO37">
        <f>IF(BI37=2,ROUND(O37+X37+Y37,2),0)</f>
        <v>0</v>
      </c>
      <c r="GP37">
        <f>IF(BI37=4,ROUND(O37+X37+Y37,2)+GX37,0)</f>
        <v>50.47</v>
      </c>
      <c r="GR37">
        <v>0</v>
      </c>
      <c r="GS37">
        <v>3</v>
      </c>
      <c r="GT37">
        <v>0</v>
      </c>
      <c r="GU37" t="s">
        <v>3</v>
      </c>
      <c r="GV37">
        <f t="shared" si="52"/>
        <v>0</v>
      </c>
      <c r="GW37">
        <v>1</v>
      </c>
      <c r="GX37">
        <f t="shared" si="53"/>
        <v>0</v>
      </c>
      <c r="HA37">
        <v>0</v>
      </c>
      <c r="HB37">
        <v>0</v>
      </c>
      <c r="HC37">
        <f t="shared" si="54"/>
        <v>0</v>
      </c>
      <c r="HE37" t="s">
        <v>3</v>
      </c>
      <c r="HF37" t="s">
        <v>3</v>
      </c>
      <c r="IK37">
        <v>0</v>
      </c>
    </row>
    <row r="38" spans="1:245" x14ac:dyDescent="0.2">
      <c r="A38">
        <v>17</v>
      </c>
      <c r="B38">
        <v>1</v>
      </c>
      <c r="E38" t="s">
        <v>52</v>
      </c>
      <c r="F38" t="s">
        <v>53</v>
      </c>
      <c r="G38" t="s">
        <v>54</v>
      </c>
      <c r="H38" t="s">
        <v>30</v>
      </c>
      <c r="I38">
        <v>6.8250000000000005E-2</v>
      </c>
      <c r="J38">
        <v>0</v>
      </c>
      <c r="O38">
        <f t="shared" si="28"/>
        <v>13.51</v>
      </c>
      <c r="P38">
        <f t="shared" si="29"/>
        <v>13.51</v>
      </c>
      <c r="Q38">
        <f t="shared" si="30"/>
        <v>0</v>
      </c>
      <c r="R38">
        <f t="shared" si="31"/>
        <v>0</v>
      </c>
      <c r="S38">
        <f t="shared" si="32"/>
        <v>0</v>
      </c>
      <c r="T38">
        <f t="shared" si="33"/>
        <v>0</v>
      </c>
      <c r="U38">
        <f t="shared" si="34"/>
        <v>0</v>
      </c>
      <c r="V38">
        <f t="shared" si="35"/>
        <v>0</v>
      </c>
      <c r="W38">
        <f t="shared" si="36"/>
        <v>0</v>
      </c>
      <c r="X38">
        <f t="shared" si="37"/>
        <v>0</v>
      </c>
      <c r="Y38">
        <f t="shared" si="37"/>
        <v>0</v>
      </c>
      <c r="AA38">
        <v>38214492</v>
      </c>
      <c r="AB38">
        <f t="shared" si="38"/>
        <v>197.96</v>
      </c>
      <c r="AC38">
        <f>ROUND((ES38),6)</f>
        <v>197.96</v>
      </c>
      <c r="AD38">
        <f>ROUND((((ET38)-(EU38))+AE38),6)</f>
        <v>0</v>
      </c>
      <c r="AE38">
        <f>ROUND((EU38),6)</f>
        <v>0</v>
      </c>
      <c r="AF38">
        <f>ROUND((EV38),6)</f>
        <v>0</v>
      </c>
      <c r="AG38">
        <f t="shared" si="39"/>
        <v>0</v>
      </c>
      <c r="AH38">
        <f>(EW38)</f>
        <v>0</v>
      </c>
      <c r="AI38">
        <f>(EX38)</f>
        <v>0</v>
      </c>
      <c r="AJ38">
        <f t="shared" si="40"/>
        <v>0</v>
      </c>
      <c r="AK38">
        <v>197.96</v>
      </c>
      <c r="AL38">
        <v>197.96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70</v>
      </c>
      <c r="AU38">
        <v>10</v>
      </c>
      <c r="AV38">
        <v>1</v>
      </c>
      <c r="AW38">
        <v>1</v>
      </c>
      <c r="AZ38">
        <v>1</v>
      </c>
      <c r="BA38">
        <v>1</v>
      </c>
      <c r="BB38">
        <v>1</v>
      </c>
      <c r="BC38">
        <v>1</v>
      </c>
      <c r="BD38" t="s">
        <v>3</v>
      </c>
      <c r="BE38" t="s">
        <v>3</v>
      </c>
      <c r="BF38" t="s">
        <v>3</v>
      </c>
      <c r="BG38" t="s">
        <v>3</v>
      </c>
      <c r="BH38">
        <v>3</v>
      </c>
      <c r="BI38">
        <v>4</v>
      </c>
      <c r="BJ38" t="s">
        <v>55</v>
      </c>
      <c r="BM38">
        <v>0</v>
      </c>
      <c r="BN38">
        <v>0</v>
      </c>
      <c r="BO38" t="s">
        <v>3</v>
      </c>
      <c r="BP38">
        <v>0</v>
      </c>
      <c r="BQ38">
        <v>1</v>
      </c>
      <c r="BR38">
        <v>0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 t="s">
        <v>3</v>
      </c>
      <c r="BZ38">
        <v>70</v>
      </c>
      <c r="CA38">
        <v>10</v>
      </c>
      <c r="CE38">
        <v>0</v>
      </c>
      <c r="CF38">
        <v>0</v>
      </c>
      <c r="CG38">
        <v>0</v>
      </c>
      <c r="CM38">
        <v>0</v>
      </c>
      <c r="CN38" t="s">
        <v>3</v>
      </c>
      <c r="CO38">
        <v>0</v>
      </c>
      <c r="CP38">
        <f t="shared" si="41"/>
        <v>13.51</v>
      </c>
      <c r="CQ38">
        <f t="shared" si="42"/>
        <v>197.96</v>
      </c>
      <c r="CR38">
        <f>((((ET38)*BB38-(EU38)*BS38)+AE38*BS38)*AV38)</f>
        <v>0</v>
      </c>
      <c r="CS38">
        <f t="shared" si="43"/>
        <v>0</v>
      </c>
      <c r="CT38">
        <f t="shared" si="44"/>
        <v>0</v>
      </c>
      <c r="CU38">
        <f t="shared" si="45"/>
        <v>0</v>
      </c>
      <c r="CV38">
        <f t="shared" si="46"/>
        <v>0</v>
      </c>
      <c r="CW38">
        <f t="shared" si="47"/>
        <v>0</v>
      </c>
      <c r="CX38">
        <f t="shared" si="47"/>
        <v>0</v>
      </c>
      <c r="CY38">
        <f t="shared" si="48"/>
        <v>0</v>
      </c>
      <c r="CZ38">
        <f t="shared" si="49"/>
        <v>0</v>
      </c>
      <c r="DC38" t="s">
        <v>3</v>
      </c>
      <c r="DD38" t="s">
        <v>3</v>
      </c>
      <c r="DE38" t="s">
        <v>3</v>
      </c>
      <c r="DF38" t="s">
        <v>3</v>
      </c>
      <c r="DG38" t="s">
        <v>3</v>
      </c>
      <c r="DH38" t="s">
        <v>3</v>
      </c>
      <c r="DI38" t="s">
        <v>3</v>
      </c>
      <c r="DJ38" t="s">
        <v>3</v>
      </c>
      <c r="DK38" t="s">
        <v>3</v>
      </c>
      <c r="DL38" t="s">
        <v>3</v>
      </c>
      <c r="DM38" t="s">
        <v>3</v>
      </c>
      <c r="DN38">
        <v>0</v>
      </c>
      <c r="DO38">
        <v>0</v>
      </c>
      <c r="DP38">
        <v>1</v>
      </c>
      <c r="DQ38">
        <v>1</v>
      </c>
      <c r="DU38">
        <v>1009</v>
      </c>
      <c r="DV38" t="s">
        <v>30</v>
      </c>
      <c r="DW38" t="s">
        <v>30</v>
      </c>
      <c r="DX38">
        <v>1000</v>
      </c>
      <c r="EE38">
        <v>38628631</v>
      </c>
      <c r="EF38">
        <v>1</v>
      </c>
      <c r="EG38" t="s">
        <v>24</v>
      </c>
      <c r="EH38">
        <v>0</v>
      </c>
      <c r="EI38" t="s">
        <v>3</v>
      </c>
      <c r="EJ38">
        <v>4</v>
      </c>
      <c r="EK38">
        <v>0</v>
      </c>
      <c r="EL38" t="s">
        <v>25</v>
      </c>
      <c r="EM38" t="s">
        <v>26</v>
      </c>
      <c r="EO38" t="s">
        <v>3</v>
      </c>
      <c r="EQ38">
        <v>0</v>
      </c>
      <c r="ER38">
        <v>197.96</v>
      </c>
      <c r="ES38">
        <v>197.96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FQ38">
        <v>0</v>
      </c>
      <c r="FR38">
        <f t="shared" si="50"/>
        <v>0</v>
      </c>
      <c r="FS38">
        <v>0</v>
      </c>
      <c r="FX38">
        <v>70</v>
      </c>
      <c r="FY38">
        <v>10</v>
      </c>
      <c r="GA38" t="s">
        <v>3</v>
      </c>
      <c r="GD38">
        <v>0</v>
      </c>
      <c r="GF38">
        <v>-1219268023</v>
      </c>
      <c r="GG38">
        <v>2</v>
      </c>
      <c r="GH38">
        <v>1</v>
      </c>
      <c r="GI38">
        <v>-2</v>
      </c>
      <c r="GJ38">
        <v>0</v>
      </c>
      <c r="GK38">
        <f>ROUND(R38*(R12)/100,2)</f>
        <v>0</v>
      </c>
      <c r="GL38">
        <f t="shared" si="51"/>
        <v>0</v>
      </c>
      <c r="GM38">
        <f>ROUND(O38+X38+Y38+GK38,2)+GX38</f>
        <v>13.51</v>
      </c>
      <c r="GN38">
        <f>IF(OR(BI38=0,BI38=1),ROUND(O38+X38+Y38+GK38,2),0)</f>
        <v>0</v>
      </c>
      <c r="GO38">
        <f>IF(BI38=2,ROUND(O38+X38+Y38+GK38,2),0)</f>
        <v>0</v>
      </c>
      <c r="GP38">
        <f>IF(BI38=4,ROUND(O38+X38+Y38+GK38,2)+GX38,0)</f>
        <v>13.51</v>
      </c>
      <c r="GR38">
        <v>0</v>
      </c>
      <c r="GS38">
        <v>3</v>
      </c>
      <c r="GT38">
        <v>0</v>
      </c>
      <c r="GU38" t="s">
        <v>3</v>
      </c>
      <c r="GV38">
        <f t="shared" si="52"/>
        <v>0</v>
      </c>
      <c r="GW38">
        <v>1</v>
      </c>
      <c r="GX38">
        <f t="shared" si="53"/>
        <v>0</v>
      </c>
      <c r="HA38">
        <v>0</v>
      </c>
      <c r="HB38">
        <v>0</v>
      </c>
      <c r="HC38">
        <f t="shared" si="54"/>
        <v>0</v>
      </c>
      <c r="HE38" t="s">
        <v>3</v>
      </c>
      <c r="HF38" t="s">
        <v>3</v>
      </c>
      <c r="IK38">
        <v>0</v>
      </c>
    </row>
    <row r="40" spans="1:245" x14ac:dyDescent="0.2">
      <c r="A40" s="2">
        <v>51</v>
      </c>
      <c r="B40" s="2">
        <f>B28</f>
        <v>1</v>
      </c>
      <c r="C40" s="2">
        <f>A28</f>
        <v>5</v>
      </c>
      <c r="D40" s="2">
        <f>ROW(A28)</f>
        <v>28</v>
      </c>
      <c r="E40" s="2"/>
      <c r="F40" s="2" t="str">
        <f>IF(F28&lt;&gt;"",F28,"")</f>
        <v>Новый подраздел</v>
      </c>
      <c r="G40" s="2" t="str">
        <f>IF(G28&lt;&gt;"",G28,"")</f>
        <v>Демонтаж</v>
      </c>
      <c r="H40" s="2">
        <v>0</v>
      </c>
      <c r="I40" s="2"/>
      <c r="J40" s="2"/>
      <c r="K40" s="2"/>
      <c r="L40" s="2"/>
      <c r="M40" s="2"/>
      <c r="N40" s="2"/>
      <c r="O40" s="2">
        <f t="shared" ref="O40:T40" si="57">ROUND(AB40,2)</f>
        <v>364.71</v>
      </c>
      <c r="P40" s="2">
        <f t="shared" si="57"/>
        <v>13.51</v>
      </c>
      <c r="Q40" s="2">
        <f t="shared" si="57"/>
        <v>62.72</v>
      </c>
      <c r="R40" s="2">
        <f t="shared" si="57"/>
        <v>37.18</v>
      </c>
      <c r="S40" s="2">
        <f t="shared" si="57"/>
        <v>288.48</v>
      </c>
      <c r="T40" s="2">
        <f t="shared" si="57"/>
        <v>0</v>
      </c>
      <c r="U40" s="2">
        <f>AH40</f>
        <v>1.6603649999999999</v>
      </c>
      <c r="V40" s="2">
        <f>AI40</f>
        <v>0</v>
      </c>
      <c r="W40" s="2">
        <f>ROUND(AJ40,2)</f>
        <v>0</v>
      </c>
      <c r="X40" s="2">
        <f>ROUND(AK40,2)</f>
        <v>201.94</v>
      </c>
      <c r="Y40" s="2">
        <f>ROUND(AL40,2)</f>
        <v>28.85</v>
      </c>
      <c r="Z40" s="2"/>
      <c r="AA40" s="2"/>
      <c r="AB40" s="2">
        <f>ROUND(SUMIF(AA32:AA38,"=38214492",O32:O38),2)</f>
        <v>364.71</v>
      </c>
      <c r="AC40" s="2">
        <f>ROUND(SUMIF(AA32:AA38,"=38214492",P32:P38),2)</f>
        <v>13.51</v>
      </c>
      <c r="AD40" s="2">
        <f>ROUND(SUMIF(AA32:AA38,"=38214492",Q32:Q38),2)</f>
        <v>62.72</v>
      </c>
      <c r="AE40" s="2">
        <f>ROUND(SUMIF(AA32:AA38,"=38214492",R32:R38),2)</f>
        <v>37.18</v>
      </c>
      <c r="AF40" s="2">
        <f>ROUND(SUMIF(AA32:AA38,"=38214492",S32:S38),2)</f>
        <v>288.48</v>
      </c>
      <c r="AG40" s="2">
        <f>ROUND(SUMIF(AA32:AA38,"=38214492",T32:T38),2)</f>
        <v>0</v>
      </c>
      <c r="AH40" s="2">
        <f>SUMIF(AA32:AA38,"=38214492",U32:U38)</f>
        <v>1.6603649999999999</v>
      </c>
      <c r="AI40" s="2">
        <f>SUMIF(AA32:AA38,"=38214492",V32:V38)</f>
        <v>0</v>
      </c>
      <c r="AJ40" s="2">
        <f>ROUND(SUMIF(AA32:AA38,"=38214492",W32:W38),2)</f>
        <v>0</v>
      </c>
      <c r="AK40" s="2">
        <f>ROUND(SUMIF(AA32:AA38,"=38214492",X32:X38),2)</f>
        <v>201.94</v>
      </c>
      <c r="AL40" s="2">
        <f>ROUND(SUMIF(AA32:AA38,"=38214492",Y32:Y38),2)</f>
        <v>28.85</v>
      </c>
      <c r="AM40" s="2"/>
      <c r="AN40" s="2"/>
      <c r="AO40" s="2">
        <f t="shared" ref="AO40:BD40" si="58">ROUND(BX40,2)</f>
        <v>0</v>
      </c>
      <c r="AP40" s="2">
        <f t="shared" si="58"/>
        <v>0</v>
      </c>
      <c r="AQ40" s="2">
        <f t="shared" si="58"/>
        <v>0</v>
      </c>
      <c r="AR40" s="2">
        <f t="shared" si="58"/>
        <v>595.5</v>
      </c>
      <c r="AS40" s="2">
        <f t="shared" si="58"/>
        <v>0</v>
      </c>
      <c r="AT40" s="2">
        <f t="shared" si="58"/>
        <v>0</v>
      </c>
      <c r="AU40" s="2">
        <f t="shared" si="58"/>
        <v>595.5</v>
      </c>
      <c r="AV40" s="2">
        <f t="shared" si="58"/>
        <v>13.51</v>
      </c>
      <c r="AW40" s="2">
        <f t="shared" si="58"/>
        <v>13.51</v>
      </c>
      <c r="AX40" s="2">
        <f t="shared" si="58"/>
        <v>0</v>
      </c>
      <c r="AY40" s="2">
        <f t="shared" si="58"/>
        <v>13.51</v>
      </c>
      <c r="AZ40" s="2">
        <f t="shared" si="58"/>
        <v>0</v>
      </c>
      <c r="BA40" s="2">
        <f t="shared" si="58"/>
        <v>0</v>
      </c>
      <c r="BB40" s="2">
        <f t="shared" si="58"/>
        <v>0</v>
      </c>
      <c r="BC40" s="2">
        <f t="shared" si="58"/>
        <v>0</v>
      </c>
      <c r="BD40" s="2">
        <f t="shared" si="58"/>
        <v>0</v>
      </c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>
        <f>ROUND(SUMIF(AA32:AA38,"=38214492",FQ32:FQ38),2)</f>
        <v>0</v>
      </c>
      <c r="BY40" s="2">
        <f>ROUND(SUMIF(AA32:AA38,"=38214492",FR32:FR38),2)</f>
        <v>0</v>
      </c>
      <c r="BZ40" s="2">
        <f>ROUND(SUMIF(AA32:AA38,"=38214492",GL32:GL38),2)</f>
        <v>0</v>
      </c>
      <c r="CA40" s="2">
        <f>ROUND(SUMIF(AA32:AA38,"=38214492",GM32:GM38),2)</f>
        <v>595.5</v>
      </c>
      <c r="CB40" s="2">
        <f>ROUND(SUMIF(AA32:AA38,"=38214492",GN32:GN38),2)</f>
        <v>0</v>
      </c>
      <c r="CC40" s="2">
        <f>ROUND(SUMIF(AA32:AA38,"=38214492",GO32:GO38),2)</f>
        <v>0</v>
      </c>
      <c r="CD40" s="2">
        <f>ROUND(SUMIF(AA32:AA38,"=38214492",GP32:GP38),2)</f>
        <v>595.5</v>
      </c>
      <c r="CE40" s="2">
        <f>AC40-BX40</f>
        <v>13.51</v>
      </c>
      <c r="CF40" s="2">
        <f>AC40-BY40</f>
        <v>13.51</v>
      </c>
      <c r="CG40" s="2">
        <f>BX40-BZ40</f>
        <v>0</v>
      </c>
      <c r="CH40" s="2">
        <f>AC40-BX40-BY40+BZ40</f>
        <v>13.51</v>
      </c>
      <c r="CI40" s="2">
        <f>BY40-BZ40</f>
        <v>0</v>
      </c>
      <c r="CJ40" s="2">
        <f>ROUND(SUMIF(AA32:AA38,"=38214492",GX32:GX38),2)</f>
        <v>0</v>
      </c>
      <c r="CK40" s="2">
        <f>ROUND(SUMIF(AA32:AA38,"=38214492",GY32:GY38),2)</f>
        <v>0</v>
      </c>
      <c r="CL40" s="2">
        <f>ROUND(SUMIF(AA32:AA38,"=38214492",GZ32:GZ38),2)</f>
        <v>0</v>
      </c>
      <c r="CM40" s="2">
        <f>ROUND(SUMIF(AA32:AA38,"=38214492",HD32:HD38),2)</f>
        <v>0</v>
      </c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>
        <v>0</v>
      </c>
    </row>
    <row r="42" spans="1:245" x14ac:dyDescent="0.2">
      <c r="A42" s="4">
        <v>50</v>
      </c>
      <c r="B42" s="4">
        <v>0</v>
      </c>
      <c r="C42" s="4">
        <v>0</v>
      </c>
      <c r="D42" s="4">
        <v>1</v>
      </c>
      <c r="E42" s="4">
        <v>201</v>
      </c>
      <c r="F42" s="4">
        <f>ROUND(Source!O40,O42)</f>
        <v>364.71</v>
      </c>
      <c r="G42" s="4" t="s">
        <v>56</v>
      </c>
      <c r="H42" s="4" t="s">
        <v>57</v>
      </c>
      <c r="I42" s="4"/>
      <c r="J42" s="4"/>
      <c r="K42" s="4">
        <v>201</v>
      </c>
      <c r="L42" s="4">
        <v>1</v>
      </c>
      <c r="M42" s="4">
        <v>3</v>
      </c>
      <c r="N42" s="4" t="s">
        <v>3</v>
      </c>
      <c r="O42" s="4">
        <v>2</v>
      </c>
      <c r="P42" s="4"/>
      <c r="Q42" s="4"/>
      <c r="R42" s="4"/>
      <c r="S42" s="4"/>
      <c r="T42" s="4"/>
      <c r="U42" s="4"/>
      <c r="V42" s="4"/>
      <c r="W42" s="4"/>
    </row>
    <row r="43" spans="1:245" x14ac:dyDescent="0.2">
      <c r="A43" s="4">
        <v>50</v>
      </c>
      <c r="B43" s="4">
        <v>0</v>
      </c>
      <c r="C43" s="4">
        <v>0</v>
      </c>
      <c r="D43" s="4">
        <v>1</v>
      </c>
      <c r="E43" s="4">
        <v>202</v>
      </c>
      <c r="F43" s="4">
        <f>ROUND(Source!P40,O43)</f>
        <v>13.51</v>
      </c>
      <c r="G43" s="4" t="s">
        <v>58</v>
      </c>
      <c r="H43" s="4" t="s">
        <v>59</v>
      </c>
      <c r="I43" s="4"/>
      <c r="J43" s="4"/>
      <c r="K43" s="4">
        <v>202</v>
      </c>
      <c r="L43" s="4">
        <v>2</v>
      </c>
      <c r="M43" s="4">
        <v>3</v>
      </c>
      <c r="N43" s="4" t="s">
        <v>3</v>
      </c>
      <c r="O43" s="4">
        <v>2</v>
      </c>
      <c r="P43" s="4"/>
      <c r="Q43" s="4"/>
      <c r="R43" s="4"/>
      <c r="S43" s="4"/>
      <c r="T43" s="4"/>
      <c r="U43" s="4"/>
      <c r="V43" s="4"/>
      <c r="W43" s="4"/>
    </row>
    <row r="44" spans="1:245" x14ac:dyDescent="0.2">
      <c r="A44" s="4">
        <v>50</v>
      </c>
      <c r="B44" s="4">
        <v>0</v>
      </c>
      <c r="C44" s="4">
        <v>0</v>
      </c>
      <c r="D44" s="4">
        <v>1</v>
      </c>
      <c r="E44" s="4">
        <v>222</v>
      </c>
      <c r="F44" s="4">
        <f>ROUND(Source!AO40,O44)</f>
        <v>0</v>
      </c>
      <c r="G44" s="4" t="s">
        <v>60</v>
      </c>
      <c r="H44" s="4" t="s">
        <v>61</v>
      </c>
      <c r="I44" s="4"/>
      <c r="J44" s="4"/>
      <c r="K44" s="4">
        <v>222</v>
      </c>
      <c r="L44" s="4">
        <v>3</v>
      </c>
      <c r="M44" s="4">
        <v>3</v>
      </c>
      <c r="N44" s="4" t="s">
        <v>3</v>
      </c>
      <c r="O44" s="4">
        <v>2</v>
      </c>
      <c r="P44" s="4"/>
      <c r="Q44" s="4"/>
      <c r="R44" s="4"/>
      <c r="S44" s="4"/>
      <c r="T44" s="4"/>
      <c r="U44" s="4"/>
      <c r="V44" s="4"/>
      <c r="W44" s="4"/>
    </row>
    <row r="45" spans="1:245" x14ac:dyDescent="0.2">
      <c r="A45" s="4">
        <v>50</v>
      </c>
      <c r="B45" s="4">
        <v>0</v>
      </c>
      <c r="C45" s="4">
        <v>0</v>
      </c>
      <c r="D45" s="4">
        <v>1</v>
      </c>
      <c r="E45" s="4">
        <v>225</v>
      </c>
      <c r="F45" s="4">
        <f>ROUND(Source!AV40,O45)</f>
        <v>13.51</v>
      </c>
      <c r="G45" s="4" t="s">
        <v>62</v>
      </c>
      <c r="H45" s="4" t="s">
        <v>63</v>
      </c>
      <c r="I45" s="4"/>
      <c r="J45" s="4"/>
      <c r="K45" s="4">
        <v>225</v>
      </c>
      <c r="L45" s="4">
        <v>4</v>
      </c>
      <c r="M45" s="4">
        <v>3</v>
      </c>
      <c r="N45" s="4" t="s">
        <v>3</v>
      </c>
      <c r="O45" s="4">
        <v>2</v>
      </c>
      <c r="P45" s="4"/>
      <c r="Q45" s="4"/>
      <c r="R45" s="4"/>
      <c r="S45" s="4"/>
      <c r="T45" s="4"/>
      <c r="U45" s="4"/>
      <c r="V45" s="4"/>
      <c r="W45" s="4"/>
    </row>
    <row r="46" spans="1:245" x14ac:dyDescent="0.2">
      <c r="A46" s="4">
        <v>50</v>
      </c>
      <c r="B46" s="4">
        <v>0</v>
      </c>
      <c r="C46" s="4">
        <v>0</v>
      </c>
      <c r="D46" s="4">
        <v>1</v>
      </c>
      <c r="E46" s="4">
        <v>226</v>
      </c>
      <c r="F46" s="4">
        <f>ROUND(Source!AW40,O46)</f>
        <v>13.51</v>
      </c>
      <c r="G46" s="4" t="s">
        <v>64</v>
      </c>
      <c r="H46" s="4" t="s">
        <v>65</v>
      </c>
      <c r="I46" s="4"/>
      <c r="J46" s="4"/>
      <c r="K46" s="4">
        <v>226</v>
      </c>
      <c r="L46" s="4">
        <v>5</v>
      </c>
      <c r="M46" s="4">
        <v>3</v>
      </c>
      <c r="N46" s="4" t="s">
        <v>3</v>
      </c>
      <c r="O46" s="4">
        <v>2</v>
      </c>
      <c r="P46" s="4"/>
      <c r="Q46" s="4"/>
      <c r="R46" s="4"/>
      <c r="S46" s="4"/>
      <c r="T46" s="4"/>
      <c r="U46" s="4"/>
      <c r="V46" s="4"/>
      <c r="W46" s="4"/>
    </row>
    <row r="47" spans="1:245" x14ac:dyDescent="0.2">
      <c r="A47" s="4">
        <v>50</v>
      </c>
      <c r="B47" s="4">
        <v>0</v>
      </c>
      <c r="C47" s="4">
        <v>0</v>
      </c>
      <c r="D47" s="4">
        <v>1</v>
      </c>
      <c r="E47" s="4">
        <v>227</v>
      </c>
      <c r="F47" s="4">
        <f>ROUND(Source!AX40,O47)</f>
        <v>0</v>
      </c>
      <c r="G47" s="4" t="s">
        <v>66</v>
      </c>
      <c r="H47" s="4" t="s">
        <v>67</v>
      </c>
      <c r="I47" s="4"/>
      <c r="J47" s="4"/>
      <c r="K47" s="4">
        <v>227</v>
      </c>
      <c r="L47" s="4">
        <v>6</v>
      </c>
      <c r="M47" s="4">
        <v>3</v>
      </c>
      <c r="N47" s="4" t="s">
        <v>3</v>
      </c>
      <c r="O47" s="4">
        <v>2</v>
      </c>
      <c r="P47" s="4"/>
      <c r="Q47" s="4"/>
      <c r="R47" s="4"/>
      <c r="S47" s="4"/>
      <c r="T47" s="4"/>
      <c r="U47" s="4"/>
      <c r="V47" s="4"/>
      <c r="W47" s="4"/>
    </row>
    <row r="48" spans="1:245" x14ac:dyDescent="0.2">
      <c r="A48" s="4">
        <v>50</v>
      </c>
      <c r="B48" s="4">
        <v>0</v>
      </c>
      <c r="C48" s="4">
        <v>0</v>
      </c>
      <c r="D48" s="4">
        <v>1</v>
      </c>
      <c r="E48" s="4">
        <v>228</v>
      </c>
      <c r="F48" s="4">
        <f>ROUND(Source!AY40,O48)</f>
        <v>13.51</v>
      </c>
      <c r="G48" s="4" t="s">
        <v>68</v>
      </c>
      <c r="H48" s="4" t="s">
        <v>69</v>
      </c>
      <c r="I48" s="4"/>
      <c r="J48" s="4"/>
      <c r="K48" s="4">
        <v>228</v>
      </c>
      <c r="L48" s="4">
        <v>7</v>
      </c>
      <c r="M48" s="4">
        <v>3</v>
      </c>
      <c r="N48" s="4" t="s">
        <v>3</v>
      </c>
      <c r="O48" s="4">
        <v>2</v>
      </c>
      <c r="P48" s="4"/>
      <c r="Q48" s="4"/>
      <c r="R48" s="4"/>
      <c r="S48" s="4"/>
      <c r="T48" s="4"/>
      <c r="U48" s="4"/>
      <c r="V48" s="4"/>
      <c r="W48" s="4"/>
    </row>
    <row r="49" spans="1:23" x14ac:dyDescent="0.2">
      <c r="A49" s="4">
        <v>50</v>
      </c>
      <c r="B49" s="4">
        <v>0</v>
      </c>
      <c r="C49" s="4">
        <v>0</v>
      </c>
      <c r="D49" s="4">
        <v>1</v>
      </c>
      <c r="E49" s="4">
        <v>216</v>
      </c>
      <c r="F49" s="4">
        <f>ROUND(Source!AP40,O49)</f>
        <v>0</v>
      </c>
      <c r="G49" s="4" t="s">
        <v>70</v>
      </c>
      <c r="H49" s="4" t="s">
        <v>71</v>
      </c>
      <c r="I49" s="4"/>
      <c r="J49" s="4"/>
      <c r="K49" s="4">
        <v>216</v>
      </c>
      <c r="L49" s="4">
        <v>8</v>
      </c>
      <c r="M49" s="4">
        <v>3</v>
      </c>
      <c r="N49" s="4" t="s">
        <v>3</v>
      </c>
      <c r="O49" s="4">
        <v>2</v>
      </c>
      <c r="P49" s="4"/>
      <c r="Q49" s="4"/>
      <c r="R49" s="4"/>
      <c r="S49" s="4"/>
      <c r="T49" s="4"/>
      <c r="U49" s="4"/>
      <c r="V49" s="4"/>
      <c r="W49" s="4"/>
    </row>
    <row r="50" spans="1:23" x14ac:dyDescent="0.2">
      <c r="A50" s="4">
        <v>50</v>
      </c>
      <c r="B50" s="4">
        <v>0</v>
      </c>
      <c r="C50" s="4">
        <v>0</v>
      </c>
      <c r="D50" s="4">
        <v>1</v>
      </c>
      <c r="E50" s="4">
        <v>223</v>
      </c>
      <c r="F50" s="4">
        <f>ROUND(Source!AQ40,O50)</f>
        <v>0</v>
      </c>
      <c r="G50" s="4" t="s">
        <v>72</v>
      </c>
      <c r="H50" s="4" t="s">
        <v>73</v>
      </c>
      <c r="I50" s="4"/>
      <c r="J50" s="4"/>
      <c r="K50" s="4">
        <v>223</v>
      </c>
      <c r="L50" s="4">
        <v>9</v>
      </c>
      <c r="M50" s="4">
        <v>3</v>
      </c>
      <c r="N50" s="4" t="s">
        <v>3</v>
      </c>
      <c r="O50" s="4">
        <v>2</v>
      </c>
      <c r="P50" s="4"/>
      <c r="Q50" s="4"/>
      <c r="R50" s="4"/>
      <c r="S50" s="4"/>
      <c r="T50" s="4"/>
      <c r="U50" s="4"/>
      <c r="V50" s="4"/>
      <c r="W50" s="4"/>
    </row>
    <row r="51" spans="1:23" x14ac:dyDescent="0.2">
      <c r="A51" s="4">
        <v>50</v>
      </c>
      <c r="B51" s="4">
        <v>0</v>
      </c>
      <c r="C51" s="4">
        <v>0</v>
      </c>
      <c r="D51" s="4">
        <v>1</v>
      </c>
      <c r="E51" s="4">
        <v>229</v>
      </c>
      <c r="F51" s="4">
        <f>ROUND(Source!AZ40,O51)</f>
        <v>0</v>
      </c>
      <c r="G51" s="4" t="s">
        <v>74</v>
      </c>
      <c r="H51" s="4" t="s">
        <v>75</v>
      </c>
      <c r="I51" s="4"/>
      <c r="J51" s="4"/>
      <c r="K51" s="4">
        <v>229</v>
      </c>
      <c r="L51" s="4">
        <v>10</v>
      </c>
      <c r="M51" s="4">
        <v>3</v>
      </c>
      <c r="N51" s="4" t="s">
        <v>3</v>
      </c>
      <c r="O51" s="4">
        <v>2</v>
      </c>
      <c r="P51" s="4"/>
      <c r="Q51" s="4"/>
      <c r="R51" s="4"/>
      <c r="S51" s="4"/>
      <c r="T51" s="4"/>
      <c r="U51" s="4"/>
      <c r="V51" s="4"/>
      <c r="W51" s="4"/>
    </row>
    <row r="52" spans="1:23" x14ac:dyDescent="0.2">
      <c r="A52" s="4">
        <v>50</v>
      </c>
      <c r="B52" s="4">
        <v>0</v>
      </c>
      <c r="C52" s="4">
        <v>0</v>
      </c>
      <c r="D52" s="4">
        <v>1</v>
      </c>
      <c r="E52" s="4">
        <v>203</v>
      </c>
      <c r="F52" s="4">
        <f>ROUND(Source!Q40,O52)</f>
        <v>62.72</v>
      </c>
      <c r="G52" s="4" t="s">
        <v>76</v>
      </c>
      <c r="H52" s="4" t="s">
        <v>77</v>
      </c>
      <c r="I52" s="4"/>
      <c r="J52" s="4"/>
      <c r="K52" s="4">
        <v>203</v>
      </c>
      <c r="L52" s="4">
        <v>11</v>
      </c>
      <c r="M52" s="4">
        <v>3</v>
      </c>
      <c r="N52" s="4" t="s">
        <v>3</v>
      </c>
      <c r="O52" s="4">
        <v>2</v>
      </c>
      <c r="P52" s="4"/>
      <c r="Q52" s="4"/>
      <c r="R52" s="4"/>
      <c r="S52" s="4"/>
      <c r="T52" s="4"/>
      <c r="U52" s="4"/>
      <c r="V52" s="4"/>
      <c r="W52" s="4"/>
    </row>
    <row r="53" spans="1:23" x14ac:dyDescent="0.2">
      <c r="A53" s="4">
        <v>50</v>
      </c>
      <c r="B53" s="4">
        <v>0</v>
      </c>
      <c r="C53" s="4">
        <v>0</v>
      </c>
      <c r="D53" s="4">
        <v>1</v>
      </c>
      <c r="E53" s="4">
        <v>231</v>
      </c>
      <c r="F53" s="4">
        <f>ROUND(Source!BB40,O53)</f>
        <v>0</v>
      </c>
      <c r="G53" s="4" t="s">
        <v>78</v>
      </c>
      <c r="H53" s="4" t="s">
        <v>79</v>
      </c>
      <c r="I53" s="4"/>
      <c r="J53" s="4"/>
      <c r="K53" s="4">
        <v>231</v>
      </c>
      <c r="L53" s="4">
        <v>12</v>
      </c>
      <c r="M53" s="4">
        <v>3</v>
      </c>
      <c r="N53" s="4" t="s">
        <v>3</v>
      </c>
      <c r="O53" s="4">
        <v>2</v>
      </c>
      <c r="P53" s="4"/>
      <c r="Q53" s="4"/>
      <c r="R53" s="4"/>
      <c r="S53" s="4"/>
      <c r="T53" s="4"/>
      <c r="U53" s="4"/>
      <c r="V53" s="4"/>
      <c r="W53" s="4"/>
    </row>
    <row r="54" spans="1:23" x14ac:dyDescent="0.2">
      <c r="A54" s="4">
        <v>50</v>
      </c>
      <c r="B54" s="4">
        <v>0</v>
      </c>
      <c r="C54" s="4">
        <v>0</v>
      </c>
      <c r="D54" s="4">
        <v>1</v>
      </c>
      <c r="E54" s="4">
        <v>204</v>
      </c>
      <c r="F54" s="4">
        <f>ROUND(Source!R40,O54)</f>
        <v>37.18</v>
      </c>
      <c r="G54" s="4" t="s">
        <v>80</v>
      </c>
      <c r="H54" s="4" t="s">
        <v>81</v>
      </c>
      <c r="I54" s="4"/>
      <c r="J54" s="4"/>
      <c r="K54" s="4">
        <v>204</v>
      </c>
      <c r="L54" s="4">
        <v>13</v>
      </c>
      <c r="M54" s="4">
        <v>3</v>
      </c>
      <c r="N54" s="4" t="s">
        <v>3</v>
      </c>
      <c r="O54" s="4">
        <v>2</v>
      </c>
      <c r="P54" s="4"/>
      <c r="Q54" s="4"/>
      <c r="R54" s="4"/>
      <c r="S54" s="4"/>
      <c r="T54" s="4"/>
      <c r="U54" s="4"/>
      <c r="V54" s="4"/>
      <c r="W54" s="4"/>
    </row>
    <row r="55" spans="1:23" x14ac:dyDescent="0.2">
      <c r="A55" s="4">
        <v>50</v>
      </c>
      <c r="B55" s="4">
        <v>0</v>
      </c>
      <c r="C55" s="4">
        <v>0</v>
      </c>
      <c r="D55" s="4">
        <v>1</v>
      </c>
      <c r="E55" s="4">
        <v>205</v>
      </c>
      <c r="F55" s="4">
        <f>ROUND(Source!S40,O55)</f>
        <v>288.48</v>
      </c>
      <c r="G55" s="4" t="s">
        <v>82</v>
      </c>
      <c r="H55" s="4" t="s">
        <v>83</v>
      </c>
      <c r="I55" s="4"/>
      <c r="J55" s="4"/>
      <c r="K55" s="4">
        <v>205</v>
      </c>
      <c r="L55" s="4">
        <v>14</v>
      </c>
      <c r="M55" s="4">
        <v>3</v>
      </c>
      <c r="N55" s="4" t="s">
        <v>3</v>
      </c>
      <c r="O55" s="4">
        <v>2</v>
      </c>
      <c r="P55" s="4"/>
      <c r="Q55" s="4"/>
      <c r="R55" s="4"/>
      <c r="S55" s="4"/>
      <c r="T55" s="4"/>
      <c r="U55" s="4"/>
      <c r="V55" s="4"/>
      <c r="W55" s="4"/>
    </row>
    <row r="56" spans="1:23" x14ac:dyDescent="0.2">
      <c r="A56" s="4">
        <v>50</v>
      </c>
      <c r="B56" s="4">
        <v>0</v>
      </c>
      <c r="C56" s="4">
        <v>0</v>
      </c>
      <c r="D56" s="4">
        <v>1</v>
      </c>
      <c r="E56" s="4">
        <v>232</v>
      </c>
      <c r="F56" s="4">
        <f>ROUND(Source!BC40,O56)</f>
        <v>0</v>
      </c>
      <c r="G56" s="4" t="s">
        <v>84</v>
      </c>
      <c r="H56" s="4" t="s">
        <v>85</v>
      </c>
      <c r="I56" s="4"/>
      <c r="J56" s="4"/>
      <c r="K56" s="4">
        <v>232</v>
      </c>
      <c r="L56" s="4">
        <v>15</v>
      </c>
      <c r="M56" s="4">
        <v>3</v>
      </c>
      <c r="N56" s="4" t="s">
        <v>3</v>
      </c>
      <c r="O56" s="4">
        <v>2</v>
      </c>
      <c r="P56" s="4"/>
      <c r="Q56" s="4"/>
      <c r="R56" s="4"/>
      <c r="S56" s="4"/>
      <c r="T56" s="4"/>
      <c r="U56" s="4"/>
      <c r="V56" s="4"/>
      <c r="W56" s="4"/>
    </row>
    <row r="57" spans="1:23" x14ac:dyDescent="0.2">
      <c r="A57" s="4">
        <v>50</v>
      </c>
      <c r="B57" s="4">
        <v>0</v>
      </c>
      <c r="C57" s="4">
        <v>0</v>
      </c>
      <c r="D57" s="4">
        <v>1</v>
      </c>
      <c r="E57" s="4">
        <v>214</v>
      </c>
      <c r="F57" s="4">
        <f>ROUND(Source!AS40,O57)</f>
        <v>0</v>
      </c>
      <c r="G57" s="4" t="s">
        <v>86</v>
      </c>
      <c r="H57" s="4" t="s">
        <v>87</v>
      </c>
      <c r="I57" s="4"/>
      <c r="J57" s="4"/>
      <c r="K57" s="4">
        <v>214</v>
      </c>
      <c r="L57" s="4">
        <v>16</v>
      </c>
      <c r="M57" s="4">
        <v>3</v>
      </c>
      <c r="N57" s="4" t="s">
        <v>3</v>
      </c>
      <c r="O57" s="4">
        <v>2</v>
      </c>
      <c r="P57" s="4"/>
      <c r="Q57" s="4"/>
      <c r="R57" s="4"/>
      <c r="S57" s="4"/>
      <c r="T57" s="4"/>
      <c r="U57" s="4"/>
      <c r="V57" s="4"/>
      <c r="W57" s="4"/>
    </row>
    <row r="58" spans="1:23" x14ac:dyDescent="0.2">
      <c r="A58" s="4">
        <v>50</v>
      </c>
      <c r="B58" s="4">
        <v>0</v>
      </c>
      <c r="C58" s="4">
        <v>0</v>
      </c>
      <c r="D58" s="4">
        <v>1</v>
      </c>
      <c r="E58" s="4">
        <v>215</v>
      </c>
      <c r="F58" s="4">
        <f>ROUND(Source!AT40,O58)</f>
        <v>0</v>
      </c>
      <c r="G58" s="4" t="s">
        <v>88</v>
      </c>
      <c r="H58" s="4" t="s">
        <v>89</v>
      </c>
      <c r="I58" s="4"/>
      <c r="J58" s="4"/>
      <c r="K58" s="4">
        <v>215</v>
      </c>
      <c r="L58" s="4">
        <v>17</v>
      </c>
      <c r="M58" s="4">
        <v>3</v>
      </c>
      <c r="N58" s="4" t="s">
        <v>3</v>
      </c>
      <c r="O58" s="4">
        <v>2</v>
      </c>
      <c r="P58" s="4"/>
      <c r="Q58" s="4"/>
      <c r="R58" s="4"/>
      <c r="S58" s="4"/>
      <c r="T58" s="4"/>
      <c r="U58" s="4"/>
      <c r="V58" s="4"/>
      <c r="W58" s="4"/>
    </row>
    <row r="59" spans="1:23" x14ac:dyDescent="0.2">
      <c r="A59" s="4">
        <v>50</v>
      </c>
      <c r="B59" s="4">
        <v>0</v>
      </c>
      <c r="C59" s="4">
        <v>0</v>
      </c>
      <c r="D59" s="4">
        <v>1</v>
      </c>
      <c r="E59" s="4">
        <v>217</v>
      </c>
      <c r="F59" s="4">
        <f>ROUND(Source!AU40,O59)</f>
        <v>595.5</v>
      </c>
      <c r="G59" s="4" t="s">
        <v>90</v>
      </c>
      <c r="H59" s="4" t="s">
        <v>91</v>
      </c>
      <c r="I59" s="4"/>
      <c r="J59" s="4"/>
      <c r="K59" s="4">
        <v>217</v>
      </c>
      <c r="L59" s="4">
        <v>18</v>
      </c>
      <c r="M59" s="4">
        <v>3</v>
      </c>
      <c r="N59" s="4" t="s">
        <v>3</v>
      </c>
      <c r="O59" s="4">
        <v>2</v>
      </c>
      <c r="P59" s="4"/>
      <c r="Q59" s="4"/>
      <c r="R59" s="4"/>
      <c r="S59" s="4"/>
      <c r="T59" s="4"/>
      <c r="U59" s="4"/>
      <c r="V59" s="4"/>
      <c r="W59" s="4"/>
    </row>
    <row r="60" spans="1:23" x14ac:dyDescent="0.2">
      <c r="A60" s="4">
        <v>50</v>
      </c>
      <c r="B60" s="4">
        <v>0</v>
      </c>
      <c r="C60" s="4">
        <v>0</v>
      </c>
      <c r="D60" s="4">
        <v>1</v>
      </c>
      <c r="E60" s="4">
        <v>230</v>
      </c>
      <c r="F60" s="4">
        <f>ROUND(Source!BA40,O60)</f>
        <v>0</v>
      </c>
      <c r="G60" s="4" t="s">
        <v>92</v>
      </c>
      <c r="H60" s="4" t="s">
        <v>93</v>
      </c>
      <c r="I60" s="4"/>
      <c r="J60" s="4"/>
      <c r="K60" s="4">
        <v>230</v>
      </c>
      <c r="L60" s="4">
        <v>19</v>
      </c>
      <c r="M60" s="4">
        <v>3</v>
      </c>
      <c r="N60" s="4" t="s">
        <v>3</v>
      </c>
      <c r="O60" s="4">
        <v>2</v>
      </c>
      <c r="P60" s="4"/>
      <c r="Q60" s="4"/>
      <c r="R60" s="4"/>
      <c r="S60" s="4"/>
      <c r="T60" s="4"/>
      <c r="U60" s="4"/>
      <c r="V60" s="4"/>
      <c r="W60" s="4"/>
    </row>
    <row r="61" spans="1:23" x14ac:dyDescent="0.2">
      <c r="A61" s="4">
        <v>50</v>
      </c>
      <c r="B61" s="4">
        <v>0</v>
      </c>
      <c r="C61" s="4">
        <v>0</v>
      </c>
      <c r="D61" s="4">
        <v>1</v>
      </c>
      <c r="E61" s="4">
        <v>206</v>
      </c>
      <c r="F61" s="4">
        <f>ROUND(Source!T40,O61)</f>
        <v>0</v>
      </c>
      <c r="G61" s="4" t="s">
        <v>94</v>
      </c>
      <c r="H61" s="4" t="s">
        <v>95</v>
      </c>
      <c r="I61" s="4"/>
      <c r="J61" s="4"/>
      <c r="K61" s="4">
        <v>206</v>
      </c>
      <c r="L61" s="4">
        <v>20</v>
      </c>
      <c r="M61" s="4">
        <v>3</v>
      </c>
      <c r="N61" s="4" t="s">
        <v>3</v>
      </c>
      <c r="O61" s="4">
        <v>2</v>
      </c>
      <c r="P61" s="4"/>
      <c r="Q61" s="4"/>
      <c r="R61" s="4"/>
      <c r="S61" s="4"/>
      <c r="T61" s="4"/>
      <c r="U61" s="4"/>
      <c r="V61" s="4"/>
      <c r="W61" s="4"/>
    </row>
    <row r="62" spans="1:23" x14ac:dyDescent="0.2">
      <c r="A62" s="4">
        <v>50</v>
      </c>
      <c r="B62" s="4">
        <v>0</v>
      </c>
      <c r="C62" s="4">
        <v>0</v>
      </c>
      <c r="D62" s="4">
        <v>1</v>
      </c>
      <c r="E62" s="4">
        <v>207</v>
      </c>
      <c r="F62" s="4">
        <f>Source!U40</f>
        <v>1.6603649999999999</v>
      </c>
      <c r="G62" s="4" t="s">
        <v>96</v>
      </c>
      <c r="H62" s="4" t="s">
        <v>97</v>
      </c>
      <c r="I62" s="4"/>
      <c r="J62" s="4"/>
      <c r="K62" s="4">
        <v>207</v>
      </c>
      <c r="L62" s="4">
        <v>21</v>
      </c>
      <c r="M62" s="4">
        <v>3</v>
      </c>
      <c r="N62" s="4" t="s">
        <v>3</v>
      </c>
      <c r="O62" s="4">
        <v>-1</v>
      </c>
      <c r="P62" s="4"/>
      <c r="Q62" s="4"/>
      <c r="R62" s="4"/>
      <c r="S62" s="4"/>
      <c r="T62" s="4"/>
      <c r="U62" s="4"/>
      <c r="V62" s="4"/>
      <c r="W62" s="4"/>
    </row>
    <row r="63" spans="1:23" x14ac:dyDescent="0.2">
      <c r="A63" s="4">
        <v>50</v>
      </c>
      <c r="B63" s="4">
        <v>0</v>
      </c>
      <c r="C63" s="4">
        <v>0</v>
      </c>
      <c r="D63" s="4">
        <v>1</v>
      </c>
      <c r="E63" s="4">
        <v>208</v>
      </c>
      <c r="F63" s="4">
        <f>Source!V40</f>
        <v>0</v>
      </c>
      <c r="G63" s="4" t="s">
        <v>98</v>
      </c>
      <c r="H63" s="4" t="s">
        <v>99</v>
      </c>
      <c r="I63" s="4"/>
      <c r="J63" s="4"/>
      <c r="K63" s="4">
        <v>208</v>
      </c>
      <c r="L63" s="4">
        <v>22</v>
      </c>
      <c r="M63" s="4">
        <v>3</v>
      </c>
      <c r="N63" s="4" t="s">
        <v>3</v>
      </c>
      <c r="O63" s="4">
        <v>-1</v>
      </c>
      <c r="P63" s="4"/>
      <c r="Q63" s="4"/>
      <c r="R63" s="4"/>
      <c r="S63" s="4"/>
      <c r="T63" s="4"/>
      <c r="U63" s="4"/>
      <c r="V63" s="4"/>
      <c r="W63" s="4"/>
    </row>
    <row r="64" spans="1:23" x14ac:dyDescent="0.2">
      <c r="A64" s="4">
        <v>50</v>
      </c>
      <c r="B64" s="4">
        <v>0</v>
      </c>
      <c r="C64" s="4">
        <v>0</v>
      </c>
      <c r="D64" s="4">
        <v>1</v>
      </c>
      <c r="E64" s="4">
        <v>209</v>
      </c>
      <c r="F64" s="4">
        <f>ROUND(Source!W40,O64)</f>
        <v>0</v>
      </c>
      <c r="G64" s="4" t="s">
        <v>100</v>
      </c>
      <c r="H64" s="4" t="s">
        <v>101</v>
      </c>
      <c r="I64" s="4"/>
      <c r="J64" s="4"/>
      <c r="K64" s="4">
        <v>209</v>
      </c>
      <c r="L64" s="4">
        <v>23</v>
      </c>
      <c r="M64" s="4">
        <v>3</v>
      </c>
      <c r="N64" s="4" t="s">
        <v>3</v>
      </c>
      <c r="O64" s="4">
        <v>2</v>
      </c>
      <c r="P64" s="4"/>
      <c r="Q64" s="4"/>
      <c r="R64" s="4"/>
      <c r="S64" s="4"/>
      <c r="T64" s="4"/>
      <c r="U64" s="4"/>
      <c r="V64" s="4"/>
      <c r="W64" s="4"/>
    </row>
    <row r="65" spans="1:245" x14ac:dyDescent="0.2">
      <c r="A65" s="4">
        <v>50</v>
      </c>
      <c r="B65" s="4">
        <v>0</v>
      </c>
      <c r="C65" s="4">
        <v>0</v>
      </c>
      <c r="D65" s="4">
        <v>1</v>
      </c>
      <c r="E65" s="4">
        <v>233</v>
      </c>
      <c r="F65" s="4">
        <f>ROUND(Source!BD40,O65)</f>
        <v>0</v>
      </c>
      <c r="G65" s="4" t="s">
        <v>102</v>
      </c>
      <c r="H65" s="4" t="s">
        <v>103</v>
      </c>
      <c r="I65" s="4"/>
      <c r="J65" s="4"/>
      <c r="K65" s="4">
        <v>233</v>
      </c>
      <c r="L65" s="4">
        <v>24</v>
      </c>
      <c r="M65" s="4">
        <v>3</v>
      </c>
      <c r="N65" s="4" t="s">
        <v>3</v>
      </c>
      <c r="O65" s="4">
        <v>2</v>
      </c>
      <c r="P65" s="4"/>
      <c r="Q65" s="4"/>
      <c r="R65" s="4"/>
      <c r="S65" s="4"/>
      <c r="T65" s="4"/>
      <c r="U65" s="4"/>
      <c r="V65" s="4"/>
      <c r="W65" s="4"/>
    </row>
    <row r="66" spans="1:245" x14ac:dyDescent="0.2">
      <c r="A66" s="4">
        <v>50</v>
      </c>
      <c r="B66" s="4">
        <v>0</v>
      </c>
      <c r="C66" s="4">
        <v>0</v>
      </c>
      <c r="D66" s="4">
        <v>1</v>
      </c>
      <c r="E66" s="4">
        <v>210</v>
      </c>
      <c r="F66" s="4">
        <f>ROUND(Source!X40,O66)</f>
        <v>201.94</v>
      </c>
      <c r="G66" s="4" t="s">
        <v>104</v>
      </c>
      <c r="H66" s="4" t="s">
        <v>105</v>
      </c>
      <c r="I66" s="4"/>
      <c r="J66" s="4"/>
      <c r="K66" s="4">
        <v>210</v>
      </c>
      <c r="L66" s="4">
        <v>25</v>
      </c>
      <c r="M66" s="4">
        <v>3</v>
      </c>
      <c r="N66" s="4" t="s">
        <v>3</v>
      </c>
      <c r="O66" s="4">
        <v>2</v>
      </c>
      <c r="P66" s="4"/>
      <c r="Q66" s="4"/>
      <c r="R66" s="4"/>
      <c r="S66" s="4"/>
      <c r="T66" s="4"/>
      <c r="U66" s="4"/>
      <c r="V66" s="4"/>
      <c r="W66" s="4"/>
    </row>
    <row r="67" spans="1:245" x14ac:dyDescent="0.2">
      <c r="A67" s="4">
        <v>50</v>
      </c>
      <c r="B67" s="4">
        <v>0</v>
      </c>
      <c r="C67" s="4">
        <v>0</v>
      </c>
      <c r="D67" s="4">
        <v>1</v>
      </c>
      <c r="E67" s="4">
        <v>211</v>
      </c>
      <c r="F67" s="4">
        <f>ROUND(Source!Y40,O67)</f>
        <v>28.85</v>
      </c>
      <c r="G67" s="4" t="s">
        <v>106</v>
      </c>
      <c r="H67" s="4" t="s">
        <v>107</v>
      </c>
      <c r="I67" s="4"/>
      <c r="J67" s="4"/>
      <c r="K67" s="4">
        <v>211</v>
      </c>
      <c r="L67" s="4">
        <v>26</v>
      </c>
      <c r="M67" s="4">
        <v>3</v>
      </c>
      <c r="N67" s="4" t="s">
        <v>3</v>
      </c>
      <c r="O67" s="4">
        <v>2</v>
      </c>
      <c r="P67" s="4"/>
      <c r="Q67" s="4"/>
      <c r="R67" s="4"/>
      <c r="S67" s="4"/>
      <c r="T67" s="4"/>
      <c r="U67" s="4"/>
      <c r="V67" s="4"/>
      <c r="W67" s="4"/>
    </row>
    <row r="68" spans="1:245" x14ac:dyDescent="0.2">
      <c r="A68" s="4">
        <v>50</v>
      </c>
      <c r="B68" s="4">
        <v>0</v>
      </c>
      <c r="C68" s="4">
        <v>0</v>
      </c>
      <c r="D68" s="4">
        <v>1</v>
      </c>
      <c r="E68" s="4">
        <v>224</v>
      </c>
      <c r="F68" s="4">
        <f>ROUND(Source!AR40,O68)</f>
        <v>595.5</v>
      </c>
      <c r="G68" s="4" t="s">
        <v>108</v>
      </c>
      <c r="H68" s="4" t="s">
        <v>109</v>
      </c>
      <c r="I68" s="4"/>
      <c r="J68" s="4"/>
      <c r="K68" s="4">
        <v>224</v>
      </c>
      <c r="L68" s="4">
        <v>27</v>
      </c>
      <c r="M68" s="4">
        <v>3</v>
      </c>
      <c r="N68" s="4" t="s">
        <v>3</v>
      </c>
      <c r="O68" s="4">
        <v>2</v>
      </c>
      <c r="P68" s="4"/>
      <c r="Q68" s="4"/>
      <c r="R68" s="4"/>
      <c r="S68" s="4"/>
      <c r="T68" s="4"/>
      <c r="U68" s="4"/>
      <c r="V68" s="4"/>
      <c r="W68" s="4"/>
    </row>
    <row r="70" spans="1:245" x14ac:dyDescent="0.2">
      <c r="A70" s="1">
        <v>5</v>
      </c>
      <c r="B70" s="1">
        <v>1</v>
      </c>
      <c r="C70" s="1"/>
      <c r="D70" s="1">
        <f>ROW(A94)</f>
        <v>94</v>
      </c>
      <c r="E70" s="1"/>
      <c r="F70" s="1" t="s">
        <v>17</v>
      </c>
      <c r="G70" s="1" t="s">
        <v>110</v>
      </c>
      <c r="H70" s="1" t="s">
        <v>3</v>
      </c>
      <c r="I70" s="1">
        <v>0</v>
      </c>
      <c r="J70" s="1"/>
      <c r="K70" s="1">
        <v>0</v>
      </c>
      <c r="L70" s="1"/>
      <c r="M70" s="1"/>
      <c r="N70" s="1"/>
      <c r="O70" s="1"/>
      <c r="P70" s="1"/>
      <c r="Q70" s="1"/>
      <c r="R70" s="1"/>
      <c r="S70" s="1"/>
      <c r="T70" s="1"/>
      <c r="U70" s="1" t="s">
        <v>3</v>
      </c>
      <c r="V70" s="1">
        <v>0</v>
      </c>
      <c r="W70" s="1"/>
      <c r="X70" s="1"/>
      <c r="Y70" s="1"/>
      <c r="Z70" s="1"/>
      <c r="AA70" s="1"/>
      <c r="AB70" s="1" t="s">
        <v>3</v>
      </c>
      <c r="AC70" s="1" t="s">
        <v>3</v>
      </c>
      <c r="AD70" s="1" t="s">
        <v>3</v>
      </c>
      <c r="AE70" s="1" t="s">
        <v>3</v>
      </c>
      <c r="AF70" s="1" t="s">
        <v>3</v>
      </c>
      <c r="AG70" s="1" t="s">
        <v>3</v>
      </c>
      <c r="AH70" s="1"/>
      <c r="AI70" s="1"/>
      <c r="AJ70" s="1"/>
      <c r="AK70" s="1"/>
      <c r="AL70" s="1"/>
      <c r="AM70" s="1"/>
      <c r="AN70" s="1"/>
      <c r="AO70" s="1"/>
      <c r="AP70" s="1" t="s">
        <v>3</v>
      </c>
      <c r="AQ70" s="1" t="s">
        <v>3</v>
      </c>
      <c r="AR70" s="1" t="s">
        <v>3</v>
      </c>
      <c r="AS70" s="1"/>
      <c r="AT70" s="1"/>
      <c r="AU70" s="1"/>
      <c r="AV70" s="1"/>
      <c r="AW70" s="1"/>
      <c r="AX70" s="1"/>
      <c r="AY70" s="1"/>
      <c r="AZ70" s="1" t="s">
        <v>3</v>
      </c>
      <c r="BA70" s="1"/>
      <c r="BB70" s="1" t="s">
        <v>3</v>
      </c>
      <c r="BC70" s="1" t="s">
        <v>3</v>
      </c>
      <c r="BD70" s="1" t="s">
        <v>3</v>
      </c>
      <c r="BE70" s="1" t="s">
        <v>3</v>
      </c>
      <c r="BF70" s="1" t="s">
        <v>3</v>
      </c>
      <c r="BG70" s="1" t="s">
        <v>3</v>
      </c>
      <c r="BH70" s="1" t="s">
        <v>3</v>
      </c>
      <c r="BI70" s="1" t="s">
        <v>3</v>
      </c>
      <c r="BJ70" s="1" t="s">
        <v>3</v>
      </c>
      <c r="BK70" s="1" t="s">
        <v>3</v>
      </c>
      <c r="BL70" s="1" t="s">
        <v>3</v>
      </c>
      <c r="BM70" s="1" t="s">
        <v>3</v>
      </c>
      <c r="BN70" s="1" t="s">
        <v>3</v>
      </c>
      <c r="BO70" s="1" t="s">
        <v>3</v>
      </c>
      <c r="BP70" s="1" t="s">
        <v>3</v>
      </c>
      <c r="BQ70" s="1"/>
      <c r="BR70" s="1"/>
      <c r="BS70" s="1"/>
      <c r="BT70" s="1"/>
      <c r="BU70" s="1"/>
      <c r="BV70" s="1"/>
      <c r="BW70" s="1"/>
      <c r="BX70" s="1">
        <v>0</v>
      </c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>
        <v>0</v>
      </c>
    </row>
    <row r="72" spans="1:245" x14ac:dyDescent="0.2">
      <c r="A72" s="2">
        <v>52</v>
      </c>
      <c r="B72" s="2">
        <f t="shared" ref="B72:G72" si="59">B94</f>
        <v>1</v>
      </c>
      <c r="C72" s="2">
        <f t="shared" si="59"/>
        <v>5</v>
      </c>
      <c r="D72" s="2">
        <f t="shared" si="59"/>
        <v>70</v>
      </c>
      <c r="E72" s="2">
        <f t="shared" si="59"/>
        <v>0</v>
      </c>
      <c r="F72" s="2" t="str">
        <f t="shared" si="59"/>
        <v>Новый подраздел</v>
      </c>
      <c r="G72" s="2" t="str">
        <f t="shared" si="59"/>
        <v>Установка оборудования для выгула собак</v>
      </c>
      <c r="H72" s="2"/>
      <c r="I72" s="2"/>
      <c r="J72" s="2"/>
      <c r="K72" s="2"/>
      <c r="L72" s="2"/>
      <c r="M72" s="2"/>
      <c r="N72" s="2"/>
      <c r="O72" s="2">
        <f t="shared" ref="O72:AT72" si="60">O94</f>
        <v>116052.24</v>
      </c>
      <c r="P72" s="2">
        <f t="shared" si="60"/>
        <v>111650.58</v>
      </c>
      <c r="Q72" s="2">
        <f t="shared" si="60"/>
        <v>117.84</v>
      </c>
      <c r="R72" s="2">
        <f t="shared" si="60"/>
        <v>4.9000000000000004</v>
      </c>
      <c r="S72" s="2">
        <f t="shared" si="60"/>
        <v>4283.82</v>
      </c>
      <c r="T72" s="2">
        <f t="shared" si="60"/>
        <v>0</v>
      </c>
      <c r="U72" s="2">
        <f t="shared" si="60"/>
        <v>17.48</v>
      </c>
      <c r="V72" s="2">
        <f t="shared" si="60"/>
        <v>0</v>
      </c>
      <c r="W72" s="2">
        <f t="shared" si="60"/>
        <v>0</v>
      </c>
      <c r="X72" s="2">
        <f t="shared" si="60"/>
        <v>2998.67</v>
      </c>
      <c r="Y72" s="2">
        <f t="shared" si="60"/>
        <v>428.38</v>
      </c>
      <c r="Z72" s="2">
        <f t="shared" si="60"/>
        <v>0</v>
      </c>
      <c r="AA72" s="2">
        <f t="shared" si="60"/>
        <v>0</v>
      </c>
      <c r="AB72" s="2">
        <f t="shared" si="60"/>
        <v>116052.24</v>
      </c>
      <c r="AC72" s="2">
        <f t="shared" si="60"/>
        <v>111650.58</v>
      </c>
      <c r="AD72" s="2">
        <f t="shared" si="60"/>
        <v>117.84</v>
      </c>
      <c r="AE72" s="2">
        <f t="shared" si="60"/>
        <v>4.9000000000000004</v>
      </c>
      <c r="AF72" s="2">
        <f t="shared" si="60"/>
        <v>4283.82</v>
      </c>
      <c r="AG72" s="2">
        <f t="shared" si="60"/>
        <v>0</v>
      </c>
      <c r="AH72" s="2">
        <f t="shared" si="60"/>
        <v>17.48</v>
      </c>
      <c r="AI72" s="2">
        <f t="shared" si="60"/>
        <v>0</v>
      </c>
      <c r="AJ72" s="2">
        <f t="shared" si="60"/>
        <v>0</v>
      </c>
      <c r="AK72" s="2">
        <f t="shared" si="60"/>
        <v>2998.67</v>
      </c>
      <c r="AL72" s="2">
        <f t="shared" si="60"/>
        <v>428.38</v>
      </c>
      <c r="AM72" s="2">
        <f t="shared" si="60"/>
        <v>0</v>
      </c>
      <c r="AN72" s="2">
        <f t="shared" si="60"/>
        <v>0</v>
      </c>
      <c r="AO72" s="2">
        <f t="shared" si="60"/>
        <v>0</v>
      </c>
      <c r="AP72" s="2">
        <f t="shared" si="60"/>
        <v>0</v>
      </c>
      <c r="AQ72" s="2">
        <f t="shared" si="60"/>
        <v>0</v>
      </c>
      <c r="AR72" s="2">
        <f t="shared" si="60"/>
        <v>119484.58</v>
      </c>
      <c r="AS72" s="2">
        <f t="shared" si="60"/>
        <v>111650.58</v>
      </c>
      <c r="AT72" s="2">
        <f t="shared" si="60"/>
        <v>0</v>
      </c>
      <c r="AU72" s="2">
        <f t="shared" ref="AU72:BZ72" si="61">AU94</f>
        <v>7834</v>
      </c>
      <c r="AV72" s="2">
        <f t="shared" si="61"/>
        <v>111650.58</v>
      </c>
      <c r="AW72" s="2">
        <f t="shared" si="61"/>
        <v>111650.58</v>
      </c>
      <c r="AX72" s="2">
        <f t="shared" si="61"/>
        <v>0</v>
      </c>
      <c r="AY72" s="2">
        <f t="shared" si="61"/>
        <v>111650.58</v>
      </c>
      <c r="AZ72" s="2">
        <f t="shared" si="61"/>
        <v>0</v>
      </c>
      <c r="BA72" s="2">
        <f t="shared" si="61"/>
        <v>0</v>
      </c>
      <c r="BB72" s="2">
        <f t="shared" si="61"/>
        <v>0</v>
      </c>
      <c r="BC72" s="2">
        <f t="shared" si="61"/>
        <v>0</v>
      </c>
      <c r="BD72" s="2">
        <f t="shared" si="61"/>
        <v>0</v>
      </c>
      <c r="BE72" s="2">
        <f t="shared" si="61"/>
        <v>0</v>
      </c>
      <c r="BF72" s="2">
        <f t="shared" si="61"/>
        <v>0</v>
      </c>
      <c r="BG72" s="2">
        <f t="shared" si="61"/>
        <v>0</v>
      </c>
      <c r="BH72" s="2">
        <f t="shared" si="61"/>
        <v>0</v>
      </c>
      <c r="BI72" s="2">
        <f t="shared" si="61"/>
        <v>0</v>
      </c>
      <c r="BJ72" s="2">
        <f t="shared" si="61"/>
        <v>0</v>
      </c>
      <c r="BK72" s="2">
        <f t="shared" si="61"/>
        <v>0</v>
      </c>
      <c r="BL72" s="2">
        <f t="shared" si="61"/>
        <v>0</v>
      </c>
      <c r="BM72" s="2">
        <f t="shared" si="61"/>
        <v>0</v>
      </c>
      <c r="BN72" s="2">
        <f t="shared" si="61"/>
        <v>0</v>
      </c>
      <c r="BO72" s="2">
        <f t="shared" si="61"/>
        <v>0</v>
      </c>
      <c r="BP72" s="2">
        <f t="shared" si="61"/>
        <v>0</v>
      </c>
      <c r="BQ72" s="2">
        <f t="shared" si="61"/>
        <v>0</v>
      </c>
      <c r="BR72" s="2">
        <f t="shared" si="61"/>
        <v>0</v>
      </c>
      <c r="BS72" s="2">
        <f t="shared" si="61"/>
        <v>0</v>
      </c>
      <c r="BT72" s="2">
        <f t="shared" si="61"/>
        <v>0</v>
      </c>
      <c r="BU72" s="2">
        <f t="shared" si="61"/>
        <v>0</v>
      </c>
      <c r="BV72" s="2">
        <f t="shared" si="61"/>
        <v>0</v>
      </c>
      <c r="BW72" s="2">
        <f t="shared" si="61"/>
        <v>0</v>
      </c>
      <c r="BX72" s="2">
        <f t="shared" si="61"/>
        <v>0</v>
      </c>
      <c r="BY72" s="2">
        <f t="shared" si="61"/>
        <v>0</v>
      </c>
      <c r="BZ72" s="2">
        <f t="shared" si="61"/>
        <v>0</v>
      </c>
      <c r="CA72" s="2">
        <f t="shared" ref="CA72:DF72" si="62">CA94</f>
        <v>119484.58</v>
      </c>
      <c r="CB72" s="2">
        <f t="shared" si="62"/>
        <v>111650.58</v>
      </c>
      <c r="CC72" s="2">
        <f t="shared" si="62"/>
        <v>0</v>
      </c>
      <c r="CD72" s="2">
        <f t="shared" si="62"/>
        <v>7834</v>
      </c>
      <c r="CE72" s="2">
        <f t="shared" si="62"/>
        <v>111650.58</v>
      </c>
      <c r="CF72" s="2">
        <f t="shared" si="62"/>
        <v>111650.58</v>
      </c>
      <c r="CG72" s="2">
        <f t="shared" si="62"/>
        <v>0</v>
      </c>
      <c r="CH72" s="2">
        <f t="shared" si="62"/>
        <v>111650.58</v>
      </c>
      <c r="CI72" s="2">
        <f t="shared" si="62"/>
        <v>0</v>
      </c>
      <c r="CJ72" s="2">
        <f t="shared" si="62"/>
        <v>0</v>
      </c>
      <c r="CK72" s="2">
        <f t="shared" si="62"/>
        <v>0</v>
      </c>
      <c r="CL72" s="2">
        <f t="shared" si="62"/>
        <v>0</v>
      </c>
      <c r="CM72" s="2">
        <f t="shared" si="62"/>
        <v>0</v>
      </c>
      <c r="CN72" s="2">
        <f t="shared" si="62"/>
        <v>0</v>
      </c>
      <c r="CO72" s="2">
        <f t="shared" si="62"/>
        <v>0</v>
      </c>
      <c r="CP72" s="2">
        <f t="shared" si="62"/>
        <v>0</v>
      </c>
      <c r="CQ72" s="2">
        <f t="shared" si="62"/>
        <v>0</v>
      </c>
      <c r="CR72" s="2">
        <f t="shared" si="62"/>
        <v>0</v>
      </c>
      <c r="CS72" s="2">
        <f t="shared" si="62"/>
        <v>0</v>
      </c>
      <c r="CT72" s="2">
        <f t="shared" si="62"/>
        <v>0</v>
      </c>
      <c r="CU72" s="2">
        <f t="shared" si="62"/>
        <v>0</v>
      </c>
      <c r="CV72" s="2">
        <f t="shared" si="62"/>
        <v>0</v>
      </c>
      <c r="CW72" s="2">
        <f t="shared" si="62"/>
        <v>0</v>
      </c>
      <c r="CX72" s="2">
        <f t="shared" si="62"/>
        <v>0</v>
      </c>
      <c r="CY72" s="2">
        <f t="shared" si="62"/>
        <v>0</v>
      </c>
      <c r="CZ72" s="2">
        <f t="shared" si="62"/>
        <v>0</v>
      </c>
      <c r="DA72" s="2">
        <f t="shared" si="62"/>
        <v>0</v>
      </c>
      <c r="DB72" s="2">
        <f t="shared" si="62"/>
        <v>0</v>
      </c>
      <c r="DC72" s="2">
        <f t="shared" si="62"/>
        <v>0</v>
      </c>
      <c r="DD72" s="2">
        <f t="shared" si="62"/>
        <v>0</v>
      </c>
      <c r="DE72" s="2">
        <f t="shared" si="62"/>
        <v>0</v>
      </c>
      <c r="DF72" s="2">
        <f t="shared" si="62"/>
        <v>0</v>
      </c>
      <c r="DG72" s="3">
        <f t="shared" ref="DG72:EL72" si="63">DG94</f>
        <v>0</v>
      </c>
      <c r="DH72" s="3">
        <f t="shared" si="63"/>
        <v>0</v>
      </c>
      <c r="DI72" s="3">
        <f t="shared" si="63"/>
        <v>0</v>
      </c>
      <c r="DJ72" s="3">
        <f t="shared" si="63"/>
        <v>0</v>
      </c>
      <c r="DK72" s="3">
        <f t="shared" si="63"/>
        <v>0</v>
      </c>
      <c r="DL72" s="3">
        <f t="shared" si="63"/>
        <v>0</v>
      </c>
      <c r="DM72" s="3">
        <f t="shared" si="63"/>
        <v>0</v>
      </c>
      <c r="DN72" s="3">
        <f t="shared" si="63"/>
        <v>0</v>
      </c>
      <c r="DO72" s="3">
        <f t="shared" si="63"/>
        <v>0</v>
      </c>
      <c r="DP72" s="3">
        <f t="shared" si="63"/>
        <v>0</v>
      </c>
      <c r="DQ72" s="3">
        <f t="shared" si="63"/>
        <v>0</v>
      </c>
      <c r="DR72" s="3">
        <f t="shared" si="63"/>
        <v>0</v>
      </c>
      <c r="DS72" s="3">
        <f t="shared" si="63"/>
        <v>0</v>
      </c>
      <c r="DT72" s="3">
        <f t="shared" si="63"/>
        <v>0</v>
      </c>
      <c r="DU72" s="3">
        <f t="shared" si="63"/>
        <v>0</v>
      </c>
      <c r="DV72" s="3">
        <f t="shared" si="63"/>
        <v>0</v>
      </c>
      <c r="DW72" s="3">
        <f t="shared" si="63"/>
        <v>0</v>
      </c>
      <c r="DX72" s="3">
        <f t="shared" si="63"/>
        <v>0</v>
      </c>
      <c r="DY72" s="3">
        <f t="shared" si="63"/>
        <v>0</v>
      </c>
      <c r="DZ72" s="3">
        <f t="shared" si="63"/>
        <v>0</v>
      </c>
      <c r="EA72" s="3">
        <f t="shared" si="63"/>
        <v>0</v>
      </c>
      <c r="EB72" s="3">
        <f t="shared" si="63"/>
        <v>0</v>
      </c>
      <c r="EC72" s="3">
        <f t="shared" si="63"/>
        <v>0</v>
      </c>
      <c r="ED72" s="3">
        <f t="shared" si="63"/>
        <v>0</v>
      </c>
      <c r="EE72" s="3">
        <f t="shared" si="63"/>
        <v>0</v>
      </c>
      <c r="EF72" s="3">
        <f t="shared" si="63"/>
        <v>0</v>
      </c>
      <c r="EG72" s="3">
        <f t="shared" si="63"/>
        <v>0</v>
      </c>
      <c r="EH72" s="3">
        <f t="shared" si="63"/>
        <v>0</v>
      </c>
      <c r="EI72" s="3">
        <f t="shared" si="63"/>
        <v>0</v>
      </c>
      <c r="EJ72" s="3">
        <f t="shared" si="63"/>
        <v>0</v>
      </c>
      <c r="EK72" s="3">
        <f t="shared" si="63"/>
        <v>0</v>
      </c>
      <c r="EL72" s="3">
        <f t="shared" si="63"/>
        <v>0</v>
      </c>
      <c r="EM72" s="3">
        <f t="shared" ref="EM72:FR72" si="64">EM94</f>
        <v>0</v>
      </c>
      <c r="EN72" s="3">
        <f t="shared" si="64"/>
        <v>0</v>
      </c>
      <c r="EO72" s="3">
        <f t="shared" si="64"/>
        <v>0</v>
      </c>
      <c r="EP72" s="3">
        <f t="shared" si="64"/>
        <v>0</v>
      </c>
      <c r="EQ72" s="3">
        <f t="shared" si="64"/>
        <v>0</v>
      </c>
      <c r="ER72" s="3">
        <f t="shared" si="64"/>
        <v>0</v>
      </c>
      <c r="ES72" s="3">
        <f t="shared" si="64"/>
        <v>0</v>
      </c>
      <c r="ET72" s="3">
        <f t="shared" si="64"/>
        <v>0</v>
      </c>
      <c r="EU72" s="3">
        <f t="shared" si="64"/>
        <v>0</v>
      </c>
      <c r="EV72" s="3">
        <f t="shared" si="64"/>
        <v>0</v>
      </c>
      <c r="EW72" s="3">
        <f t="shared" si="64"/>
        <v>0</v>
      </c>
      <c r="EX72" s="3">
        <f t="shared" si="64"/>
        <v>0</v>
      </c>
      <c r="EY72" s="3">
        <f t="shared" si="64"/>
        <v>0</v>
      </c>
      <c r="EZ72" s="3">
        <f t="shared" si="64"/>
        <v>0</v>
      </c>
      <c r="FA72" s="3">
        <f t="shared" si="64"/>
        <v>0</v>
      </c>
      <c r="FB72" s="3">
        <f t="shared" si="64"/>
        <v>0</v>
      </c>
      <c r="FC72" s="3">
        <f t="shared" si="64"/>
        <v>0</v>
      </c>
      <c r="FD72" s="3">
        <f t="shared" si="64"/>
        <v>0</v>
      </c>
      <c r="FE72" s="3">
        <f t="shared" si="64"/>
        <v>0</v>
      </c>
      <c r="FF72" s="3">
        <f t="shared" si="64"/>
        <v>0</v>
      </c>
      <c r="FG72" s="3">
        <f t="shared" si="64"/>
        <v>0</v>
      </c>
      <c r="FH72" s="3">
        <f t="shared" si="64"/>
        <v>0</v>
      </c>
      <c r="FI72" s="3">
        <f t="shared" si="64"/>
        <v>0</v>
      </c>
      <c r="FJ72" s="3">
        <f t="shared" si="64"/>
        <v>0</v>
      </c>
      <c r="FK72" s="3">
        <f t="shared" si="64"/>
        <v>0</v>
      </c>
      <c r="FL72" s="3">
        <f t="shared" si="64"/>
        <v>0</v>
      </c>
      <c r="FM72" s="3">
        <f t="shared" si="64"/>
        <v>0</v>
      </c>
      <c r="FN72" s="3">
        <f t="shared" si="64"/>
        <v>0</v>
      </c>
      <c r="FO72" s="3">
        <f t="shared" si="64"/>
        <v>0</v>
      </c>
      <c r="FP72" s="3">
        <f t="shared" si="64"/>
        <v>0</v>
      </c>
      <c r="FQ72" s="3">
        <f t="shared" si="64"/>
        <v>0</v>
      </c>
      <c r="FR72" s="3">
        <f t="shared" si="64"/>
        <v>0</v>
      </c>
      <c r="FS72" s="3">
        <f t="shared" ref="FS72:GX72" si="65">FS94</f>
        <v>0</v>
      </c>
      <c r="FT72" s="3">
        <f t="shared" si="65"/>
        <v>0</v>
      </c>
      <c r="FU72" s="3">
        <f t="shared" si="65"/>
        <v>0</v>
      </c>
      <c r="FV72" s="3">
        <f t="shared" si="65"/>
        <v>0</v>
      </c>
      <c r="FW72" s="3">
        <f t="shared" si="65"/>
        <v>0</v>
      </c>
      <c r="FX72" s="3">
        <f t="shared" si="65"/>
        <v>0</v>
      </c>
      <c r="FY72" s="3">
        <f t="shared" si="65"/>
        <v>0</v>
      </c>
      <c r="FZ72" s="3">
        <f t="shared" si="65"/>
        <v>0</v>
      </c>
      <c r="GA72" s="3">
        <f t="shared" si="65"/>
        <v>0</v>
      </c>
      <c r="GB72" s="3">
        <f t="shared" si="65"/>
        <v>0</v>
      </c>
      <c r="GC72" s="3">
        <f t="shared" si="65"/>
        <v>0</v>
      </c>
      <c r="GD72" s="3">
        <f t="shared" si="65"/>
        <v>0</v>
      </c>
      <c r="GE72" s="3">
        <f t="shared" si="65"/>
        <v>0</v>
      </c>
      <c r="GF72" s="3">
        <f t="shared" si="65"/>
        <v>0</v>
      </c>
      <c r="GG72" s="3">
        <f t="shared" si="65"/>
        <v>0</v>
      </c>
      <c r="GH72" s="3">
        <f t="shared" si="65"/>
        <v>0</v>
      </c>
      <c r="GI72" s="3">
        <f t="shared" si="65"/>
        <v>0</v>
      </c>
      <c r="GJ72" s="3">
        <f t="shared" si="65"/>
        <v>0</v>
      </c>
      <c r="GK72" s="3">
        <f t="shared" si="65"/>
        <v>0</v>
      </c>
      <c r="GL72" s="3">
        <f t="shared" si="65"/>
        <v>0</v>
      </c>
      <c r="GM72" s="3">
        <f t="shared" si="65"/>
        <v>0</v>
      </c>
      <c r="GN72" s="3">
        <f t="shared" si="65"/>
        <v>0</v>
      </c>
      <c r="GO72" s="3">
        <f t="shared" si="65"/>
        <v>0</v>
      </c>
      <c r="GP72" s="3">
        <f t="shared" si="65"/>
        <v>0</v>
      </c>
      <c r="GQ72" s="3">
        <f t="shared" si="65"/>
        <v>0</v>
      </c>
      <c r="GR72" s="3">
        <f t="shared" si="65"/>
        <v>0</v>
      </c>
      <c r="GS72" s="3">
        <f t="shared" si="65"/>
        <v>0</v>
      </c>
      <c r="GT72" s="3">
        <f t="shared" si="65"/>
        <v>0</v>
      </c>
      <c r="GU72" s="3">
        <f t="shared" si="65"/>
        <v>0</v>
      </c>
      <c r="GV72" s="3">
        <f t="shared" si="65"/>
        <v>0</v>
      </c>
      <c r="GW72" s="3">
        <f t="shared" si="65"/>
        <v>0</v>
      </c>
      <c r="GX72" s="3">
        <f t="shared" si="65"/>
        <v>0</v>
      </c>
    </row>
    <row r="74" spans="1:245" x14ac:dyDescent="0.2">
      <c r="A74">
        <v>17</v>
      </c>
      <c r="B74">
        <v>1</v>
      </c>
      <c r="C74">
        <f>ROW(SmtRes!A15)</f>
        <v>15</v>
      </c>
      <c r="D74">
        <f>ROW(EtalonRes!A15)</f>
        <v>15</v>
      </c>
      <c r="E74" t="s">
        <v>111</v>
      </c>
      <c r="F74" t="s">
        <v>112</v>
      </c>
      <c r="G74" t="s">
        <v>113</v>
      </c>
      <c r="H74" t="s">
        <v>30</v>
      </c>
      <c r="I74">
        <v>0.2</v>
      </c>
      <c r="J74">
        <v>0</v>
      </c>
      <c r="O74">
        <f t="shared" ref="O74:O92" si="66">ROUND(CP74,2)</f>
        <v>4401.66</v>
      </c>
      <c r="P74">
        <f t="shared" ref="P74:P92" si="67">ROUND(CQ74*I74,2)</f>
        <v>0</v>
      </c>
      <c r="Q74">
        <f t="shared" ref="Q74:Q92" si="68">ROUND(CR74*I74,2)</f>
        <v>117.84</v>
      </c>
      <c r="R74">
        <f t="shared" ref="R74:R92" si="69">ROUND(CS74*I74,2)</f>
        <v>4.9000000000000004</v>
      </c>
      <c r="S74">
        <f t="shared" ref="S74:S92" si="70">ROUND(CT74*I74,2)</f>
        <v>4283.82</v>
      </c>
      <c r="T74">
        <f t="shared" ref="T74:T92" si="71">ROUND(CU74*I74,2)</f>
        <v>0</v>
      </c>
      <c r="U74">
        <f t="shared" ref="U74:U92" si="72">CV74*I74</f>
        <v>17.48</v>
      </c>
      <c r="V74">
        <f t="shared" ref="V74:V92" si="73">CW74*I74</f>
        <v>0</v>
      </c>
      <c r="W74">
        <f t="shared" ref="W74:W92" si="74">ROUND(CX74*I74,2)</f>
        <v>0</v>
      </c>
      <c r="X74">
        <f t="shared" ref="X74:X92" si="75">ROUND(CY74,2)</f>
        <v>2998.67</v>
      </c>
      <c r="Y74">
        <f t="shared" ref="Y74:Y92" si="76">ROUND(CZ74,2)</f>
        <v>428.38</v>
      </c>
      <c r="AA74">
        <v>38214492</v>
      </c>
      <c r="AB74">
        <f t="shared" ref="AB74:AB92" si="77">ROUND((AC74+AD74+AF74),6)</f>
        <v>22008.31</v>
      </c>
      <c r="AC74">
        <f>ROUND(((ES74*0)),6)</f>
        <v>0</v>
      </c>
      <c r="AD74">
        <f t="shared" ref="AD74:AD92" si="78">ROUND((((ET74)-(EU74))+AE74),6)</f>
        <v>589.19000000000005</v>
      </c>
      <c r="AE74">
        <f t="shared" ref="AE74:AE92" si="79">ROUND((EU74),6)</f>
        <v>24.51</v>
      </c>
      <c r="AF74">
        <f t="shared" ref="AF74:AF92" si="80">ROUND((EV74),6)</f>
        <v>21419.119999999999</v>
      </c>
      <c r="AG74">
        <f t="shared" ref="AG74:AG92" si="81">ROUND((AP74),6)</f>
        <v>0</v>
      </c>
      <c r="AH74">
        <f t="shared" ref="AH74:AH92" si="82">(EW74)</f>
        <v>87.4</v>
      </c>
      <c r="AI74">
        <f t="shared" ref="AI74:AI92" si="83">(EX74)</f>
        <v>0</v>
      </c>
      <c r="AJ74">
        <f t="shared" ref="AJ74:AJ92" si="84">(AS74)</f>
        <v>0</v>
      </c>
      <c r="AK74">
        <v>97500</v>
      </c>
      <c r="AL74">
        <v>75491.69</v>
      </c>
      <c r="AM74">
        <v>589.19000000000005</v>
      </c>
      <c r="AN74">
        <v>24.51</v>
      </c>
      <c r="AO74">
        <v>21419.119999999999</v>
      </c>
      <c r="AP74">
        <v>0</v>
      </c>
      <c r="AQ74">
        <v>87.4</v>
      </c>
      <c r="AR74">
        <v>0</v>
      </c>
      <c r="AS74">
        <v>0</v>
      </c>
      <c r="AT74">
        <v>70</v>
      </c>
      <c r="AU74">
        <v>10</v>
      </c>
      <c r="AV74">
        <v>1</v>
      </c>
      <c r="AW74">
        <v>1</v>
      </c>
      <c r="AZ74">
        <v>1</v>
      </c>
      <c r="BA74">
        <v>1</v>
      </c>
      <c r="BB74">
        <v>1</v>
      </c>
      <c r="BC74">
        <v>1</v>
      </c>
      <c r="BD74" t="s">
        <v>3</v>
      </c>
      <c r="BE74" t="s">
        <v>3</v>
      </c>
      <c r="BF74" t="s">
        <v>3</v>
      </c>
      <c r="BG74" t="s">
        <v>3</v>
      </c>
      <c r="BH74">
        <v>0</v>
      </c>
      <c r="BI74">
        <v>4</v>
      </c>
      <c r="BJ74" t="s">
        <v>114</v>
      </c>
      <c r="BM74">
        <v>0</v>
      </c>
      <c r="BN74">
        <v>0</v>
      </c>
      <c r="BO74" t="s">
        <v>3</v>
      </c>
      <c r="BP74">
        <v>0</v>
      </c>
      <c r="BQ74">
        <v>1</v>
      </c>
      <c r="BR74">
        <v>0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 t="s">
        <v>3</v>
      </c>
      <c r="BZ74">
        <v>70</v>
      </c>
      <c r="CA74">
        <v>10</v>
      </c>
      <c r="CE74">
        <v>0</v>
      </c>
      <c r="CF74">
        <v>0</v>
      </c>
      <c r="CG74">
        <v>0</v>
      </c>
      <c r="CM74">
        <v>0</v>
      </c>
      <c r="CN74" t="s">
        <v>3</v>
      </c>
      <c r="CO74">
        <v>0</v>
      </c>
      <c r="CP74">
        <f t="shared" ref="CP74:CP92" si="85">(P74+Q74+S74)</f>
        <v>4401.66</v>
      </c>
      <c r="CQ74">
        <f t="shared" ref="CQ74:CQ92" si="86">(AC74*BC74*AW74)</f>
        <v>0</v>
      </c>
      <c r="CR74">
        <f t="shared" ref="CR74:CR92" si="87">((((ET74)*BB74-(EU74)*BS74)+AE74*BS74)*AV74)</f>
        <v>589.19000000000005</v>
      </c>
      <c r="CS74">
        <f t="shared" ref="CS74:CS92" si="88">(AE74*BS74*AV74)</f>
        <v>24.51</v>
      </c>
      <c r="CT74">
        <f t="shared" ref="CT74:CT92" si="89">(AF74*BA74*AV74)</f>
        <v>21419.119999999999</v>
      </c>
      <c r="CU74">
        <f t="shared" ref="CU74:CU92" si="90">AG74</f>
        <v>0</v>
      </c>
      <c r="CV74">
        <f t="shared" ref="CV74:CV92" si="91">(AH74*AV74)</f>
        <v>87.4</v>
      </c>
      <c r="CW74">
        <f t="shared" ref="CW74:CW92" si="92">AI74</f>
        <v>0</v>
      </c>
      <c r="CX74">
        <f t="shared" ref="CX74:CX92" si="93">AJ74</f>
        <v>0</v>
      </c>
      <c r="CY74">
        <f t="shared" ref="CY74:CY92" si="94">((S74*BZ74)/100)</f>
        <v>2998.6739999999995</v>
      </c>
      <c r="CZ74">
        <f t="shared" ref="CZ74:CZ92" si="95">((S74*CA74)/100)</f>
        <v>428.38199999999995</v>
      </c>
      <c r="DC74" t="s">
        <v>3</v>
      </c>
      <c r="DD74" t="s">
        <v>32</v>
      </c>
      <c r="DE74" t="s">
        <v>3</v>
      </c>
      <c r="DF74" t="s">
        <v>3</v>
      </c>
      <c r="DG74" t="s">
        <v>3</v>
      </c>
      <c r="DH74" t="s">
        <v>3</v>
      </c>
      <c r="DI74" t="s">
        <v>3</v>
      </c>
      <c r="DJ74" t="s">
        <v>3</v>
      </c>
      <c r="DK74" t="s">
        <v>3</v>
      </c>
      <c r="DL74" t="s">
        <v>3</v>
      </c>
      <c r="DM74" t="s">
        <v>3</v>
      </c>
      <c r="DN74">
        <v>0</v>
      </c>
      <c r="DO74">
        <v>0</v>
      </c>
      <c r="DP74">
        <v>1</v>
      </c>
      <c r="DQ74">
        <v>1</v>
      </c>
      <c r="DU74">
        <v>1009</v>
      </c>
      <c r="DV74" t="s">
        <v>30</v>
      </c>
      <c r="DW74" t="s">
        <v>30</v>
      </c>
      <c r="DX74">
        <v>1000</v>
      </c>
      <c r="EE74">
        <v>38628631</v>
      </c>
      <c r="EF74">
        <v>1</v>
      </c>
      <c r="EG74" t="s">
        <v>24</v>
      </c>
      <c r="EH74">
        <v>0</v>
      </c>
      <c r="EI74" t="s">
        <v>3</v>
      </c>
      <c r="EJ74">
        <v>4</v>
      </c>
      <c r="EK74">
        <v>0</v>
      </c>
      <c r="EL74" t="s">
        <v>25</v>
      </c>
      <c r="EM74" t="s">
        <v>26</v>
      </c>
      <c r="EO74" t="s">
        <v>3</v>
      </c>
      <c r="EQ74">
        <v>0</v>
      </c>
      <c r="ER74">
        <v>97500</v>
      </c>
      <c r="ES74">
        <v>75491.69</v>
      </c>
      <c r="ET74">
        <v>589.19000000000005</v>
      </c>
      <c r="EU74">
        <v>24.51</v>
      </c>
      <c r="EV74">
        <v>21419.119999999999</v>
      </c>
      <c r="EW74">
        <v>87.4</v>
      </c>
      <c r="EX74">
        <v>0</v>
      </c>
      <c r="EY74">
        <v>0</v>
      </c>
      <c r="FQ74">
        <v>0</v>
      </c>
      <c r="FR74">
        <f t="shared" ref="FR74:FR92" si="96">ROUND(IF(AND(BH74=3,BI74=3),P74,0),2)</f>
        <v>0</v>
      </c>
      <c r="FS74">
        <v>0</v>
      </c>
      <c r="FX74">
        <v>70</v>
      </c>
      <c r="FY74">
        <v>10</v>
      </c>
      <c r="GA74" t="s">
        <v>3</v>
      </c>
      <c r="GD74">
        <v>0</v>
      </c>
      <c r="GF74">
        <v>-385090115</v>
      </c>
      <c r="GG74">
        <v>2</v>
      </c>
      <c r="GH74">
        <v>1</v>
      </c>
      <c r="GI74">
        <v>-2</v>
      </c>
      <c r="GJ74">
        <v>0</v>
      </c>
      <c r="GK74">
        <f>ROUND(R74*(R12)/100,2)</f>
        <v>5.29</v>
      </c>
      <c r="GL74">
        <f t="shared" ref="GL74:GL92" si="97">ROUND(IF(AND(BH74=3,BI74=3,FS74&lt;&gt;0),P74,0),2)</f>
        <v>0</v>
      </c>
      <c r="GM74">
        <f t="shared" ref="GM74:GM92" si="98">ROUND(O74+X74+Y74+GK74,2)+GX74</f>
        <v>7834</v>
      </c>
      <c r="GN74">
        <f t="shared" ref="GN74:GN92" si="99">IF(OR(BI74=0,BI74=1),ROUND(O74+X74+Y74+GK74,2),0)</f>
        <v>0</v>
      </c>
      <c r="GO74">
        <f t="shared" ref="GO74:GO92" si="100">IF(BI74=2,ROUND(O74+X74+Y74+GK74,2),0)</f>
        <v>0</v>
      </c>
      <c r="GP74">
        <f t="shared" ref="GP74:GP92" si="101">IF(BI74=4,ROUND(O74+X74+Y74+GK74,2)+GX74,0)</f>
        <v>7834</v>
      </c>
      <c r="GR74">
        <v>0</v>
      </c>
      <c r="GS74">
        <v>3</v>
      </c>
      <c r="GT74">
        <v>0</v>
      </c>
      <c r="GU74" t="s">
        <v>3</v>
      </c>
      <c r="GV74">
        <f t="shared" ref="GV74:GV92" si="102">ROUND((GT74),6)</f>
        <v>0</v>
      </c>
      <c r="GW74">
        <v>1</v>
      </c>
      <c r="GX74">
        <f t="shared" ref="GX74:GX92" si="103">ROUND(HC74*I74,2)</f>
        <v>0</v>
      </c>
      <c r="HA74">
        <v>0</v>
      </c>
      <c r="HB74">
        <v>0</v>
      </c>
      <c r="HC74">
        <f t="shared" ref="HC74:HC92" si="104">GV74*GW74</f>
        <v>0</v>
      </c>
      <c r="HE74" t="s">
        <v>3</v>
      </c>
      <c r="HF74" t="s">
        <v>3</v>
      </c>
      <c r="IK74">
        <v>0</v>
      </c>
    </row>
    <row r="75" spans="1:245" x14ac:dyDescent="0.2">
      <c r="A75">
        <v>17</v>
      </c>
      <c r="B75">
        <v>1</v>
      </c>
      <c r="C75">
        <f>ROW(SmtRes!A20)</f>
        <v>20</v>
      </c>
      <c r="D75">
        <f>ROW(EtalonRes!A20)</f>
        <v>20</v>
      </c>
      <c r="E75" t="s">
        <v>115</v>
      </c>
      <c r="F75" t="s">
        <v>116</v>
      </c>
      <c r="G75" t="s">
        <v>117</v>
      </c>
      <c r="H75" t="s">
        <v>118</v>
      </c>
      <c r="I75">
        <v>0</v>
      </c>
      <c r="J75">
        <v>0</v>
      </c>
      <c r="O75">
        <f t="shared" si="66"/>
        <v>0</v>
      </c>
      <c r="P75">
        <f t="shared" si="67"/>
        <v>0</v>
      </c>
      <c r="Q75">
        <f t="shared" si="68"/>
        <v>0</v>
      </c>
      <c r="R75">
        <f t="shared" si="69"/>
        <v>0</v>
      </c>
      <c r="S75">
        <f t="shared" si="70"/>
        <v>0</v>
      </c>
      <c r="T75">
        <f t="shared" si="71"/>
        <v>0</v>
      </c>
      <c r="U75">
        <f t="shared" si="72"/>
        <v>0</v>
      </c>
      <c r="V75">
        <f t="shared" si="73"/>
        <v>0</v>
      </c>
      <c r="W75">
        <f t="shared" si="74"/>
        <v>0</v>
      </c>
      <c r="X75">
        <f t="shared" si="75"/>
        <v>0</v>
      </c>
      <c r="Y75">
        <f t="shared" si="76"/>
        <v>0</v>
      </c>
      <c r="AA75">
        <v>38214492</v>
      </c>
      <c r="AB75">
        <f t="shared" si="77"/>
        <v>269260.87</v>
      </c>
      <c r="AC75">
        <f>ROUND((ES75),6)</f>
        <v>186279.39</v>
      </c>
      <c r="AD75">
        <f t="shared" si="78"/>
        <v>17028.830000000002</v>
      </c>
      <c r="AE75">
        <f t="shared" si="79"/>
        <v>8337.73</v>
      </c>
      <c r="AF75">
        <f t="shared" si="80"/>
        <v>65952.649999999994</v>
      </c>
      <c r="AG75">
        <f t="shared" si="81"/>
        <v>0</v>
      </c>
      <c r="AH75">
        <f t="shared" si="82"/>
        <v>342.54</v>
      </c>
      <c r="AI75">
        <f t="shared" si="83"/>
        <v>0</v>
      </c>
      <c r="AJ75">
        <f t="shared" si="84"/>
        <v>0</v>
      </c>
      <c r="AK75">
        <v>269260.87</v>
      </c>
      <c r="AL75">
        <v>186279.39</v>
      </c>
      <c r="AM75">
        <v>17028.830000000002</v>
      </c>
      <c r="AN75">
        <v>8337.73</v>
      </c>
      <c r="AO75">
        <v>65952.649999999994</v>
      </c>
      <c r="AP75">
        <v>0</v>
      </c>
      <c r="AQ75">
        <v>342.54</v>
      </c>
      <c r="AR75">
        <v>0</v>
      </c>
      <c r="AS75">
        <v>0</v>
      </c>
      <c r="AT75">
        <v>70</v>
      </c>
      <c r="AU75">
        <v>10</v>
      </c>
      <c r="AV75">
        <v>1</v>
      </c>
      <c r="AW75">
        <v>1</v>
      </c>
      <c r="AZ75">
        <v>1</v>
      </c>
      <c r="BA75">
        <v>1</v>
      </c>
      <c r="BB75">
        <v>1</v>
      </c>
      <c r="BC75">
        <v>1</v>
      </c>
      <c r="BD75" t="s">
        <v>3</v>
      </c>
      <c r="BE75" t="s">
        <v>3</v>
      </c>
      <c r="BF75" t="s">
        <v>3</v>
      </c>
      <c r="BG75" t="s">
        <v>3</v>
      </c>
      <c r="BH75">
        <v>0</v>
      </c>
      <c r="BI75">
        <v>4</v>
      </c>
      <c r="BJ75" t="s">
        <v>119</v>
      </c>
      <c r="BM75">
        <v>0</v>
      </c>
      <c r="BN75">
        <v>0</v>
      </c>
      <c r="BO75" t="s">
        <v>3</v>
      </c>
      <c r="BP75">
        <v>0</v>
      </c>
      <c r="BQ75">
        <v>1</v>
      </c>
      <c r="BR75">
        <v>0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 t="s">
        <v>3</v>
      </c>
      <c r="BZ75">
        <v>70</v>
      </c>
      <c r="CA75">
        <v>10</v>
      </c>
      <c r="CE75">
        <v>0</v>
      </c>
      <c r="CF75">
        <v>0</v>
      </c>
      <c r="CG75">
        <v>0</v>
      </c>
      <c r="CM75">
        <v>0</v>
      </c>
      <c r="CN75" t="s">
        <v>3</v>
      </c>
      <c r="CO75">
        <v>0</v>
      </c>
      <c r="CP75">
        <f t="shared" si="85"/>
        <v>0</v>
      </c>
      <c r="CQ75">
        <f t="shared" si="86"/>
        <v>186279.39</v>
      </c>
      <c r="CR75">
        <f t="shared" si="87"/>
        <v>17028.830000000002</v>
      </c>
      <c r="CS75">
        <f t="shared" si="88"/>
        <v>8337.73</v>
      </c>
      <c r="CT75">
        <f t="shared" si="89"/>
        <v>65952.649999999994</v>
      </c>
      <c r="CU75">
        <f t="shared" si="90"/>
        <v>0</v>
      </c>
      <c r="CV75">
        <f t="shared" si="91"/>
        <v>342.54</v>
      </c>
      <c r="CW75">
        <f t="shared" si="92"/>
        <v>0</v>
      </c>
      <c r="CX75">
        <f t="shared" si="93"/>
        <v>0</v>
      </c>
      <c r="CY75">
        <f t="shared" si="94"/>
        <v>0</v>
      </c>
      <c r="CZ75">
        <f t="shared" si="95"/>
        <v>0</v>
      </c>
      <c r="DC75" t="s">
        <v>3</v>
      </c>
      <c r="DD75" t="s">
        <v>3</v>
      </c>
      <c r="DE75" t="s">
        <v>3</v>
      </c>
      <c r="DF75" t="s">
        <v>3</v>
      </c>
      <c r="DG75" t="s">
        <v>3</v>
      </c>
      <c r="DH75" t="s">
        <v>3</v>
      </c>
      <c r="DI75" t="s">
        <v>3</v>
      </c>
      <c r="DJ75" t="s">
        <v>3</v>
      </c>
      <c r="DK75" t="s">
        <v>3</v>
      </c>
      <c r="DL75" t="s">
        <v>3</v>
      </c>
      <c r="DM75" t="s">
        <v>3</v>
      </c>
      <c r="DN75">
        <v>0</v>
      </c>
      <c r="DO75">
        <v>0</v>
      </c>
      <c r="DP75">
        <v>1</v>
      </c>
      <c r="DQ75">
        <v>1</v>
      </c>
      <c r="DU75">
        <v>1010</v>
      </c>
      <c r="DV75" t="s">
        <v>118</v>
      </c>
      <c r="DW75" t="s">
        <v>118</v>
      </c>
      <c r="DX75">
        <v>100</v>
      </c>
      <c r="EE75">
        <v>38628631</v>
      </c>
      <c r="EF75">
        <v>1</v>
      </c>
      <c r="EG75" t="s">
        <v>24</v>
      </c>
      <c r="EH75">
        <v>0</v>
      </c>
      <c r="EI75" t="s">
        <v>3</v>
      </c>
      <c r="EJ75">
        <v>4</v>
      </c>
      <c r="EK75">
        <v>0</v>
      </c>
      <c r="EL75" t="s">
        <v>25</v>
      </c>
      <c r="EM75" t="s">
        <v>26</v>
      </c>
      <c r="EO75" t="s">
        <v>3</v>
      </c>
      <c r="EQ75">
        <v>0</v>
      </c>
      <c r="ER75">
        <v>269260.87</v>
      </c>
      <c r="ES75">
        <v>186279.39</v>
      </c>
      <c r="ET75">
        <v>17028.830000000002</v>
      </c>
      <c r="EU75">
        <v>8337.73</v>
      </c>
      <c r="EV75">
        <v>65952.649999999994</v>
      </c>
      <c r="EW75">
        <v>342.54</v>
      </c>
      <c r="EX75">
        <v>0</v>
      </c>
      <c r="EY75">
        <v>0</v>
      </c>
      <c r="FQ75">
        <v>0</v>
      </c>
      <c r="FR75">
        <f t="shared" si="96"/>
        <v>0</v>
      </c>
      <c r="FS75">
        <v>0</v>
      </c>
      <c r="FX75">
        <v>70</v>
      </c>
      <c r="FY75">
        <v>10</v>
      </c>
      <c r="GA75" t="s">
        <v>3</v>
      </c>
      <c r="GD75">
        <v>0</v>
      </c>
      <c r="GF75">
        <v>825732605</v>
      </c>
      <c r="GG75">
        <v>2</v>
      </c>
      <c r="GH75">
        <v>1</v>
      </c>
      <c r="GI75">
        <v>-2</v>
      </c>
      <c r="GJ75">
        <v>0</v>
      </c>
      <c r="GK75">
        <f>ROUND(R75*(R12)/100,2)</f>
        <v>0</v>
      </c>
      <c r="GL75">
        <f t="shared" si="97"/>
        <v>0</v>
      </c>
      <c r="GM75">
        <f t="shared" si="98"/>
        <v>0</v>
      </c>
      <c r="GN75">
        <f t="shared" si="99"/>
        <v>0</v>
      </c>
      <c r="GO75">
        <f t="shared" si="100"/>
        <v>0</v>
      </c>
      <c r="GP75">
        <f t="shared" si="101"/>
        <v>0</v>
      </c>
      <c r="GR75">
        <v>0</v>
      </c>
      <c r="GS75">
        <v>3</v>
      </c>
      <c r="GT75">
        <v>0</v>
      </c>
      <c r="GU75" t="s">
        <v>3</v>
      </c>
      <c r="GV75">
        <f t="shared" si="102"/>
        <v>0</v>
      </c>
      <c r="GW75">
        <v>1</v>
      </c>
      <c r="GX75">
        <f t="shared" si="103"/>
        <v>0</v>
      </c>
      <c r="HA75">
        <v>0</v>
      </c>
      <c r="HB75">
        <v>0</v>
      </c>
      <c r="HC75">
        <f t="shared" si="104"/>
        <v>0</v>
      </c>
      <c r="HE75" t="s">
        <v>3</v>
      </c>
      <c r="HF75" t="s">
        <v>3</v>
      </c>
      <c r="IK75">
        <v>0</v>
      </c>
    </row>
    <row r="76" spans="1:245" x14ac:dyDescent="0.2">
      <c r="A76">
        <v>18</v>
      </c>
      <c r="B76">
        <v>1</v>
      </c>
      <c r="C76">
        <v>20</v>
      </c>
      <c r="E76" t="s">
        <v>120</v>
      </c>
      <c r="F76" t="s">
        <v>121</v>
      </c>
      <c r="G76" t="s">
        <v>122</v>
      </c>
      <c r="H76" t="s">
        <v>123</v>
      </c>
      <c r="I76">
        <f>I75*J76</f>
        <v>0</v>
      </c>
      <c r="J76">
        <v>100</v>
      </c>
      <c r="O76">
        <f t="shared" si="66"/>
        <v>0</v>
      </c>
      <c r="P76">
        <f t="shared" si="67"/>
        <v>0</v>
      </c>
      <c r="Q76">
        <f t="shared" si="68"/>
        <v>0</v>
      </c>
      <c r="R76">
        <f t="shared" si="69"/>
        <v>0</v>
      </c>
      <c r="S76">
        <f t="shared" si="70"/>
        <v>0</v>
      </c>
      <c r="T76">
        <f t="shared" si="71"/>
        <v>0</v>
      </c>
      <c r="U76">
        <f t="shared" si="72"/>
        <v>0</v>
      </c>
      <c r="V76">
        <f t="shared" si="73"/>
        <v>0</v>
      </c>
      <c r="W76">
        <f t="shared" si="74"/>
        <v>0</v>
      </c>
      <c r="X76">
        <f t="shared" si="75"/>
        <v>0</v>
      </c>
      <c r="Y76">
        <f t="shared" si="76"/>
        <v>0</v>
      </c>
      <c r="AA76">
        <v>38214492</v>
      </c>
      <c r="AB76">
        <f t="shared" si="77"/>
        <v>0</v>
      </c>
      <c r="AC76">
        <f>ROUND((ES76),6)</f>
        <v>0</v>
      </c>
      <c r="AD76">
        <f t="shared" si="78"/>
        <v>0</v>
      </c>
      <c r="AE76">
        <f t="shared" si="79"/>
        <v>0</v>
      </c>
      <c r="AF76">
        <f t="shared" si="80"/>
        <v>0</v>
      </c>
      <c r="AG76">
        <f t="shared" si="81"/>
        <v>0</v>
      </c>
      <c r="AH76">
        <f t="shared" si="82"/>
        <v>0</v>
      </c>
      <c r="AI76">
        <f t="shared" si="83"/>
        <v>0</v>
      </c>
      <c r="AJ76">
        <f t="shared" si="84"/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70</v>
      </c>
      <c r="AU76">
        <v>10</v>
      </c>
      <c r="AV76">
        <v>1</v>
      </c>
      <c r="AW76">
        <v>1</v>
      </c>
      <c r="AZ76">
        <v>1</v>
      </c>
      <c r="BA76">
        <v>1</v>
      </c>
      <c r="BB76">
        <v>1</v>
      </c>
      <c r="BC76">
        <v>1</v>
      </c>
      <c r="BD76" t="s">
        <v>3</v>
      </c>
      <c r="BE76" t="s">
        <v>3</v>
      </c>
      <c r="BF76" t="s">
        <v>3</v>
      </c>
      <c r="BG76" t="s">
        <v>3</v>
      </c>
      <c r="BH76">
        <v>3</v>
      </c>
      <c r="BI76">
        <v>4</v>
      </c>
      <c r="BJ76" t="s">
        <v>3</v>
      </c>
      <c r="BM76">
        <v>0</v>
      </c>
      <c r="BN76">
        <v>0</v>
      </c>
      <c r="BO76" t="s">
        <v>3</v>
      </c>
      <c r="BP76">
        <v>0</v>
      </c>
      <c r="BQ76">
        <v>1</v>
      </c>
      <c r="BR76">
        <v>0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 t="s">
        <v>3</v>
      </c>
      <c r="BZ76">
        <v>70</v>
      </c>
      <c r="CA76">
        <v>10</v>
      </c>
      <c r="CE76">
        <v>0</v>
      </c>
      <c r="CF76">
        <v>0</v>
      </c>
      <c r="CG76">
        <v>0</v>
      </c>
      <c r="CM76">
        <v>0</v>
      </c>
      <c r="CN76" t="s">
        <v>3</v>
      </c>
      <c r="CO76">
        <v>0</v>
      </c>
      <c r="CP76">
        <f t="shared" si="85"/>
        <v>0</v>
      </c>
      <c r="CQ76">
        <f t="shared" si="86"/>
        <v>0</v>
      </c>
      <c r="CR76">
        <f t="shared" si="87"/>
        <v>0</v>
      </c>
      <c r="CS76">
        <f t="shared" si="88"/>
        <v>0</v>
      </c>
      <c r="CT76">
        <f t="shared" si="89"/>
        <v>0</v>
      </c>
      <c r="CU76">
        <f t="shared" si="90"/>
        <v>0</v>
      </c>
      <c r="CV76">
        <f t="shared" si="91"/>
        <v>0</v>
      </c>
      <c r="CW76">
        <f t="shared" si="92"/>
        <v>0</v>
      </c>
      <c r="CX76">
        <f t="shared" si="93"/>
        <v>0</v>
      </c>
      <c r="CY76">
        <f t="shared" si="94"/>
        <v>0</v>
      </c>
      <c r="CZ76">
        <f t="shared" si="95"/>
        <v>0</v>
      </c>
      <c r="DC76" t="s">
        <v>3</v>
      </c>
      <c r="DD76" t="s">
        <v>3</v>
      </c>
      <c r="DE76" t="s">
        <v>3</v>
      </c>
      <c r="DF76" t="s">
        <v>3</v>
      </c>
      <c r="DG76" t="s">
        <v>3</v>
      </c>
      <c r="DH76" t="s">
        <v>3</v>
      </c>
      <c r="DI76" t="s">
        <v>3</v>
      </c>
      <c r="DJ76" t="s">
        <v>3</v>
      </c>
      <c r="DK76" t="s">
        <v>3</v>
      </c>
      <c r="DL76" t="s">
        <v>3</v>
      </c>
      <c r="DM76" t="s">
        <v>3</v>
      </c>
      <c r="DN76">
        <v>0</v>
      </c>
      <c r="DO76">
        <v>0</v>
      </c>
      <c r="DP76">
        <v>1</v>
      </c>
      <c r="DQ76">
        <v>1</v>
      </c>
      <c r="DU76">
        <v>1010</v>
      </c>
      <c r="DV76" t="s">
        <v>123</v>
      </c>
      <c r="DW76" t="s">
        <v>123</v>
      </c>
      <c r="DX76">
        <v>1</v>
      </c>
      <c r="EE76">
        <v>38628631</v>
      </c>
      <c r="EF76">
        <v>1</v>
      </c>
      <c r="EG76" t="s">
        <v>24</v>
      </c>
      <c r="EH76">
        <v>0</v>
      </c>
      <c r="EI76" t="s">
        <v>3</v>
      </c>
      <c r="EJ76">
        <v>4</v>
      </c>
      <c r="EK76">
        <v>0</v>
      </c>
      <c r="EL76" t="s">
        <v>25</v>
      </c>
      <c r="EM76" t="s">
        <v>26</v>
      </c>
      <c r="EO76" t="s">
        <v>3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FQ76">
        <v>0</v>
      </c>
      <c r="FR76">
        <f t="shared" si="96"/>
        <v>0</v>
      </c>
      <c r="FS76">
        <v>0</v>
      </c>
      <c r="FX76">
        <v>70</v>
      </c>
      <c r="FY76">
        <v>10</v>
      </c>
      <c r="GA76" t="s">
        <v>3</v>
      </c>
      <c r="GD76">
        <v>0</v>
      </c>
      <c r="GF76">
        <v>-384883469</v>
      </c>
      <c r="GG76">
        <v>2</v>
      </c>
      <c r="GH76">
        <v>1</v>
      </c>
      <c r="GI76">
        <v>-2</v>
      </c>
      <c r="GJ76">
        <v>0</v>
      </c>
      <c r="GK76">
        <f>ROUND(R76*(R12)/100,2)</f>
        <v>0</v>
      </c>
      <c r="GL76">
        <f t="shared" si="97"/>
        <v>0</v>
      </c>
      <c r="GM76">
        <f t="shared" si="98"/>
        <v>0</v>
      </c>
      <c r="GN76">
        <f t="shared" si="99"/>
        <v>0</v>
      </c>
      <c r="GO76">
        <f t="shared" si="100"/>
        <v>0</v>
      </c>
      <c r="GP76">
        <f t="shared" si="101"/>
        <v>0</v>
      </c>
      <c r="GR76">
        <v>0</v>
      </c>
      <c r="GS76">
        <v>3</v>
      </c>
      <c r="GT76">
        <v>0</v>
      </c>
      <c r="GU76" t="s">
        <v>3</v>
      </c>
      <c r="GV76">
        <f t="shared" si="102"/>
        <v>0</v>
      </c>
      <c r="GW76">
        <v>1</v>
      </c>
      <c r="GX76">
        <f t="shared" si="103"/>
        <v>0</v>
      </c>
      <c r="HA76">
        <v>0</v>
      </c>
      <c r="HB76">
        <v>0</v>
      </c>
      <c r="HC76">
        <f t="shared" si="104"/>
        <v>0</v>
      </c>
      <c r="HE76" t="s">
        <v>3</v>
      </c>
      <c r="HF76" t="s">
        <v>3</v>
      </c>
      <c r="IK76">
        <v>0</v>
      </c>
    </row>
    <row r="77" spans="1:245" x14ac:dyDescent="0.2">
      <c r="A77">
        <v>18</v>
      </c>
      <c r="B77">
        <v>1</v>
      </c>
      <c r="C77">
        <v>19</v>
      </c>
      <c r="E77" t="s">
        <v>124</v>
      </c>
      <c r="F77" t="s">
        <v>125</v>
      </c>
      <c r="G77" t="s">
        <v>126</v>
      </c>
      <c r="H77" t="s">
        <v>123</v>
      </c>
      <c r="I77">
        <f>I75*J77</f>
        <v>0</v>
      </c>
      <c r="J77">
        <v>-100</v>
      </c>
      <c r="O77">
        <f t="shared" si="66"/>
        <v>0</v>
      </c>
      <c r="P77">
        <f t="shared" si="67"/>
        <v>0</v>
      </c>
      <c r="Q77">
        <f t="shared" si="68"/>
        <v>0</v>
      </c>
      <c r="R77">
        <f t="shared" si="69"/>
        <v>0</v>
      </c>
      <c r="S77">
        <f t="shared" si="70"/>
        <v>0</v>
      </c>
      <c r="T77">
        <f t="shared" si="71"/>
        <v>0</v>
      </c>
      <c r="U77">
        <f t="shared" si="72"/>
        <v>0</v>
      </c>
      <c r="V77">
        <f t="shared" si="73"/>
        <v>0</v>
      </c>
      <c r="W77">
        <f t="shared" si="74"/>
        <v>0</v>
      </c>
      <c r="X77">
        <f t="shared" si="75"/>
        <v>0</v>
      </c>
      <c r="Y77">
        <f t="shared" si="76"/>
        <v>0</v>
      </c>
      <c r="AA77">
        <v>38214492</v>
      </c>
      <c r="AB77">
        <f t="shared" si="77"/>
        <v>1799.61</v>
      </c>
      <c r="AC77">
        <f>ROUND((ES77),6)</f>
        <v>1799.61</v>
      </c>
      <c r="AD77">
        <f t="shared" si="78"/>
        <v>0</v>
      </c>
      <c r="AE77">
        <f t="shared" si="79"/>
        <v>0</v>
      </c>
      <c r="AF77">
        <f t="shared" si="80"/>
        <v>0</v>
      </c>
      <c r="AG77">
        <f t="shared" si="81"/>
        <v>0</v>
      </c>
      <c r="AH77">
        <f t="shared" si="82"/>
        <v>0</v>
      </c>
      <c r="AI77">
        <f t="shared" si="83"/>
        <v>0</v>
      </c>
      <c r="AJ77">
        <f t="shared" si="84"/>
        <v>0</v>
      </c>
      <c r="AK77">
        <v>1799.61</v>
      </c>
      <c r="AL77">
        <v>1799.61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70</v>
      </c>
      <c r="AU77">
        <v>10</v>
      </c>
      <c r="AV77">
        <v>1</v>
      </c>
      <c r="AW77">
        <v>1</v>
      </c>
      <c r="AZ77">
        <v>1</v>
      </c>
      <c r="BA77">
        <v>1</v>
      </c>
      <c r="BB77">
        <v>1</v>
      </c>
      <c r="BC77">
        <v>1</v>
      </c>
      <c r="BD77" t="s">
        <v>3</v>
      </c>
      <c r="BE77" t="s">
        <v>3</v>
      </c>
      <c r="BF77" t="s">
        <v>3</v>
      </c>
      <c r="BG77" t="s">
        <v>3</v>
      </c>
      <c r="BH77">
        <v>3</v>
      </c>
      <c r="BI77">
        <v>4</v>
      </c>
      <c r="BJ77" t="s">
        <v>127</v>
      </c>
      <c r="BM77">
        <v>0</v>
      </c>
      <c r="BN77">
        <v>0</v>
      </c>
      <c r="BO77" t="s">
        <v>3</v>
      </c>
      <c r="BP77">
        <v>0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 t="s">
        <v>3</v>
      </c>
      <c r="BZ77">
        <v>70</v>
      </c>
      <c r="CA77">
        <v>10</v>
      </c>
      <c r="CE77">
        <v>0</v>
      </c>
      <c r="CF77">
        <v>0</v>
      </c>
      <c r="CG77">
        <v>0</v>
      </c>
      <c r="CM77">
        <v>0</v>
      </c>
      <c r="CN77" t="s">
        <v>3</v>
      </c>
      <c r="CO77">
        <v>0</v>
      </c>
      <c r="CP77">
        <f t="shared" si="85"/>
        <v>0</v>
      </c>
      <c r="CQ77">
        <f t="shared" si="86"/>
        <v>1799.61</v>
      </c>
      <c r="CR77">
        <f t="shared" si="87"/>
        <v>0</v>
      </c>
      <c r="CS77">
        <f t="shared" si="88"/>
        <v>0</v>
      </c>
      <c r="CT77">
        <f t="shared" si="89"/>
        <v>0</v>
      </c>
      <c r="CU77">
        <f t="shared" si="90"/>
        <v>0</v>
      </c>
      <c r="CV77">
        <f t="shared" si="91"/>
        <v>0</v>
      </c>
      <c r="CW77">
        <f t="shared" si="92"/>
        <v>0</v>
      </c>
      <c r="CX77">
        <f t="shared" si="93"/>
        <v>0</v>
      </c>
      <c r="CY77">
        <f t="shared" si="94"/>
        <v>0</v>
      </c>
      <c r="CZ77">
        <f t="shared" si="95"/>
        <v>0</v>
      </c>
      <c r="DC77" t="s">
        <v>3</v>
      </c>
      <c r="DD77" t="s">
        <v>3</v>
      </c>
      <c r="DE77" t="s">
        <v>3</v>
      </c>
      <c r="DF77" t="s">
        <v>3</v>
      </c>
      <c r="DG77" t="s">
        <v>3</v>
      </c>
      <c r="DH77" t="s">
        <v>3</v>
      </c>
      <c r="DI77" t="s">
        <v>3</v>
      </c>
      <c r="DJ77" t="s">
        <v>3</v>
      </c>
      <c r="DK77" t="s">
        <v>3</v>
      </c>
      <c r="DL77" t="s">
        <v>3</v>
      </c>
      <c r="DM77" t="s">
        <v>3</v>
      </c>
      <c r="DN77">
        <v>0</v>
      </c>
      <c r="DO77">
        <v>0</v>
      </c>
      <c r="DP77">
        <v>1</v>
      </c>
      <c r="DQ77">
        <v>1</v>
      </c>
      <c r="DU77">
        <v>1010</v>
      </c>
      <c r="DV77" t="s">
        <v>123</v>
      </c>
      <c r="DW77" t="s">
        <v>123</v>
      </c>
      <c r="DX77">
        <v>1</v>
      </c>
      <c r="EE77">
        <v>38628631</v>
      </c>
      <c r="EF77">
        <v>1</v>
      </c>
      <c r="EG77" t="s">
        <v>24</v>
      </c>
      <c r="EH77">
        <v>0</v>
      </c>
      <c r="EI77" t="s">
        <v>3</v>
      </c>
      <c r="EJ77">
        <v>4</v>
      </c>
      <c r="EK77">
        <v>0</v>
      </c>
      <c r="EL77" t="s">
        <v>25</v>
      </c>
      <c r="EM77" t="s">
        <v>26</v>
      </c>
      <c r="EO77" t="s">
        <v>3</v>
      </c>
      <c r="EQ77">
        <v>0</v>
      </c>
      <c r="ER77">
        <v>1799.61</v>
      </c>
      <c r="ES77">
        <v>1799.61</v>
      </c>
      <c r="ET77">
        <v>0</v>
      </c>
      <c r="EU77">
        <v>0</v>
      </c>
      <c r="EV77">
        <v>0</v>
      </c>
      <c r="EW77">
        <v>0</v>
      </c>
      <c r="EX77">
        <v>0</v>
      </c>
      <c r="FQ77">
        <v>0</v>
      </c>
      <c r="FR77">
        <f t="shared" si="96"/>
        <v>0</v>
      </c>
      <c r="FS77">
        <v>0</v>
      </c>
      <c r="FX77">
        <v>70</v>
      </c>
      <c r="FY77">
        <v>10</v>
      </c>
      <c r="GA77" t="s">
        <v>3</v>
      </c>
      <c r="GD77">
        <v>0</v>
      </c>
      <c r="GF77">
        <v>-941032314</v>
      </c>
      <c r="GG77">
        <v>2</v>
      </c>
      <c r="GH77">
        <v>1</v>
      </c>
      <c r="GI77">
        <v>-2</v>
      </c>
      <c r="GJ77">
        <v>0</v>
      </c>
      <c r="GK77">
        <f>ROUND(R77*(R12)/100,2)</f>
        <v>0</v>
      </c>
      <c r="GL77">
        <f t="shared" si="97"/>
        <v>0</v>
      </c>
      <c r="GM77">
        <f t="shared" si="98"/>
        <v>0</v>
      </c>
      <c r="GN77">
        <f t="shared" si="99"/>
        <v>0</v>
      </c>
      <c r="GO77">
        <f t="shared" si="100"/>
        <v>0</v>
      </c>
      <c r="GP77">
        <f t="shared" si="101"/>
        <v>0</v>
      </c>
      <c r="GR77">
        <v>0</v>
      </c>
      <c r="GS77">
        <v>3</v>
      </c>
      <c r="GT77">
        <v>0</v>
      </c>
      <c r="GU77" t="s">
        <v>3</v>
      </c>
      <c r="GV77">
        <f t="shared" si="102"/>
        <v>0</v>
      </c>
      <c r="GW77">
        <v>1</v>
      </c>
      <c r="GX77">
        <f t="shared" si="103"/>
        <v>0</v>
      </c>
      <c r="HA77">
        <v>0</v>
      </c>
      <c r="HB77">
        <v>0</v>
      </c>
      <c r="HC77">
        <f t="shared" si="104"/>
        <v>0</v>
      </c>
      <c r="HE77" t="s">
        <v>3</v>
      </c>
      <c r="HF77" t="s">
        <v>3</v>
      </c>
      <c r="IK77">
        <v>0</v>
      </c>
    </row>
    <row r="78" spans="1:245" x14ac:dyDescent="0.2">
      <c r="A78">
        <v>17</v>
      </c>
      <c r="B78">
        <v>1</v>
      </c>
      <c r="E78" t="s">
        <v>128</v>
      </c>
      <c r="F78" t="s">
        <v>129</v>
      </c>
      <c r="G78" t="s">
        <v>3</v>
      </c>
      <c r="H78" t="s">
        <v>3</v>
      </c>
      <c r="I78">
        <v>0</v>
      </c>
      <c r="J78">
        <v>0</v>
      </c>
      <c r="O78">
        <f t="shared" si="66"/>
        <v>0</v>
      </c>
      <c r="P78">
        <f t="shared" si="67"/>
        <v>0</v>
      </c>
      <c r="Q78">
        <f t="shared" si="68"/>
        <v>0</v>
      </c>
      <c r="R78">
        <f t="shared" si="69"/>
        <v>0</v>
      </c>
      <c r="S78">
        <f t="shared" si="70"/>
        <v>0</v>
      </c>
      <c r="T78">
        <f t="shared" si="71"/>
        <v>0</v>
      </c>
      <c r="U78">
        <f t="shared" si="72"/>
        <v>0</v>
      </c>
      <c r="V78">
        <f t="shared" si="73"/>
        <v>0</v>
      </c>
      <c r="W78">
        <f t="shared" si="74"/>
        <v>0</v>
      </c>
      <c r="X78">
        <f t="shared" si="75"/>
        <v>0</v>
      </c>
      <c r="Y78">
        <f t="shared" si="76"/>
        <v>0</v>
      </c>
      <c r="AA78">
        <v>38214492</v>
      </c>
      <c r="AB78">
        <f t="shared" si="77"/>
        <v>0</v>
      </c>
      <c r="AC78">
        <f>ROUND((ES78),6)</f>
        <v>0</v>
      </c>
      <c r="AD78">
        <f t="shared" si="78"/>
        <v>0</v>
      </c>
      <c r="AE78">
        <f t="shared" si="79"/>
        <v>0</v>
      </c>
      <c r="AF78">
        <f t="shared" si="80"/>
        <v>0</v>
      </c>
      <c r="AG78">
        <f t="shared" si="81"/>
        <v>0</v>
      </c>
      <c r="AH78">
        <f t="shared" si="82"/>
        <v>0</v>
      </c>
      <c r="AI78">
        <f t="shared" si="83"/>
        <v>0</v>
      </c>
      <c r="AJ78">
        <f t="shared" si="84"/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</v>
      </c>
      <c r="AW78">
        <v>1</v>
      </c>
      <c r="AZ78">
        <v>1</v>
      </c>
      <c r="BA78">
        <v>1</v>
      </c>
      <c r="BB78">
        <v>1</v>
      </c>
      <c r="BC78">
        <v>1</v>
      </c>
      <c r="BD78" t="s">
        <v>3</v>
      </c>
      <c r="BE78" t="s">
        <v>3</v>
      </c>
      <c r="BF78" t="s">
        <v>3</v>
      </c>
      <c r="BG78" t="s">
        <v>3</v>
      </c>
      <c r="BH78">
        <v>3</v>
      </c>
      <c r="BI78">
        <v>1</v>
      </c>
      <c r="BJ78" t="s">
        <v>3</v>
      </c>
      <c r="BM78">
        <v>6001</v>
      </c>
      <c r="BN78">
        <v>0</v>
      </c>
      <c r="BO78" t="s">
        <v>3</v>
      </c>
      <c r="BP78">
        <v>0</v>
      </c>
      <c r="BQ78">
        <v>0</v>
      </c>
      <c r="BR78">
        <v>0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 t="s">
        <v>3</v>
      </c>
      <c r="BZ78">
        <v>0</v>
      </c>
      <c r="CA78">
        <v>0</v>
      </c>
      <c r="CE78">
        <v>0</v>
      </c>
      <c r="CF78">
        <v>0</v>
      </c>
      <c r="CG78">
        <v>0</v>
      </c>
      <c r="CM78">
        <v>0</v>
      </c>
      <c r="CN78" t="s">
        <v>3</v>
      </c>
      <c r="CO78">
        <v>0</v>
      </c>
      <c r="CP78">
        <f t="shared" si="85"/>
        <v>0</v>
      </c>
      <c r="CQ78">
        <f t="shared" si="86"/>
        <v>0</v>
      </c>
      <c r="CR78">
        <f t="shared" si="87"/>
        <v>0</v>
      </c>
      <c r="CS78">
        <f t="shared" si="88"/>
        <v>0</v>
      </c>
      <c r="CT78">
        <f t="shared" si="89"/>
        <v>0</v>
      </c>
      <c r="CU78">
        <f t="shared" si="90"/>
        <v>0</v>
      </c>
      <c r="CV78">
        <f t="shared" si="91"/>
        <v>0</v>
      </c>
      <c r="CW78">
        <f t="shared" si="92"/>
        <v>0</v>
      </c>
      <c r="CX78">
        <f t="shared" si="93"/>
        <v>0</v>
      </c>
      <c r="CY78">
        <f t="shared" si="94"/>
        <v>0</v>
      </c>
      <c r="CZ78">
        <f t="shared" si="95"/>
        <v>0</v>
      </c>
      <c r="DC78" t="s">
        <v>3</v>
      </c>
      <c r="DD78" t="s">
        <v>3</v>
      </c>
      <c r="DE78" t="s">
        <v>3</v>
      </c>
      <c r="DF78" t="s">
        <v>3</v>
      </c>
      <c r="DG78" t="s">
        <v>3</v>
      </c>
      <c r="DH78" t="s">
        <v>3</v>
      </c>
      <c r="DI78" t="s">
        <v>3</v>
      </c>
      <c r="DJ78" t="s">
        <v>3</v>
      </c>
      <c r="DK78" t="s">
        <v>3</v>
      </c>
      <c r="DL78" t="s">
        <v>3</v>
      </c>
      <c r="DM78" t="s">
        <v>3</v>
      </c>
      <c r="DN78">
        <v>0</v>
      </c>
      <c r="DO78">
        <v>0</v>
      </c>
      <c r="DP78">
        <v>1</v>
      </c>
      <c r="DQ78">
        <v>1</v>
      </c>
      <c r="EE78">
        <v>38661473</v>
      </c>
      <c r="EF78">
        <v>0</v>
      </c>
      <c r="EG78" t="s">
        <v>130</v>
      </c>
      <c r="EH78">
        <v>0</v>
      </c>
      <c r="EI78" t="s">
        <v>3</v>
      </c>
      <c r="EJ78">
        <v>1</v>
      </c>
      <c r="EK78">
        <v>6001</v>
      </c>
      <c r="EL78" t="s">
        <v>131</v>
      </c>
      <c r="EM78" t="s">
        <v>130</v>
      </c>
      <c r="EO78" t="s">
        <v>3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FQ78">
        <v>0</v>
      </c>
      <c r="FR78">
        <f t="shared" si="96"/>
        <v>0</v>
      </c>
      <c r="FS78">
        <v>0</v>
      </c>
      <c r="FX78">
        <v>0</v>
      </c>
      <c r="FY78">
        <v>0</v>
      </c>
      <c r="GA78" t="s">
        <v>3</v>
      </c>
      <c r="GD78">
        <v>0</v>
      </c>
      <c r="GF78">
        <v>749206967</v>
      </c>
      <c r="GG78">
        <v>2</v>
      </c>
      <c r="GH78">
        <v>0</v>
      </c>
      <c r="GI78">
        <v>-2</v>
      </c>
      <c r="GJ78">
        <v>0</v>
      </c>
      <c r="GK78">
        <f>ROUND(R78*(R12)/100,2)</f>
        <v>0</v>
      </c>
      <c r="GL78">
        <f t="shared" si="97"/>
        <v>0</v>
      </c>
      <c r="GM78">
        <f t="shared" si="98"/>
        <v>0</v>
      </c>
      <c r="GN78">
        <f t="shared" si="99"/>
        <v>0</v>
      </c>
      <c r="GO78">
        <f t="shared" si="100"/>
        <v>0</v>
      </c>
      <c r="GP78">
        <f t="shared" si="101"/>
        <v>0</v>
      </c>
      <c r="GR78">
        <v>0</v>
      </c>
      <c r="GS78">
        <v>3</v>
      </c>
      <c r="GT78">
        <v>0</v>
      </c>
      <c r="GU78" t="s">
        <v>3</v>
      </c>
      <c r="GV78">
        <f t="shared" si="102"/>
        <v>0</v>
      </c>
      <c r="GW78">
        <v>1</v>
      </c>
      <c r="GX78">
        <f t="shared" si="103"/>
        <v>0</v>
      </c>
      <c r="HA78">
        <v>0</v>
      </c>
      <c r="HB78">
        <v>0</v>
      </c>
      <c r="HC78">
        <f t="shared" si="104"/>
        <v>0</v>
      </c>
      <c r="HE78" t="s">
        <v>3</v>
      </c>
      <c r="HF78" t="s">
        <v>3</v>
      </c>
      <c r="IK78">
        <v>0</v>
      </c>
    </row>
    <row r="79" spans="1:245" x14ac:dyDescent="0.2">
      <c r="A79">
        <v>17</v>
      </c>
      <c r="B79">
        <v>1</v>
      </c>
      <c r="C79">
        <f>ROW(SmtRes!A23)</f>
        <v>23</v>
      </c>
      <c r="E79" t="s">
        <v>132</v>
      </c>
      <c r="F79" t="s">
        <v>116</v>
      </c>
      <c r="G79" t="s">
        <v>133</v>
      </c>
      <c r="H79" t="s">
        <v>118</v>
      </c>
      <c r="I79">
        <v>0</v>
      </c>
      <c r="J79">
        <v>0</v>
      </c>
      <c r="O79">
        <f t="shared" si="66"/>
        <v>0</v>
      </c>
      <c r="P79">
        <f t="shared" si="67"/>
        <v>0</v>
      </c>
      <c r="Q79">
        <f t="shared" si="68"/>
        <v>0</v>
      </c>
      <c r="R79">
        <f t="shared" si="69"/>
        <v>0</v>
      </c>
      <c r="S79">
        <f t="shared" si="70"/>
        <v>0</v>
      </c>
      <c r="T79">
        <f t="shared" si="71"/>
        <v>0</v>
      </c>
      <c r="U79">
        <f t="shared" si="72"/>
        <v>0</v>
      </c>
      <c r="V79">
        <f t="shared" si="73"/>
        <v>0</v>
      </c>
      <c r="W79">
        <f t="shared" si="74"/>
        <v>0</v>
      </c>
      <c r="X79">
        <f t="shared" si="75"/>
        <v>0</v>
      </c>
      <c r="Y79">
        <f t="shared" si="76"/>
        <v>0</v>
      </c>
      <c r="AA79">
        <v>38214492</v>
      </c>
      <c r="AB79">
        <f t="shared" si="77"/>
        <v>79145</v>
      </c>
      <c r="AC79">
        <f>ROUND(((ES79*0)),6)</f>
        <v>0</v>
      </c>
      <c r="AD79">
        <f t="shared" si="78"/>
        <v>16045.7</v>
      </c>
      <c r="AE79">
        <f t="shared" si="79"/>
        <v>7500.63</v>
      </c>
      <c r="AF79">
        <f t="shared" si="80"/>
        <v>63099.3</v>
      </c>
      <c r="AG79">
        <f t="shared" si="81"/>
        <v>0</v>
      </c>
      <c r="AH79">
        <f t="shared" si="82"/>
        <v>342.54</v>
      </c>
      <c r="AI79">
        <f t="shared" si="83"/>
        <v>0</v>
      </c>
      <c r="AJ79">
        <f t="shared" si="84"/>
        <v>0</v>
      </c>
      <c r="AK79">
        <v>244433.14</v>
      </c>
      <c r="AL79">
        <v>165288.14000000001</v>
      </c>
      <c r="AM79">
        <v>16045.7</v>
      </c>
      <c r="AN79">
        <v>7500.63</v>
      </c>
      <c r="AO79">
        <v>63099.3</v>
      </c>
      <c r="AP79">
        <v>0</v>
      </c>
      <c r="AQ79">
        <v>342.54</v>
      </c>
      <c r="AR79">
        <v>0</v>
      </c>
      <c r="AS79">
        <v>0</v>
      </c>
      <c r="AT79">
        <v>70</v>
      </c>
      <c r="AU79">
        <v>10</v>
      </c>
      <c r="AV79">
        <v>1</v>
      </c>
      <c r="AW79">
        <v>1</v>
      </c>
      <c r="AZ79">
        <v>1</v>
      </c>
      <c r="BA79">
        <v>1</v>
      </c>
      <c r="BB79">
        <v>1</v>
      </c>
      <c r="BC79">
        <v>1</v>
      </c>
      <c r="BD79" t="s">
        <v>3</v>
      </c>
      <c r="BE79" t="s">
        <v>3</v>
      </c>
      <c r="BF79" t="s">
        <v>3</v>
      </c>
      <c r="BG79" t="s">
        <v>3</v>
      </c>
      <c r="BH79">
        <v>0</v>
      </c>
      <c r="BI79">
        <v>4</v>
      </c>
      <c r="BJ79" t="s">
        <v>134</v>
      </c>
      <c r="BM79">
        <v>0</v>
      </c>
      <c r="BN79">
        <v>0</v>
      </c>
      <c r="BO79" t="s">
        <v>3</v>
      </c>
      <c r="BP79">
        <v>0</v>
      </c>
      <c r="BQ79">
        <v>1</v>
      </c>
      <c r="BR79">
        <v>0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 t="s">
        <v>3</v>
      </c>
      <c r="BZ79">
        <v>70</v>
      </c>
      <c r="CA79">
        <v>10</v>
      </c>
      <c r="CE79">
        <v>0</v>
      </c>
      <c r="CF79">
        <v>0</v>
      </c>
      <c r="CG79">
        <v>0</v>
      </c>
      <c r="CM79">
        <v>0</v>
      </c>
      <c r="CN79" t="s">
        <v>3</v>
      </c>
      <c r="CO79">
        <v>0</v>
      </c>
      <c r="CP79">
        <f t="shared" si="85"/>
        <v>0</v>
      </c>
      <c r="CQ79">
        <f t="shared" si="86"/>
        <v>0</v>
      </c>
      <c r="CR79">
        <f t="shared" si="87"/>
        <v>16045.7</v>
      </c>
      <c r="CS79">
        <f t="shared" si="88"/>
        <v>7500.63</v>
      </c>
      <c r="CT79">
        <f t="shared" si="89"/>
        <v>63099.3</v>
      </c>
      <c r="CU79">
        <f t="shared" si="90"/>
        <v>0</v>
      </c>
      <c r="CV79">
        <f t="shared" si="91"/>
        <v>342.54</v>
      </c>
      <c r="CW79">
        <f t="shared" si="92"/>
        <v>0</v>
      </c>
      <c r="CX79">
        <f t="shared" si="93"/>
        <v>0</v>
      </c>
      <c r="CY79">
        <f t="shared" si="94"/>
        <v>0</v>
      </c>
      <c r="CZ79">
        <f t="shared" si="95"/>
        <v>0</v>
      </c>
      <c r="DC79" t="s">
        <v>3</v>
      </c>
      <c r="DD79" t="s">
        <v>32</v>
      </c>
      <c r="DE79" t="s">
        <v>3</v>
      </c>
      <c r="DF79" t="s">
        <v>3</v>
      </c>
      <c r="DG79" t="s">
        <v>3</v>
      </c>
      <c r="DH79" t="s">
        <v>3</v>
      </c>
      <c r="DI79" t="s">
        <v>3</v>
      </c>
      <c r="DJ79" t="s">
        <v>3</v>
      </c>
      <c r="DK79" t="s">
        <v>3</v>
      </c>
      <c r="DL79" t="s">
        <v>3</v>
      </c>
      <c r="DM79" t="s">
        <v>3</v>
      </c>
      <c r="DN79">
        <v>0</v>
      </c>
      <c r="DO79">
        <v>0</v>
      </c>
      <c r="DP79">
        <v>1</v>
      </c>
      <c r="DQ79">
        <v>1</v>
      </c>
      <c r="DU79">
        <v>1010</v>
      </c>
      <c r="DV79" t="s">
        <v>118</v>
      </c>
      <c r="DW79" t="s">
        <v>118</v>
      </c>
      <c r="DX79">
        <v>100</v>
      </c>
      <c r="EE79">
        <v>38628631</v>
      </c>
      <c r="EF79">
        <v>1</v>
      </c>
      <c r="EG79" t="s">
        <v>24</v>
      </c>
      <c r="EH79">
        <v>0</v>
      </c>
      <c r="EI79" t="s">
        <v>3</v>
      </c>
      <c r="EJ79">
        <v>4</v>
      </c>
      <c r="EK79">
        <v>0</v>
      </c>
      <c r="EL79" t="s">
        <v>25</v>
      </c>
      <c r="EM79" t="s">
        <v>26</v>
      </c>
      <c r="EO79" t="s">
        <v>3</v>
      </c>
      <c r="EQ79">
        <v>0</v>
      </c>
      <c r="ER79">
        <v>244433.14</v>
      </c>
      <c r="ES79">
        <v>165288.14000000001</v>
      </c>
      <c r="ET79">
        <v>16045.7</v>
      </c>
      <c r="EU79">
        <v>7500.63</v>
      </c>
      <c r="EV79">
        <v>63099.3</v>
      </c>
      <c r="EW79">
        <v>342.54</v>
      </c>
      <c r="EX79">
        <v>0</v>
      </c>
      <c r="EY79">
        <v>0</v>
      </c>
      <c r="FQ79">
        <v>0</v>
      </c>
      <c r="FR79">
        <f t="shared" si="96"/>
        <v>0</v>
      </c>
      <c r="FS79">
        <v>0</v>
      </c>
      <c r="FX79">
        <v>70</v>
      </c>
      <c r="FY79">
        <v>10</v>
      </c>
      <c r="GA79" t="s">
        <v>3</v>
      </c>
      <c r="GD79">
        <v>0</v>
      </c>
      <c r="GF79">
        <v>-215362816</v>
      </c>
      <c r="GG79">
        <v>2</v>
      </c>
      <c r="GH79">
        <v>1</v>
      </c>
      <c r="GI79">
        <v>-2</v>
      </c>
      <c r="GJ79">
        <v>0</v>
      </c>
      <c r="GK79">
        <f>ROUND(R79*(R12)/100,2)</f>
        <v>0</v>
      </c>
      <c r="GL79">
        <f t="shared" si="97"/>
        <v>0</v>
      </c>
      <c r="GM79">
        <f t="shared" si="98"/>
        <v>0</v>
      </c>
      <c r="GN79">
        <f t="shared" si="99"/>
        <v>0</v>
      </c>
      <c r="GO79">
        <f t="shared" si="100"/>
        <v>0</v>
      </c>
      <c r="GP79">
        <f t="shared" si="101"/>
        <v>0</v>
      </c>
      <c r="GR79">
        <v>0</v>
      </c>
      <c r="GS79">
        <v>0</v>
      </c>
      <c r="GT79">
        <v>0</v>
      </c>
      <c r="GU79" t="s">
        <v>3</v>
      </c>
      <c r="GV79">
        <f t="shared" si="102"/>
        <v>0</v>
      </c>
      <c r="GW79">
        <v>1</v>
      </c>
      <c r="GX79">
        <f t="shared" si="103"/>
        <v>0</v>
      </c>
      <c r="HA79">
        <v>0</v>
      </c>
      <c r="HB79">
        <v>0</v>
      </c>
      <c r="HC79">
        <f t="shared" si="104"/>
        <v>0</v>
      </c>
      <c r="HE79" t="s">
        <v>3</v>
      </c>
      <c r="HF79" t="s">
        <v>3</v>
      </c>
      <c r="IK79">
        <v>0</v>
      </c>
    </row>
    <row r="80" spans="1:245" x14ac:dyDescent="0.2">
      <c r="A80">
        <v>18</v>
      </c>
      <c r="B80">
        <v>1</v>
      </c>
      <c r="C80">
        <v>23</v>
      </c>
      <c r="E80" t="s">
        <v>135</v>
      </c>
      <c r="F80" t="s">
        <v>129</v>
      </c>
      <c r="G80" t="s">
        <v>136</v>
      </c>
      <c r="H80" t="s">
        <v>123</v>
      </c>
      <c r="I80">
        <f>I79*J80</f>
        <v>0</v>
      </c>
      <c r="J80">
        <v>100</v>
      </c>
      <c r="O80">
        <f t="shared" si="66"/>
        <v>0</v>
      </c>
      <c r="P80">
        <f t="shared" si="67"/>
        <v>0</v>
      </c>
      <c r="Q80">
        <f t="shared" si="68"/>
        <v>0</v>
      </c>
      <c r="R80">
        <f t="shared" si="69"/>
        <v>0</v>
      </c>
      <c r="S80">
        <f t="shared" si="70"/>
        <v>0</v>
      </c>
      <c r="T80">
        <f t="shared" si="71"/>
        <v>0</v>
      </c>
      <c r="U80">
        <f t="shared" si="72"/>
        <v>0</v>
      </c>
      <c r="V80">
        <f t="shared" si="73"/>
        <v>0</v>
      </c>
      <c r="W80">
        <f t="shared" si="74"/>
        <v>0</v>
      </c>
      <c r="X80">
        <f t="shared" si="75"/>
        <v>0</v>
      </c>
      <c r="Y80">
        <f t="shared" si="76"/>
        <v>0</v>
      </c>
      <c r="AA80">
        <v>38214492</v>
      </c>
      <c r="AB80">
        <f t="shared" si="77"/>
        <v>37500</v>
      </c>
      <c r="AC80">
        <f t="shared" ref="AC80:AC92" si="105">ROUND((ES80),6)</f>
        <v>37500</v>
      </c>
      <c r="AD80">
        <f t="shared" si="78"/>
        <v>0</v>
      </c>
      <c r="AE80">
        <f t="shared" si="79"/>
        <v>0</v>
      </c>
      <c r="AF80">
        <f t="shared" si="80"/>
        <v>0</v>
      </c>
      <c r="AG80">
        <f t="shared" si="81"/>
        <v>0</v>
      </c>
      <c r="AH80">
        <f t="shared" si="82"/>
        <v>0</v>
      </c>
      <c r="AI80">
        <f t="shared" si="83"/>
        <v>0</v>
      </c>
      <c r="AJ80">
        <f t="shared" si="84"/>
        <v>0</v>
      </c>
      <c r="AK80">
        <v>37500</v>
      </c>
      <c r="AL80">
        <v>37500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70</v>
      </c>
      <c r="AU80">
        <v>10</v>
      </c>
      <c r="AV80">
        <v>1</v>
      </c>
      <c r="AW80">
        <v>1</v>
      </c>
      <c r="AZ80">
        <v>1</v>
      </c>
      <c r="BA80">
        <v>1</v>
      </c>
      <c r="BB80">
        <v>1</v>
      </c>
      <c r="BC80">
        <v>1</v>
      </c>
      <c r="BD80" t="s">
        <v>3</v>
      </c>
      <c r="BE80" t="s">
        <v>3</v>
      </c>
      <c r="BF80" t="s">
        <v>3</v>
      </c>
      <c r="BG80" t="s">
        <v>3</v>
      </c>
      <c r="BH80">
        <v>3</v>
      </c>
      <c r="BI80">
        <v>4</v>
      </c>
      <c r="BJ80" t="s">
        <v>3</v>
      </c>
      <c r="BM80">
        <v>0</v>
      </c>
      <c r="BN80">
        <v>0</v>
      </c>
      <c r="BO80" t="s">
        <v>3</v>
      </c>
      <c r="BP80">
        <v>0</v>
      </c>
      <c r="BQ80">
        <v>1</v>
      </c>
      <c r="BR80">
        <v>0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 t="s">
        <v>3</v>
      </c>
      <c r="BZ80">
        <v>70</v>
      </c>
      <c r="CA80">
        <v>10</v>
      </c>
      <c r="CE80">
        <v>0</v>
      </c>
      <c r="CF80">
        <v>0</v>
      </c>
      <c r="CG80">
        <v>0</v>
      </c>
      <c r="CM80">
        <v>0</v>
      </c>
      <c r="CN80" t="s">
        <v>3</v>
      </c>
      <c r="CO80">
        <v>0</v>
      </c>
      <c r="CP80">
        <f t="shared" si="85"/>
        <v>0</v>
      </c>
      <c r="CQ80">
        <f t="shared" si="86"/>
        <v>37500</v>
      </c>
      <c r="CR80">
        <f t="shared" si="87"/>
        <v>0</v>
      </c>
      <c r="CS80">
        <f t="shared" si="88"/>
        <v>0</v>
      </c>
      <c r="CT80">
        <f t="shared" si="89"/>
        <v>0</v>
      </c>
      <c r="CU80">
        <f t="shared" si="90"/>
        <v>0</v>
      </c>
      <c r="CV80">
        <f t="shared" si="91"/>
        <v>0</v>
      </c>
      <c r="CW80">
        <f t="shared" si="92"/>
        <v>0</v>
      </c>
      <c r="CX80">
        <f t="shared" si="93"/>
        <v>0</v>
      </c>
      <c r="CY80">
        <f t="shared" si="94"/>
        <v>0</v>
      </c>
      <c r="CZ80">
        <f t="shared" si="95"/>
        <v>0</v>
      </c>
      <c r="DC80" t="s">
        <v>3</v>
      </c>
      <c r="DD80" t="s">
        <v>3</v>
      </c>
      <c r="DE80" t="s">
        <v>3</v>
      </c>
      <c r="DF80" t="s">
        <v>3</v>
      </c>
      <c r="DG80" t="s">
        <v>3</v>
      </c>
      <c r="DH80" t="s">
        <v>3</v>
      </c>
      <c r="DI80" t="s">
        <v>3</v>
      </c>
      <c r="DJ80" t="s">
        <v>3</v>
      </c>
      <c r="DK80" t="s">
        <v>3</v>
      </c>
      <c r="DL80" t="s">
        <v>3</v>
      </c>
      <c r="DM80" t="s">
        <v>3</v>
      </c>
      <c r="DN80">
        <v>0</v>
      </c>
      <c r="DO80">
        <v>0</v>
      </c>
      <c r="DP80">
        <v>1</v>
      </c>
      <c r="DQ80">
        <v>1</v>
      </c>
      <c r="DU80">
        <v>1010</v>
      </c>
      <c r="DV80" t="s">
        <v>123</v>
      </c>
      <c r="DW80" t="s">
        <v>123</v>
      </c>
      <c r="DX80">
        <v>1</v>
      </c>
      <c r="EE80">
        <v>38628631</v>
      </c>
      <c r="EF80">
        <v>1</v>
      </c>
      <c r="EG80" t="s">
        <v>24</v>
      </c>
      <c r="EH80">
        <v>0</v>
      </c>
      <c r="EI80" t="s">
        <v>3</v>
      </c>
      <c r="EJ80">
        <v>4</v>
      </c>
      <c r="EK80">
        <v>0</v>
      </c>
      <c r="EL80" t="s">
        <v>25</v>
      </c>
      <c r="EM80" t="s">
        <v>26</v>
      </c>
      <c r="EO80" t="s">
        <v>3</v>
      </c>
      <c r="EQ80">
        <v>0</v>
      </c>
      <c r="ER80">
        <v>37500</v>
      </c>
      <c r="ES80">
        <v>37500</v>
      </c>
      <c r="ET80">
        <v>0</v>
      </c>
      <c r="EU80">
        <v>0</v>
      </c>
      <c r="EV80">
        <v>0</v>
      </c>
      <c r="EW80">
        <v>0</v>
      </c>
      <c r="EX80">
        <v>0</v>
      </c>
      <c r="FQ80">
        <v>0</v>
      </c>
      <c r="FR80">
        <f t="shared" si="96"/>
        <v>0</v>
      </c>
      <c r="FS80">
        <v>0</v>
      </c>
      <c r="FX80">
        <v>70</v>
      </c>
      <c r="FY80">
        <v>10</v>
      </c>
      <c r="GA80" t="s">
        <v>3</v>
      </c>
      <c r="GD80">
        <v>0</v>
      </c>
      <c r="GF80">
        <v>-1667881396</v>
      </c>
      <c r="GG80">
        <v>2</v>
      </c>
      <c r="GH80">
        <v>0</v>
      </c>
      <c r="GI80">
        <v>-2</v>
      </c>
      <c r="GJ80">
        <v>0</v>
      </c>
      <c r="GK80">
        <f>ROUND(R80*(R12)/100,2)</f>
        <v>0</v>
      </c>
      <c r="GL80">
        <f t="shared" si="97"/>
        <v>0</v>
      </c>
      <c r="GM80">
        <f t="shared" si="98"/>
        <v>0</v>
      </c>
      <c r="GN80">
        <f t="shared" si="99"/>
        <v>0</v>
      </c>
      <c r="GO80">
        <f t="shared" si="100"/>
        <v>0</v>
      </c>
      <c r="GP80">
        <f t="shared" si="101"/>
        <v>0</v>
      </c>
      <c r="GR80">
        <v>0</v>
      </c>
      <c r="GS80">
        <v>0</v>
      </c>
      <c r="GT80">
        <v>0</v>
      </c>
      <c r="GU80" t="s">
        <v>3</v>
      </c>
      <c r="GV80">
        <f t="shared" si="102"/>
        <v>0</v>
      </c>
      <c r="GW80">
        <v>1</v>
      </c>
      <c r="GX80">
        <f t="shared" si="103"/>
        <v>0</v>
      </c>
      <c r="HA80">
        <v>0</v>
      </c>
      <c r="HB80">
        <v>0</v>
      </c>
      <c r="HC80">
        <f t="shared" si="104"/>
        <v>0</v>
      </c>
      <c r="HE80" t="s">
        <v>3</v>
      </c>
      <c r="HF80" t="s">
        <v>3</v>
      </c>
      <c r="IK80">
        <v>0</v>
      </c>
    </row>
    <row r="81" spans="1:245" x14ac:dyDescent="0.2">
      <c r="A81">
        <v>18</v>
      </c>
      <c r="B81">
        <v>1</v>
      </c>
      <c r="C81">
        <v>21</v>
      </c>
      <c r="E81" t="s">
        <v>137</v>
      </c>
      <c r="F81" t="s">
        <v>138</v>
      </c>
      <c r="G81" t="s">
        <v>139</v>
      </c>
      <c r="H81" t="s">
        <v>30</v>
      </c>
      <c r="I81">
        <f>I79*J81</f>
        <v>0</v>
      </c>
      <c r="J81">
        <v>0</v>
      </c>
      <c r="O81">
        <f t="shared" si="66"/>
        <v>0</v>
      </c>
      <c r="P81">
        <f t="shared" si="67"/>
        <v>0</v>
      </c>
      <c r="Q81">
        <f t="shared" si="68"/>
        <v>0</v>
      </c>
      <c r="R81">
        <f t="shared" si="69"/>
        <v>0</v>
      </c>
      <c r="S81">
        <f t="shared" si="70"/>
        <v>0</v>
      </c>
      <c r="T81">
        <f t="shared" si="71"/>
        <v>0</v>
      </c>
      <c r="U81">
        <f t="shared" si="72"/>
        <v>0</v>
      </c>
      <c r="V81">
        <f t="shared" si="73"/>
        <v>0</v>
      </c>
      <c r="W81">
        <f t="shared" si="74"/>
        <v>0</v>
      </c>
      <c r="X81">
        <f t="shared" si="75"/>
        <v>0</v>
      </c>
      <c r="Y81">
        <f t="shared" si="76"/>
        <v>0</v>
      </c>
      <c r="AA81">
        <v>38214492</v>
      </c>
      <c r="AB81">
        <f t="shared" si="77"/>
        <v>137107.03</v>
      </c>
      <c r="AC81">
        <f t="shared" si="105"/>
        <v>137107.03</v>
      </c>
      <c r="AD81">
        <f t="shared" si="78"/>
        <v>0</v>
      </c>
      <c r="AE81">
        <f t="shared" si="79"/>
        <v>0</v>
      </c>
      <c r="AF81">
        <f t="shared" si="80"/>
        <v>0</v>
      </c>
      <c r="AG81">
        <f t="shared" si="81"/>
        <v>0</v>
      </c>
      <c r="AH81">
        <f t="shared" si="82"/>
        <v>0</v>
      </c>
      <c r="AI81">
        <f t="shared" si="83"/>
        <v>0</v>
      </c>
      <c r="AJ81">
        <f t="shared" si="84"/>
        <v>0</v>
      </c>
      <c r="AK81">
        <v>137107.03</v>
      </c>
      <c r="AL81">
        <v>137107.03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70</v>
      </c>
      <c r="AU81">
        <v>10</v>
      </c>
      <c r="AV81">
        <v>1</v>
      </c>
      <c r="AW81">
        <v>1</v>
      </c>
      <c r="AZ81">
        <v>1</v>
      </c>
      <c r="BA81">
        <v>1</v>
      </c>
      <c r="BB81">
        <v>1</v>
      </c>
      <c r="BC81">
        <v>1</v>
      </c>
      <c r="BD81" t="s">
        <v>3</v>
      </c>
      <c r="BE81" t="s">
        <v>3</v>
      </c>
      <c r="BF81" t="s">
        <v>3</v>
      </c>
      <c r="BG81" t="s">
        <v>3</v>
      </c>
      <c r="BH81">
        <v>3</v>
      </c>
      <c r="BI81">
        <v>4</v>
      </c>
      <c r="BJ81" t="s">
        <v>140</v>
      </c>
      <c r="BM81">
        <v>0</v>
      </c>
      <c r="BN81">
        <v>0</v>
      </c>
      <c r="BO81" t="s">
        <v>3</v>
      </c>
      <c r="BP81">
        <v>0</v>
      </c>
      <c r="BQ81">
        <v>1</v>
      </c>
      <c r="BR81">
        <v>0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 t="s">
        <v>3</v>
      </c>
      <c r="BZ81">
        <v>70</v>
      </c>
      <c r="CA81">
        <v>10</v>
      </c>
      <c r="CE81">
        <v>0</v>
      </c>
      <c r="CF81">
        <v>0</v>
      </c>
      <c r="CG81">
        <v>0</v>
      </c>
      <c r="CM81">
        <v>0</v>
      </c>
      <c r="CN81" t="s">
        <v>3</v>
      </c>
      <c r="CO81">
        <v>0</v>
      </c>
      <c r="CP81">
        <f t="shared" si="85"/>
        <v>0</v>
      </c>
      <c r="CQ81">
        <f t="shared" si="86"/>
        <v>137107.03</v>
      </c>
      <c r="CR81">
        <f t="shared" si="87"/>
        <v>0</v>
      </c>
      <c r="CS81">
        <f t="shared" si="88"/>
        <v>0</v>
      </c>
      <c r="CT81">
        <f t="shared" si="89"/>
        <v>0</v>
      </c>
      <c r="CU81">
        <f t="shared" si="90"/>
        <v>0</v>
      </c>
      <c r="CV81">
        <f t="shared" si="91"/>
        <v>0</v>
      </c>
      <c r="CW81">
        <f t="shared" si="92"/>
        <v>0</v>
      </c>
      <c r="CX81">
        <f t="shared" si="93"/>
        <v>0</v>
      </c>
      <c r="CY81">
        <f t="shared" si="94"/>
        <v>0</v>
      </c>
      <c r="CZ81">
        <f t="shared" si="95"/>
        <v>0</v>
      </c>
      <c r="DC81" t="s">
        <v>3</v>
      </c>
      <c r="DD81" t="s">
        <v>3</v>
      </c>
      <c r="DE81" t="s">
        <v>3</v>
      </c>
      <c r="DF81" t="s">
        <v>3</v>
      </c>
      <c r="DG81" t="s">
        <v>3</v>
      </c>
      <c r="DH81" t="s">
        <v>3</v>
      </c>
      <c r="DI81" t="s">
        <v>3</v>
      </c>
      <c r="DJ81" t="s">
        <v>3</v>
      </c>
      <c r="DK81" t="s">
        <v>3</v>
      </c>
      <c r="DL81" t="s">
        <v>3</v>
      </c>
      <c r="DM81" t="s">
        <v>3</v>
      </c>
      <c r="DN81">
        <v>0</v>
      </c>
      <c r="DO81">
        <v>0</v>
      </c>
      <c r="DP81">
        <v>1</v>
      </c>
      <c r="DQ81">
        <v>1</v>
      </c>
      <c r="DU81">
        <v>1009</v>
      </c>
      <c r="DV81" t="s">
        <v>30</v>
      </c>
      <c r="DW81" t="s">
        <v>30</v>
      </c>
      <c r="DX81">
        <v>1000</v>
      </c>
      <c r="EE81">
        <v>38628631</v>
      </c>
      <c r="EF81">
        <v>1</v>
      </c>
      <c r="EG81" t="s">
        <v>24</v>
      </c>
      <c r="EH81">
        <v>0</v>
      </c>
      <c r="EI81" t="s">
        <v>3</v>
      </c>
      <c r="EJ81">
        <v>4</v>
      </c>
      <c r="EK81">
        <v>0</v>
      </c>
      <c r="EL81" t="s">
        <v>25</v>
      </c>
      <c r="EM81" t="s">
        <v>26</v>
      </c>
      <c r="EO81" t="s">
        <v>3</v>
      </c>
      <c r="EQ81">
        <v>0</v>
      </c>
      <c r="ER81">
        <v>137107.03</v>
      </c>
      <c r="ES81">
        <v>137107.03</v>
      </c>
      <c r="ET81">
        <v>0</v>
      </c>
      <c r="EU81">
        <v>0</v>
      </c>
      <c r="EV81">
        <v>0</v>
      </c>
      <c r="EW81">
        <v>0</v>
      </c>
      <c r="EX81">
        <v>0</v>
      </c>
      <c r="FQ81">
        <v>0</v>
      </c>
      <c r="FR81">
        <f t="shared" si="96"/>
        <v>0</v>
      </c>
      <c r="FS81">
        <v>0</v>
      </c>
      <c r="FX81">
        <v>70</v>
      </c>
      <c r="FY81">
        <v>10</v>
      </c>
      <c r="GA81" t="s">
        <v>3</v>
      </c>
      <c r="GD81">
        <v>0</v>
      </c>
      <c r="GF81">
        <v>1660198755</v>
      </c>
      <c r="GG81">
        <v>2</v>
      </c>
      <c r="GH81">
        <v>1</v>
      </c>
      <c r="GI81">
        <v>-2</v>
      </c>
      <c r="GJ81">
        <v>0</v>
      </c>
      <c r="GK81">
        <f>ROUND(R81*(R12)/100,2)</f>
        <v>0</v>
      </c>
      <c r="GL81">
        <f t="shared" si="97"/>
        <v>0</v>
      </c>
      <c r="GM81">
        <f t="shared" si="98"/>
        <v>0</v>
      </c>
      <c r="GN81">
        <f t="shared" si="99"/>
        <v>0</v>
      </c>
      <c r="GO81">
        <f t="shared" si="100"/>
        <v>0</v>
      </c>
      <c r="GP81">
        <f t="shared" si="101"/>
        <v>0</v>
      </c>
      <c r="GR81">
        <v>0</v>
      </c>
      <c r="GS81">
        <v>0</v>
      </c>
      <c r="GT81">
        <v>0</v>
      </c>
      <c r="GU81" t="s">
        <v>3</v>
      </c>
      <c r="GV81">
        <f t="shared" si="102"/>
        <v>0</v>
      </c>
      <c r="GW81">
        <v>1</v>
      </c>
      <c r="GX81">
        <f t="shared" si="103"/>
        <v>0</v>
      </c>
      <c r="HA81">
        <v>0</v>
      </c>
      <c r="HB81">
        <v>0</v>
      </c>
      <c r="HC81">
        <f t="shared" si="104"/>
        <v>0</v>
      </c>
      <c r="HE81" t="s">
        <v>3</v>
      </c>
      <c r="HF81" t="s">
        <v>3</v>
      </c>
      <c r="IK81">
        <v>0</v>
      </c>
    </row>
    <row r="82" spans="1:245" x14ac:dyDescent="0.2">
      <c r="A82">
        <v>18</v>
      </c>
      <c r="B82">
        <v>1</v>
      </c>
      <c r="C82">
        <v>22</v>
      </c>
      <c r="E82" t="s">
        <v>141</v>
      </c>
      <c r="F82" t="s">
        <v>125</v>
      </c>
      <c r="G82" t="s">
        <v>126</v>
      </c>
      <c r="H82" t="s">
        <v>123</v>
      </c>
      <c r="I82">
        <f>I79*J82</f>
        <v>0</v>
      </c>
      <c r="J82">
        <v>0</v>
      </c>
      <c r="O82">
        <f t="shared" si="66"/>
        <v>0</v>
      </c>
      <c r="P82">
        <f t="shared" si="67"/>
        <v>0</v>
      </c>
      <c r="Q82">
        <f t="shared" si="68"/>
        <v>0</v>
      </c>
      <c r="R82">
        <f t="shared" si="69"/>
        <v>0</v>
      </c>
      <c r="S82">
        <f t="shared" si="70"/>
        <v>0</v>
      </c>
      <c r="T82">
        <f t="shared" si="71"/>
        <v>0</v>
      </c>
      <c r="U82">
        <f t="shared" si="72"/>
        <v>0</v>
      </c>
      <c r="V82">
        <f t="shared" si="73"/>
        <v>0</v>
      </c>
      <c r="W82">
        <f t="shared" si="74"/>
        <v>0</v>
      </c>
      <c r="X82">
        <f t="shared" si="75"/>
        <v>0</v>
      </c>
      <c r="Y82">
        <f t="shared" si="76"/>
        <v>0</v>
      </c>
      <c r="AA82">
        <v>38214492</v>
      </c>
      <c r="AB82">
        <f t="shared" si="77"/>
        <v>1587.07</v>
      </c>
      <c r="AC82">
        <f t="shared" si="105"/>
        <v>1587.07</v>
      </c>
      <c r="AD82">
        <f t="shared" si="78"/>
        <v>0</v>
      </c>
      <c r="AE82">
        <f t="shared" si="79"/>
        <v>0</v>
      </c>
      <c r="AF82">
        <f t="shared" si="80"/>
        <v>0</v>
      </c>
      <c r="AG82">
        <f t="shared" si="81"/>
        <v>0</v>
      </c>
      <c r="AH82">
        <f t="shared" si="82"/>
        <v>0</v>
      </c>
      <c r="AI82">
        <f t="shared" si="83"/>
        <v>0</v>
      </c>
      <c r="AJ82">
        <f t="shared" si="84"/>
        <v>0</v>
      </c>
      <c r="AK82">
        <v>1587.07</v>
      </c>
      <c r="AL82">
        <v>1587.07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70</v>
      </c>
      <c r="AU82">
        <v>10</v>
      </c>
      <c r="AV82">
        <v>1</v>
      </c>
      <c r="AW82">
        <v>1</v>
      </c>
      <c r="AZ82">
        <v>1</v>
      </c>
      <c r="BA82">
        <v>1</v>
      </c>
      <c r="BB82">
        <v>1</v>
      </c>
      <c r="BC82">
        <v>1</v>
      </c>
      <c r="BD82" t="s">
        <v>3</v>
      </c>
      <c r="BE82" t="s">
        <v>3</v>
      </c>
      <c r="BF82" t="s">
        <v>3</v>
      </c>
      <c r="BG82" t="s">
        <v>3</v>
      </c>
      <c r="BH82">
        <v>3</v>
      </c>
      <c r="BI82">
        <v>4</v>
      </c>
      <c r="BJ82" t="s">
        <v>142</v>
      </c>
      <c r="BM82">
        <v>0</v>
      </c>
      <c r="BN82">
        <v>0</v>
      </c>
      <c r="BO82" t="s">
        <v>3</v>
      </c>
      <c r="BP82">
        <v>0</v>
      </c>
      <c r="BQ82">
        <v>1</v>
      </c>
      <c r="BR82">
        <v>0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 t="s">
        <v>3</v>
      </c>
      <c r="BZ82">
        <v>70</v>
      </c>
      <c r="CA82">
        <v>10</v>
      </c>
      <c r="CE82">
        <v>0</v>
      </c>
      <c r="CF82">
        <v>0</v>
      </c>
      <c r="CG82">
        <v>0</v>
      </c>
      <c r="CM82">
        <v>0</v>
      </c>
      <c r="CN82" t="s">
        <v>3</v>
      </c>
      <c r="CO82">
        <v>0</v>
      </c>
      <c r="CP82">
        <f t="shared" si="85"/>
        <v>0</v>
      </c>
      <c r="CQ82">
        <f t="shared" si="86"/>
        <v>1587.07</v>
      </c>
      <c r="CR82">
        <f t="shared" si="87"/>
        <v>0</v>
      </c>
      <c r="CS82">
        <f t="shared" si="88"/>
        <v>0</v>
      </c>
      <c r="CT82">
        <f t="shared" si="89"/>
        <v>0</v>
      </c>
      <c r="CU82">
        <f t="shared" si="90"/>
        <v>0</v>
      </c>
      <c r="CV82">
        <f t="shared" si="91"/>
        <v>0</v>
      </c>
      <c r="CW82">
        <f t="shared" si="92"/>
        <v>0</v>
      </c>
      <c r="CX82">
        <f t="shared" si="93"/>
        <v>0</v>
      </c>
      <c r="CY82">
        <f t="shared" si="94"/>
        <v>0</v>
      </c>
      <c r="CZ82">
        <f t="shared" si="95"/>
        <v>0</v>
      </c>
      <c r="DC82" t="s">
        <v>3</v>
      </c>
      <c r="DD82" t="s">
        <v>3</v>
      </c>
      <c r="DE82" t="s">
        <v>3</v>
      </c>
      <c r="DF82" t="s">
        <v>3</v>
      </c>
      <c r="DG82" t="s">
        <v>3</v>
      </c>
      <c r="DH82" t="s">
        <v>3</v>
      </c>
      <c r="DI82" t="s">
        <v>3</v>
      </c>
      <c r="DJ82" t="s">
        <v>3</v>
      </c>
      <c r="DK82" t="s">
        <v>3</v>
      </c>
      <c r="DL82" t="s">
        <v>3</v>
      </c>
      <c r="DM82" t="s">
        <v>3</v>
      </c>
      <c r="DN82">
        <v>0</v>
      </c>
      <c r="DO82">
        <v>0</v>
      </c>
      <c r="DP82">
        <v>1</v>
      </c>
      <c r="DQ82">
        <v>1</v>
      </c>
      <c r="DU82">
        <v>1010</v>
      </c>
      <c r="DV82" t="s">
        <v>123</v>
      </c>
      <c r="DW82" t="s">
        <v>123</v>
      </c>
      <c r="DX82">
        <v>1</v>
      </c>
      <c r="EE82">
        <v>38628631</v>
      </c>
      <c r="EF82">
        <v>1</v>
      </c>
      <c r="EG82" t="s">
        <v>24</v>
      </c>
      <c r="EH82">
        <v>0</v>
      </c>
      <c r="EI82" t="s">
        <v>3</v>
      </c>
      <c r="EJ82">
        <v>4</v>
      </c>
      <c r="EK82">
        <v>0</v>
      </c>
      <c r="EL82" t="s">
        <v>25</v>
      </c>
      <c r="EM82" t="s">
        <v>26</v>
      </c>
      <c r="EO82" t="s">
        <v>3</v>
      </c>
      <c r="EQ82">
        <v>0</v>
      </c>
      <c r="ER82">
        <v>1587.07</v>
      </c>
      <c r="ES82">
        <v>1587.07</v>
      </c>
      <c r="ET82">
        <v>0</v>
      </c>
      <c r="EU82">
        <v>0</v>
      </c>
      <c r="EV82">
        <v>0</v>
      </c>
      <c r="EW82">
        <v>0</v>
      </c>
      <c r="EX82">
        <v>0</v>
      </c>
      <c r="FQ82">
        <v>0</v>
      </c>
      <c r="FR82">
        <f t="shared" si="96"/>
        <v>0</v>
      </c>
      <c r="FS82">
        <v>0</v>
      </c>
      <c r="FX82">
        <v>70</v>
      </c>
      <c r="FY82">
        <v>10</v>
      </c>
      <c r="GA82" t="s">
        <v>3</v>
      </c>
      <c r="GD82">
        <v>0</v>
      </c>
      <c r="GF82">
        <v>1401279794</v>
      </c>
      <c r="GG82">
        <v>2</v>
      </c>
      <c r="GH82">
        <v>1</v>
      </c>
      <c r="GI82">
        <v>-2</v>
      </c>
      <c r="GJ82">
        <v>0</v>
      </c>
      <c r="GK82">
        <f>ROUND(R82*(R12)/100,2)</f>
        <v>0</v>
      </c>
      <c r="GL82">
        <f t="shared" si="97"/>
        <v>0</v>
      </c>
      <c r="GM82">
        <f t="shared" si="98"/>
        <v>0</v>
      </c>
      <c r="GN82">
        <f t="shared" si="99"/>
        <v>0</v>
      </c>
      <c r="GO82">
        <f t="shared" si="100"/>
        <v>0</v>
      </c>
      <c r="GP82">
        <f t="shared" si="101"/>
        <v>0</v>
      </c>
      <c r="GR82">
        <v>0</v>
      </c>
      <c r="GS82">
        <v>0</v>
      </c>
      <c r="GT82">
        <v>0</v>
      </c>
      <c r="GU82" t="s">
        <v>3</v>
      </c>
      <c r="GV82">
        <f t="shared" si="102"/>
        <v>0</v>
      </c>
      <c r="GW82">
        <v>1</v>
      </c>
      <c r="GX82">
        <f t="shared" si="103"/>
        <v>0</v>
      </c>
      <c r="HA82">
        <v>0</v>
      </c>
      <c r="HB82">
        <v>0</v>
      </c>
      <c r="HC82">
        <f t="shared" si="104"/>
        <v>0</v>
      </c>
      <c r="HE82" t="s">
        <v>3</v>
      </c>
      <c r="HF82" t="s">
        <v>3</v>
      </c>
      <c r="IK82">
        <v>0</v>
      </c>
    </row>
    <row r="83" spans="1:245" x14ac:dyDescent="0.2">
      <c r="A83">
        <v>17</v>
      </c>
      <c r="B83">
        <v>1</v>
      </c>
      <c r="C83">
        <f>ROW(SmtRes!A28)</f>
        <v>28</v>
      </c>
      <c r="D83">
        <f>ROW(EtalonRes!A25)</f>
        <v>25</v>
      </c>
      <c r="E83" t="s">
        <v>143</v>
      </c>
      <c r="F83" t="s">
        <v>116</v>
      </c>
      <c r="G83" t="s">
        <v>117</v>
      </c>
      <c r="H83" t="s">
        <v>118</v>
      </c>
      <c r="I83">
        <v>0</v>
      </c>
      <c r="J83">
        <v>0</v>
      </c>
      <c r="O83">
        <f t="shared" si="66"/>
        <v>0</v>
      </c>
      <c r="P83">
        <f t="shared" si="67"/>
        <v>0</v>
      </c>
      <c r="Q83">
        <f t="shared" si="68"/>
        <v>0</v>
      </c>
      <c r="R83">
        <f t="shared" si="69"/>
        <v>0</v>
      </c>
      <c r="S83">
        <f t="shared" si="70"/>
        <v>0</v>
      </c>
      <c r="T83">
        <f t="shared" si="71"/>
        <v>0</v>
      </c>
      <c r="U83">
        <f t="shared" si="72"/>
        <v>0</v>
      </c>
      <c r="V83">
        <f t="shared" si="73"/>
        <v>0</v>
      </c>
      <c r="W83">
        <f t="shared" si="74"/>
        <v>0</v>
      </c>
      <c r="X83">
        <f t="shared" si="75"/>
        <v>0</v>
      </c>
      <c r="Y83">
        <f t="shared" si="76"/>
        <v>0</v>
      </c>
      <c r="AA83">
        <v>38214492</v>
      </c>
      <c r="AB83">
        <f t="shared" si="77"/>
        <v>269260.87</v>
      </c>
      <c r="AC83">
        <f t="shared" si="105"/>
        <v>186279.39</v>
      </c>
      <c r="AD83">
        <f t="shared" si="78"/>
        <v>17028.830000000002</v>
      </c>
      <c r="AE83">
        <f t="shared" si="79"/>
        <v>8337.73</v>
      </c>
      <c r="AF83">
        <f t="shared" si="80"/>
        <v>65952.649999999994</v>
      </c>
      <c r="AG83">
        <f t="shared" si="81"/>
        <v>0</v>
      </c>
      <c r="AH83">
        <f t="shared" si="82"/>
        <v>342.54</v>
      </c>
      <c r="AI83">
        <f t="shared" si="83"/>
        <v>0</v>
      </c>
      <c r="AJ83">
        <f t="shared" si="84"/>
        <v>0</v>
      </c>
      <c r="AK83">
        <v>269260.87</v>
      </c>
      <c r="AL83">
        <v>186279.39</v>
      </c>
      <c r="AM83">
        <v>17028.830000000002</v>
      </c>
      <c r="AN83">
        <v>8337.73</v>
      </c>
      <c r="AO83">
        <v>65952.649999999994</v>
      </c>
      <c r="AP83">
        <v>0</v>
      </c>
      <c r="AQ83">
        <v>342.54</v>
      </c>
      <c r="AR83">
        <v>0</v>
      </c>
      <c r="AS83">
        <v>0</v>
      </c>
      <c r="AT83">
        <v>70</v>
      </c>
      <c r="AU83">
        <v>10</v>
      </c>
      <c r="AV83">
        <v>1</v>
      </c>
      <c r="AW83">
        <v>1</v>
      </c>
      <c r="AZ83">
        <v>1</v>
      </c>
      <c r="BA83">
        <v>1</v>
      </c>
      <c r="BB83">
        <v>1</v>
      </c>
      <c r="BC83">
        <v>1</v>
      </c>
      <c r="BD83" t="s">
        <v>3</v>
      </c>
      <c r="BE83" t="s">
        <v>3</v>
      </c>
      <c r="BF83" t="s">
        <v>3</v>
      </c>
      <c r="BG83" t="s">
        <v>3</v>
      </c>
      <c r="BH83">
        <v>0</v>
      </c>
      <c r="BI83">
        <v>4</v>
      </c>
      <c r="BJ83" t="s">
        <v>119</v>
      </c>
      <c r="BM83">
        <v>0</v>
      </c>
      <c r="BN83">
        <v>0</v>
      </c>
      <c r="BO83" t="s">
        <v>3</v>
      </c>
      <c r="BP83">
        <v>0</v>
      </c>
      <c r="BQ83">
        <v>1</v>
      </c>
      <c r="BR83">
        <v>0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 t="s">
        <v>3</v>
      </c>
      <c r="BZ83">
        <v>70</v>
      </c>
      <c r="CA83">
        <v>10</v>
      </c>
      <c r="CE83">
        <v>0</v>
      </c>
      <c r="CF83">
        <v>0</v>
      </c>
      <c r="CG83">
        <v>0</v>
      </c>
      <c r="CM83">
        <v>0</v>
      </c>
      <c r="CN83" t="s">
        <v>3</v>
      </c>
      <c r="CO83">
        <v>0</v>
      </c>
      <c r="CP83">
        <f t="shared" si="85"/>
        <v>0</v>
      </c>
      <c r="CQ83">
        <f t="shared" si="86"/>
        <v>186279.39</v>
      </c>
      <c r="CR83">
        <f t="shared" si="87"/>
        <v>17028.830000000002</v>
      </c>
      <c r="CS83">
        <f t="shared" si="88"/>
        <v>8337.73</v>
      </c>
      <c r="CT83">
        <f t="shared" si="89"/>
        <v>65952.649999999994</v>
      </c>
      <c r="CU83">
        <f t="shared" si="90"/>
        <v>0</v>
      </c>
      <c r="CV83">
        <f t="shared" si="91"/>
        <v>342.54</v>
      </c>
      <c r="CW83">
        <f t="shared" si="92"/>
        <v>0</v>
      </c>
      <c r="CX83">
        <f t="shared" si="93"/>
        <v>0</v>
      </c>
      <c r="CY83">
        <f t="shared" si="94"/>
        <v>0</v>
      </c>
      <c r="CZ83">
        <f t="shared" si="95"/>
        <v>0</v>
      </c>
      <c r="DC83" t="s">
        <v>3</v>
      </c>
      <c r="DD83" t="s">
        <v>3</v>
      </c>
      <c r="DE83" t="s">
        <v>3</v>
      </c>
      <c r="DF83" t="s">
        <v>3</v>
      </c>
      <c r="DG83" t="s">
        <v>3</v>
      </c>
      <c r="DH83" t="s">
        <v>3</v>
      </c>
      <c r="DI83" t="s">
        <v>3</v>
      </c>
      <c r="DJ83" t="s">
        <v>3</v>
      </c>
      <c r="DK83" t="s">
        <v>3</v>
      </c>
      <c r="DL83" t="s">
        <v>3</v>
      </c>
      <c r="DM83" t="s">
        <v>3</v>
      </c>
      <c r="DN83">
        <v>0</v>
      </c>
      <c r="DO83">
        <v>0</v>
      </c>
      <c r="DP83">
        <v>1</v>
      </c>
      <c r="DQ83">
        <v>1</v>
      </c>
      <c r="DU83">
        <v>1010</v>
      </c>
      <c r="DV83" t="s">
        <v>118</v>
      </c>
      <c r="DW83" t="s">
        <v>118</v>
      </c>
      <c r="DX83">
        <v>100</v>
      </c>
      <c r="EE83">
        <v>38628631</v>
      </c>
      <c r="EF83">
        <v>1</v>
      </c>
      <c r="EG83" t="s">
        <v>24</v>
      </c>
      <c r="EH83">
        <v>0</v>
      </c>
      <c r="EI83" t="s">
        <v>3</v>
      </c>
      <c r="EJ83">
        <v>4</v>
      </c>
      <c r="EK83">
        <v>0</v>
      </c>
      <c r="EL83" t="s">
        <v>25</v>
      </c>
      <c r="EM83" t="s">
        <v>26</v>
      </c>
      <c r="EO83" t="s">
        <v>3</v>
      </c>
      <c r="EQ83">
        <v>0</v>
      </c>
      <c r="ER83">
        <v>269260.87</v>
      </c>
      <c r="ES83">
        <v>186279.39</v>
      </c>
      <c r="ET83">
        <v>17028.830000000002</v>
      </c>
      <c r="EU83">
        <v>8337.73</v>
      </c>
      <c r="EV83">
        <v>65952.649999999994</v>
      </c>
      <c r="EW83">
        <v>342.54</v>
      </c>
      <c r="EX83">
        <v>0</v>
      </c>
      <c r="EY83">
        <v>0</v>
      </c>
      <c r="FQ83">
        <v>0</v>
      </c>
      <c r="FR83">
        <f t="shared" si="96"/>
        <v>0</v>
      </c>
      <c r="FS83">
        <v>0</v>
      </c>
      <c r="FX83">
        <v>70</v>
      </c>
      <c r="FY83">
        <v>10</v>
      </c>
      <c r="GA83" t="s">
        <v>3</v>
      </c>
      <c r="GD83">
        <v>0</v>
      </c>
      <c r="GF83">
        <v>825732605</v>
      </c>
      <c r="GG83">
        <v>2</v>
      </c>
      <c r="GH83">
        <v>1</v>
      </c>
      <c r="GI83">
        <v>-2</v>
      </c>
      <c r="GJ83">
        <v>0</v>
      </c>
      <c r="GK83">
        <f>ROUND(R83*(R12)/100,2)</f>
        <v>0</v>
      </c>
      <c r="GL83">
        <f t="shared" si="97"/>
        <v>0</v>
      </c>
      <c r="GM83">
        <f t="shared" si="98"/>
        <v>0</v>
      </c>
      <c r="GN83">
        <f t="shared" si="99"/>
        <v>0</v>
      </c>
      <c r="GO83">
        <f t="shared" si="100"/>
        <v>0</v>
      </c>
      <c r="GP83">
        <f t="shared" si="101"/>
        <v>0</v>
      </c>
      <c r="GR83">
        <v>0</v>
      </c>
      <c r="GS83">
        <v>3</v>
      </c>
      <c r="GT83">
        <v>0</v>
      </c>
      <c r="GU83" t="s">
        <v>3</v>
      </c>
      <c r="GV83">
        <f t="shared" si="102"/>
        <v>0</v>
      </c>
      <c r="GW83">
        <v>1</v>
      </c>
      <c r="GX83">
        <f t="shared" si="103"/>
        <v>0</v>
      </c>
      <c r="HA83">
        <v>0</v>
      </c>
      <c r="HB83">
        <v>0</v>
      </c>
      <c r="HC83">
        <f t="shared" si="104"/>
        <v>0</v>
      </c>
      <c r="HE83" t="s">
        <v>3</v>
      </c>
      <c r="HF83" t="s">
        <v>3</v>
      </c>
      <c r="IK83">
        <v>0</v>
      </c>
    </row>
    <row r="84" spans="1:245" x14ac:dyDescent="0.2">
      <c r="A84">
        <v>18</v>
      </c>
      <c r="B84">
        <v>1</v>
      </c>
      <c r="C84">
        <v>28</v>
      </c>
      <c r="E84" t="s">
        <v>144</v>
      </c>
      <c r="F84" t="s">
        <v>121</v>
      </c>
      <c r="G84" t="s">
        <v>122</v>
      </c>
      <c r="H84" t="s">
        <v>123</v>
      </c>
      <c r="I84">
        <f>I83*J84</f>
        <v>0</v>
      </c>
      <c r="J84">
        <v>100</v>
      </c>
      <c r="O84">
        <f t="shared" si="66"/>
        <v>0</v>
      </c>
      <c r="P84">
        <f t="shared" si="67"/>
        <v>0</v>
      </c>
      <c r="Q84">
        <f t="shared" si="68"/>
        <v>0</v>
      </c>
      <c r="R84">
        <f t="shared" si="69"/>
        <v>0</v>
      </c>
      <c r="S84">
        <f t="shared" si="70"/>
        <v>0</v>
      </c>
      <c r="T84">
        <f t="shared" si="71"/>
        <v>0</v>
      </c>
      <c r="U84">
        <f t="shared" si="72"/>
        <v>0</v>
      </c>
      <c r="V84">
        <f t="shared" si="73"/>
        <v>0</v>
      </c>
      <c r="W84">
        <f t="shared" si="74"/>
        <v>0</v>
      </c>
      <c r="X84">
        <f t="shared" si="75"/>
        <v>0</v>
      </c>
      <c r="Y84">
        <f t="shared" si="76"/>
        <v>0</v>
      </c>
      <c r="AA84">
        <v>38214492</v>
      </c>
      <c r="AB84">
        <f t="shared" si="77"/>
        <v>0</v>
      </c>
      <c r="AC84">
        <f t="shared" si="105"/>
        <v>0</v>
      </c>
      <c r="AD84">
        <f t="shared" si="78"/>
        <v>0</v>
      </c>
      <c r="AE84">
        <f t="shared" si="79"/>
        <v>0</v>
      </c>
      <c r="AF84">
        <f t="shared" si="80"/>
        <v>0</v>
      </c>
      <c r="AG84">
        <f t="shared" si="81"/>
        <v>0</v>
      </c>
      <c r="AH84">
        <f t="shared" si="82"/>
        <v>0</v>
      </c>
      <c r="AI84">
        <f t="shared" si="83"/>
        <v>0</v>
      </c>
      <c r="AJ84">
        <f t="shared" si="84"/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70</v>
      </c>
      <c r="AU84">
        <v>10</v>
      </c>
      <c r="AV84">
        <v>1</v>
      </c>
      <c r="AW84">
        <v>1</v>
      </c>
      <c r="AZ84">
        <v>1</v>
      </c>
      <c r="BA84">
        <v>1</v>
      </c>
      <c r="BB84">
        <v>1</v>
      </c>
      <c r="BC84">
        <v>1</v>
      </c>
      <c r="BD84" t="s">
        <v>3</v>
      </c>
      <c r="BE84" t="s">
        <v>3</v>
      </c>
      <c r="BF84" t="s">
        <v>3</v>
      </c>
      <c r="BG84" t="s">
        <v>3</v>
      </c>
      <c r="BH84">
        <v>3</v>
      </c>
      <c r="BI84">
        <v>4</v>
      </c>
      <c r="BJ84" t="s">
        <v>3</v>
      </c>
      <c r="BM84">
        <v>0</v>
      </c>
      <c r="BN84">
        <v>0</v>
      </c>
      <c r="BO84" t="s">
        <v>3</v>
      </c>
      <c r="BP84">
        <v>0</v>
      </c>
      <c r="BQ84">
        <v>1</v>
      </c>
      <c r="BR84">
        <v>0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 t="s">
        <v>3</v>
      </c>
      <c r="BZ84">
        <v>70</v>
      </c>
      <c r="CA84">
        <v>10</v>
      </c>
      <c r="CE84">
        <v>0</v>
      </c>
      <c r="CF84">
        <v>0</v>
      </c>
      <c r="CG84">
        <v>0</v>
      </c>
      <c r="CM84">
        <v>0</v>
      </c>
      <c r="CN84" t="s">
        <v>3</v>
      </c>
      <c r="CO84">
        <v>0</v>
      </c>
      <c r="CP84">
        <f t="shared" si="85"/>
        <v>0</v>
      </c>
      <c r="CQ84">
        <f t="shared" si="86"/>
        <v>0</v>
      </c>
      <c r="CR84">
        <f t="shared" si="87"/>
        <v>0</v>
      </c>
      <c r="CS84">
        <f t="shared" si="88"/>
        <v>0</v>
      </c>
      <c r="CT84">
        <f t="shared" si="89"/>
        <v>0</v>
      </c>
      <c r="CU84">
        <f t="shared" si="90"/>
        <v>0</v>
      </c>
      <c r="CV84">
        <f t="shared" si="91"/>
        <v>0</v>
      </c>
      <c r="CW84">
        <f t="shared" si="92"/>
        <v>0</v>
      </c>
      <c r="CX84">
        <f t="shared" si="93"/>
        <v>0</v>
      </c>
      <c r="CY84">
        <f t="shared" si="94"/>
        <v>0</v>
      </c>
      <c r="CZ84">
        <f t="shared" si="95"/>
        <v>0</v>
      </c>
      <c r="DC84" t="s">
        <v>3</v>
      </c>
      <c r="DD84" t="s">
        <v>3</v>
      </c>
      <c r="DE84" t="s">
        <v>3</v>
      </c>
      <c r="DF84" t="s">
        <v>3</v>
      </c>
      <c r="DG84" t="s">
        <v>3</v>
      </c>
      <c r="DH84" t="s">
        <v>3</v>
      </c>
      <c r="DI84" t="s">
        <v>3</v>
      </c>
      <c r="DJ84" t="s">
        <v>3</v>
      </c>
      <c r="DK84" t="s">
        <v>3</v>
      </c>
      <c r="DL84" t="s">
        <v>3</v>
      </c>
      <c r="DM84" t="s">
        <v>3</v>
      </c>
      <c r="DN84">
        <v>0</v>
      </c>
      <c r="DO84">
        <v>0</v>
      </c>
      <c r="DP84">
        <v>1</v>
      </c>
      <c r="DQ84">
        <v>1</v>
      </c>
      <c r="DU84">
        <v>1010</v>
      </c>
      <c r="DV84" t="s">
        <v>123</v>
      </c>
      <c r="DW84" t="s">
        <v>123</v>
      </c>
      <c r="DX84">
        <v>1</v>
      </c>
      <c r="EE84">
        <v>38628631</v>
      </c>
      <c r="EF84">
        <v>1</v>
      </c>
      <c r="EG84" t="s">
        <v>24</v>
      </c>
      <c r="EH84">
        <v>0</v>
      </c>
      <c r="EI84" t="s">
        <v>3</v>
      </c>
      <c r="EJ84">
        <v>4</v>
      </c>
      <c r="EK84">
        <v>0</v>
      </c>
      <c r="EL84" t="s">
        <v>25</v>
      </c>
      <c r="EM84" t="s">
        <v>26</v>
      </c>
      <c r="EO84" t="s">
        <v>3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FQ84">
        <v>0</v>
      </c>
      <c r="FR84">
        <f t="shared" si="96"/>
        <v>0</v>
      </c>
      <c r="FS84">
        <v>0</v>
      </c>
      <c r="FX84">
        <v>70</v>
      </c>
      <c r="FY84">
        <v>10</v>
      </c>
      <c r="GA84" t="s">
        <v>3</v>
      </c>
      <c r="GD84">
        <v>0</v>
      </c>
      <c r="GF84">
        <v>-384883469</v>
      </c>
      <c r="GG84">
        <v>2</v>
      </c>
      <c r="GH84">
        <v>1</v>
      </c>
      <c r="GI84">
        <v>-2</v>
      </c>
      <c r="GJ84">
        <v>0</v>
      </c>
      <c r="GK84">
        <f>ROUND(R84*(R12)/100,2)</f>
        <v>0</v>
      </c>
      <c r="GL84">
        <f t="shared" si="97"/>
        <v>0</v>
      </c>
      <c r="GM84">
        <f t="shared" si="98"/>
        <v>0</v>
      </c>
      <c r="GN84">
        <f t="shared" si="99"/>
        <v>0</v>
      </c>
      <c r="GO84">
        <f t="shared" si="100"/>
        <v>0</v>
      </c>
      <c r="GP84">
        <f t="shared" si="101"/>
        <v>0</v>
      </c>
      <c r="GR84">
        <v>0</v>
      </c>
      <c r="GS84">
        <v>3</v>
      </c>
      <c r="GT84">
        <v>0</v>
      </c>
      <c r="GU84" t="s">
        <v>3</v>
      </c>
      <c r="GV84">
        <f t="shared" si="102"/>
        <v>0</v>
      </c>
      <c r="GW84">
        <v>1</v>
      </c>
      <c r="GX84">
        <f t="shared" si="103"/>
        <v>0</v>
      </c>
      <c r="HA84">
        <v>0</v>
      </c>
      <c r="HB84">
        <v>0</v>
      </c>
      <c r="HC84">
        <f t="shared" si="104"/>
        <v>0</v>
      </c>
      <c r="HE84" t="s">
        <v>3</v>
      </c>
      <c r="HF84" t="s">
        <v>3</v>
      </c>
      <c r="IK84">
        <v>0</v>
      </c>
    </row>
    <row r="85" spans="1:245" x14ac:dyDescent="0.2">
      <c r="A85">
        <v>18</v>
      </c>
      <c r="B85">
        <v>1</v>
      </c>
      <c r="C85">
        <v>27</v>
      </c>
      <c r="E85" t="s">
        <v>145</v>
      </c>
      <c r="F85" t="s">
        <v>125</v>
      </c>
      <c r="G85" t="s">
        <v>126</v>
      </c>
      <c r="H85" t="s">
        <v>123</v>
      </c>
      <c r="I85">
        <f>I83*J85</f>
        <v>0</v>
      </c>
      <c r="J85">
        <v>-100</v>
      </c>
      <c r="O85">
        <f t="shared" si="66"/>
        <v>0</v>
      </c>
      <c r="P85">
        <f t="shared" si="67"/>
        <v>0</v>
      </c>
      <c r="Q85">
        <f t="shared" si="68"/>
        <v>0</v>
      </c>
      <c r="R85">
        <f t="shared" si="69"/>
        <v>0</v>
      </c>
      <c r="S85">
        <f t="shared" si="70"/>
        <v>0</v>
      </c>
      <c r="T85">
        <f t="shared" si="71"/>
        <v>0</v>
      </c>
      <c r="U85">
        <f t="shared" si="72"/>
        <v>0</v>
      </c>
      <c r="V85">
        <f t="shared" si="73"/>
        <v>0</v>
      </c>
      <c r="W85">
        <f t="shared" si="74"/>
        <v>0</v>
      </c>
      <c r="X85">
        <f t="shared" si="75"/>
        <v>0</v>
      </c>
      <c r="Y85">
        <f t="shared" si="76"/>
        <v>0</v>
      </c>
      <c r="AA85">
        <v>38214492</v>
      </c>
      <c r="AB85">
        <f t="shared" si="77"/>
        <v>1799.61</v>
      </c>
      <c r="AC85">
        <f t="shared" si="105"/>
        <v>1799.61</v>
      </c>
      <c r="AD85">
        <f t="shared" si="78"/>
        <v>0</v>
      </c>
      <c r="AE85">
        <f t="shared" si="79"/>
        <v>0</v>
      </c>
      <c r="AF85">
        <f t="shared" si="80"/>
        <v>0</v>
      </c>
      <c r="AG85">
        <f t="shared" si="81"/>
        <v>0</v>
      </c>
      <c r="AH85">
        <f t="shared" si="82"/>
        <v>0</v>
      </c>
      <c r="AI85">
        <f t="shared" si="83"/>
        <v>0</v>
      </c>
      <c r="AJ85">
        <f t="shared" si="84"/>
        <v>0</v>
      </c>
      <c r="AK85">
        <v>1799.61</v>
      </c>
      <c r="AL85">
        <v>1799.61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70</v>
      </c>
      <c r="AU85">
        <v>10</v>
      </c>
      <c r="AV85">
        <v>1</v>
      </c>
      <c r="AW85">
        <v>1</v>
      </c>
      <c r="AZ85">
        <v>1</v>
      </c>
      <c r="BA85">
        <v>1</v>
      </c>
      <c r="BB85">
        <v>1</v>
      </c>
      <c r="BC85">
        <v>1</v>
      </c>
      <c r="BD85" t="s">
        <v>3</v>
      </c>
      <c r="BE85" t="s">
        <v>3</v>
      </c>
      <c r="BF85" t="s">
        <v>3</v>
      </c>
      <c r="BG85" t="s">
        <v>3</v>
      </c>
      <c r="BH85">
        <v>3</v>
      </c>
      <c r="BI85">
        <v>4</v>
      </c>
      <c r="BJ85" t="s">
        <v>127</v>
      </c>
      <c r="BM85">
        <v>0</v>
      </c>
      <c r="BN85">
        <v>0</v>
      </c>
      <c r="BO85" t="s">
        <v>3</v>
      </c>
      <c r="BP85">
        <v>0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 t="s">
        <v>3</v>
      </c>
      <c r="BZ85">
        <v>70</v>
      </c>
      <c r="CA85">
        <v>10</v>
      </c>
      <c r="CE85">
        <v>0</v>
      </c>
      <c r="CF85">
        <v>0</v>
      </c>
      <c r="CG85">
        <v>0</v>
      </c>
      <c r="CM85">
        <v>0</v>
      </c>
      <c r="CN85" t="s">
        <v>3</v>
      </c>
      <c r="CO85">
        <v>0</v>
      </c>
      <c r="CP85">
        <f t="shared" si="85"/>
        <v>0</v>
      </c>
      <c r="CQ85">
        <f t="shared" si="86"/>
        <v>1799.61</v>
      </c>
      <c r="CR85">
        <f t="shared" si="87"/>
        <v>0</v>
      </c>
      <c r="CS85">
        <f t="shared" si="88"/>
        <v>0</v>
      </c>
      <c r="CT85">
        <f t="shared" si="89"/>
        <v>0</v>
      </c>
      <c r="CU85">
        <f t="shared" si="90"/>
        <v>0</v>
      </c>
      <c r="CV85">
        <f t="shared" si="91"/>
        <v>0</v>
      </c>
      <c r="CW85">
        <f t="shared" si="92"/>
        <v>0</v>
      </c>
      <c r="CX85">
        <f t="shared" si="93"/>
        <v>0</v>
      </c>
      <c r="CY85">
        <f t="shared" si="94"/>
        <v>0</v>
      </c>
      <c r="CZ85">
        <f t="shared" si="95"/>
        <v>0</v>
      </c>
      <c r="DC85" t="s">
        <v>3</v>
      </c>
      <c r="DD85" t="s">
        <v>3</v>
      </c>
      <c r="DE85" t="s">
        <v>3</v>
      </c>
      <c r="DF85" t="s">
        <v>3</v>
      </c>
      <c r="DG85" t="s">
        <v>3</v>
      </c>
      <c r="DH85" t="s">
        <v>3</v>
      </c>
      <c r="DI85" t="s">
        <v>3</v>
      </c>
      <c r="DJ85" t="s">
        <v>3</v>
      </c>
      <c r="DK85" t="s">
        <v>3</v>
      </c>
      <c r="DL85" t="s">
        <v>3</v>
      </c>
      <c r="DM85" t="s">
        <v>3</v>
      </c>
      <c r="DN85">
        <v>0</v>
      </c>
      <c r="DO85">
        <v>0</v>
      </c>
      <c r="DP85">
        <v>1</v>
      </c>
      <c r="DQ85">
        <v>1</v>
      </c>
      <c r="DU85">
        <v>1010</v>
      </c>
      <c r="DV85" t="s">
        <v>123</v>
      </c>
      <c r="DW85" t="s">
        <v>123</v>
      </c>
      <c r="DX85">
        <v>1</v>
      </c>
      <c r="EE85">
        <v>38628631</v>
      </c>
      <c r="EF85">
        <v>1</v>
      </c>
      <c r="EG85" t="s">
        <v>24</v>
      </c>
      <c r="EH85">
        <v>0</v>
      </c>
      <c r="EI85" t="s">
        <v>3</v>
      </c>
      <c r="EJ85">
        <v>4</v>
      </c>
      <c r="EK85">
        <v>0</v>
      </c>
      <c r="EL85" t="s">
        <v>25</v>
      </c>
      <c r="EM85" t="s">
        <v>26</v>
      </c>
      <c r="EO85" t="s">
        <v>3</v>
      </c>
      <c r="EQ85">
        <v>0</v>
      </c>
      <c r="ER85">
        <v>1799.61</v>
      </c>
      <c r="ES85">
        <v>1799.61</v>
      </c>
      <c r="ET85">
        <v>0</v>
      </c>
      <c r="EU85">
        <v>0</v>
      </c>
      <c r="EV85">
        <v>0</v>
      </c>
      <c r="EW85">
        <v>0</v>
      </c>
      <c r="EX85">
        <v>0</v>
      </c>
      <c r="FQ85">
        <v>0</v>
      </c>
      <c r="FR85">
        <f t="shared" si="96"/>
        <v>0</v>
      </c>
      <c r="FS85">
        <v>0</v>
      </c>
      <c r="FX85">
        <v>70</v>
      </c>
      <c r="FY85">
        <v>10</v>
      </c>
      <c r="GA85" t="s">
        <v>3</v>
      </c>
      <c r="GD85">
        <v>0</v>
      </c>
      <c r="GF85">
        <v>-941032314</v>
      </c>
      <c r="GG85">
        <v>2</v>
      </c>
      <c r="GH85">
        <v>1</v>
      </c>
      <c r="GI85">
        <v>-2</v>
      </c>
      <c r="GJ85">
        <v>0</v>
      </c>
      <c r="GK85">
        <f>ROUND(R85*(R12)/100,2)</f>
        <v>0</v>
      </c>
      <c r="GL85">
        <f t="shared" si="97"/>
        <v>0</v>
      </c>
      <c r="GM85">
        <f t="shared" si="98"/>
        <v>0</v>
      </c>
      <c r="GN85">
        <f t="shared" si="99"/>
        <v>0</v>
      </c>
      <c r="GO85">
        <f t="shared" si="100"/>
        <v>0</v>
      </c>
      <c r="GP85">
        <f t="shared" si="101"/>
        <v>0</v>
      </c>
      <c r="GR85">
        <v>0</v>
      </c>
      <c r="GS85">
        <v>3</v>
      </c>
      <c r="GT85">
        <v>0</v>
      </c>
      <c r="GU85" t="s">
        <v>3</v>
      </c>
      <c r="GV85">
        <f t="shared" si="102"/>
        <v>0</v>
      </c>
      <c r="GW85">
        <v>1</v>
      </c>
      <c r="GX85">
        <f t="shared" si="103"/>
        <v>0</v>
      </c>
      <c r="HA85">
        <v>0</v>
      </c>
      <c r="HB85">
        <v>0</v>
      </c>
      <c r="HC85">
        <f t="shared" si="104"/>
        <v>0</v>
      </c>
      <c r="HE85" t="s">
        <v>3</v>
      </c>
      <c r="HF85" t="s">
        <v>3</v>
      </c>
      <c r="IK85">
        <v>0</v>
      </c>
    </row>
    <row r="86" spans="1:245" x14ac:dyDescent="0.2">
      <c r="A86">
        <v>17</v>
      </c>
      <c r="B86">
        <v>1</v>
      </c>
      <c r="E86" t="s">
        <v>146</v>
      </c>
      <c r="F86" t="s">
        <v>147</v>
      </c>
      <c r="G86" t="s">
        <v>148</v>
      </c>
      <c r="H86" t="s">
        <v>118</v>
      </c>
      <c r="I86">
        <v>0</v>
      </c>
      <c r="J86">
        <v>0</v>
      </c>
      <c r="O86">
        <f t="shared" si="66"/>
        <v>0</v>
      </c>
      <c r="P86">
        <f t="shared" si="67"/>
        <v>0</v>
      </c>
      <c r="Q86">
        <f t="shared" si="68"/>
        <v>0</v>
      </c>
      <c r="R86">
        <f t="shared" si="69"/>
        <v>0</v>
      </c>
      <c r="S86">
        <f t="shared" si="70"/>
        <v>0</v>
      </c>
      <c r="T86">
        <f t="shared" si="71"/>
        <v>0</v>
      </c>
      <c r="U86">
        <f t="shared" si="72"/>
        <v>0</v>
      </c>
      <c r="V86">
        <f t="shared" si="73"/>
        <v>0</v>
      </c>
      <c r="W86">
        <f t="shared" si="74"/>
        <v>0</v>
      </c>
      <c r="X86">
        <f t="shared" si="75"/>
        <v>0</v>
      </c>
      <c r="Y86">
        <f t="shared" si="76"/>
        <v>0</v>
      </c>
      <c r="AA86">
        <v>38214492</v>
      </c>
      <c r="AB86">
        <f t="shared" si="77"/>
        <v>593822.46</v>
      </c>
      <c r="AC86">
        <f t="shared" si="105"/>
        <v>117473.42</v>
      </c>
      <c r="AD86">
        <f t="shared" si="78"/>
        <v>10124.33</v>
      </c>
      <c r="AE86">
        <f t="shared" si="79"/>
        <v>4204.9799999999996</v>
      </c>
      <c r="AF86">
        <f t="shared" si="80"/>
        <v>466224.71</v>
      </c>
      <c r="AG86">
        <f t="shared" si="81"/>
        <v>0</v>
      </c>
      <c r="AH86">
        <f t="shared" si="82"/>
        <v>2047</v>
      </c>
      <c r="AI86">
        <f t="shared" si="83"/>
        <v>0</v>
      </c>
      <c r="AJ86">
        <f t="shared" si="84"/>
        <v>0</v>
      </c>
      <c r="AK86">
        <v>593822.46</v>
      </c>
      <c r="AL86">
        <v>117473.42</v>
      </c>
      <c r="AM86">
        <v>10124.33</v>
      </c>
      <c r="AN86">
        <v>4204.9799999999996</v>
      </c>
      <c r="AO86">
        <v>466224.71</v>
      </c>
      <c r="AP86">
        <v>0</v>
      </c>
      <c r="AQ86">
        <v>2047</v>
      </c>
      <c r="AR86">
        <v>0</v>
      </c>
      <c r="AS86">
        <v>0</v>
      </c>
      <c r="AT86">
        <v>70</v>
      </c>
      <c r="AU86">
        <v>10</v>
      </c>
      <c r="AV86">
        <v>1</v>
      </c>
      <c r="AW86">
        <v>1</v>
      </c>
      <c r="AZ86">
        <v>1</v>
      </c>
      <c r="BA86">
        <v>1</v>
      </c>
      <c r="BB86">
        <v>1</v>
      </c>
      <c r="BC86">
        <v>1</v>
      </c>
      <c r="BD86" t="s">
        <v>3</v>
      </c>
      <c r="BE86" t="s">
        <v>3</v>
      </c>
      <c r="BF86" t="s">
        <v>3</v>
      </c>
      <c r="BG86" t="s">
        <v>3</v>
      </c>
      <c r="BH86">
        <v>0</v>
      </c>
      <c r="BI86">
        <v>4</v>
      </c>
      <c r="BJ86" t="s">
        <v>149</v>
      </c>
      <c r="BM86">
        <v>0</v>
      </c>
      <c r="BN86">
        <v>0</v>
      </c>
      <c r="BO86" t="s">
        <v>3</v>
      </c>
      <c r="BP86">
        <v>0</v>
      </c>
      <c r="BQ86">
        <v>1</v>
      </c>
      <c r="BR86">
        <v>0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 t="s">
        <v>3</v>
      </c>
      <c r="BZ86">
        <v>70</v>
      </c>
      <c r="CA86">
        <v>10</v>
      </c>
      <c r="CE86">
        <v>0</v>
      </c>
      <c r="CF86">
        <v>0</v>
      </c>
      <c r="CG86">
        <v>0</v>
      </c>
      <c r="CM86">
        <v>0</v>
      </c>
      <c r="CN86" t="s">
        <v>3</v>
      </c>
      <c r="CO86">
        <v>0</v>
      </c>
      <c r="CP86">
        <f t="shared" si="85"/>
        <v>0</v>
      </c>
      <c r="CQ86">
        <f t="shared" si="86"/>
        <v>117473.42</v>
      </c>
      <c r="CR86">
        <f t="shared" si="87"/>
        <v>10124.33</v>
      </c>
      <c r="CS86">
        <f t="shared" si="88"/>
        <v>4204.9799999999996</v>
      </c>
      <c r="CT86">
        <f t="shared" si="89"/>
        <v>466224.71</v>
      </c>
      <c r="CU86">
        <f t="shared" si="90"/>
        <v>0</v>
      </c>
      <c r="CV86">
        <f t="shared" si="91"/>
        <v>2047</v>
      </c>
      <c r="CW86">
        <f t="shared" si="92"/>
        <v>0</v>
      </c>
      <c r="CX86">
        <f t="shared" si="93"/>
        <v>0</v>
      </c>
      <c r="CY86">
        <f t="shared" si="94"/>
        <v>0</v>
      </c>
      <c r="CZ86">
        <f t="shared" si="95"/>
        <v>0</v>
      </c>
      <c r="DC86" t="s">
        <v>3</v>
      </c>
      <c r="DD86" t="s">
        <v>3</v>
      </c>
      <c r="DE86" t="s">
        <v>3</v>
      </c>
      <c r="DF86" t="s">
        <v>3</v>
      </c>
      <c r="DG86" t="s">
        <v>3</v>
      </c>
      <c r="DH86" t="s">
        <v>3</v>
      </c>
      <c r="DI86" t="s">
        <v>3</v>
      </c>
      <c r="DJ86" t="s">
        <v>3</v>
      </c>
      <c r="DK86" t="s">
        <v>3</v>
      </c>
      <c r="DL86" t="s">
        <v>3</v>
      </c>
      <c r="DM86" t="s">
        <v>3</v>
      </c>
      <c r="DN86">
        <v>0</v>
      </c>
      <c r="DO86">
        <v>0</v>
      </c>
      <c r="DP86">
        <v>1</v>
      </c>
      <c r="DQ86">
        <v>1</v>
      </c>
      <c r="DU86">
        <v>1010</v>
      </c>
      <c r="DV86" t="s">
        <v>118</v>
      </c>
      <c r="DW86" t="s">
        <v>118</v>
      </c>
      <c r="DX86">
        <v>100</v>
      </c>
      <c r="EE86">
        <v>38628631</v>
      </c>
      <c r="EF86">
        <v>1</v>
      </c>
      <c r="EG86" t="s">
        <v>24</v>
      </c>
      <c r="EH86">
        <v>0</v>
      </c>
      <c r="EI86" t="s">
        <v>3</v>
      </c>
      <c r="EJ86">
        <v>4</v>
      </c>
      <c r="EK86">
        <v>0</v>
      </c>
      <c r="EL86" t="s">
        <v>25</v>
      </c>
      <c r="EM86" t="s">
        <v>26</v>
      </c>
      <c r="EO86" t="s">
        <v>3</v>
      </c>
      <c r="EQ86">
        <v>0</v>
      </c>
      <c r="ER86">
        <v>593822.46</v>
      </c>
      <c r="ES86">
        <v>117473.42</v>
      </c>
      <c r="ET86">
        <v>10124.33</v>
      </c>
      <c r="EU86">
        <v>4204.9799999999996</v>
      </c>
      <c r="EV86">
        <v>466224.71</v>
      </c>
      <c r="EW86">
        <v>2047</v>
      </c>
      <c r="EX86">
        <v>0</v>
      </c>
      <c r="EY86">
        <v>0</v>
      </c>
      <c r="FQ86">
        <v>0</v>
      </c>
      <c r="FR86">
        <f t="shared" si="96"/>
        <v>0</v>
      </c>
      <c r="FS86">
        <v>0</v>
      </c>
      <c r="FX86">
        <v>70</v>
      </c>
      <c r="FY86">
        <v>10</v>
      </c>
      <c r="GA86" t="s">
        <v>3</v>
      </c>
      <c r="GD86">
        <v>0</v>
      </c>
      <c r="GF86">
        <v>-1760510085</v>
      </c>
      <c r="GG86">
        <v>2</v>
      </c>
      <c r="GH86">
        <v>1</v>
      </c>
      <c r="GI86">
        <v>-2</v>
      </c>
      <c r="GJ86">
        <v>0</v>
      </c>
      <c r="GK86">
        <f>ROUND(R86*(R12)/100,2)</f>
        <v>0</v>
      </c>
      <c r="GL86">
        <f t="shared" si="97"/>
        <v>0</v>
      </c>
      <c r="GM86">
        <f t="shared" si="98"/>
        <v>0</v>
      </c>
      <c r="GN86">
        <f t="shared" si="99"/>
        <v>0</v>
      </c>
      <c r="GO86">
        <f t="shared" si="100"/>
        <v>0</v>
      </c>
      <c r="GP86">
        <f t="shared" si="101"/>
        <v>0</v>
      </c>
      <c r="GR86">
        <v>0</v>
      </c>
      <c r="GS86">
        <v>0</v>
      </c>
      <c r="GT86">
        <v>0</v>
      </c>
      <c r="GU86" t="s">
        <v>3</v>
      </c>
      <c r="GV86">
        <f t="shared" si="102"/>
        <v>0</v>
      </c>
      <c r="GW86">
        <v>1</v>
      </c>
      <c r="GX86">
        <f t="shared" si="103"/>
        <v>0</v>
      </c>
      <c r="HA86">
        <v>0</v>
      </c>
      <c r="HB86">
        <v>0</v>
      </c>
      <c r="HC86">
        <f t="shared" si="104"/>
        <v>0</v>
      </c>
      <c r="HE86" t="s">
        <v>3</v>
      </c>
      <c r="HF86" t="s">
        <v>3</v>
      </c>
      <c r="IK86">
        <v>0</v>
      </c>
    </row>
    <row r="87" spans="1:245" x14ac:dyDescent="0.2">
      <c r="A87">
        <v>17</v>
      </c>
      <c r="B87">
        <v>1</v>
      </c>
      <c r="E87" t="s">
        <v>150</v>
      </c>
      <c r="F87" t="s">
        <v>129</v>
      </c>
      <c r="G87" t="s">
        <v>151</v>
      </c>
      <c r="H87" t="s">
        <v>123</v>
      </c>
      <c r="I87">
        <v>1</v>
      </c>
      <c r="J87">
        <v>0</v>
      </c>
      <c r="O87">
        <f t="shared" si="66"/>
        <v>29364.73</v>
      </c>
      <c r="P87">
        <f t="shared" si="67"/>
        <v>29364.73</v>
      </c>
      <c r="Q87">
        <f t="shared" si="68"/>
        <v>0</v>
      </c>
      <c r="R87">
        <f t="shared" si="69"/>
        <v>0</v>
      </c>
      <c r="S87">
        <f t="shared" si="70"/>
        <v>0</v>
      </c>
      <c r="T87">
        <f t="shared" si="71"/>
        <v>0</v>
      </c>
      <c r="U87">
        <f t="shared" si="72"/>
        <v>0</v>
      </c>
      <c r="V87">
        <f t="shared" si="73"/>
        <v>0</v>
      </c>
      <c r="W87">
        <f t="shared" si="74"/>
        <v>0</v>
      </c>
      <c r="X87">
        <f t="shared" si="75"/>
        <v>0</v>
      </c>
      <c r="Y87">
        <f t="shared" si="76"/>
        <v>0</v>
      </c>
      <c r="AA87">
        <v>38214492</v>
      </c>
      <c r="AB87">
        <f t="shared" si="77"/>
        <v>29364.73</v>
      </c>
      <c r="AC87">
        <f t="shared" si="105"/>
        <v>29364.73</v>
      </c>
      <c r="AD87">
        <f t="shared" si="78"/>
        <v>0</v>
      </c>
      <c r="AE87">
        <f t="shared" si="79"/>
        <v>0</v>
      </c>
      <c r="AF87">
        <f t="shared" si="80"/>
        <v>0</v>
      </c>
      <c r="AG87">
        <f t="shared" si="81"/>
        <v>0</v>
      </c>
      <c r="AH87">
        <f t="shared" si="82"/>
        <v>0</v>
      </c>
      <c r="AI87">
        <f t="shared" si="83"/>
        <v>0</v>
      </c>
      <c r="AJ87">
        <f t="shared" si="84"/>
        <v>0</v>
      </c>
      <c r="AK87">
        <v>29364.73</v>
      </c>
      <c r="AL87">
        <v>29364.73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1</v>
      </c>
      <c r="AW87">
        <v>1</v>
      </c>
      <c r="AZ87">
        <v>1</v>
      </c>
      <c r="BA87">
        <v>1</v>
      </c>
      <c r="BB87">
        <v>1</v>
      </c>
      <c r="BC87">
        <v>1</v>
      </c>
      <c r="BD87" t="s">
        <v>3</v>
      </c>
      <c r="BE87" t="s">
        <v>3</v>
      </c>
      <c r="BF87" t="s">
        <v>3</v>
      </c>
      <c r="BG87" t="s">
        <v>3</v>
      </c>
      <c r="BH87">
        <v>3</v>
      </c>
      <c r="BI87">
        <v>1</v>
      </c>
      <c r="BJ87" t="s">
        <v>3</v>
      </c>
      <c r="BM87">
        <v>6001</v>
      </c>
      <c r="BN87">
        <v>0</v>
      </c>
      <c r="BO87" t="s">
        <v>3</v>
      </c>
      <c r="BP87">
        <v>0</v>
      </c>
      <c r="BQ87">
        <v>0</v>
      </c>
      <c r="BR87">
        <v>0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 t="s">
        <v>3</v>
      </c>
      <c r="BZ87">
        <v>0</v>
      </c>
      <c r="CA87">
        <v>0</v>
      </c>
      <c r="CE87">
        <v>0</v>
      </c>
      <c r="CF87">
        <v>0</v>
      </c>
      <c r="CG87">
        <v>0</v>
      </c>
      <c r="CM87">
        <v>0</v>
      </c>
      <c r="CN87" t="s">
        <v>3</v>
      </c>
      <c r="CO87">
        <v>0</v>
      </c>
      <c r="CP87">
        <f t="shared" si="85"/>
        <v>29364.73</v>
      </c>
      <c r="CQ87">
        <f t="shared" si="86"/>
        <v>29364.73</v>
      </c>
      <c r="CR87">
        <f t="shared" si="87"/>
        <v>0</v>
      </c>
      <c r="CS87">
        <f t="shared" si="88"/>
        <v>0</v>
      </c>
      <c r="CT87">
        <f t="shared" si="89"/>
        <v>0</v>
      </c>
      <c r="CU87">
        <f t="shared" si="90"/>
        <v>0</v>
      </c>
      <c r="CV87">
        <f t="shared" si="91"/>
        <v>0</v>
      </c>
      <c r="CW87">
        <f t="shared" si="92"/>
        <v>0</v>
      </c>
      <c r="CX87">
        <f t="shared" si="93"/>
        <v>0</v>
      </c>
      <c r="CY87">
        <f t="shared" si="94"/>
        <v>0</v>
      </c>
      <c r="CZ87">
        <f t="shared" si="95"/>
        <v>0</v>
      </c>
      <c r="DC87" t="s">
        <v>3</v>
      </c>
      <c r="DD87" t="s">
        <v>3</v>
      </c>
      <c r="DE87" t="s">
        <v>3</v>
      </c>
      <c r="DF87" t="s">
        <v>3</v>
      </c>
      <c r="DG87" t="s">
        <v>3</v>
      </c>
      <c r="DH87" t="s">
        <v>3</v>
      </c>
      <c r="DI87" t="s">
        <v>3</v>
      </c>
      <c r="DJ87" t="s">
        <v>3</v>
      </c>
      <c r="DK87" t="s">
        <v>3</v>
      </c>
      <c r="DL87" t="s">
        <v>3</v>
      </c>
      <c r="DM87" t="s">
        <v>3</v>
      </c>
      <c r="DN87">
        <v>0</v>
      </c>
      <c r="DO87">
        <v>0</v>
      </c>
      <c r="DP87">
        <v>1</v>
      </c>
      <c r="DQ87">
        <v>1</v>
      </c>
      <c r="DU87">
        <v>1010</v>
      </c>
      <c r="DV87" t="s">
        <v>123</v>
      </c>
      <c r="DW87" t="s">
        <v>123</v>
      </c>
      <c r="DX87">
        <v>1</v>
      </c>
      <c r="EE87">
        <v>38661473</v>
      </c>
      <c r="EF87">
        <v>0</v>
      </c>
      <c r="EG87" t="s">
        <v>130</v>
      </c>
      <c r="EH87">
        <v>0</v>
      </c>
      <c r="EI87" t="s">
        <v>3</v>
      </c>
      <c r="EJ87">
        <v>1</v>
      </c>
      <c r="EK87">
        <v>6001</v>
      </c>
      <c r="EL87" t="s">
        <v>131</v>
      </c>
      <c r="EM87" t="s">
        <v>130</v>
      </c>
      <c r="EO87" t="s">
        <v>3</v>
      </c>
      <c r="EQ87">
        <v>0</v>
      </c>
      <c r="ER87">
        <v>29364.73</v>
      </c>
      <c r="ES87">
        <v>29364.73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5</v>
      </c>
      <c r="FC87">
        <v>1</v>
      </c>
      <c r="FD87">
        <v>18</v>
      </c>
      <c r="FF87">
        <v>35237.67</v>
      </c>
      <c r="FQ87">
        <v>0</v>
      </c>
      <c r="FR87">
        <f t="shared" si="96"/>
        <v>0</v>
      </c>
      <c r="FS87">
        <v>0</v>
      </c>
      <c r="FX87">
        <v>0</v>
      </c>
      <c r="FY87">
        <v>0</v>
      </c>
      <c r="GA87" t="s">
        <v>152</v>
      </c>
      <c r="GD87">
        <v>0</v>
      </c>
      <c r="GF87">
        <v>-295362686</v>
      </c>
      <c r="GG87">
        <v>2</v>
      </c>
      <c r="GH87">
        <v>3</v>
      </c>
      <c r="GI87">
        <v>-2</v>
      </c>
      <c r="GJ87">
        <v>0</v>
      </c>
      <c r="GK87">
        <f>ROUND(R87*(R12)/100,2)</f>
        <v>0</v>
      </c>
      <c r="GL87">
        <f t="shared" si="97"/>
        <v>0</v>
      </c>
      <c r="GM87">
        <f t="shared" si="98"/>
        <v>29364.73</v>
      </c>
      <c r="GN87">
        <f t="shared" si="99"/>
        <v>29364.73</v>
      </c>
      <c r="GO87">
        <f t="shared" si="100"/>
        <v>0</v>
      </c>
      <c r="GP87">
        <f t="shared" si="101"/>
        <v>0</v>
      </c>
      <c r="GR87">
        <v>1</v>
      </c>
      <c r="GS87">
        <v>1</v>
      </c>
      <c r="GT87">
        <v>0</v>
      </c>
      <c r="GU87" t="s">
        <v>3</v>
      </c>
      <c r="GV87">
        <f t="shared" si="102"/>
        <v>0</v>
      </c>
      <c r="GW87">
        <v>1</v>
      </c>
      <c r="GX87">
        <f t="shared" si="103"/>
        <v>0</v>
      </c>
      <c r="HA87">
        <v>0</v>
      </c>
      <c r="HB87">
        <v>0</v>
      </c>
      <c r="HC87">
        <f t="shared" si="104"/>
        <v>0</v>
      </c>
      <c r="HE87" t="s">
        <v>153</v>
      </c>
      <c r="HF87" t="s">
        <v>153</v>
      </c>
      <c r="IK87">
        <v>0</v>
      </c>
    </row>
    <row r="88" spans="1:245" x14ac:dyDescent="0.2">
      <c r="A88">
        <v>17</v>
      </c>
      <c r="B88">
        <v>1</v>
      </c>
      <c r="E88" t="s">
        <v>154</v>
      </c>
      <c r="F88" t="s">
        <v>129</v>
      </c>
      <c r="G88" t="s">
        <v>155</v>
      </c>
      <c r="H88" t="s">
        <v>123</v>
      </c>
      <c r="I88">
        <v>1</v>
      </c>
      <c r="J88">
        <v>0</v>
      </c>
      <c r="O88">
        <f t="shared" si="66"/>
        <v>18699.73</v>
      </c>
      <c r="P88">
        <f t="shared" si="67"/>
        <v>18699.73</v>
      </c>
      <c r="Q88">
        <f t="shared" si="68"/>
        <v>0</v>
      </c>
      <c r="R88">
        <f t="shared" si="69"/>
        <v>0</v>
      </c>
      <c r="S88">
        <f t="shared" si="70"/>
        <v>0</v>
      </c>
      <c r="T88">
        <f t="shared" si="71"/>
        <v>0</v>
      </c>
      <c r="U88">
        <f t="shared" si="72"/>
        <v>0</v>
      </c>
      <c r="V88">
        <f t="shared" si="73"/>
        <v>0</v>
      </c>
      <c r="W88">
        <f t="shared" si="74"/>
        <v>0</v>
      </c>
      <c r="X88">
        <f t="shared" si="75"/>
        <v>0</v>
      </c>
      <c r="Y88">
        <f t="shared" si="76"/>
        <v>0</v>
      </c>
      <c r="AA88">
        <v>38214492</v>
      </c>
      <c r="AB88">
        <f t="shared" si="77"/>
        <v>18699.73</v>
      </c>
      <c r="AC88">
        <f t="shared" si="105"/>
        <v>18699.73</v>
      </c>
      <c r="AD88">
        <f t="shared" si="78"/>
        <v>0</v>
      </c>
      <c r="AE88">
        <f t="shared" si="79"/>
        <v>0</v>
      </c>
      <c r="AF88">
        <f t="shared" si="80"/>
        <v>0</v>
      </c>
      <c r="AG88">
        <f t="shared" si="81"/>
        <v>0</v>
      </c>
      <c r="AH88">
        <f t="shared" si="82"/>
        <v>0</v>
      </c>
      <c r="AI88">
        <f t="shared" si="83"/>
        <v>0</v>
      </c>
      <c r="AJ88">
        <f t="shared" si="84"/>
        <v>0</v>
      </c>
      <c r="AK88">
        <v>18699.73</v>
      </c>
      <c r="AL88">
        <v>18699.73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1</v>
      </c>
      <c r="AW88">
        <v>1</v>
      </c>
      <c r="AZ88">
        <v>1</v>
      </c>
      <c r="BA88">
        <v>1</v>
      </c>
      <c r="BB88">
        <v>1</v>
      </c>
      <c r="BC88">
        <v>1</v>
      </c>
      <c r="BD88" t="s">
        <v>3</v>
      </c>
      <c r="BE88" t="s">
        <v>3</v>
      </c>
      <c r="BF88" t="s">
        <v>3</v>
      </c>
      <c r="BG88" t="s">
        <v>3</v>
      </c>
      <c r="BH88">
        <v>3</v>
      </c>
      <c r="BI88">
        <v>1</v>
      </c>
      <c r="BJ88" t="s">
        <v>3</v>
      </c>
      <c r="BM88">
        <v>6001</v>
      </c>
      <c r="BN88">
        <v>0</v>
      </c>
      <c r="BO88" t="s">
        <v>3</v>
      </c>
      <c r="BP88">
        <v>0</v>
      </c>
      <c r="BQ88">
        <v>0</v>
      </c>
      <c r="BR88">
        <v>0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 t="s">
        <v>3</v>
      </c>
      <c r="BZ88">
        <v>0</v>
      </c>
      <c r="CA88">
        <v>0</v>
      </c>
      <c r="CE88">
        <v>0</v>
      </c>
      <c r="CF88">
        <v>0</v>
      </c>
      <c r="CG88">
        <v>0</v>
      </c>
      <c r="CM88">
        <v>0</v>
      </c>
      <c r="CN88" t="s">
        <v>3</v>
      </c>
      <c r="CO88">
        <v>0</v>
      </c>
      <c r="CP88">
        <f t="shared" si="85"/>
        <v>18699.73</v>
      </c>
      <c r="CQ88">
        <f t="shared" si="86"/>
        <v>18699.73</v>
      </c>
      <c r="CR88">
        <f t="shared" si="87"/>
        <v>0</v>
      </c>
      <c r="CS88">
        <f t="shared" si="88"/>
        <v>0</v>
      </c>
      <c r="CT88">
        <f t="shared" si="89"/>
        <v>0</v>
      </c>
      <c r="CU88">
        <f t="shared" si="90"/>
        <v>0</v>
      </c>
      <c r="CV88">
        <f t="shared" si="91"/>
        <v>0</v>
      </c>
      <c r="CW88">
        <f t="shared" si="92"/>
        <v>0</v>
      </c>
      <c r="CX88">
        <f t="shared" si="93"/>
        <v>0</v>
      </c>
      <c r="CY88">
        <f t="shared" si="94"/>
        <v>0</v>
      </c>
      <c r="CZ88">
        <f t="shared" si="95"/>
        <v>0</v>
      </c>
      <c r="DC88" t="s">
        <v>3</v>
      </c>
      <c r="DD88" t="s">
        <v>3</v>
      </c>
      <c r="DE88" t="s">
        <v>3</v>
      </c>
      <c r="DF88" t="s">
        <v>3</v>
      </c>
      <c r="DG88" t="s">
        <v>3</v>
      </c>
      <c r="DH88" t="s">
        <v>3</v>
      </c>
      <c r="DI88" t="s">
        <v>3</v>
      </c>
      <c r="DJ88" t="s">
        <v>3</v>
      </c>
      <c r="DK88" t="s">
        <v>3</v>
      </c>
      <c r="DL88" t="s">
        <v>3</v>
      </c>
      <c r="DM88" t="s">
        <v>3</v>
      </c>
      <c r="DN88">
        <v>0</v>
      </c>
      <c r="DO88">
        <v>0</v>
      </c>
      <c r="DP88">
        <v>1</v>
      </c>
      <c r="DQ88">
        <v>1</v>
      </c>
      <c r="DU88">
        <v>1010</v>
      </c>
      <c r="DV88" t="s">
        <v>123</v>
      </c>
      <c r="DW88" t="s">
        <v>123</v>
      </c>
      <c r="DX88">
        <v>1</v>
      </c>
      <c r="EE88">
        <v>38661473</v>
      </c>
      <c r="EF88">
        <v>0</v>
      </c>
      <c r="EG88" t="s">
        <v>130</v>
      </c>
      <c r="EH88">
        <v>0</v>
      </c>
      <c r="EI88" t="s">
        <v>3</v>
      </c>
      <c r="EJ88">
        <v>1</v>
      </c>
      <c r="EK88">
        <v>6001</v>
      </c>
      <c r="EL88" t="s">
        <v>131</v>
      </c>
      <c r="EM88" t="s">
        <v>130</v>
      </c>
      <c r="EO88" t="s">
        <v>3</v>
      </c>
      <c r="EQ88">
        <v>0</v>
      </c>
      <c r="ER88">
        <v>18699.73</v>
      </c>
      <c r="ES88">
        <v>18699.73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5</v>
      </c>
      <c r="FC88">
        <v>1</v>
      </c>
      <c r="FD88">
        <v>18</v>
      </c>
      <c r="FF88">
        <v>22439.67</v>
      </c>
      <c r="FQ88">
        <v>0</v>
      </c>
      <c r="FR88">
        <f t="shared" si="96"/>
        <v>0</v>
      </c>
      <c r="FS88">
        <v>0</v>
      </c>
      <c r="FX88">
        <v>0</v>
      </c>
      <c r="FY88">
        <v>0</v>
      </c>
      <c r="GA88" t="s">
        <v>156</v>
      </c>
      <c r="GD88">
        <v>0</v>
      </c>
      <c r="GF88">
        <v>918400748</v>
      </c>
      <c r="GG88">
        <v>2</v>
      </c>
      <c r="GH88">
        <v>3</v>
      </c>
      <c r="GI88">
        <v>-2</v>
      </c>
      <c r="GJ88">
        <v>0</v>
      </c>
      <c r="GK88">
        <f>ROUND(R88*(R12)/100,2)</f>
        <v>0</v>
      </c>
      <c r="GL88">
        <f t="shared" si="97"/>
        <v>0</v>
      </c>
      <c r="GM88">
        <f t="shared" si="98"/>
        <v>18699.73</v>
      </c>
      <c r="GN88">
        <f t="shared" si="99"/>
        <v>18699.73</v>
      </c>
      <c r="GO88">
        <f t="shared" si="100"/>
        <v>0</v>
      </c>
      <c r="GP88">
        <f t="shared" si="101"/>
        <v>0</v>
      </c>
      <c r="GR88">
        <v>1</v>
      </c>
      <c r="GS88">
        <v>1</v>
      </c>
      <c r="GT88">
        <v>0</v>
      </c>
      <c r="GU88" t="s">
        <v>3</v>
      </c>
      <c r="GV88">
        <f t="shared" si="102"/>
        <v>0</v>
      </c>
      <c r="GW88">
        <v>1</v>
      </c>
      <c r="GX88">
        <f t="shared" si="103"/>
        <v>0</v>
      </c>
      <c r="HA88">
        <v>0</v>
      </c>
      <c r="HB88">
        <v>0</v>
      </c>
      <c r="HC88">
        <f t="shared" si="104"/>
        <v>0</v>
      </c>
      <c r="HE88" t="s">
        <v>153</v>
      </c>
      <c r="HF88" t="s">
        <v>153</v>
      </c>
      <c r="IK88">
        <v>0</v>
      </c>
    </row>
    <row r="89" spans="1:245" x14ac:dyDescent="0.2">
      <c r="A89">
        <v>17</v>
      </c>
      <c r="B89">
        <v>1</v>
      </c>
      <c r="E89" t="s">
        <v>157</v>
      </c>
      <c r="F89" t="s">
        <v>129</v>
      </c>
      <c r="G89" t="s">
        <v>158</v>
      </c>
      <c r="H89" t="s">
        <v>123</v>
      </c>
      <c r="I89">
        <v>1</v>
      </c>
      <c r="J89">
        <v>0</v>
      </c>
      <c r="O89">
        <f t="shared" si="66"/>
        <v>17050</v>
      </c>
      <c r="P89">
        <f t="shared" si="67"/>
        <v>17050</v>
      </c>
      <c r="Q89">
        <f t="shared" si="68"/>
        <v>0</v>
      </c>
      <c r="R89">
        <f t="shared" si="69"/>
        <v>0</v>
      </c>
      <c r="S89">
        <f t="shared" si="70"/>
        <v>0</v>
      </c>
      <c r="T89">
        <f t="shared" si="71"/>
        <v>0</v>
      </c>
      <c r="U89">
        <f t="shared" si="72"/>
        <v>0</v>
      </c>
      <c r="V89">
        <f t="shared" si="73"/>
        <v>0</v>
      </c>
      <c r="W89">
        <f t="shared" si="74"/>
        <v>0</v>
      </c>
      <c r="X89">
        <f t="shared" si="75"/>
        <v>0</v>
      </c>
      <c r="Y89">
        <f t="shared" si="76"/>
        <v>0</v>
      </c>
      <c r="AA89">
        <v>38214492</v>
      </c>
      <c r="AB89">
        <f t="shared" si="77"/>
        <v>17050</v>
      </c>
      <c r="AC89">
        <f t="shared" si="105"/>
        <v>17050</v>
      </c>
      <c r="AD89">
        <f t="shared" si="78"/>
        <v>0</v>
      </c>
      <c r="AE89">
        <f t="shared" si="79"/>
        <v>0</v>
      </c>
      <c r="AF89">
        <f t="shared" si="80"/>
        <v>0</v>
      </c>
      <c r="AG89">
        <f t="shared" si="81"/>
        <v>0</v>
      </c>
      <c r="AH89">
        <f t="shared" si="82"/>
        <v>0</v>
      </c>
      <c r="AI89">
        <f t="shared" si="83"/>
        <v>0</v>
      </c>
      <c r="AJ89">
        <f t="shared" si="84"/>
        <v>0</v>
      </c>
      <c r="AK89">
        <v>17050</v>
      </c>
      <c r="AL89">
        <v>17050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</v>
      </c>
      <c r="AW89">
        <v>1</v>
      </c>
      <c r="AZ89">
        <v>1</v>
      </c>
      <c r="BA89">
        <v>1</v>
      </c>
      <c r="BB89">
        <v>1</v>
      </c>
      <c r="BC89">
        <v>1</v>
      </c>
      <c r="BD89" t="s">
        <v>3</v>
      </c>
      <c r="BE89" t="s">
        <v>3</v>
      </c>
      <c r="BF89" t="s">
        <v>3</v>
      </c>
      <c r="BG89" t="s">
        <v>3</v>
      </c>
      <c r="BH89">
        <v>3</v>
      </c>
      <c r="BI89">
        <v>1</v>
      </c>
      <c r="BJ89" t="s">
        <v>3</v>
      </c>
      <c r="BM89">
        <v>6001</v>
      </c>
      <c r="BN89">
        <v>0</v>
      </c>
      <c r="BO89" t="s">
        <v>3</v>
      </c>
      <c r="BP89">
        <v>0</v>
      </c>
      <c r="BQ89">
        <v>0</v>
      </c>
      <c r="BR89">
        <v>0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 t="s">
        <v>3</v>
      </c>
      <c r="BZ89">
        <v>0</v>
      </c>
      <c r="CA89">
        <v>0</v>
      </c>
      <c r="CE89">
        <v>0</v>
      </c>
      <c r="CF89">
        <v>0</v>
      </c>
      <c r="CG89">
        <v>0</v>
      </c>
      <c r="CM89">
        <v>0</v>
      </c>
      <c r="CN89" t="s">
        <v>3</v>
      </c>
      <c r="CO89">
        <v>0</v>
      </c>
      <c r="CP89">
        <f t="shared" si="85"/>
        <v>17050</v>
      </c>
      <c r="CQ89">
        <f t="shared" si="86"/>
        <v>17050</v>
      </c>
      <c r="CR89">
        <f t="shared" si="87"/>
        <v>0</v>
      </c>
      <c r="CS89">
        <f t="shared" si="88"/>
        <v>0</v>
      </c>
      <c r="CT89">
        <f t="shared" si="89"/>
        <v>0</v>
      </c>
      <c r="CU89">
        <f t="shared" si="90"/>
        <v>0</v>
      </c>
      <c r="CV89">
        <f t="shared" si="91"/>
        <v>0</v>
      </c>
      <c r="CW89">
        <f t="shared" si="92"/>
        <v>0</v>
      </c>
      <c r="CX89">
        <f t="shared" si="93"/>
        <v>0</v>
      </c>
      <c r="CY89">
        <f t="shared" si="94"/>
        <v>0</v>
      </c>
      <c r="CZ89">
        <f t="shared" si="95"/>
        <v>0</v>
      </c>
      <c r="DC89" t="s">
        <v>3</v>
      </c>
      <c r="DD89" t="s">
        <v>3</v>
      </c>
      <c r="DE89" t="s">
        <v>3</v>
      </c>
      <c r="DF89" t="s">
        <v>3</v>
      </c>
      <c r="DG89" t="s">
        <v>3</v>
      </c>
      <c r="DH89" t="s">
        <v>3</v>
      </c>
      <c r="DI89" t="s">
        <v>3</v>
      </c>
      <c r="DJ89" t="s">
        <v>3</v>
      </c>
      <c r="DK89" t="s">
        <v>3</v>
      </c>
      <c r="DL89" t="s">
        <v>3</v>
      </c>
      <c r="DM89" t="s">
        <v>3</v>
      </c>
      <c r="DN89">
        <v>0</v>
      </c>
      <c r="DO89">
        <v>0</v>
      </c>
      <c r="DP89">
        <v>1</v>
      </c>
      <c r="DQ89">
        <v>1</v>
      </c>
      <c r="DU89">
        <v>1010</v>
      </c>
      <c r="DV89" t="s">
        <v>123</v>
      </c>
      <c r="DW89" t="s">
        <v>123</v>
      </c>
      <c r="DX89">
        <v>1</v>
      </c>
      <c r="EE89">
        <v>38661473</v>
      </c>
      <c r="EF89">
        <v>0</v>
      </c>
      <c r="EG89" t="s">
        <v>130</v>
      </c>
      <c r="EH89">
        <v>0</v>
      </c>
      <c r="EI89" t="s">
        <v>3</v>
      </c>
      <c r="EJ89">
        <v>1</v>
      </c>
      <c r="EK89">
        <v>6001</v>
      </c>
      <c r="EL89" t="s">
        <v>131</v>
      </c>
      <c r="EM89" t="s">
        <v>130</v>
      </c>
      <c r="EO89" t="s">
        <v>3</v>
      </c>
      <c r="EQ89">
        <v>0</v>
      </c>
      <c r="ER89">
        <v>17050</v>
      </c>
      <c r="ES89">
        <v>17050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5</v>
      </c>
      <c r="FC89">
        <v>1</v>
      </c>
      <c r="FD89">
        <v>18</v>
      </c>
      <c r="FF89">
        <v>20460</v>
      </c>
      <c r="FQ89">
        <v>0</v>
      </c>
      <c r="FR89">
        <f t="shared" si="96"/>
        <v>0</v>
      </c>
      <c r="FS89">
        <v>0</v>
      </c>
      <c r="FX89">
        <v>0</v>
      </c>
      <c r="FY89">
        <v>0</v>
      </c>
      <c r="GA89" t="s">
        <v>159</v>
      </c>
      <c r="GD89">
        <v>0</v>
      </c>
      <c r="GF89">
        <v>557786794</v>
      </c>
      <c r="GG89">
        <v>2</v>
      </c>
      <c r="GH89">
        <v>3</v>
      </c>
      <c r="GI89">
        <v>-2</v>
      </c>
      <c r="GJ89">
        <v>0</v>
      </c>
      <c r="GK89">
        <f>ROUND(R89*(R12)/100,2)</f>
        <v>0</v>
      </c>
      <c r="GL89">
        <f t="shared" si="97"/>
        <v>0</v>
      </c>
      <c r="GM89">
        <f t="shared" si="98"/>
        <v>17050</v>
      </c>
      <c r="GN89">
        <f t="shared" si="99"/>
        <v>17050</v>
      </c>
      <c r="GO89">
        <f t="shared" si="100"/>
        <v>0</v>
      </c>
      <c r="GP89">
        <f t="shared" si="101"/>
        <v>0</v>
      </c>
      <c r="GR89">
        <v>1</v>
      </c>
      <c r="GS89">
        <v>1</v>
      </c>
      <c r="GT89">
        <v>0</v>
      </c>
      <c r="GU89" t="s">
        <v>3</v>
      </c>
      <c r="GV89">
        <f t="shared" si="102"/>
        <v>0</v>
      </c>
      <c r="GW89">
        <v>1</v>
      </c>
      <c r="GX89">
        <f t="shared" si="103"/>
        <v>0</v>
      </c>
      <c r="HA89">
        <v>0</v>
      </c>
      <c r="HB89">
        <v>0</v>
      </c>
      <c r="HC89">
        <f t="shared" si="104"/>
        <v>0</v>
      </c>
      <c r="HE89" t="s">
        <v>153</v>
      </c>
      <c r="HF89" t="s">
        <v>153</v>
      </c>
      <c r="IK89">
        <v>0</v>
      </c>
    </row>
    <row r="90" spans="1:245" x14ac:dyDescent="0.2">
      <c r="A90">
        <v>17</v>
      </c>
      <c r="B90">
        <v>1</v>
      </c>
      <c r="E90" t="s">
        <v>160</v>
      </c>
      <c r="F90" t="s">
        <v>129</v>
      </c>
      <c r="G90" t="s">
        <v>161</v>
      </c>
      <c r="H90" t="s">
        <v>123</v>
      </c>
      <c r="I90">
        <v>1</v>
      </c>
      <c r="J90">
        <v>0</v>
      </c>
      <c r="O90">
        <f t="shared" si="66"/>
        <v>17277.78</v>
      </c>
      <c r="P90">
        <f t="shared" si="67"/>
        <v>17277.78</v>
      </c>
      <c r="Q90">
        <f t="shared" si="68"/>
        <v>0</v>
      </c>
      <c r="R90">
        <f t="shared" si="69"/>
        <v>0</v>
      </c>
      <c r="S90">
        <f t="shared" si="70"/>
        <v>0</v>
      </c>
      <c r="T90">
        <f t="shared" si="71"/>
        <v>0</v>
      </c>
      <c r="U90">
        <f t="shared" si="72"/>
        <v>0</v>
      </c>
      <c r="V90">
        <f t="shared" si="73"/>
        <v>0</v>
      </c>
      <c r="W90">
        <f t="shared" si="74"/>
        <v>0</v>
      </c>
      <c r="X90">
        <f t="shared" si="75"/>
        <v>0</v>
      </c>
      <c r="Y90">
        <f t="shared" si="76"/>
        <v>0</v>
      </c>
      <c r="AA90">
        <v>38214492</v>
      </c>
      <c r="AB90">
        <f t="shared" si="77"/>
        <v>17277.78</v>
      </c>
      <c r="AC90">
        <f t="shared" si="105"/>
        <v>17277.78</v>
      </c>
      <c r="AD90">
        <f t="shared" si="78"/>
        <v>0</v>
      </c>
      <c r="AE90">
        <f t="shared" si="79"/>
        <v>0</v>
      </c>
      <c r="AF90">
        <f t="shared" si="80"/>
        <v>0</v>
      </c>
      <c r="AG90">
        <f t="shared" si="81"/>
        <v>0</v>
      </c>
      <c r="AH90">
        <f t="shared" si="82"/>
        <v>0</v>
      </c>
      <c r="AI90">
        <f t="shared" si="83"/>
        <v>0</v>
      </c>
      <c r="AJ90">
        <f t="shared" si="84"/>
        <v>0</v>
      </c>
      <c r="AK90">
        <v>17277.78</v>
      </c>
      <c r="AL90">
        <v>17277.78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1</v>
      </c>
      <c r="AZ90">
        <v>1</v>
      </c>
      <c r="BA90">
        <v>1</v>
      </c>
      <c r="BB90">
        <v>1</v>
      </c>
      <c r="BC90">
        <v>1</v>
      </c>
      <c r="BD90" t="s">
        <v>3</v>
      </c>
      <c r="BE90" t="s">
        <v>3</v>
      </c>
      <c r="BF90" t="s">
        <v>3</v>
      </c>
      <c r="BG90" t="s">
        <v>3</v>
      </c>
      <c r="BH90">
        <v>3</v>
      </c>
      <c r="BI90">
        <v>1</v>
      </c>
      <c r="BJ90" t="s">
        <v>3</v>
      </c>
      <c r="BM90">
        <v>6001</v>
      </c>
      <c r="BN90">
        <v>0</v>
      </c>
      <c r="BO90" t="s">
        <v>3</v>
      </c>
      <c r="BP90">
        <v>0</v>
      </c>
      <c r="BQ90">
        <v>0</v>
      </c>
      <c r="BR90">
        <v>0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 t="s">
        <v>3</v>
      </c>
      <c r="BZ90">
        <v>0</v>
      </c>
      <c r="CA90">
        <v>0</v>
      </c>
      <c r="CE90">
        <v>0</v>
      </c>
      <c r="CF90">
        <v>0</v>
      </c>
      <c r="CG90">
        <v>0</v>
      </c>
      <c r="CM90">
        <v>0</v>
      </c>
      <c r="CN90" t="s">
        <v>3</v>
      </c>
      <c r="CO90">
        <v>0</v>
      </c>
      <c r="CP90">
        <f t="shared" si="85"/>
        <v>17277.78</v>
      </c>
      <c r="CQ90">
        <f t="shared" si="86"/>
        <v>17277.78</v>
      </c>
      <c r="CR90">
        <f t="shared" si="87"/>
        <v>0</v>
      </c>
      <c r="CS90">
        <f t="shared" si="88"/>
        <v>0</v>
      </c>
      <c r="CT90">
        <f t="shared" si="89"/>
        <v>0</v>
      </c>
      <c r="CU90">
        <f t="shared" si="90"/>
        <v>0</v>
      </c>
      <c r="CV90">
        <f t="shared" si="91"/>
        <v>0</v>
      </c>
      <c r="CW90">
        <f t="shared" si="92"/>
        <v>0</v>
      </c>
      <c r="CX90">
        <f t="shared" si="93"/>
        <v>0</v>
      </c>
      <c r="CY90">
        <f t="shared" si="94"/>
        <v>0</v>
      </c>
      <c r="CZ90">
        <f t="shared" si="95"/>
        <v>0</v>
      </c>
      <c r="DC90" t="s">
        <v>3</v>
      </c>
      <c r="DD90" t="s">
        <v>3</v>
      </c>
      <c r="DE90" t="s">
        <v>3</v>
      </c>
      <c r="DF90" t="s">
        <v>3</v>
      </c>
      <c r="DG90" t="s">
        <v>3</v>
      </c>
      <c r="DH90" t="s">
        <v>3</v>
      </c>
      <c r="DI90" t="s">
        <v>3</v>
      </c>
      <c r="DJ90" t="s">
        <v>3</v>
      </c>
      <c r="DK90" t="s">
        <v>3</v>
      </c>
      <c r="DL90" t="s">
        <v>3</v>
      </c>
      <c r="DM90" t="s">
        <v>3</v>
      </c>
      <c r="DN90">
        <v>0</v>
      </c>
      <c r="DO90">
        <v>0</v>
      </c>
      <c r="DP90">
        <v>1</v>
      </c>
      <c r="DQ90">
        <v>1</v>
      </c>
      <c r="DU90">
        <v>1010</v>
      </c>
      <c r="DV90" t="s">
        <v>123</v>
      </c>
      <c r="DW90" t="s">
        <v>123</v>
      </c>
      <c r="DX90">
        <v>1</v>
      </c>
      <c r="EE90">
        <v>38661473</v>
      </c>
      <c r="EF90">
        <v>0</v>
      </c>
      <c r="EG90" t="s">
        <v>130</v>
      </c>
      <c r="EH90">
        <v>0</v>
      </c>
      <c r="EI90" t="s">
        <v>3</v>
      </c>
      <c r="EJ90">
        <v>1</v>
      </c>
      <c r="EK90">
        <v>6001</v>
      </c>
      <c r="EL90" t="s">
        <v>131</v>
      </c>
      <c r="EM90" t="s">
        <v>130</v>
      </c>
      <c r="EO90" t="s">
        <v>3</v>
      </c>
      <c r="EQ90">
        <v>0</v>
      </c>
      <c r="ER90">
        <v>17277.78</v>
      </c>
      <c r="ES90">
        <v>17277.78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5</v>
      </c>
      <c r="FC90">
        <v>1</v>
      </c>
      <c r="FD90">
        <v>18</v>
      </c>
      <c r="FF90">
        <v>20733.330000000002</v>
      </c>
      <c r="FQ90">
        <v>0</v>
      </c>
      <c r="FR90">
        <f t="shared" si="96"/>
        <v>0</v>
      </c>
      <c r="FS90">
        <v>0</v>
      </c>
      <c r="FX90">
        <v>0</v>
      </c>
      <c r="FY90">
        <v>0</v>
      </c>
      <c r="GA90" t="s">
        <v>162</v>
      </c>
      <c r="GD90">
        <v>0</v>
      </c>
      <c r="GF90">
        <v>942564012</v>
      </c>
      <c r="GG90">
        <v>2</v>
      </c>
      <c r="GH90">
        <v>3</v>
      </c>
      <c r="GI90">
        <v>-2</v>
      </c>
      <c r="GJ90">
        <v>0</v>
      </c>
      <c r="GK90">
        <f>ROUND(R90*(R12)/100,2)</f>
        <v>0</v>
      </c>
      <c r="GL90">
        <f t="shared" si="97"/>
        <v>0</v>
      </c>
      <c r="GM90">
        <f t="shared" si="98"/>
        <v>17277.78</v>
      </c>
      <c r="GN90">
        <f t="shared" si="99"/>
        <v>17277.78</v>
      </c>
      <c r="GO90">
        <f t="shared" si="100"/>
        <v>0</v>
      </c>
      <c r="GP90">
        <f t="shared" si="101"/>
        <v>0</v>
      </c>
      <c r="GR90">
        <v>1</v>
      </c>
      <c r="GS90">
        <v>1</v>
      </c>
      <c r="GT90">
        <v>0</v>
      </c>
      <c r="GU90" t="s">
        <v>3</v>
      </c>
      <c r="GV90">
        <f t="shared" si="102"/>
        <v>0</v>
      </c>
      <c r="GW90">
        <v>1</v>
      </c>
      <c r="GX90">
        <f t="shared" si="103"/>
        <v>0</v>
      </c>
      <c r="HA90">
        <v>0</v>
      </c>
      <c r="HB90">
        <v>0</v>
      </c>
      <c r="HC90">
        <f t="shared" si="104"/>
        <v>0</v>
      </c>
      <c r="HE90" t="s">
        <v>153</v>
      </c>
      <c r="HF90" t="s">
        <v>153</v>
      </c>
      <c r="IK90">
        <v>0</v>
      </c>
    </row>
    <row r="91" spans="1:245" x14ac:dyDescent="0.2">
      <c r="A91">
        <v>17</v>
      </c>
      <c r="B91">
        <v>1</v>
      </c>
      <c r="E91" t="s">
        <v>163</v>
      </c>
      <c r="F91" t="s">
        <v>129</v>
      </c>
      <c r="G91" t="s">
        <v>164</v>
      </c>
      <c r="H91" t="s">
        <v>123</v>
      </c>
      <c r="I91">
        <v>1</v>
      </c>
      <c r="J91">
        <v>0</v>
      </c>
      <c r="O91">
        <f t="shared" si="66"/>
        <v>19411.11</v>
      </c>
      <c r="P91">
        <f t="shared" si="67"/>
        <v>19411.11</v>
      </c>
      <c r="Q91">
        <f t="shared" si="68"/>
        <v>0</v>
      </c>
      <c r="R91">
        <f t="shared" si="69"/>
        <v>0</v>
      </c>
      <c r="S91">
        <f t="shared" si="70"/>
        <v>0</v>
      </c>
      <c r="T91">
        <f t="shared" si="71"/>
        <v>0</v>
      </c>
      <c r="U91">
        <f t="shared" si="72"/>
        <v>0</v>
      </c>
      <c r="V91">
        <f t="shared" si="73"/>
        <v>0</v>
      </c>
      <c r="W91">
        <f t="shared" si="74"/>
        <v>0</v>
      </c>
      <c r="X91">
        <f t="shared" si="75"/>
        <v>0</v>
      </c>
      <c r="Y91">
        <f t="shared" si="76"/>
        <v>0</v>
      </c>
      <c r="AA91">
        <v>38214492</v>
      </c>
      <c r="AB91">
        <f t="shared" si="77"/>
        <v>19411.11</v>
      </c>
      <c r="AC91">
        <f t="shared" si="105"/>
        <v>19411.11</v>
      </c>
      <c r="AD91">
        <f t="shared" si="78"/>
        <v>0</v>
      </c>
      <c r="AE91">
        <f t="shared" si="79"/>
        <v>0</v>
      </c>
      <c r="AF91">
        <f t="shared" si="80"/>
        <v>0</v>
      </c>
      <c r="AG91">
        <f t="shared" si="81"/>
        <v>0</v>
      </c>
      <c r="AH91">
        <f t="shared" si="82"/>
        <v>0</v>
      </c>
      <c r="AI91">
        <f t="shared" si="83"/>
        <v>0</v>
      </c>
      <c r="AJ91">
        <f t="shared" si="84"/>
        <v>0</v>
      </c>
      <c r="AK91">
        <v>19411.11</v>
      </c>
      <c r="AL91">
        <v>19411.11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1</v>
      </c>
      <c r="AW91">
        <v>1</v>
      </c>
      <c r="AZ91">
        <v>1</v>
      </c>
      <c r="BA91">
        <v>1</v>
      </c>
      <c r="BB91">
        <v>1</v>
      </c>
      <c r="BC91">
        <v>1</v>
      </c>
      <c r="BD91" t="s">
        <v>3</v>
      </c>
      <c r="BE91" t="s">
        <v>3</v>
      </c>
      <c r="BF91" t="s">
        <v>3</v>
      </c>
      <c r="BG91" t="s">
        <v>3</v>
      </c>
      <c r="BH91">
        <v>3</v>
      </c>
      <c r="BI91">
        <v>1</v>
      </c>
      <c r="BJ91" t="s">
        <v>3</v>
      </c>
      <c r="BM91">
        <v>6001</v>
      </c>
      <c r="BN91">
        <v>0</v>
      </c>
      <c r="BO91" t="s">
        <v>3</v>
      </c>
      <c r="BP91">
        <v>0</v>
      </c>
      <c r="BQ91">
        <v>0</v>
      </c>
      <c r="BR91">
        <v>0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 t="s">
        <v>3</v>
      </c>
      <c r="BZ91">
        <v>0</v>
      </c>
      <c r="CA91">
        <v>0</v>
      </c>
      <c r="CE91">
        <v>0</v>
      </c>
      <c r="CF91">
        <v>0</v>
      </c>
      <c r="CG91">
        <v>0</v>
      </c>
      <c r="CM91">
        <v>0</v>
      </c>
      <c r="CN91" t="s">
        <v>3</v>
      </c>
      <c r="CO91">
        <v>0</v>
      </c>
      <c r="CP91">
        <f t="shared" si="85"/>
        <v>19411.11</v>
      </c>
      <c r="CQ91">
        <f t="shared" si="86"/>
        <v>19411.11</v>
      </c>
      <c r="CR91">
        <f t="shared" si="87"/>
        <v>0</v>
      </c>
      <c r="CS91">
        <f t="shared" si="88"/>
        <v>0</v>
      </c>
      <c r="CT91">
        <f t="shared" si="89"/>
        <v>0</v>
      </c>
      <c r="CU91">
        <f t="shared" si="90"/>
        <v>0</v>
      </c>
      <c r="CV91">
        <f t="shared" si="91"/>
        <v>0</v>
      </c>
      <c r="CW91">
        <f t="shared" si="92"/>
        <v>0</v>
      </c>
      <c r="CX91">
        <f t="shared" si="93"/>
        <v>0</v>
      </c>
      <c r="CY91">
        <f t="shared" si="94"/>
        <v>0</v>
      </c>
      <c r="CZ91">
        <f t="shared" si="95"/>
        <v>0</v>
      </c>
      <c r="DC91" t="s">
        <v>3</v>
      </c>
      <c r="DD91" t="s">
        <v>3</v>
      </c>
      <c r="DE91" t="s">
        <v>3</v>
      </c>
      <c r="DF91" t="s">
        <v>3</v>
      </c>
      <c r="DG91" t="s">
        <v>3</v>
      </c>
      <c r="DH91" t="s">
        <v>3</v>
      </c>
      <c r="DI91" t="s">
        <v>3</v>
      </c>
      <c r="DJ91" t="s">
        <v>3</v>
      </c>
      <c r="DK91" t="s">
        <v>3</v>
      </c>
      <c r="DL91" t="s">
        <v>3</v>
      </c>
      <c r="DM91" t="s">
        <v>3</v>
      </c>
      <c r="DN91">
        <v>0</v>
      </c>
      <c r="DO91">
        <v>0</v>
      </c>
      <c r="DP91">
        <v>1</v>
      </c>
      <c r="DQ91">
        <v>1</v>
      </c>
      <c r="DU91">
        <v>1010</v>
      </c>
      <c r="DV91" t="s">
        <v>123</v>
      </c>
      <c r="DW91" t="s">
        <v>123</v>
      </c>
      <c r="DX91">
        <v>1</v>
      </c>
      <c r="EE91">
        <v>38661473</v>
      </c>
      <c r="EF91">
        <v>0</v>
      </c>
      <c r="EG91" t="s">
        <v>130</v>
      </c>
      <c r="EH91">
        <v>0</v>
      </c>
      <c r="EI91" t="s">
        <v>3</v>
      </c>
      <c r="EJ91">
        <v>1</v>
      </c>
      <c r="EK91">
        <v>6001</v>
      </c>
      <c r="EL91" t="s">
        <v>131</v>
      </c>
      <c r="EM91" t="s">
        <v>130</v>
      </c>
      <c r="EO91" t="s">
        <v>3</v>
      </c>
      <c r="EQ91">
        <v>0</v>
      </c>
      <c r="ER91">
        <v>19411.11</v>
      </c>
      <c r="ES91">
        <v>19411.11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5</v>
      </c>
      <c r="FC91">
        <v>1</v>
      </c>
      <c r="FD91">
        <v>18</v>
      </c>
      <c r="FF91">
        <v>23293.33</v>
      </c>
      <c r="FQ91">
        <v>0</v>
      </c>
      <c r="FR91">
        <f t="shared" si="96"/>
        <v>0</v>
      </c>
      <c r="FS91">
        <v>0</v>
      </c>
      <c r="FX91">
        <v>0</v>
      </c>
      <c r="FY91">
        <v>0</v>
      </c>
      <c r="GA91" t="s">
        <v>165</v>
      </c>
      <c r="GD91">
        <v>0</v>
      </c>
      <c r="GF91">
        <v>846467407</v>
      </c>
      <c r="GG91">
        <v>2</v>
      </c>
      <c r="GH91">
        <v>3</v>
      </c>
      <c r="GI91">
        <v>-2</v>
      </c>
      <c r="GJ91">
        <v>0</v>
      </c>
      <c r="GK91">
        <f>ROUND(R91*(R12)/100,2)</f>
        <v>0</v>
      </c>
      <c r="GL91">
        <f t="shared" si="97"/>
        <v>0</v>
      </c>
      <c r="GM91">
        <f t="shared" si="98"/>
        <v>19411.11</v>
      </c>
      <c r="GN91">
        <f t="shared" si="99"/>
        <v>19411.11</v>
      </c>
      <c r="GO91">
        <f t="shared" si="100"/>
        <v>0</v>
      </c>
      <c r="GP91">
        <f t="shared" si="101"/>
        <v>0</v>
      </c>
      <c r="GR91">
        <v>1</v>
      </c>
      <c r="GS91">
        <v>1</v>
      </c>
      <c r="GT91">
        <v>0</v>
      </c>
      <c r="GU91" t="s">
        <v>3</v>
      </c>
      <c r="GV91">
        <f t="shared" si="102"/>
        <v>0</v>
      </c>
      <c r="GW91">
        <v>1</v>
      </c>
      <c r="GX91">
        <f t="shared" si="103"/>
        <v>0</v>
      </c>
      <c r="HA91">
        <v>0</v>
      </c>
      <c r="HB91">
        <v>0</v>
      </c>
      <c r="HC91">
        <f t="shared" si="104"/>
        <v>0</v>
      </c>
      <c r="HE91" t="s">
        <v>153</v>
      </c>
      <c r="HF91" t="s">
        <v>153</v>
      </c>
      <c r="IK91">
        <v>0</v>
      </c>
    </row>
    <row r="92" spans="1:245" x14ac:dyDescent="0.2">
      <c r="A92">
        <v>17</v>
      </c>
      <c r="B92">
        <v>1</v>
      </c>
      <c r="E92" t="s">
        <v>166</v>
      </c>
      <c r="F92" t="s">
        <v>129</v>
      </c>
      <c r="G92" t="s">
        <v>167</v>
      </c>
      <c r="H92" t="s">
        <v>123</v>
      </c>
      <c r="I92">
        <v>1</v>
      </c>
      <c r="J92">
        <v>0</v>
      </c>
      <c r="O92">
        <f t="shared" si="66"/>
        <v>9847.23</v>
      </c>
      <c r="P92">
        <f t="shared" si="67"/>
        <v>9847.23</v>
      </c>
      <c r="Q92">
        <f t="shared" si="68"/>
        <v>0</v>
      </c>
      <c r="R92">
        <f t="shared" si="69"/>
        <v>0</v>
      </c>
      <c r="S92">
        <f t="shared" si="70"/>
        <v>0</v>
      </c>
      <c r="T92">
        <f t="shared" si="71"/>
        <v>0</v>
      </c>
      <c r="U92">
        <f t="shared" si="72"/>
        <v>0</v>
      </c>
      <c r="V92">
        <f t="shared" si="73"/>
        <v>0</v>
      </c>
      <c r="W92">
        <f t="shared" si="74"/>
        <v>0</v>
      </c>
      <c r="X92">
        <f t="shared" si="75"/>
        <v>0</v>
      </c>
      <c r="Y92">
        <f t="shared" si="76"/>
        <v>0</v>
      </c>
      <c r="AA92">
        <v>38214492</v>
      </c>
      <c r="AB92">
        <f t="shared" si="77"/>
        <v>9847.23</v>
      </c>
      <c r="AC92">
        <f t="shared" si="105"/>
        <v>9847.23</v>
      </c>
      <c r="AD92">
        <f t="shared" si="78"/>
        <v>0</v>
      </c>
      <c r="AE92">
        <f t="shared" si="79"/>
        <v>0</v>
      </c>
      <c r="AF92">
        <f t="shared" si="80"/>
        <v>0</v>
      </c>
      <c r="AG92">
        <f t="shared" si="81"/>
        <v>0</v>
      </c>
      <c r="AH92">
        <f t="shared" si="82"/>
        <v>0</v>
      </c>
      <c r="AI92">
        <f t="shared" si="83"/>
        <v>0</v>
      </c>
      <c r="AJ92">
        <f t="shared" si="84"/>
        <v>0</v>
      </c>
      <c r="AK92">
        <v>9847.23</v>
      </c>
      <c r="AL92">
        <v>9847.23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1</v>
      </c>
      <c r="AZ92">
        <v>1</v>
      </c>
      <c r="BA92">
        <v>1</v>
      </c>
      <c r="BB92">
        <v>1</v>
      </c>
      <c r="BC92">
        <v>1</v>
      </c>
      <c r="BD92" t="s">
        <v>3</v>
      </c>
      <c r="BE92" t="s">
        <v>3</v>
      </c>
      <c r="BF92" t="s">
        <v>3</v>
      </c>
      <c r="BG92" t="s">
        <v>3</v>
      </c>
      <c r="BH92">
        <v>3</v>
      </c>
      <c r="BI92">
        <v>1</v>
      </c>
      <c r="BJ92" t="s">
        <v>3</v>
      </c>
      <c r="BM92">
        <v>6001</v>
      </c>
      <c r="BN92">
        <v>0</v>
      </c>
      <c r="BO92" t="s">
        <v>3</v>
      </c>
      <c r="BP92">
        <v>0</v>
      </c>
      <c r="BQ92">
        <v>0</v>
      </c>
      <c r="BR92">
        <v>0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 t="s">
        <v>3</v>
      </c>
      <c r="BZ92">
        <v>0</v>
      </c>
      <c r="CA92">
        <v>0</v>
      </c>
      <c r="CE92">
        <v>0</v>
      </c>
      <c r="CF92">
        <v>0</v>
      </c>
      <c r="CG92">
        <v>0</v>
      </c>
      <c r="CM92">
        <v>0</v>
      </c>
      <c r="CN92" t="s">
        <v>3</v>
      </c>
      <c r="CO92">
        <v>0</v>
      </c>
      <c r="CP92">
        <f t="shared" si="85"/>
        <v>9847.23</v>
      </c>
      <c r="CQ92">
        <f t="shared" si="86"/>
        <v>9847.23</v>
      </c>
      <c r="CR92">
        <f t="shared" si="87"/>
        <v>0</v>
      </c>
      <c r="CS92">
        <f t="shared" si="88"/>
        <v>0</v>
      </c>
      <c r="CT92">
        <f t="shared" si="89"/>
        <v>0</v>
      </c>
      <c r="CU92">
        <f t="shared" si="90"/>
        <v>0</v>
      </c>
      <c r="CV92">
        <f t="shared" si="91"/>
        <v>0</v>
      </c>
      <c r="CW92">
        <f t="shared" si="92"/>
        <v>0</v>
      </c>
      <c r="CX92">
        <f t="shared" si="93"/>
        <v>0</v>
      </c>
      <c r="CY92">
        <f t="shared" si="94"/>
        <v>0</v>
      </c>
      <c r="CZ92">
        <f t="shared" si="95"/>
        <v>0</v>
      </c>
      <c r="DC92" t="s">
        <v>3</v>
      </c>
      <c r="DD92" t="s">
        <v>3</v>
      </c>
      <c r="DE92" t="s">
        <v>3</v>
      </c>
      <c r="DF92" t="s">
        <v>3</v>
      </c>
      <c r="DG92" t="s">
        <v>3</v>
      </c>
      <c r="DH92" t="s">
        <v>3</v>
      </c>
      <c r="DI92" t="s">
        <v>3</v>
      </c>
      <c r="DJ92" t="s">
        <v>3</v>
      </c>
      <c r="DK92" t="s">
        <v>3</v>
      </c>
      <c r="DL92" t="s">
        <v>3</v>
      </c>
      <c r="DM92" t="s">
        <v>3</v>
      </c>
      <c r="DN92">
        <v>0</v>
      </c>
      <c r="DO92">
        <v>0</v>
      </c>
      <c r="DP92">
        <v>1</v>
      </c>
      <c r="DQ92">
        <v>1</v>
      </c>
      <c r="DU92">
        <v>1010</v>
      </c>
      <c r="DV92" t="s">
        <v>123</v>
      </c>
      <c r="DW92" t="s">
        <v>123</v>
      </c>
      <c r="DX92">
        <v>1</v>
      </c>
      <c r="EE92">
        <v>38661473</v>
      </c>
      <c r="EF92">
        <v>0</v>
      </c>
      <c r="EG92" t="s">
        <v>130</v>
      </c>
      <c r="EH92">
        <v>0</v>
      </c>
      <c r="EI92" t="s">
        <v>3</v>
      </c>
      <c r="EJ92">
        <v>1</v>
      </c>
      <c r="EK92">
        <v>6001</v>
      </c>
      <c r="EL92" t="s">
        <v>131</v>
      </c>
      <c r="EM92" t="s">
        <v>130</v>
      </c>
      <c r="EO92" t="s">
        <v>3</v>
      </c>
      <c r="EQ92">
        <v>0</v>
      </c>
      <c r="ER92">
        <v>9847.23</v>
      </c>
      <c r="ES92">
        <v>9847.23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5</v>
      </c>
      <c r="FC92">
        <v>1</v>
      </c>
      <c r="FD92">
        <v>18</v>
      </c>
      <c r="FF92">
        <v>11816.67</v>
      </c>
      <c r="FQ92">
        <v>0</v>
      </c>
      <c r="FR92">
        <f t="shared" si="96"/>
        <v>0</v>
      </c>
      <c r="FS92">
        <v>0</v>
      </c>
      <c r="FX92">
        <v>0</v>
      </c>
      <c r="FY92">
        <v>0</v>
      </c>
      <c r="GA92" t="s">
        <v>168</v>
      </c>
      <c r="GD92">
        <v>0</v>
      </c>
      <c r="GF92">
        <v>1342366151</v>
      </c>
      <c r="GG92">
        <v>2</v>
      </c>
      <c r="GH92">
        <v>3</v>
      </c>
      <c r="GI92">
        <v>-2</v>
      </c>
      <c r="GJ92">
        <v>0</v>
      </c>
      <c r="GK92">
        <f>ROUND(R92*(R12)/100,2)</f>
        <v>0</v>
      </c>
      <c r="GL92">
        <f t="shared" si="97"/>
        <v>0</v>
      </c>
      <c r="GM92">
        <f t="shared" si="98"/>
        <v>9847.23</v>
      </c>
      <c r="GN92">
        <f t="shared" si="99"/>
        <v>9847.23</v>
      </c>
      <c r="GO92">
        <f t="shared" si="100"/>
        <v>0</v>
      </c>
      <c r="GP92">
        <f t="shared" si="101"/>
        <v>0</v>
      </c>
      <c r="GR92">
        <v>1</v>
      </c>
      <c r="GS92">
        <v>1</v>
      </c>
      <c r="GT92">
        <v>0</v>
      </c>
      <c r="GU92" t="s">
        <v>3</v>
      </c>
      <c r="GV92">
        <f t="shared" si="102"/>
        <v>0</v>
      </c>
      <c r="GW92">
        <v>1</v>
      </c>
      <c r="GX92">
        <f t="shared" si="103"/>
        <v>0</v>
      </c>
      <c r="HA92">
        <v>0</v>
      </c>
      <c r="HB92">
        <v>0</v>
      </c>
      <c r="HC92">
        <f t="shared" si="104"/>
        <v>0</v>
      </c>
      <c r="HE92" t="s">
        <v>153</v>
      </c>
      <c r="HF92" t="s">
        <v>153</v>
      </c>
      <c r="IK92">
        <v>0</v>
      </c>
    </row>
    <row r="94" spans="1:245" x14ac:dyDescent="0.2">
      <c r="A94" s="2">
        <v>51</v>
      </c>
      <c r="B94" s="2">
        <f>B70</f>
        <v>1</v>
      </c>
      <c r="C94" s="2">
        <f>A70</f>
        <v>5</v>
      </c>
      <c r="D94" s="2">
        <f>ROW(A70)</f>
        <v>70</v>
      </c>
      <c r="E94" s="2"/>
      <c r="F94" s="2" t="str">
        <f>IF(F70&lt;&gt;"",F70,"")</f>
        <v>Новый подраздел</v>
      </c>
      <c r="G94" s="2" t="str">
        <f>IF(G70&lt;&gt;"",G70,"")</f>
        <v>Установка оборудования для выгула собак</v>
      </c>
      <c r="H94" s="2">
        <v>0</v>
      </c>
      <c r="I94" s="2"/>
      <c r="J94" s="2"/>
      <c r="K94" s="2"/>
      <c r="L94" s="2"/>
      <c r="M94" s="2"/>
      <c r="N94" s="2"/>
      <c r="O94" s="2">
        <f t="shared" ref="O94:T94" si="106">ROUND(AB94,2)</f>
        <v>116052.24</v>
      </c>
      <c r="P94" s="2">
        <f t="shared" si="106"/>
        <v>111650.58</v>
      </c>
      <c r="Q94" s="2">
        <f t="shared" si="106"/>
        <v>117.84</v>
      </c>
      <c r="R94" s="2">
        <f t="shared" si="106"/>
        <v>4.9000000000000004</v>
      </c>
      <c r="S94" s="2">
        <f t="shared" si="106"/>
        <v>4283.82</v>
      </c>
      <c r="T94" s="2">
        <f t="shared" si="106"/>
        <v>0</v>
      </c>
      <c r="U94" s="2">
        <f>AH94</f>
        <v>17.48</v>
      </c>
      <c r="V94" s="2">
        <f>AI94</f>
        <v>0</v>
      </c>
      <c r="W94" s="2">
        <f>ROUND(AJ94,2)</f>
        <v>0</v>
      </c>
      <c r="X94" s="2">
        <f>ROUND(AK94,2)</f>
        <v>2998.67</v>
      </c>
      <c r="Y94" s="2">
        <f>ROUND(AL94,2)</f>
        <v>428.38</v>
      </c>
      <c r="Z94" s="2"/>
      <c r="AA94" s="2"/>
      <c r="AB94" s="2">
        <f>ROUND(SUMIF(AA74:AA92,"=38214492",O74:O92),2)</f>
        <v>116052.24</v>
      </c>
      <c r="AC94" s="2">
        <f>ROUND(SUMIF(AA74:AA92,"=38214492",P74:P92),2)</f>
        <v>111650.58</v>
      </c>
      <c r="AD94" s="2">
        <f>ROUND(SUMIF(AA74:AA92,"=38214492",Q74:Q92),2)</f>
        <v>117.84</v>
      </c>
      <c r="AE94" s="2">
        <f>ROUND(SUMIF(AA74:AA92,"=38214492",R74:R92),2)</f>
        <v>4.9000000000000004</v>
      </c>
      <c r="AF94" s="2">
        <f>ROUND(SUMIF(AA74:AA92,"=38214492",S74:S92),2)</f>
        <v>4283.82</v>
      </c>
      <c r="AG94" s="2">
        <f>ROUND(SUMIF(AA74:AA92,"=38214492",T74:T92),2)</f>
        <v>0</v>
      </c>
      <c r="AH94" s="2">
        <f>SUMIF(AA74:AA92,"=38214492",U74:U92)</f>
        <v>17.48</v>
      </c>
      <c r="AI94" s="2">
        <f>SUMIF(AA74:AA92,"=38214492",V74:V92)</f>
        <v>0</v>
      </c>
      <c r="AJ94" s="2">
        <f>ROUND(SUMIF(AA74:AA92,"=38214492",W74:W92),2)</f>
        <v>0</v>
      </c>
      <c r="AK94" s="2">
        <f>ROUND(SUMIF(AA74:AA92,"=38214492",X74:X92),2)</f>
        <v>2998.67</v>
      </c>
      <c r="AL94" s="2">
        <f>ROUND(SUMIF(AA74:AA92,"=38214492",Y74:Y92),2)</f>
        <v>428.38</v>
      </c>
      <c r="AM94" s="2"/>
      <c r="AN94" s="2"/>
      <c r="AO94" s="2">
        <f t="shared" ref="AO94:BD94" si="107">ROUND(BX94,2)</f>
        <v>0</v>
      </c>
      <c r="AP94" s="2">
        <f t="shared" si="107"/>
        <v>0</v>
      </c>
      <c r="AQ94" s="2">
        <f t="shared" si="107"/>
        <v>0</v>
      </c>
      <c r="AR94" s="2">
        <f t="shared" si="107"/>
        <v>119484.58</v>
      </c>
      <c r="AS94" s="2">
        <f t="shared" si="107"/>
        <v>111650.58</v>
      </c>
      <c r="AT94" s="2">
        <f t="shared" si="107"/>
        <v>0</v>
      </c>
      <c r="AU94" s="2">
        <f t="shared" si="107"/>
        <v>7834</v>
      </c>
      <c r="AV94" s="2">
        <f t="shared" si="107"/>
        <v>111650.58</v>
      </c>
      <c r="AW94" s="2">
        <f t="shared" si="107"/>
        <v>111650.58</v>
      </c>
      <c r="AX94" s="2">
        <f t="shared" si="107"/>
        <v>0</v>
      </c>
      <c r="AY94" s="2">
        <f t="shared" si="107"/>
        <v>111650.58</v>
      </c>
      <c r="AZ94" s="2">
        <f t="shared" si="107"/>
        <v>0</v>
      </c>
      <c r="BA94" s="2">
        <f t="shared" si="107"/>
        <v>0</v>
      </c>
      <c r="BB94" s="2">
        <f t="shared" si="107"/>
        <v>0</v>
      </c>
      <c r="BC94" s="2">
        <f t="shared" si="107"/>
        <v>0</v>
      </c>
      <c r="BD94" s="2">
        <f t="shared" si="107"/>
        <v>0</v>
      </c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>
        <f>ROUND(SUMIF(AA74:AA92,"=38214492",FQ74:FQ92),2)</f>
        <v>0</v>
      </c>
      <c r="BY94" s="2">
        <f>ROUND(SUMIF(AA74:AA92,"=38214492",FR74:FR92),2)</f>
        <v>0</v>
      </c>
      <c r="BZ94" s="2">
        <f>ROUND(SUMIF(AA74:AA92,"=38214492",GL74:GL92),2)</f>
        <v>0</v>
      </c>
      <c r="CA94" s="2">
        <f>ROUND(SUMIF(AA74:AA92,"=38214492",GM74:GM92),2)</f>
        <v>119484.58</v>
      </c>
      <c r="CB94" s="2">
        <f>ROUND(SUMIF(AA74:AA92,"=38214492",GN74:GN92),2)</f>
        <v>111650.58</v>
      </c>
      <c r="CC94" s="2">
        <f>ROUND(SUMIF(AA74:AA92,"=38214492",GO74:GO92),2)</f>
        <v>0</v>
      </c>
      <c r="CD94" s="2">
        <f>ROUND(SUMIF(AA74:AA92,"=38214492",GP74:GP92),2)</f>
        <v>7834</v>
      </c>
      <c r="CE94" s="2">
        <f>AC94-BX94</f>
        <v>111650.58</v>
      </c>
      <c r="CF94" s="2">
        <f>AC94-BY94</f>
        <v>111650.58</v>
      </c>
      <c r="CG94" s="2">
        <f>BX94-BZ94</f>
        <v>0</v>
      </c>
      <c r="CH94" s="2">
        <f>AC94-BX94-BY94+BZ94</f>
        <v>111650.58</v>
      </c>
      <c r="CI94" s="2">
        <f>BY94-BZ94</f>
        <v>0</v>
      </c>
      <c r="CJ94" s="2">
        <f>ROUND(SUMIF(AA74:AA92,"=38214492",GX74:GX92),2)</f>
        <v>0</v>
      </c>
      <c r="CK94" s="2">
        <f>ROUND(SUMIF(AA74:AA92,"=38214492",GY74:GY92),2)</f>
        <v>0</v>
      </c>
      <c r="CL94" s="2">
        <f>ROUND(SUMIF(AA74:AA92,"=38214492",GZ74:GZ92),2)</f>
        <v>0</v>
      </c>
      <c r="CM94" s="2">
        <f>ROUND(SUMIF(AA74:AA92,"=38214492",HD74:HD92),2)</f>
        <v>0</v>
      </c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>
        <v>0</v>
      </c>
    </row>
    <row r="96" spans="1:245" x14ac:dyDescent="0.2">
      <c r="A96" s="4">
        <v>50</v>
      </c>
      <c r="B96" s="4">
        <v>0</v>
      </c>
      <c r="C96" s="4">
        <v>0</v>
      </c>
      <c r="D96" s="4">
        <v>1</v>
      </c>
      <c r="E96" s="4">
        <v>201</v>
      </c>
      <c r="F96" s="4">
        <f>ROUND(Source!O94,O96)</f>
        <v>116052.24</v>
      </c>
      <c r="G96" s="4" t="s">
        <v>56</v>
      </c>
      <c r="H96" s="4" t="s">
        <v>57</v>
      </c>
      <c r="I96" s="4"/>
      <c r="J96" s="4"/>
      <c r="K96" s="4">
        <v>201</v>
      </c>
      <c r="L96" s="4">
        <v>1</v>
      </c>
      <c r="M96" s="4">
        <v>3</v>
      </c>
      <c r="N96" s="4" t="s">
        <v>3</v>
      </c>
      <c r="O96" s="4">
        <v>2</v>
      </c>
      <c r="P96" s="4"/>
      <c r="Q96" s="4"/>
      <c r="R96" s="4"/>
      <c r="S96" s="4"/>
      <c r="T96" s="4"/>
      <c r="U96" s="4"/>
      <c r="V96" s="4"/>
      <c r="W96" s="4"/>
    </row>
    <row r="97" spans="1:23" x14ac:dyDescent="0.2">
      <c r="A97" s="4">
        <v>50</v>
      </c>
      <c r="B97" s="4">
        <v>0</v>
      </c>
      <c r="C97" s="4">
        <v>0</v>
      </c>
      <c r="D97" s="4">
        <v>1</v>
      </c>
      <c r="E97" s="4">
        <v>202</v>
      </c>
      <c r="F97" s="4">
        <f>ROUND(Source!P94,O97)</f>
        <v>111650.58</v>
      </c>
      <c r="G97" s="4" t="s">
        <v>58</v>
      </c>
      <c r="H97" s="4" t="s">
        <v>59</v>
      </c>
      <c r="I97" s="4"/>
      <c r="J97" s="4"/>
      <c r="K97" s="4">
        <v>202</v>
      </c>
      <c r="L97" s="4">
        <v>2</v>
      </c>
      <c r="M97" s="4">
        <v>3</v>
      </c>
      <c r="N97" s="4" t="s">
        <v>3</v>
      </c>
      <c r="O97" s="4">
        <v>2</v>
      </c>
      <c r="P97" s="4"/>
      <c r="Q97" s="4"/>
      <c r="R97" s="4"/>
      <c r="S97" s="4"/>
      <c r="T97" s="4"/>
      <c r="U97" s="4"/>
      <c r="V97" s="4"/>
      <c r="W97" s="4"/>
    </row>
    <row r="98" spans="1:23" x14ac:dyDescent="0.2">
      <c r="A98" s="4">
        <v>50</v>
      </c>
      <c r="B98" s="4">
        <v>0</v>
      </c>
      <c r="C98" s="4">
        <v>0</v>
      </c>
      <c r="D98" s="4">
        <v>1</v>
      </c>
      <c r="E98" s="4">
        <v>222</v>
      </c>
      <c r="F98" s="4">
        <f>ROUND(Source!AO94,O98)</f>
        <v>0</v>
      </c>
      <c r="G98" s="4" t="s">
        <v>60</v>
      </c>
      <c r="H98" s="4" t="s">
        <v>61</v>
      </c>
      <c r="I98" s="4"/>
      <c r="J98" s="4"/>
      <c r="K98" s="4">
        <v>222</v>
      </c>
      <c r="L98" s="4">
        <v>3</v>
      </c>
      <c r="M98" s="4">
        <v>3</v>
      </c>
      <c r="N98" s="4" t="s">
        <v>3</v>
      </c>
      <c r="O98" s="4">
        <v>2</v>
      </c>
      <c r="P98" s="4"/>
      <c r="Q98" s="4"/>
      <c r="R98" s="4"/>
      <c r="S98" s="4"/>
      <c r="T98" s="4"/>
      <c r="U98" s="4"/>
      <c r="V98" s="4"/>
      <c r="W98" s="4"/>
    </row>
    <row r="99" spans="1:23" x14ac:dyDescent="0.2">
      <c r="A99" s="4">
        <v>50</v>
      </c>
      <c r="B99" s="4">
        <v>0</v>
      </c>
      <c r="C99" s="4">
        <v>0</v>
      </c>
      <c r="D99" s="4">
        <v>1</v>
      </c>
      <c r="E99" s="4">
        <v>225</v>
      </c>
      <c r="F99" s="4">
        <f>ROUND(Source!AV94,O99)</f>
        <v>111650.58</v>
      </c>
      <c r="G99" s="4" t="s">
        <v>62</v>
      </c>
      <c r="H99" s="4" t="s">
        <v>63</v>
      </c>
      <c r="I99" s="4"/>
      <c r="J99" s="4"/>
      <c r="K99" s="4">
        <v>225</v>
      </c>
      <c r="L99" s="4">
        <v>4</v>
      </c>
      <c r="M99" s="4">
        <v>3</v>
      </c>
      <c r="N99" s="4" t="s">
        <v>3</v>
      </c>
      <c r="O99" s="4">
        <v>2</v>
      </c>
      <c r="P99" s="4"/>
      <c r="Q99" s="4"/>
      <c r="R99" s="4"/>
      <c r="S99" s="4"/>
      <c r="T99" s="4"/>
      <c r="U99" s="4"/>
      <c r="V99" s="4"/>
      <c r="W99" s="4"/>
    </row>
    <row r="100" spans="1:23" x14ac:dyDescent="0.2">
      <c r="A100" s="4">
        <v>50</v>
      </c>
      <c r="B100" s="4">
        <v>0</v>
      </c>
      <c r="C100" s="4">
        <v>0</v>
      </c>
      <c r="D100" s="4">
        <v>1</v>
      </c>
      <c r="E100" s="4">
        <v>226</v>
      </c>
      <c r="F100" s="4">
        <f>ROUND(Source!AW94,O100)</f>
        <v>111650.58</v>
      </c>
      <c r="G100" s="4" t="s">
        <v>64</v>
      </c>
      <c r="H100" s="4" t="s">
        <v>65</v>
      </c>
      <c r="I100" s="4"/>
      <c r="J100" s="4"/>
      <c r="K100" s="4">
        <v>226</v>
      </c>
      <c r="L100" s="4">
        <v>5</v>
      </c>
      <c r="M100" s="4">
        <v>3</v>
      </c>
      <c r="N100" s="4" t="s">
        <v>3</v>
      </c>
      <c r="O100" s="4">
        <v>2</v>
      </c>
      <c r="P100" s="4"/>
      <c r="Q100" s="4"/>
      <c r="R100" s="4"/>
      <c r="S100" s="4"/>
      <c r="T100" s="4"/>
      <c r="U100" s="4"/>
      <c r="V100" s="4"/>
      <c r="W100" s="4"/>
    </row>
    <row r="101" spans="1:23" x14ac:dyDescent="0.2">
      <c r="A101" s="4">
        <v>50</v>
      </c>
      <c r="B101" s="4">
        <v>0</v>
      </c>
      <c r="C101" s="4">
        <v>0</v>
      </c>
      <c r="D101" s="4">
        <v>1</v>
      </c>
      <c r="E101" s="4">
        <v>227</v>
      </c>
      <c r="F101" s="4">
        <f>ROUND(Source!AX94,O101)</f>
        <v>0</v>
      </c>
      <c r="G101" s="4" t="s">
        <v>66</v>
      </c>
      <c r="H101" s="4" t="s">
        <v>67</v>
      </c>
      <c r="I101" s="4"/>
      <c r="J101" s="4"/>
      <c r="K101" s="4">
        <v>227</v>
      </c>
      <c r="L101" s="4">
        <v>6</v>
      </c>
      <c r="M101" s="4">
        <v>3</v>
      </c>
      <c r="N101" s="4" t="s">
        <v>3</v>
      </c>
      <c r="O101" s="4">
        <v>2</v>
      </c>
      <c r="P101" s="4"/>
      <c r="Q101" s="4"/>
      <c r="R101" s="4"/>
      <c r="S101" s="4"/>
      <c r="T101" s="4"/>
      <c r="U101" s="4"/>
      <c r="V101" s="4"/>
      <c r="W101" s="4"/>
    </row>
    <row r="102" spans="1:23" x14ac:dyDescent="0.2">
      <c r="A102" s="4">
        <v>50</v>
      </c>
      <c r="B102" s="4">
        <v>0</v>
      </c>
      <c r="C102" s="4">
        <v>0</v>
      </c>
      <c r="D102" s="4">
        <v>1</v>
      </c>
      <c r="E102" s="4">
        <v>228</v>
      </c>
      <c r="F102" s="4">
        <f>ROUND(Source!AY94,O102)</f>
        <v>111650.58</v>
      </c>
      <c r="G102" s="4" t="s">
        <v>68</v>
      </c>
      <c r="H102" s="4" t="s">
        <v>69</v>
      </c>
      <c r="I102" s="4"/>
      <c r="J102" s="4"/>
      <c r="K102" s="4">
        <v>228</v>
      </c>
      <c r="L102" s="4">
        <v>7</v>
      </c>
      <c r="M102" s="4">
        <v>3</v>
      </c>
      <c r="N102" s="4" t="s">
        <v>3</v>
      </c>
      <c r="O102" s="4">
        <v>2</v>
      </c>
      <c r="P102" s="4"/>
      <c r="Q102" s="4"/>
      <c r="R102" s="4"/>
      <c r="S102" s="4"/>
      <c r="T102" s="4"/>
      <c r="U102" s="4"/>
      <c r="V102" s="4"/>
      <c r="W102" s="4"/>
    </row>
    <row r="103" spans="1:23" x14ac:dyDescent="0.2">
      <c r="A103" s="4">
        <v>50</v>
      </c>
      <c r="B103" s="4">
        <v>0</v>
      </c>
      <c r="C103" s="4">
        <v>0</v>
      </c>
      <c r="D103" s="4">
        <v>1</v>
      </c>
      <c r="E103" s="4">
        <v>216</v>
      </c>
      <c r="F103" s="4">
        <f>ROUND(Source!AP94,O103)</f>
        <v>0</v>
      </c>
      <c r="G103" s="4" t="s">
        <v>70</v>
      </c>
      <c r="H103" s="4" t="s">
        <v>71</v>
      </c>
      <c r="I103" s="4"/>
      <c r="J103" s="4"/>
      <c r="K103" s="4">
        <v>216</v>
      </c>
      <c r="L103" s="4">
        <v>8</v>
      </c>
      <c r="M103" s="4">
        <v>3</v>
      </c>
      <c r="N103" s="4" t="s">
        <v>3</v>
      </c>
      <c r="O103" s="4">
        <v>2</v>
      </c>
      <c r="P103" s="4"/>
      <c r="Q103" s="4"/>
      <c r="R103" s="4"/>
      <c r="S103" s="4"/>
      <c r="T103" s="4"/>
      <c r="U103" s="4"/>
      <c r="V103" s="4"/>
      <c r="W103" s="4"/>
    </row>
    <row r="104" spans="1:23" x14ac:dyDescent="0.2">
      <c r="A104" s="4">
        <v>50</v>
      </c>
      <c r="B104" s="4">
        <v>0</v>
      </c>
      <c r="C104" s="4">
        <v>0</v>
      </c>
      <c r="D104" s="4">
        <v>1</v>
      </c>
      <c r="E104" s="4">
        <v>223</v>
      </c>
      <c r="F104" s="4">
        <f>ROUND(Source!AQ94,O104)</f>
        <v>0</v>
      </c>
      <c r="G104" s="4" t="s">
        <v>72</v>
      </c>
      <c r="H104" s="4" t="s">
        <v>73</v>
      </c>
      <c r="I104" s="4"/>
      <c r="J104" s="4"/>
      <c r="K104" s="4">
        <v>223</v>
      </c>
      <c r="L104" s="4">
        <v>9</v>
      </c>
      <c r="M104" s="4">
        <v>3</v>
      </c>
      <c r="N104" s="4" t="s">
        <v>3</v>
      </c>
      <c r="O104" s="4">
        <v>2</v>
      </c>
      <c r="P104" s="4"/>
      <c r="Q104" s="4"/>
      <c r="R104" s="4"/>
      <c r="S104" s="4"/>
      <c r="T104" s="4"/>
      <c r="U104" s="4"/>
      <c r="V104" s="4"/>
      <c r="W104" s="4"/>
    </row>
    <row r="105" spans="1:23" x14ac:dyDescent="0.2">
      <c r="A105" s="4">
        <v>50</v>
      </c>
      <c r="B105" s="4">
        <v>0</v>
      </c>
      <c r="C105" s="4">
        <v>0</v>
      </c>
      <c r="D105" s="4">
        <v>1</v>
      </c>
      <c r="E105" s="4">
        <v>229</v>
      </c>
      <c r="F105" s="4">
        <f>ROUND(Source!AZ94,O105)</f>
        <v>0</v>
      </c>
      <c r="G105" s="4" t="s">
        <v>74</v>
      </c>
      <c r="H105" s="4" t="s">
        <v>75</v>
      </c>
      <c r="I105" s="4"/>
      <c r="J105" s="4"/>
      <c r="K105" s="4">
        <v>229</v>
      </c>
      <c r="L105" s="4">
        <v>10</v>
      </c>
      <c r="M105" s="4">
        <v>3</v>
      </c>
      <c r="N105" s="4" t="s">
        <v>3</v>
      </c>
      <c r="O105" s="4">
        <v>2</v>
      </c>
      <c r="P105" s="4"/>
      <c r="Q105" s="4"/>
      <c r="R105" s="4"/>
      <c r="S105" s="4"/>
      <c r="T105" s="4"/>
      <c r="U105" s="4"/>
      <c r="V105" s="4"/>
      <c r="W105" s="4"/>
    </row>
    <row r="106" spans="1:23" x14ac:dyDescent="0.2">
      <c r="A106" s="4">
        <v>50</v>
      </c>
      <c r="B106" s="4">
        <v>0</v>
      </c>
      <c r="C106" s="4">
        <v>0</v>
      </c>
      <c r="D106" s="4">
        <v>1</v>
      </c>
      <c r="E106" s="4">
        <v>203</v>
      </c>
      <c r="F106" s="4">
        <f>ROUND(Source!Q94,O106)</f>
        <v>117.84</v>
      </c>
      <c r="G106" s="4" t="s">
        <v>76</v>
      </c>
      <c r="H106" s="4" t="s">
        <v>77</v>
      </c>
      <c r="I106" s="4"/>
      <c r="J106" s="4"/>
      <c r="K106" s="4">
        <v>203</v>
      </c>
      <c r="L106" s="4">
        <v>11</v>
      </c>
      <c r="M106" s="4">
        <v>3</v>
      </c>
      <c r="N106" s="4" t="s">
        <v>3</v>
      </c>
      <c r="O106" s="4">
        <v>2</v>
      </c>
      <c r="P106" s="4"/>
      <c r="Q106" s="4"/>
      <c r="R106" s="4"/>
      <c r="S106" s="4"/>
      <c r="T106" s="4"/>
      <c r="U106" s="4"/>
      <c r="V106" s="4"/>
      <c r="W106" s="4"/>
    </row>
    <row r="107" spans="1:23" x14ac:dyDescent="0.2">
      <c r="A107" s="4">
        <v>50</v>
      </c>
      <c r="B107" s="4">
        <v>0</v>
      </c>
      <c r="C107" s="4">
        <v>0</v>
      </c>
      <c r="D107" s="4">
        <v>1</v>
      </c>
      <c r="E107" s="4">
        <v>231</v>
      </c>
      <c r="F107" s="4">
        <f>ROUND(Source!BB94,O107)</f>
        <v>0</v>
      </c>
      <c r="G107" s="4" t="s">
        <v>78</v>
      </c>
      <c r="H107" s="4" t="s">
        <v>79</v>
      </c>
      <c r="I107" s="4"/>
      <c r="J107" s="4"/>
      <c r="K107" s="4">
        <v>231</v>
      </c>
      <c r="L107" s="4">
        <v>12</v>
      </c>
      <c r="M107" s="4">
        <v>3</v>
      </c>
      <c r="N107" s="4" t="s">
        <v>3</v>
      </c>
      <c r="O107" s="4">
        <v>2</v>
      </c>
      <c r="P107" s="4"/>
      <c r="Q107" s="4"/>
      <c r="R107" s="4"/>
      <c r="S107" s="4"/>
      <c r="T107" s="4"/>
      <c r="U107" s="4"/>
      <c r="V107" s="4"/>
      <c r="W107" s="4"/>
    </row>
    <row r="108" spans="1:23" x14ac:dyDescent="0.2">
      <c r="A108" s="4">
        <v>50</v>
      </c>
      <c r="B108" s="4">
        <v>0</v>
      </c>
      <c r="C108" s="4">
        <v>0</v>
      </c>
      <c r="D108" s="4">
        <v>1</v>
      </c>
      <c r="E108" s="4">
        <v>204</v>
      </c>
      <c r="F108" s="4">
        <f>ROUND(Source!R94,O108)</f>
        <v>4.9000000000000004</v>
      </c>
      <c r="G108" s="4" t="s">
        <v>80</v>
      </c>
      <c r="H108" s="4" t="s">
        <v>81</v>
      </c>
      <c r="I108" s="4"/>
      <c r="J108" s="4"/>
      <c r="K108" s="4">
        <v>204</v>
      </c>
      <c r="L108" s="4">
        <v>13</v>
      </c>
      <c r="M108" s="4">
        <v>3</v>
      </c>
      <c r="N108" s="4" t="s">
        <v>3</v>
      </c>
      <c r="O108" s="4">
        <v>2</v>
      </c>
      <c r="P108" s="4"/>
      <c r="Q108" s="4"/>
      <c r="R108" s="4"/>
      <c r="S108" s="4"/>
      <c r="T108" s="4"/>
      <c r="U108" s="4"/>
      <c r="V108" s="4"/>
      <c r="W108" s="4"/>
    </row>
    <row r="109" spans="1:23" x14ac:dyDescent="0.2">
      <c r="A109" s="4">
        <v>50</v>
      </c>
      <c r="B109" s="4">
        <v>0</v>
      </c>
      <c r="C109" s="4">
        <v>0</v>
      </c>
      <c r="D109" s="4">
        <v>1</v>
      </c>
      <c r="E109" s="4">
        <v>205</v>
      </c>
      <c r="F109" s="4">
        <f>ROUND(Source!S94,O109)</f>
        <v>4283.82</v>
      </c>
      <c r="G109" s="4" t="s">
        <v>82</v>
      </c>
      <c r="H109" s="4" t="s">
        <v>83</v>
      </c>
      <c r="I109" s="4"/>
      <c r="J109" s="4"/>
      <c r="K109" s="4">
        <v>205</v>
      </c>
      <c r="L109" s="4">
        <v>14</v>
      </c>
      <c r="M109" s="4">
        <v>3</v>
      </c>
      <c r="N109" s="4" t="s">
        <v>3</v>
      </c>
      <c r="O109" s="4">
        <v>2</v>
      </c>
      <c r="P109" s="4"/>
      <c r="Q109" s="4"/>
      <c r="R109" s="4"/>
      <c r="S109" s="4"/>
      <c r="T109" s="4"/>
      <c r="U109" s="4"/>
      <c r="V109" s="4"/>
      <c r="W109" s="4"/>
    </row>
    <row r="110" spans="1:23" x14ac:dyDescent="0.2">
      <c r="A110" s="4">
        <v>50</v>
      </c>
      <c r="B110" s="4">
        <v>0</v>
      </c>
      <c r="C110" s="4">
        <v>0</v>
      </c>
      <c r="D110" s="4">
        <v>1</v>
      </c>
      <c r="E110" s="4">
        <v>232</v>
      </c>
      <c r="F110" s="4">
        <f>ROUND(Source!BC94,O110)</f>
        <v>0</v>
      </c>
      <c r="G110" s="4" t="s">
        <v>84</v>
      </c>
      <c r="H110" s="4" t="s">
        <v>85</v>
      </c>
      <c r="I110" s="4"/>
      <c r="J110" s="4"/>
      <c r="K110" s="4">
        <v>232</v>
      </c>
      <c r="L110" s="4">
        <v>15</v>
      </c>
      <c r="M110" s="4">
        <v>3</v>
      </c>
      <c r="N110" s="4" t="s">
        <v>3</v>
      </c>
      <c r="O110" s="4">
        <v>2</v>
      </c>
      <c r="P110" s="4"/>
      <c r="Q110" s="4"/>
      <c r="R110" s="4"/>
      <c r="S110" s="4"/>
      <c r="T110" s="4"/>
      <c r="U110" s="4"/>
      <c r="V110" s="4"/>
      <c r="W110" s="4"/>
    </row>
    <row r="111" spans="1:23" x14ac:dyDescent="0.2">
      <c r="A111" s="4">
        <v>50</v>
      </c>
      <c r="B111" s="4">
        <v>0</v>
      </c>
      <c r="C111" s="4">
        <v>0</v>
      </c>
      <c r="D111" s="4">
        <v>1</v>
      </c>
      <c r="E111" s="4">
        <v>214</v>
      </c>
      <c r="F111" s="4">
        <f>ROUND(Source!AS94,O111)</f>
        <v>111650.58</v>
      </c>
      <c r="G111" s="4" t="s">
        <v>86</v>
      </c>
      <c r="H111" s="4" t="s">
        <v>87</v>
      </c>
      <c r="I111" s="4"/>
      <c r="J111" s="4"/>
      <c r="K111" s="4">
        <v>214</v>
      </c>
      <c r="L111" s="4">
        <v>16</v>
      </c>
      <c r="M111" s="4">
        <v>3</v>
      </c>
      <c r="N111" s="4" t="s">
        <v>3</v>
      </c>
      <c r="O111" s="4">
        <v>2</v>
      </c>
      <c r="P111" s="4"/>
      <c r="Q111" s="4"/>
      <c r="R111" s="4"/>
      <c r="S111" s="4"/>
      <c r="T111" s="4"/>
      <c r="U111" s="4"/>
      <c r="V111" s="4"/>
      <c r="W111" s="4"/>
    </row>
    <row r="112" spans="1:23" x14ac:dyDescent="0.2">
      <c r="A112" s="4">
        <v>50</v>
      </c>
      <c r="B112" s="4">
        <v>0</v>
      </c>
      <c r="C112" s="4">
        <v>0</v>
      </c>
      <c r="D112" s="4">
        <v>1</v>
      </c>
      <c r="E112" s="4">
        <v>215</v>
      </c>
      <c r="F112" s="4">
        <f>ROUND(Source!AT94,O112)</f>
        <v>0</v>
      </c>
      <c r="G112" s="4" t="s">
        <v>88</v>
      </c>
      <c r="H112" s="4" t="s">
        <v>89</v>
      </c>
      <c r="I112" s="4"/>
      <c r="J112" s="4"/>
      <c r="K112" s="4">
        <v>215</v>
      </c>
      <c r="L112" s="4">
        <v>17</v>
      </c>
      <c r="M112" s="4">
        <v>3</v>
      </c>
      <c r="N112" s="4" t="s">
        <v>3</v>
      </c>
      <c r="O112" s="4">
        <v>2</v>
      </c>
      <c r="P112" s="4"/>
      <c r="Q112" s="4"/>
      <c r="R112" s="4"/>
      <c r="S112" s="4"/>
      <c r="T112" s="4"/>
      <c r="U112" s="4"/>
      <c r="V112" s="4"/>
      <c r="W112" s="4"/>
    </row>
    <row r="113" spans="1:245" x14ac:dyDescent="0.2">
      <c r="A113" s="4">
        <v>50</v>
      </c>
      <c r="B113" s="4">
        <v>0</v>
      </c>
      <c r="C113" s="4">
        <v>0</v>
      </c>
      <c r="D113" s="4">
        <v>1</v>
      </c>
      <c r="E113" s="4">
        <v>217</v>
      </c>
      <c r="F113" s="4">
        <f>ROUND(Source!AU94,O113)</f>
        <v>7834</v>
      </c>
      <c r="G113" s="4" t="s">
        <v>90</v>
      </c>
      <c r="H113" s="4" t="s">
        <v>91</v>
      </c>
      <c r="I113" s="4"/>
      <c r="J113" s="4"/>
      <c r="K113" s="4">
        <v>217</v>
      </c>
      <c r="L113" s="4">
        <v>18</v>
      </c>
      <c r="M113" s="4">
        <v>3</v>
      </c>
      <c r="N113" s="4" t="s">
        <v>3</v>
      </c>
      <c r="O113" s="4">
        <v>2</v>
      </c>
      <c r="P113" s="4"/>
      <c r="Q113" s="4"/>
      <c r="R113" s="4"/>
      <c r="S113" s="4"/>
      <c r="T113" s="4"/>
      <c r="U113" s="4"/>
      <c r="V113" s="4"/>
      <c r="W113" s="4"/>
    </row>
    <row r="114" spans="1:245" x14ac:dyDescent="0.2">
      <c r="A114" s="4">
        <v>50</v>
      </c>
      <c r="B114" s="4">
        <v>0</v>
      </c>
      <c r="C114" s="4">
        <v>0</v>
      </c>
      <c r="D114" s="4">
        <v>1</v>
      </c>
      <c r="E114" s="4">
        <v>230</v>
      </c>
      <c r="F114" s="4">
        <f>ROUND(Source!BA94,O114)</f>
        <v>0</v>
      </c>
      <c r="G114" s="4" t="s">
        <v>92</v>
      </c>
      <c r="H114" s="4" t="s">
        <v>93</v>
      </c>
      <c r="I114" s="4"/>
      <c r="J114" s="4"/>
      <c r="K114" s="4">
        <v>230</v>
      </c>
      <c r="L114" s="4">
        <v>19</v>
      </c>
      <c r="M114" s="4">
        <v>3</v>
      </c>
      <c r="N114" s="4" t="s">
        <v>3</v>
      </c>
      <c r="O114" s="4">
        <v>2</v>
      </c>
      <c r="P114" s="4"/>
      <c r="Q114" s="4"/>
      <c r="R114" s="4"/>
      <c r="S114" s="4"/>
      <c r="T114" s="4"/>
      <c r="U114" s="4"/>
      <c r="V114" s="4"/>
      <c r="W114" s="4"/>
    </row>
    <row r="115" spans="1:245" x14ac:dyDescent="0.2">
      <c r="A115" s="4">
        <v>50</v>
      </c>
      <c r="B115" s="4">
        <v>0</v>
      </c>
      <c r="C115" s="4">
        <v>0</v>
      </c>
      <c r="D115" s="4">
        <v>1</v>
      </c>
      <c r="E115" s="4">
        <v>206</v>
      </c>
      <c r="F115" s="4">
        <f>ROUND(Source!T94,O115)</f>
        <v>0</v>
      </c>
      <c r="G115" s="4" t="s">
        <v>94</v>
      </c>
      <c r="H115" s="4" t="s">
        <v>95</v>
      </c>
      <c r="I115" s="4"/>
      <c r="J115" s="4"/>
      <c r="K115" s="4">
        <v>206</v>
      </c>
      <c r="L115" s="4">
        <v>20</v>
      </c>
      <c r="M115" s="4">
        <v>3</v>
      </c>
      <c r="N115" s="4" t="s">
        <v>3</v>
      </c>
      <c r="O115" s="4">
        <v>2</v>
      </c>
      <c r="P115" s="4"/>
      <c r="Q115" s="4"/>
      <c r="R115" s="4"/>
      <c r="S115" s="4"/>
      <c r="T115" s="4"/>
      <c r="U115" s="4"/>
      <c r="V115" s="4"/>
      <c r="W115" s="4"/>
    </row>
    <row r="116" spans="1:245" x14ac:dyDescent="0.2">
      <c r="A116" s="4">
        <v>50</v>
      </c>
      <c r="B116" s="4">
        <v>0</v>
      </c>
      <c r="C116" s="4">
        <v>0</v>
      </c>
      <c r="D116" s="4">
        <v>1</v>
      </c>
      <c r="E116" s="4">
        <v>207</v>
      </c>
      <c r="F116" s="4">
        <f>Source!U94</f>
        <v>17.48</v>
      </c>
      <c r="G116" s="4" t="s">
        <v>96</v>
      </c>
      <c r="H116" s="4" t="s">
        <v>97</v>
      </c>
      <c r="I116" s="4"/>
      <c r="J116" s="4"/>
      <c r="K116" s="4">
        <v>207</v>
      </c>
      <c r="L116" s="4">
        <v>21</v>
      </c>
      <c r="M116" s="4">
        <v>3</v>
      </c>
      <c r="N116" s="4" t="s">
        <v>3</v>
      </c>
      <c r="O116" s="4">
        <v>-1</v>
      </c>
      <c r="P116" s="4"/>
      <c r="Q116" s="4"/>
      <c r="R116" s="4"/>
      <c r="S116" s="4"/>
      <c r="T116" s="4"/>
      <c r="U116" s="4"/>
      <c r="V116" s="4"/>
      <c r="W116" s="4"/>
    </row>
    <row r="117" spans="1:245" x14ac:dyDescent="0.2">
      <c r="A117" s="4">
        <v>50</v>
      </c>
      <c r="B117" s="4">
        <v>0</v>
      </c>
      <c r="C117" s="4">
        <v>0</v>
      </c>
      <c r="D117" s="4">
        <v>1</v>
      </c>
      <c r="E117" s="4">
        <v>208</v>
      </c>
      <c r="F117" s="4">
        <f>Source!V94</f>
        <v>0</v>
      </c>
      <c r="G117" s="4" t="s">
        <v>98</v>
      </c>
      <c r="H117" s="4" t="s">
        <v>99</v>
      </c>
      <c r="I117" s="4"/>
      <c r="J117" s="4"/>
      <c r="K117" s="4">
        <v>208</v>
      </c>
      <c r="L117" s="4">
        <v>22</v>
      </c>
      <c r="M117" s="4">
        <v>3</v>
      </c>
      <c r="N117" s="4" t="s">
        <v>3</v>
      </c>
      <c r="O117" s="4">
        <v>-1</v>
      </c>
      <c r="P117" s="4"/>
      <c r="Q117" s="4"/>
      <c r="R117" s="4"/>
      <c r="S117" s="4"/>
      <c r="T117" s="4"/>
      <c r="U117" s="4"/>
      <c r="V117" s="4"/>
      <c r="W117" s="4"/>
    </row>
    <row r="118" spans="1:245" x14ac:dyDescent="0.2">
      <c r="A118" s="4">
        <v>50</v>
      </c>
      <c r="B118" s="4">
        <v>0</v>
      </c>
      <c r="C118" s="4">
        <v>0</v>
      </c>
      <c r="D118" s="4">
        <v>1</v>
      </c>
      <c r="E118" s="4">
        <v>209</v>
      </c>
      <c r="F118" s="4">
        <f>ROUND(Source!W94,O118)</f>
        <v>0</v>
      </c>
      <c r="G118" s="4" t="s">
        <v>100</v>
      </c>
      <c r="H118" s="4" t="s">
        <v>101</v>
      </c>
      <c r="I118" s="4"/>
      <c r="J118" s="4"/>
      <c r="K118" s="4">
        <v>209</v>
      </c>
      <c r="L118" s="4">
        <v>23</v>
      </c>
      <c r="M118" s="4">
        <v>3</v>
      </c>
      <c r="N118" s="4" t="s">
        <v>3</v>
      </c>
      <c r="O118" s="4">
        <v>2</v>
      </c>
      <c r="P118" s="4"/>
      <c r="Q118" s="4"/>
      <c r="R118" s="4"/>
      <c r="S118" s="4"/>
      <c r="T118" s="4"/>
      <c r="U118" s="4"/>
      <c r="V118" s="4"/>
      <c r="W118" s="4"/>
    </row>
    <row r="119" spans="1:245" x14ac:dyDescent="0.2">
      <c r="A119" s="4">
        <v>50</v>
      </c>
      <c r="B119" s="4">
        <v>0</v>
      </c>
      <c r="C119" s="4">
        <v>0</v>
      </c>
      <c r="D119" s="4">
        <v>1</v>
      </c>
      <c r="E119" s="4">
        <v>233</v>
      </c>
      <c r="F119" s="4">
        <f>ROUND(Source!BD94,O119)</f>
        <v>0</v>
      </c>
      <c r="G119" s="4" t="s">
        <v>102</v>
      </c>
      <c r="H119" s="4" t="s">
        <v>103</v>
      </c>
      <c r="I119" s="4"/>
      <c r="J119" s="4"/>
      <c r="K119" s="4">
        <v>233</v>
      </c>
      <c r="L119" s="4">
        <v>24</v>
      </c>
      <c r="M119" s="4">
        <v>3</v>
      </c>
      <c r="N119" s="4" t="s">
        <v>3</v>
      </c>
      <c r="O119" s="4">
        <v>2</v>
      </c>
      <c r="P119" s="4"/>
      <c r="Q119" s="4"/>
      <c r="R119" s="4"/>
      <c r="S119" s="4"/>
      <c r="T119" s="4"/>
      <c r="U119" s="4"/>
      <c r="V119" s="4"/>
      <c r="W119" s="4"/>
    </row>
    <row r="120" spans="1:245" x14ac:dyDescent="0.2">
      <c r="A120" s="4">
        <v>50</v>
      </c>
      <c r="B120" s="4">
        <v>0</v>
      </c>
      <c r="C120" s="4">
        <v>0</v>
      </c>
      <c r="D120" s="4">
        <v>1</v>
      </c>
      <c r="E120" s="4">
        <v>210</v>
      </c>
      <c r="F120" s="4">
        <f>ROUND(Source!X94,O120)</f>
        <v>2998.67</v>
      </c>
      <c r="G120" s="4" t="s">
        <v>104</v>
      </c>
      <c r="H120" s="4" t="s">
        <v>105</v>
      </c>
      <c r="I120" s="4"/>
      <c r="J120" s="4"/>
      <c r="K120" s="4">
        <v>210</v>
      </c>
      <c r="L120" s="4">
        <v>25</v>
      </c>
      <c r="M120" s="4">
        <v>3</v>
      </c>
      <c r="N120" s="4" t="s">
        <v>3</v>
      </c>
      <c r="O120" s="4">
        <v>2</v>
      </c>
      <c r="P120" s="4"/>
      <c r="Q120" s="4"/>
      <c r="R120" s="4"/>
      <c r="S120" s="4"/>
      <c r="T120" s="4"/>
      <c r="U120" s="4"/>
      <c r="V120" s="4"/>
      <c r="W120" s="4"/>
    </row>
    <row r="121" spans="1:245" x14ac:dyDescent="0.2">
      <c r="A121" s="4">
        <v>50</v>
      </c>
      <c r="B121" s="4">
        <v>0</v>
      </c>
      <c r="C121" s="4">
        <v>0</v>
      </c>
      <c r="D121" s="4">
        <v>1</v>
      </c>
      <c r="E121" s="4">
        <v>211</v>
      </c>
      <c r="F121" s="4">
        <f>ROUND(Source!Y94,O121)</f>
        <v>428.38</v>
      </c>
      <c r="G121" s="4" t="s">
        <v>106</v>
      </c>
      <c r="H121" s="4" t="s">
        <v>107</v>
      </c>
      <c r="I121" s="4"/>
      <c r="J121" s="4"/>
      <c r="K121" s="4">
        <v>211</v>
      </c>
      <c r="L121" s="4">
        <v>26</v>
      </c>
      <c r="M121" s="4">
        <v>3</v>
      </c>
      <c r="N121" s="4" t="s">
        <v>3</v>
      </c>
      <c r="O121" s="4">
        <v>2</v>
      </c>
      <c r="P121" s="4"/>
      <c r="Q121" s="4"/>
      <c r="R121" s="4"/>
      <c r="S121" s="4"/>
      <c r="T121" s="4"/>
      <c r="U121" s="4"/>
      <c r="V121" s="4"/>
      <c r="W121" s="4"/>
    </row>
    <row r="122" spans="1:245" x14ac:dyDescent="0.2">
      <c r="A122" s="4">
        <v>50</v>
      </c>
      <c r="B122" s="4">
        <v>0</v>
      </c>
      <c r="C122" s="4">
        <v>0</v>
      </c>
      <c r="D122" s="4">
        <v>1</v>
      </c>
      <c r="E122" s="4">
        <v>224</v>
      </c>
      <c r="F122" s="4">
        <f>ROUND(Source!AR94,O122)</f>
        <v>119484.58</v>
      </c>
      <c r="G122" s="4" t="s">
        <v>108</v>
      </c>
      <c r="H122" s="4" t="s">
        <v>109</v>
      </c>
      <c r="I122" s="4"/>
      <c r="J122" s="4"/>
      <c r="K122" s="4">
        <v>224</v>
      </c>
      <c r="L122" s="4">
        <v>27</v>
      </c>
      <c r="M122" s="4">
        <v>3</v>
      </c>
      <c r="N122" s="4" t="s">
        <v>3</v>
      </c>
      <c r="O122" s="4">
        <v>2</v>
      </c>
      <c r="P122" s="4"/>
      <c r="Q122" s="4"/>
      <c r="R122" s="4"/>
      <c r="S122" s="4"/>
      <c r="T122" s="4"/>
      <c r="U122" s="4"/>
      <c r="V122" s="4"/>
      <c r="W122" s="4"/>
    </row>
    <row r="124" spans="1:245" x14ac:dyDescent="0.2">
      <c r="A124" s="1">
        <v>5</v>
      </c>
      <c r="B124" s="1">
        <v>1</v>
      </c>
      <c r="C124" s="1"/>
      <c r="D124" s="1">
        <f>ROW(A132)</f>
        <v>132</v>
      </c>
      <c r="E124" s="1"/>
      <c r="F124" s="1" t="s">
        <v>17</v>
      </c>
      <c r="G124" s="1" t="s">
        <v>169</v>
      </c>
      <c r="H124" s="1" t="s">
        <v>3</v>
      </c>
      <c r="I124" s="1">
        <v>0</v>
      </c>
      <c r="J124" s="1"/>
      <c r="K124" s="1">
        <v>0</v>
      </c>
      <c r="L124" s="1"/>
      <c r="M124" s="1"/>
      <c r="N124" s="1"/>
      <c r="O124" s="1"/>
      <c r="P124" s="1"/>
      <c r="Q124" s="1"/>
      <c r="R124" s="1"/>
      <c r="S124" s="1"/>
      <c r="T124" s="1"/>
      <c r="U124" s="1" t="s">
        <v>3</v>
      </c>
      <c r="V124" s="1">
        <v>0</v>
      </c>
      <c r="W124" s="1"/>
      <c r="X124" s="1"/>
      <c r="Y124" s="1"/>
      <c r="Z124" s="1"/>
      <c r="AA124" s="1"/>
      <c r="AB124" s="1" t="s">
        <v>3</v>
      </c>
      <c r="AC124" s="1" t="s">
        <v>3</v>
      </c>
      <c r="AD124" s="1" t="s">
        <v>3</v>
      </c>
      <c r="AE124" s="1" t="s">
        <v>3</v>
      </c>
      <c r="AF124" s="1" t="s">
        <v>3</v>
      </c>
      <c r="AG124" s="1" t="s">
        <v>3</v>
      </c>
      <c r="AH124" s="1"/>
      <c r="AI124" s="1"/>
      <c r="AJ124" s="1"/>
      <c r="AK124" s="1"/>
      <c r="AL124" s="1"/>
      <c r="AM124" s="1"/>
      <c r="AN124" s="1"/>
      <c r="AO124" s="1"/>
      <c r="AP124" s="1" t="s">
        <v>3</v>
      </c>
      <c r="AQ124" s="1" t="s">
        <v>3</v>
      </c>
      <c r="AR124" s="1" t="s">
        <v>3</v>
      </c>
      <c r="AS124" s="1"/>
      <c r="AT124" s="1"/>
      <c r="AU124" s="1"/>
      <c r="AV124" s="1"/>
      <c r="AW124" s="1"/>
      <c r="AX124" s="1"/>
      <c r="AY124" s="1"/>
      <c r="AZ124" s="1" t="s">
        <v>3</v>
      </c>
      <c r="BA124" s="1"/>
      <c r="BB124" s="1" t="s">
        <v>3</v>
      </c>
      <c r="BC124" s="1" t="s">
        <v>3</v>
      </c>
      <c r="BD124" s="1" t="s">
        <v>3</v>
      </c>
      <c r="BE124" s="1" t="s">
        <v>3</v>
      </c>
      <c r="BF124" s="1" t="s">
        <v>3</v>
      </c>
      <c r="BG124" s="1" t="s">
        <v>3</v>
      </c>
      <c r="BH124" s="1" t="s">
        <v>3</v>
      </c>
      <c r="BI124" s="1" t="s">
        <v>3</v>
      </c>
      <c r="BJ124" s="1" t="s">
        <v>3</v>
      </c>
      <c r="BK124" s="1" t="s">
        <v>3</v>
      </c>
      <c r="BL124" s="1" t="s">
        <v>3</v>
      </c>
      <c r="BM124" s="1" t="s">
        <v>3</v>
      </c>
      <c r="BN124" s="1" t="s">
        <v>3</v>
      </c>
      <c r="BO124" s="1" t="s">
        <v>3</v>
      </c>
      <c r="BP124" s="1" t="s">
        <v>3</v>
      </c>
      <c r="BQ124" s="1"/>
      <c r="BR124" s="1"/>
      <c r="BS124" s="1"/>
      <c r="BT124" s="1"/>
      <c r="BU124" s="1"/>
      <c r="BV124" s="1"/>
      <c r="BW124" s="1"/>
      <c r="BX124" s="1">
        <v>0</v>
      </c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>
        <v>0</v>
      </c>
    </row>
    <row r="126" spans="1:245" x14ac:dyDescent="0.2">
      <c r="A126" s="2">
        <v>52</v>
      </c>
      <c r="B126" s="2">
        <f t="shared" ref="B126:G126" si="108">B132</f>
        <v>1</v>
      </c>
      <c r="C126" s="2">
        <f t="shared" si="108"/>
        <v>5</v>
      </c>
      <c r="D126" s="2">
        <f t="shared" si="108"/>
        <v>124</v>
      </c>
      <c r="E126" s="2">
        <f t="shared" si="108"/>
        <v>0</v>
      </c>
      <c r="F126" s="2" t="str">
        <f t="shared" si="108"/>
        <v>Новый подраздел</v>
      </c>
      <c r="G126" s="2" t="str">
        <f t="shared" si="108"/>
        <v>Установка ограждения</v>
      </c>
      <c r="H126" s="2"/>
      <c r="I126" s="2"/>
      <c r="J126" s="2"/>
      <c r="K126" s="2"/>
      <c r="L126" s="2"/>
      <c r="M126" s="2"/>
      <c r="N126" s="2"/>
      <c r="O126" s="2">
        <f t="shared" ref="O126:AT126" si="109">O132</f>
        <v>778463.03</v>
      </c>
      <c r="P126" s="2">
        <f t="shared" si="109"/>
        <v>667788.87</v>
      </c>
      <c r="Q126" s="2">
        <f t="shared" si="109"/>
        <v>24629.95</v>
      </c>
      <c r="R126" s="2">
        <f t="shared" si="109"/>
        <v>4684.1000000000004</v>
      </c>
      <c r="S126" s="2">
        <f t="shared" si="109"/>
        <v>86044.21</v>
      </c>
      <c r="T126" s="2">
        <f t="shared" si="109"/>
        <v>0</v>
      </c>
      <c r="U126" s="2">
        <f t="shared" si="109"/>
        <v>410.97199999999998</v>
      </c>
      <c r="V126" s="2">
        <f t="shared" si="109"/>
        <v>0</v>
      </c>
      <c r="W126" s="2">
        <f t="shared" si="109"/>
        <v>0</v>
      </c>
      <c r="X126" s="2">
        <f t="shared" si="109"/>
        <v>60230.95</v>
      </c>
      <c r="Y126" s="2">
        <f t="shared" si="109"/>
        <v>8604.42</v>
      </c>
      <c r="Z126" s="2">
        <f t="shared" si="109"/>
        <v>0</v>
      </c>
      <c r="AA126" s="2">
        <f t="shared" si="109"/>
        <v>0</v>
      </c>
      <c r="AB126" s="2">
        <f t="shared" si="109"/>
        <v>778463.03</v>
      </c>
      <c r="AC126" s="2">
        <f t="shared" si="109"/>
        <v>667788.87</v>
      </c>
      <c r="AD126" s="2">
        <f t="shared" si="109"/>
        <v>24629.95</v>
      </c>
      <c r="AE126" s="2">
        <f t="shared" si="109"/>
        <v>4684.1000000000004</v>
      </c>
      <c r="AF126" s="2">
        <f t="shared" si="109"/>
        <v>86044.21</v>
      </c>
      <c r="AG126" s="2">
        <f t="shared" si="109"/>
        <v>0</v>
      </c>
      <c r="AH126" s="2">
        <f t="shared" si="109"/>
        <v>410.97199999999998</v>
      </c>
      <c r="AI126" s="2">
        <f t="shared" si="109"/>
        <v>0</v>
      </c>
      <c r="AJ126" s="2">
        <f t="shared" si="109"/>
        <v>0</v>
      </c>
      <c r="AK126" s="2">
        <f t="shared" si="109"/>
        <v>60230.95</v>
      </c>
      <c r="AL126" s="2">
        <f t="shared" si="109"/>
        <v>8604.42</v>
      </c>
      <c r="AM126" s="2">
        <f t="shared" si="109"/>
        <v>0</v>
      </c>
      <c r="AN126" s="2">
        <f t="shared" si="109"/>
        <v>0</v>
      </c>
      <c r="AO126" s="2">
        <f t="shared" si="109"/>
        <v>0</v>
      </c>
      <c r="AP126" s="2">
        <f t="shared" si="109"/>
        <v>0</v>
      </c>
      <c r="AQ126" s="2">
        <f t="shared" si="109"/>
        <v>0</v>
      </c>
      <c r="AR126" s="2">
        <f t="shared" si="109"/>
        <v>852357.22</v>
      </c>
      <c r="AS126" s="2">
        <f t="shared" si="109"/>
        <v>0</v>
      </c>
      <c r="AT126" s="2">
        <f t="shared" si="109"/>
        <v>0</v>
      </c>
      <c r="AU126" s="2">
        <f t="shared" ref="AU126:BZ126" si="110">AU132</f>
        <v>852357.22</v>
      </c>
      <c r="AV126" s="2">
        <f t="shared" si="110"/>
        <v>667788.87</v>
      </c>
      <c r="AW126" s="2">
        <f t="shared" si="110"/>
        <v>667788.87</v>
      </c>
      <c r="AX126" s="2">
        <f t="shared" si="110"/>
        <v>0</v>
      </c>
      <c r="AY126" s="2">
        <f t="shared" si="110"/>
        <v>667788.87</v>
      </c>
      <c r="AZ126" s="2">
        <f t="shared" si="110"/>
        <v>0</v>
      </c>
      <c r="BA126" s="2">
        <f t="shared" si="110"/>
        <v>0</v>
      </c>
      <c r="BB126" s="2">
        <f t="shared" si="110"/>
        <v>0</v>
      </c>
      <c r="BC126" s="2">
        <f t="shared" si="110"/>
        <v>0</v>
      </c>
      <c r="BD126" s="2">
        <f t="shared" si="110"/>
        <v>0</v>
      </c>
      <c r="BE126" s="2">
        <f t="shared" si="110"/>
        <v>0</v>
      </c>
      <c r="BF126" s="2">
        <f t="shared" si="110"/>
        <v>0</v>
      </c>
      <c r="BG126" s="2">
        <f t="shared" si="110"/>
        <v>0</v>
      </c>
      <c r="BH126" s="2">
        <f t="shared" si="110"/>
        <v>0</v>
      </c>
      <c r="BI126" s="2">
        <f t="shared" si="110"/>
        <v>0</v>
      </c>
      <c r="BJ126" s="2">
        <f t="shared" si="110"/>
        <v>0</v>
      </c>
      <c r="BK126" s="2">
        <f t="shared" si="110"/>
        <v>0</v>
      </c>
      <c r="BL126" s="2">
        <f t="shared" si="110"/>
        <v>0</v>
      </c>
      <c r="BM126" s="2">
        <f t="shared" si="110"/>
        <v>0</v>
      </c>
      <c r="BN126" s="2">
        <f t="shared" si="110"/>
        <v>0</v>
      </c>
      <c r="BO126" s="2">
        <f t="shared" si="110"/>
        <v>0</v>
      </c>
      <c r="BP126" s="2">
        <f t="shared" si="110"/>
        <v>0</v>
      </c>
      <c r="BQ126" s="2">
        <f t="shared" si="110"/>
        <v>0</v>
      </c>
      <c r="BR126" s="2">
        <f t="shared" si="110"/>
        <v>0</v>
      </c>
      <c r="BS126" s="2">
        <f t="shared" si="110"/>
        <v>0</v>
      </c>
      <c r="BT126" s="2">
        <f t="shared" si="110"/>
        <v>0</v>
      </c>
      <c r="BU126" s="2">
        <f t="shared" si="110"/>
        <v>0</v>
      </c>
      <c r="BV126" s="2">
        <f t="shared" si="110"/>
        <v>0</v>
      </c>
      <c r="BW126" s="2">
        <f t="shared" si="110"/>
        <v>0</v>
      </c>
      <c r="BX126" s="2">
        <f t="shared" si="110"/>
        <v>0</v>
      </c>
      <c r="BY126" s="2">
        <f t="shared" si="110"/>
        <v>0</v>
      </c>
      <c r="BZ126" s="2">
        <f t="shared" si="110"/>
        <v>0</v>
      </c>
      <c r="CA126" s="2">
        <f t="shared" ref="CA126:DF126" si="111">CA132</f>
        <v>852357.22</v>
      </c>
      <c r="CB126" s="2">
        <f t="shared" si="111"/>
        <v>0</v>
      </c>
      <c r="CC126" s="2">
        <f t="shared" si="111"/>
        <v>0</v>
      </c>
      <c r="CD126" s="2">
        <f t="shared" si="111"/>
        <v>852357.22</v>
      </c>
      <c r="CE126" s="2">
        <f t="shared" si="111"/>
        <v>667788.87</v>
      </c>
      <c r="CF126" s="2">
        <f t="shared" si="111"/>
        <v>667788.87</v>
      </c>
      <c r="CG126" s="2">
        <f t="shared" si="111"/>
        <v>0</v>
      </c>
      <c r="CH126" s="2">
        <f t="shared" si="111"/>
        <v>667788.87</v>
      </c>
      <c r="CI126" s="2">
        <f t="shared" si="111"/>
        <v>0</v>
      </c>
      <c r="CJ126" s="2">
        <f t="shared" si="111"/>
        <v>0</v>
      </c>
      <c r="CK126" s="2">
        <f t="shared" si="111"/>
        <v>0</v>
      </c>
      <c r="CL126" s="2">
        <f t="shared" si="111"/>
        <v>0</v>
      </c>
      <c r="CM126" s="2">
        <f t="shared" si="111"/>
        <v>0</v>
      </c>
      <c r="CN126" s="2">
        <f t="shared" si="111"/>
        <v>0</v>
      </c>
      <c r="CO126" s="2">
        <f t="shared" si="111"/>
        <v>0</v>
      </c>
      <c r="CP126" s="2">
        <f t="shared" si="111"/>
        <v>0</v>
      </c>
      <c r="CQ126" s="2">
        <f t="shared" si="111"/>
        <v>0</v>
      </c>
      <c r="CR126" s="2">
        <f t="shared" si="111"/>
        <v>0</v>
      </c>
      <c r="CS126" s="2">
        <f t="shared" si="111"/>
        <v>0</v>
      </c>
      <c r="CT126" s="2">
        <f t="shared" si="111"/>
        <v>0</v>
      </c>
      <c r="CU126" s="2">
        <f t="shared" si="111"/>
        <v>0</v>
      </c>
      <c r="CV126" s="2">
        <f t="shared" si="111"/>
        <v>0</v>
      </c>
      <c r="CW126" s="2">
        <f t="shared" si="111"/>
        <v>0</v>
      </c>
      <c r="CX126" s="2">
        <f t="shared" si="111"/>
        <v>0</v>
      </c>
      <c r="CY126" s="2">
        <f t="shared" si="111"/>
        <v>0</v>
      </c>
      <c r="CZ126" s="2">
        <f t="shared" si="111"/>
        <v>0</v>
      </c>
      <c r="DA126" s="2">
        <f t="shared" si="111"/>
        <v>0</v>
      </c>
      <c r="DB126" s="2">
        <f t="shared" si="111"/>
        <v>0</v>
      </c>
      <c r="DC126" s="2">
        <f t="shared" si="111"/>
        <v>0</v>
      </c>
      <c r="DD126" s="2">
        <f t="shared" si="111"/>
        <v>0</v>
      </c>
      <c r="DE126" s="2">
        <f t="shared" si="111"/>
        <v>0</v>
      </c>
      <c r="DF126" s="2">
        <f t="shared" si="111"/>
        <v>0</v>
      </c>
      <c r="DG126" s="3">
        <f t="shared" ref="DG126:EL126" si="112">DG132</f>
        <v>0</v>
      </c>
      <c r="DH126" s="3">
        <f t="shared" si="112"/>
        <v>0</v>
      </c>
      <c r="DI126" s="3">
        <f t="shared" si="112"/>
        <v>0</v>
      </c>
      <c r="DJ126" s="3">
        <f t="shared" si="112"/>
        <v>0</v>
      </c>
      <c r="DK126" s="3">
        <f t="shared" si="112"/>
        <v>0</v>
      </c>
      <c r="DL126" s="3">
        <f t="shared" si="112"/>
        <v>0</v>
      </c>
      <c r="DM126" s="3">
        <f t="shared" si="112"/>
        <v>0</v>
      </c>
      <c r="DN126" s="3">
        <f t="shared" si="112"/>
        <v>0</v>
      </c>
      <c r="DO126" s="3">
        <f t="shared" si="112"/>
        <v>0</v>
      </c>
      <c r="DP126" s="3">
        <f t="shared" si="112"/>
        <v>0</v>
      </c>
      <c r="DQ126" s="3">
        <f t="shared" si="112"/>
        <v>0</v>
      </c>
      <c r="DR126" s="3">
        <f t="shared" si="112"/>
        <v>0</v>
      </c>
      <c r="DS126" s="3">
        <f t="shared" si="112"/>
        <v>0</v>
      </c>
      <c r="DT126" s="3">
        <f t="shared" si="112"/>
        <v>0</v>
      </c>
      <c r="DU126" s="3">
        <f t="shared" si="112"/>
        <v>0</v>
      </c>
      <c r="DV126" s="3">
        <f t="shared" si="112"/>
        <v>0</v>
      </c>
      <c r="DW126" s="3">
        <f t="shared" si="112"/>
        <v>0</v>
      </c>
      <c r="DX126" s="3">
        <f t="shared" si="112"/>
        <v>0</v>
      </c>
      <c r="DY126" s="3">
        <f t="shared" si="112"/>
        <v>0</v>
      </c>
      <c r="DZ126" s="3">
        <f t="shared" si="112"/>
        <v>0</v>
      </c>
      <c r="EA126" s="3">
        <f t="shared" si="112"/>
        <v>0</v>
      </c>
      <c r="EB126" s="3">
        <f t="shared" si="112"/>
        <v>0</v>
      </c>
      <c r="EC126" s="3">
        <f t="shared" si="112"/>
        <v>0</v>
      </c>
      <c r="ED126" s="3">
        <f t="shared" si="112"/>
        <v>0</v>
      </c>
      <c r="EE126" s="3">
        <f t="shared" si="112"/>
        <v>0</v>
      </c>
      <c r="EF126" s="3">
        <f t="shared" si="112"/>
        <v>0</v>
      </c>
      <c r="EG126" s="3">
        <f t="shared" si="112"/>
        <v>0</v>
      </c>
      <c r="EH126" s="3">
        <f t="shared" si="112"/>
        <v>0</v>
      </c>
      <c r="EI126" s="3">
        <f t="shared" si="112"/>
        <v>0</v>
      </c>
      <c r="EJ126" s="3">
        <f t="shared" si="112"/>
        <v>0</v>
      </c>
      <c r="EK126" s="3">
        <f t="shared" si="112"/>
        <v>0</v>
      </c>
      <c r="EL126" s="3">
        <f t="shared" si="112"/>
        <v>0</v>
      </c>
      <c r="EM126" s="3">
        <f t="shared" ref="EM126:FR126" si="113">EM132</f>
        <v>0</v>
      </c>
      <c r="EN126" s="3">
        <f t="shared" si="113"/>
        <v>0</v>
      </c>
      <c r="EO126" s="3">
        <f t="shared" si="113"/>
        <v>0</v>
      </c>
      <c r="EP126" s="3">
        <f t="shared" si="113"/>
        <v>0</v>
      </c>
      <c r="EQ126" s="3">
        <f t="shared" si="113"/>
        <v>0</v>
      </c>
      <c r="ER126" s="3">
        <f t="shared" si="113"/>
        <v>0</v>
      </c>
      <c r="ES126" s="3">
        <f t="shared" si="113"/>
        <v>0</v>
      </c>
      <c r="ET126" s="3">
        <f t="shared" si="113"/>
        <v>0</v>
      </c>
      <c r="EU126" s="3">
        <f t="shared" si="113"/>
        <v>0</v>
      </c>
      <c r="EV126" s="3">
        <f t="shared" si="113"/>
        <v>0</v>
      </c>
      <c r="EW126" s="3">
        <f t="shared" si="113"/>
        <v>0</v>
      </c>
      <c r="EX126" s="3">
        <f t="shared" si="113"/>
        <v>0</v>
      </c>
      <c r="EY126" s="3">
        <f t="shared" si="113"/>
        <v>0</v>
      </c>
      <c r="EZ126" s="3">
        <f t="shared" si="113"/>
        <v>0</v>
      </c>
      <c r="FA126" s="3">
        <f t="shared" si="113"/>
        <v>0</v>
      </c>
      <c r="FB126" s="3">
        <f t="shared" si="113"/>
        <v>0</v>
      </c>
      <c r="FC126" s="3">
        <f t="shared" si="113"/>
        <v>0</v>
      </c>
      <c r="FD126" s="3">
        <f t="shared" si="113"/>
        <v>0</v>
      </c>
      <c r="FE126" s="3">
        <f t="shared" si="113"/>
        <v>0</v>
      </c>
      <c r="FF126" s="3">
        <f t="shared" si="113"/>
        <v>0</v>
      </c>
      <c r="FG126" s="3">
        <f t="shared" si="113"/>
        <v>0</v>
      </c>
      <c r="FH126" s="3">
        <f t="shared" si="113"/>
        <v>0</v>
      </c>
      <c r="FI126" s="3">
        <f t="shared" si="113"/>
        <v>0</v>
      </c>
      <c r="FJ126" s="3">
        <f t="shared" si="113"/>
        <v>0</v>
      </c>
      <c r="FK126" s="3">
        <f t="shared" si="113"/>
        <v>0</v>
      </c>
      <c r="FL126" s="3">
        <f t="shared" si="113"/>
        <v>0</v>
      </c>
      <c r="FM126" s="3">
        <f t="shared" si="113"/>
        <v>0</v>
      </c>
      <c r="FN126" s="3">
        <f t="shared" si="113"/>
        <v>0</v>
      </c>
      <c r="FO126" s="3">
        <f t="shared" si="113"/>
        <v>0</v>
      </c>
      <c r="FP126" s="3">
        <f t="shared" si="113"/>
        <v>0</v>
      </c>
      <c r="FQ126" s="3">
        <f t="shared" si="113"/>
        <v>0</v>
      </c>
      <c r="FR126" s="3">
        <f t="shared" si="113"/>
        <v>0</v>
      </c>
      <c r="FS126" s="3">
        <f t="shared" ref="FS126:GX126" si="114">FS132</f>
        <v>0</v>
      </c>
      <c r="FT126" s="3">
        <f t="shared" si="114"/>
        <v>0</v>
      </c>
      <c r="FU126" s="3">
        <f t="shared" si="114"/>
        <v>0</v>
      </c>
      <c r="FV126" s="3">
        <f t="shared" si="114"/>
        <v>0</v>
      </c>
      <c r="FW126" s="3">
        <f t="shared" si="114"/>
        <v>0</v>
      </c>
      <c r="FX126" s="3">
        <f t="shared" si="114"/>
        <v>0</v>
      </c>
      <c r="FY126" s="3">
        <f t="shared" si="114"/>
        <v>0</v>
      </c>
      <c r="FZ126" s="3">
        <f t="shared" si="114"/>
        <v>0</v>
      </c>
      <c r="GA126" s="3">
        <f t="shared" si="114"/>
        <v>0</v>
      </c>
      <c r="GB126" s="3">
        <f t="shared" si="114"/>
        <v>0</v>
      </c>
      <c r="GC126" s="3">
        <f t="shared" si="114"/>
        <v>0</v>
      </c>
      <c r="GD126" s="3">
        <f t="shared" si="114"/>
        <v>0</v>
      </c>
      <c r="GE126" s="3">
        <f t="shared" si="114"/>
        <v>0</v>
      </c>
      <c r="GF126" s="3">
        <f t="shared" si="114"/>
        <v>0</v>
      </c>
      <c r="GG126" s="3">
        <f t="shared" si="114"/>
        <v>0</v>
      </c>
      <c r="GH126" s="3">
        <f t="shared" si="114"/>
        <v>0</v>
      </c>
      <c r="GI126" s="3">
        <f t="shared" si="114"/>
        <v>0</v>
      </c>
      <c r="GJ126" s="3">
        <f t="shared" si="114"/>
        <v>0</v>
      </c>
      <c r="GK126" s="3">
        <f t="shared" si="114"/>
        <v>0</v>
      </c>
      <c r="GL126" s="3">
        <f t="shared" si="114"/>
        <v>0</v>
      </c>
      <c r="GM126" s="3">
        <f t="shared" si="114"/>
        <v>0</v>
      </c>
      <c r="GN126" s="3">
        <f t="shared" si="114"/>
        <v>0</v>
      </c>
      <c r="GO126" s="3">
        <f t="shared" si="114"/>
        <v>0</v>
      </c>
      <c r="GP126" s="3">
        <f t="shared" si="114"/>
        <v>0</v>
      </c>
      <c r="GQ126" s="3">
        <f t="shared" si="114"/>
        <v>0</v>
      </c>
      <c r="GR126" s="3">
        <f t="shared" si="114"/>
        <v>0</v>
      </c>
      <c r="GS126" s="3">
        <f t="shared" si="114"/>
        <v>0</v>
      </c>
      <c r="GT126" s="3">
        <f t="shared" si="114"/>
        <v>0</v>
      </c>
      <c r="GU126" s="3">
        <f t="shared" si="114"/>
        <v>0</v>
      </c>
      <c r="GV126" s="3">
        <f t="shared" si="114"/>
        <v>0</v>
      </c>
      <c r="GW126" s="3">
        <f t="shared" si="114"/>
        <v>0</v>
      </c>
      <c r="GX126" s="3">
        <f t="shared" si="114"/>
        <v>0</v>
      </c>
    </row>
    <row r="128" spans="1:245" x14ac:dyDescent="0.2">
      <c r="A128">
        <v>17</v>
      </c>
      <c r="B128">
        <v>1</v>
      </c>
      <c r="C128">
        <f>ROW(SmtRes!A38)</f>
        <v>38</v>
      </c>
      <c r="D128">
        <f>ROW(EtalonRes!A35)</f>
        <v>35</v>
      </c>
      <c r="E128" t="s">
        <v>170</v>
      </c>
      <c r="F128" t="s">
        <v>171</v>
      </c>
      <c r="G128" t="s">
        <v>172</v>
      </c>
      <c r="H128" t="s">
        <v>173</v>
      </c>
      <c r="I128">
        <f>ROUND(120/100,9)</f>
        <v>1.2</v>
      </c>
      <c r="J128">
        <v>0</v>
      </c>
      <c r="O128">
        <f>ROUND(CP128,2)</f>
        <v>767206.79</v>
      </c>
      <c r="P128">
        <f>ROUND(CQ128*I128,2)</f>
        <v>657528.31999999995</v>
      </c>
      <c r="Q128">
        <f>ROUND(CR128*I128,2)</f>
        <v>23998.93</v>
      </c>
      <c r="R128">
        <f>ROUND(CS128*I128,2)</f>
        <v>4290.43</v>
      </c>
      <c r="S128">
        <f>ROUND(CT128*I128,2)</f>
        <v>85679.54</v>
      </c>
      <c r="T128">
        <f>ROUND(CU128*I128,2)</f>
        <v>0</v>
      </c>
      <c r="U128">
        <f>CV128*I128</f>
        <v>408.97199999999998</v>
      </c>
      <c r="V128">
        <f>CW128*I128</f>
        <v>0</v>
      </c>
      <c r="W128">
        <f>ROUND(CX128*I128,2)</f>
        <v>0</v>
      </c>
      <c r="X128">
        <f t="shared" ref="X128:Y130" si="115">ROUND(CY128,2)</f>
        <v>59975.68</v>
      </c>
      <c r="Y128">
        <f t="shared" si="115"/>
        <v>8567.9500000000007</v>
      </c>
      <c r="AA128">
        <v>38214492</v>
      </c>
      <c r="AB128">
        <f>ROUND((AC128+AD128+AF128),6)</f>
        <v>639339</v>
      </c>
      <c r="AC128">
        <f>ROUND((ES128),6)</f>
        <v>547940.27</v>
      </c>
      <c r="AD128">
        <f>ROUND((((ET128)-(EU128))+AE128),6)</f>
        <v>19999.11</v>
      </c>
      <c r="AE128">
        <f t="shared" ref="AE128:AF130" si="116">ROUND((EU128),6)</f>
        <v>3575.36</v>
      </c>
      <c r="AF128">
        <f t="shared" si="116"/>
        <v>71399.62</v>
      </c>
      <c r="AG128">
        <f>ROUND((AP128),6)</f>
        <v>0</v>
      </c>
      <c r="AH128">
        <f t="shared" ref="AH128:AI130" si="117">(EW128)</f>
        <v>340.81</v>
      </c>
      <c r="AI128">
        <f t="shared" si="117"/>
        <v>0</v>
      </c>
      <c r="AJ128">
        <f>(AS128)</f>
        <v>0</v>
      </c>
      <c r="AK128">
        <v>639339</v>
      </c>
      <c r="AL128">
        <v>547940.27</v>
      </c>
      <c r="AM128">
        <v>19999.11</v>
      </c>
      <c r="AN128">
        <v>3575.36</v>
      </c>
      <c r="AO128">
        <v>71399.62</v>
      </c>
      <c r="AP128">
        <v>0</v>
      </c>
      <c r="AQ128">
        <v>340.81</v>
      </c>
      <c r="AR128">
        <v>0</v>
      </c>
      <c r="AS128">
        <v>0</v>
      </c>
      <c r="AT128">
        <v>70</v>
      </c>
      <c r="AU128">
        <v>10</v>
      </c>
      <c r="AV128">
        <v>1</v>
      </c>
      <c r="AW128">
        <v>1</v>
      </c>
      <c r="AZ128">
        <v>1</v>
      </c>
      <c r="BA128">
        <v>1</v>
      </c>
      <c r="BB128">
        <v>1</v>
      </c>
      <c r="BC128">
        <v>1</v>
      </c>
      <c r="BD128" t="s">
        <v>3</v>
      </c>
      <c r="BE128" t="s">
        <v>3</v>
      </c>
      <c r="BF128" t="s">
        <v>3</v>
      </c>
      <c r="BG128" t="s">
        <v>3</v>
      </c>
      <c r="BH128">
        <v>0</v>
      </c>
      <c r="BI128">
        <v>4</v>
      </c>
      <c r="BJ128" t="s">
        <v>174</v>
      </c>
      <c r="BM128">
        <v>0</v>
      </c>
      <c r="BN128">
        <v>0</v>
      </c>
      <c r="BO128" t="s">
        <v>3</v>
      </c>
      <c r="BP128">
        <v>0</v>
      </c>
      <c r="BQ128">
        <v>1</v>
      </c>
      <c r="BR128">
        <v>0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1</v>
      </c>
      <c r="BY128" t="s">
        <v>3</v>
      </c>
      <c r="BZ128">
        <v>70</v>
      </c>
      <c r="CA128">
        <v>10</v>
      </c>
      <c r="CE128">
        <v>0</v>
      </c>
      <c r="CF128">
        <v>0</v>
      </c>
      <c r="CG128">
        <v>0</v>
      </c>
      <c r="CM128">
        <v>0</v>
      </c>
      <c r="CN128" t="s">
        <v>3</v>
      </c>
      <c r="CO128">
        <v>0</v>
      </c>
      <c r="CP128">
        <f>(P128+Q128+S128)</f>
        <v>767206.79</v>
      </c>
      <c r="CQ128">
        <f>(AC128*BC128*AW128)</f>
        <v>547940.27</v>
      </c>
      <c r="CR128">
        <f>((((ET128)*BB128-(EU128)*BS128)+AE128*BS128)*AV128)</f>
        <v>19999.11</v>
      </c>
      <c r="CS128">
        <f>(AE128*BS128*AV128)</f>
        <v>3575.36</v>
      </c>
      <c r="CT128">
        <f>(AF128*BA128*AV128)</f>
        <v>71399.62</v>
      </c>
      <c r="CU128">
        <f>AG128</f>
        <v>0</v>
      </c>
      <c r="CV128">
        <f>(AH128*AV128)</f>
        <v>340.81</v>
      </c>
      <c r="CW128">
        <f t="shared" ref="CW128:CX130" si="118">AI128</f>
        <v>0</v>
      </c>
      <c r="CX128">
        <f t="shared" si="118"/>
        <v>0</v>
      </c>
      <c r="CY128">
        <f>((S128*BZ128)/100)</f>
        <v>59975.678</v>
      </c>
      <c r="CZ128">
        <f>((S128*CA128)/100)</f>
        <v>8567.9539999999997</v>
      </c>
      <c r="DC128" t="s">
        <v>3</v>
      </c>
      <c r="DD128" t="s">
        <v>3</v>
      </c>
      <c r="DE128" t="s">
        <v>3</v>
      </c>
      <c r="DF128" t="s">
        <v>3</v>
      </c>
      <c r="DG128" t="s">
        <v>3</v>
      </c>
      <c r="DH128" t="s">
        <v>3</v>
      </c>
      <c r="DI128" t="s">
        <v>3</v>
      </c>
      <c r="DJ128" t="s">
        <v>3</v>
      </c>
      <c r="DK128" t="s">
        <v>3</v>
      </c>
      <c r="DL128" t="s">
        <v>3</v>
      </c>
      <c r="DM128" t="s">
        <v>3</v>
      </c>
      <c r="DN128">
        <v>0</v>
      </c>
      <c r="DO128">
        <v>0</v>
      </c>
      <c r="DP128">
        <v>1</v>
      </c>
      <c r="DQ128">
        <v>1</v>
      </c>
      <c r="DU128">
        <v>1003</v>
      </c>
      <c r="DV128" t="s">
        <v>173</v>
      </c>
      <c r="DW128" t="s">
        <v>173</v>
      </c>
      <c r="DX128">
        <v>100</v>
      </c>
      <c r="EE128">
        <v>38628631</v>
      </c>
      <c r="EF128">
        <v>1</v>
      </c>
      <c r="EG128" t="s">
        <v>24</v>
      </c>
      <c r="EH128">
        <v>0</v>
      </c>
      <c r="EI128" t="s">
        <v>3</v>
      </c>
      <c r="EJ128">
        <v>4</v>
      </c>
      <c r="EK128">
        <v>0</v>
      </c>
      <c r="EL128" t="s">
        <v>25</v>
      </c>
      <c r="EM128" t="s">
        <v>26</v>
      </c>
      <c r="EO128" t="s">
        <v>3</v>
      </c>
      <c r="EQ128">
        <v>0</v>
      </c>
      <c r="ER128">
        <v>639339</v>
      </c>
      <c r="ES128">
        <v>547940.27</v>
      </c>
      <c r="ET128">
        <v>19999.11</v>
      </c>
      <c r="EU128">
        <v>3575.36</v>
      </c>
      <c r="EV128">
        <v>71399.62</v>
      </c>
      <c r="EW128">
        <v>340.81</v>
      </c>
      <c r="EX128">
        <v>0</v>
      </c>
      <c r="EY128">
        <v>0</v>
      </c>
      <c r="FQ128">
        <v>0</v>
      </c>
      <c r="FR128">
        <f>ROUND(IF(AND(BH128=3,BI128=3),P128,0),2)</f>
        <v>0</v>
      </c>
      <c r="FS128">
        <v>0</v>
      </c>
      <c r="FX128">
        <v>70</v>
      </c>
      <c r="FY128">
        <v>10</v>
      </c>
      <c r="GA128" t="s">
        <v>3</v>
      </c>
      <c r="GD128">
        <v>0</v>
      </c>
      <c r="GF128">
        <v>561369357</v>
      </c>
      <c r="GG128">
        <v>2</v>
      </c>
      <c r="GH128">
        <v>1</v>
      </c>
      <c r="GI128">
        <v>-2</v>
      </c>
      <c r="GJ128">
        <v>0</v>
      </c>
      <c r="GK128">
        <f>ROUND(R128*(R12)/100,2)</f>
        <v>4633.66</v>
      </c>
      <c r="GL128">
        <f>ROUND(IF(AND(BH128=3,BI128=3,FS128&lt;&gt;0),P128,0),2)</f>
        <v>0</v>
      </c>
      <c r="GM128">
        <f>ROUND(O128+X128+Y128+GK128,2)+GX128</f>
        <v>840384.08</v>
      </c>
      <c r="GN128">
        <f>IF(OR(BI128=0,BI128=1),ROUND(O128+X128+Y128+GK128,2),0)</f>
        <v>0</v>
      </c>
      <c r="GO128">
        <f>IF(BI128=2,ROUND(O128+X128+Y128+GK128,2),0)</f>
        <v>0</v>
      </c>
      <c r="GP128">
        <f>IF(BI128=4,ROUND(O128+X128+Y128+GK128,2)+GX128,0)</f>
        <v>840384.08</v>
      </c>
      <c r="GR128">
        <v>0</v>
      </c>
      <c r="GS128">
        <v>3</v>
      </c>
      <c r="GT128">
        <v>0</v>
      </c>
      <c r="GU128" t="s">
        <v>3</v>
      </c>
      <c r="GV128">
        <f>ROUND((GT128),6)</f>
        <v>0</v>
      </c>
      <c r="GW128">
        <v>1</v>
      </c>
      <c r="GX128">
        <f>ROUND(HC128*I128,2)</f>
        <v>0</v>
      </c>
      <c r="HA128">
        <v>0</v>
      </c>
      <c r="HB128">
        <v>0</v>
      </c>
      <c r="HC128">
        <f>GV128*GW128</f>
        <v>0</v>
      </c>
      <c r="HE128" t="s">
        <v>3</v>
      </c>
      <c r="HF128" t="s">
        <v>3</v>
      </c>
      <c r="IK128">
        <v>0</v>
      </c>
    </row>
    <row r="129" spans="1:245" x14ac:dyDescent="0.2">
      <c r="A129">
        <v>17</v>
      </c>
      <c r="B129">
        <v>1</v>
      </c>
      <c r="C129">
        <f>ROW(SmtRes!A44)</f>
        <v>44</v>
      </c>
      <c r="D129">
        <f>ROW(EtalonRes!A41)</f>
        <v>41</v>
      </c>
      <c r="E129" t="s">
        <v>175</v>
      </c>
      <c r="F129" t="s">
        <v>176</v>
      </c>
      <c r="G129" t="s">
        <v>177</v>
      </c>
      <c r="H129" t="s">
        <v>123</v>
      </c>
      <c r="I129">
        <v>1</v>
      </c>
      <c r="J129">
        <v>0</v>
      </c>
      <c r="O129">
        <f>ROUND(CP129,2)</f>
        <v>1053.67</v>
      </c>
      <c r="P129">
        <f>ROUND(CQ129*I129,2)</f>
        <v>57.98</v>
      </c>
      <c r="Q129">
        <f>ROUND(CR129*I129,2)</f>
        <v>631.02</v>
      </c>
      <c r="R129">
        <f>ROUND(CS129*I129,2)</f>
        <v>393.67</v>
      </c>
      <c r="S129">
        <f>ROUND(CT129*I129,2)</f>
        <v>364.67</v>
      </c>
      <c r="T129">
        <f>ROUND(CU129*I129,2)</f>
        <v>0</v>
      </c>
      <c r="U129">
        <f>CV129*I129</f>
        <v>2</v>
      </c>
      <c r="V129">
        <f>CW129*I129</f>
        <v>0</v>
      </c>
      <c r="W129">
        <f>ROUND(CX129*I129,2)</f>
        <v>0</v>
      </c>
      <c r="X129">
        <f t="shared" si="115"/>
        <v>255.27</v>
      </c>
      <c r="Y129">
        <f t="shared" si="115"/>
        <v>36.47</v>
      </c>
      <c r="AA129">
        <v>38214492</v>
      </c>
      <c r="AB129">
        <f>ROUND((AC129+AD129+AF129),6)</f>
        <v>1053.67</v>
      </c>
      <c r="AC129">
        <f>ROUND((ES129),6)</f>
        <v>57.98</v>
      </c>
      <c r="AD129">
        <f>ROUND((((ET129)-(EU129))+AE129),6)</f>
        <v>631.02</v>
      </c>
      <c r="AE129">
        <f t="shared" si="116"/>
        <v>393.67</v>
      </c>
      <c r="AF129">
        <f t="shared" si="116"/>
        <v>364.67</v>
      </c>
      <c r="AG129">
        <f>ROUND((AP129),6)</f>
        <v>0</v>
      </c>
      <c r="AH129">
        <f t="shared" si="117"/>
        <v>2</v>
      </c>
      <c r="AI129">
        <f t="shared" si="117"/>
        <v>0</v>
      </c>
      <c r="AJ129">
        <f>(AS129)</f>
        <v>0</v>
      </c>
      <c r="AK129">
        <v>1053.67</v>
      </c>
      <c r="AL129">
        <v>57.98</v>
      </c>
      <c r="AM129">
        <v>631.02</v>
      </c>
      <c r="AN129">
        <v>393.67</v>
      </c>
      <c r="AO129">
        <v>364.67</v>
      </c>
      <c r="AP129">
        <v>0</v>
      </c>
      <c r="AQ129">
        <v>2</v>
      </c>
      <c r="AR129">
        <v>0</v>
      </c>
      <c r="AS129">
        <v>0</v>
      </c>
      <c r="AT129">
        <v>70</v>
      </c>
      <c r="AU129">
        <v>10</v>
      </c>
      <c r="AV129">
        <v>1</v>
      </c>
      <c r="AW129">
        <v>1</v>
      </c>
      <c r="AZ129">
        <v>1</v>
      </c>
      <c r="BA129">
        <v>1</v>
      </c>
      <c r="BB129">
        <v>1</v>
      </c>
      <c r="BC129">
        <v>1</v>
      </c>
      <c r="BD129" t="s">
        <v>3</v>
      </c>
      <c r="BE129" t="s">
        <v>3</v>
      </c>
      <c r="BF129" t="s">
        <v>3</v>
      </c>
      <c r="BG129" t="s">
        <v>3</v>
      </c>
      <c r="BH129">
        <v>0</v>
      </c>
      <c r="BI129">
        <v>4</v>
      </c>
      <c r="BJ129" t="s">
        <v>178</v>
      </c>
      <c r="BM129">
        <v>0</v>
      </c>
      <c r="BN129">
        <v>0</v>
      </c>
      <c r="BO129" t="s">
        <v>3</v>
      </c>
      <c r="BP129">
        <v>0</v>
      </c>
      <c r="BQ129">
        <v>1</v>
      </c>
      <c r="BR129">
        <v>0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1</v>
      </c>
      <c r="BY129" t="s">
        <v>3</v>
      </c>
      <c r="BZ129">
        <v>70</v>
      </c>
      <c r="CA129">
        <v>10</v>
      </c>
      <c r="CE129">
        <v>0</v>
      </c>
      <c r="CF129">
        <v>0</v>
      </c>
      <c r="CG129">
        <v>0</v>
      </c>
      <c r="CM129">
        <v>0</v>
      </c>
      <c r="CN129" t="s">
        <v>3</v>
      </c>
      <c r="CO129">
        <v>0</v>
      </c>
      <c r="CP129">
        <f>(P129+Q129+S129)</f>
        <v>1053.67</v>
      </c>
      <c r="CQ129">
        <f>(AC129*BC129*AW129)</f>
        <v>57.98</v>
      </c>
      <c r="CR129">
        <f>((((ET129)*BB129-(EU129)*BS129)+AE129*BS129)*AV129)</f>
        <v>631.02</v>
      </c>
      <c r="CS129">
        <f>(AE129*BS129*AV129)</f>
        <v>393.67</v>
      </c>
      <c r="CT129">
        <f>(AF129*BA129*AV129)</f>
        <v>364.67</v>
      </c>
      <c r="CU129">
        <f>AG129</f>
        <v>0</v>
      </c>
      <c r="CV129">
        <f>(AH129*AV129)</f>
        <v>2</v>
      </c>
      <c r="CW129">
        <f t="shared" si="118"/>
        <v>0</v>
      </c>
      <c r="CX129">
        <f t="shared" si="118"/>
        <v>0</v>
      </c>
      <c r="CY129">
        <f>((S129*BZ129)/100)</f>
        <v>255.26900000000001</v>
      </c>
      <c r="CZ129">
        <f>((S129*CA129)/100)</f>
        <v>36.467000000000006</v>
      </c>
      <c r="DC129" t="s">
        <v>3</v>
      </c>
      <c r="DD129" t="s">
        <v>3</v>
      </c>
      <c r="DE129" t="s">
        <v>3</v>
      </c>
      <c r="DF129" t="s">
        <v>3</v>
      </c>
      <c r="DG129" t="s">
        <v>3</v>
      </c>
      <c r="DH129" t="s">
        <v>3</v>
      </c>
      <c r="DI129" t="s">
        <v>3</v>
      </c>
      <c r="DJ129" t="s">
        <v>3</v>
      </c>
      <c r="DK129" t="s">
        <v>3</v>
      </c>
      <c r="DL129" t="s">
        <v>3</v>
      </c>
      <c r="DM129" t="s">
        <v>3</v>
      </c>
      <c r="DN129">
        <v>0</v>
      </c>
      <c r="DO129">
        <v>0</v>
      </c>
      <c r="DP129">
        <v>1</v>
      </c>
      <c r="DQ129">
        <v>1</v>
      </c>
      <c r="DU129">
        <v>1010</v>
      </c>
      <c r="DV129" t="s">
        <v>123</v>
      </c>
      <c r="DW129" t="s">
        <v>123</v>
      </c>
      <c r="DX129">
        <v>1</v>
      </c>
      <c r="EE129">
        <v>38628631</v>
      </c>
      <c r="EF129">
        <v>1</v>
      </c>
      <c r="EG129" t="s">
        <v>24</v>
      </c>
      <c r="EH129">
        <v>0</v>
      </c>
      <c r="EI129" t="s">
        <v>3</v>
      </c>
      <c r="EJ129">
        <v>4</v>
      </c>
      <c r="EK129">
        <v>0</v>
      </c>
      <c r="EL129" t="s">
        <v>25</v>
      </c>
      <c r="EM129" t="s">
        <v>26</v>
      </c>
      <c r="EO129" t="s">
        <v>3</v>
      </c>
      <c r="EQ129">
        <v>0</v>
      </c>
      <c r="ER129">
        <v>1053.67</v>
      </c>
      <c r="ES129">
        <v>57.98</v>
      </c>
      <c r="ET129">
        <v>631.02</v>
      </c>
      <c r="EU129">
        <v>393.67</v>
      </c>
      <c r="EV129">
        <v>364.67</v>
      </c>
      <c r="EW129">
        <v>2</v>
      </c>
      <c r="EX129">
        <v>0</v>
      </c>
      <c r="EY129">
        <v>0</v>
      </c>
      <c r="FQ129">
        <v>0</v>
      </c>
      <c r="FR129">
        <f>ROUND(IF(AND(BH129=3,BI129=3),P129,0),2)</f>
        <v>0</v>
      </c>
      <c r="FS129">
        <v>0</v>
      </c>
      <c r="FX129">
        <v>70</v>
      </c>
      <c r="FY129">
        <v>10</v>
      </c>
      <c r="GA129" t="s">
        <v>3</v>
      </c>
      <c r="GD129">
        <v>0</v>
      </c>
      <c r="GF129">
        <v>1958731536</v>
      </c>
      <c r="GG129">
        <v>2</v>
      </c>
      <c r="GH129">
        <v>1</v>
      </c>
      <c r="GI129">
        <v>-2</v>
      </c>
      <c r="GJ129">
        <v>0</v>
      </c>
      <c r="GK129">
        <f>ROUND(R129*(R12)/100,2)</f>
        <v>425.16</v>
      </c>
      <c r="GL129">
        <f>ROUND(IF(AND(BH129=3,BI129=3,FS129&lt;&gt;0),P129,0),2)</f>
        <v>0</v>
      </c>
      <c r="GM129">
        <f>ROUND(O129+X129+Y129+GK129,2)+GX129</f>
        <v>1770.57</v>
      </c>
      <c r="GN129">
        <f>IF(OR(BI129=0,BI129=1),ROUND(O129+X129+Y129+GK129,2),0)</f>
        <v>0</v>
      </c>
      <c r="GO129">
        <f>IF(BI129=2,ROUND(O129+X129+Y129+GK129,2),0)</f>
        <v>0</v>
      </c>
      <c r="GP129">
        <f>IF(BI129=4,ROUND(O129+X129+Y129+GK129,2)+GX129,0)</f>
        <v>1770.57</v>
      </c>
      <c r="GR129">
        <v>0</v>
      </c>
      <c r="GS129">
        <v>3</v>
      </c>
      <c r="GT129">
        <v>0</v>
      </c>
      <c r="GU129" t="s">
        <v>3</v>
      </c>
      <c r="GV129">
        <f>ROUND((GT129),6)</f>
        <v>0</v>
      </c>
      <c r="GW129">
        <v>1</v>
      </c>
      <c r="GX129">
        <f>ROUND(HC129*I129,2)</f>
        <v>0</v>
      </c>
      <c r="HA129">
        <v>0</v>
      </c>
      <c r="HB129">
        <v>0</v>
      </c>
      <c r="HC129">
        <f>GV129*GW129</f>
        <v>0</v>
      </c>
      <c r="HE129" t="s">
        <v>3</v>
      </c>
      <c r="HF129" t="s">
        <v>3</v>
      </c>
      <c r="IK129">
        <v>0</v>
      </c>
    </row>
    <row r="130" spans="1:245" x14ac:dyDescent="0.2">
      <c r="A130">
        <v>17</v>
      </c>
      <c r="B130">
        <v>1</v>
      </c>
      <c r="E130" t="s">
        <v>179</v>
      </c>
      <c r="F130" t="s">
        <v>180</v>
      </c>
      <c r="G130" t="s">
        <v>181</v>
      </c>
      <c r="H130" t="s">
        <v>123</v>
      </c>
      <c r="I130">
        <v>1</v>
      </c>
      <c r="J130">
        <v>0</v>
      </c>
      <c r="O130">
        <f>ROUND(CP130,2)</f>
        <v>10202.57</v>
      </c>
      <c r="P130">
        <f>ROUND(CQ130*I130,2)</f>
        <v>10202.57</v>
      </c>
      <c r="Q130">
        <f>ROUND(CR130*I130,2)</f>
        <v>0</v>
      </c>
      <c r="R130">
        <f>ROUND(CS130*I130,2)</f>
        <v>0</v>
      </c>
      <c r="S130">
        <f>ROUND(CT130*I130,2)</f>
        <v>0</v>
      </c>
      <c r="T130">
        <f>ROUND(CU130*I130,2)</f>
        <v>0</v>
      </c>
      <c r="U130">
        <f>CV130*I130</f>
        <v>0</v>
      </c>
      <c r="V130">
        <f>CW130*I130</f>
        <v>0</v>
      </c>
      <c r="W130">
        <f>ROUND(CX130*I130,2)</f>
        <v>0</v>
      </c>
      <c r="X130">
        <f t="shared" si="115"/>
        <v>0</v>
      </c>
      <c r="Y130">
        <f t="shared" si="115"/>
        <v>0</v>
      </c>
      <c r="AA130">
        <v>38214492</v>
      </c>
      <c r="AB130">
        <f>ROUND((AC130+AD130+AF130),6)</f>
        <v>10202.57</v>
      </c>
      <c r="AC130">
        <f>ROUND((ES130),6)</f>
        <v>10202.57</v>
      </c>
      <c r="AD130">
        <f>ROUND((((ET130)-(EU130))+AE130),6)</f>
        <v>0</v>
      </c>
      <c r="AE130">
        <f t="shared" si="116"/>
        <v>0</v>
      </c>
      <c r="AF130">
        <f t="shared" si="116"/>
        <v>0</v>
      </c>
      <c r="AG130">
        <f>ROUND((AP130),6)</f>
        <v>0</v>
      </c>
      <c r="AH130">
        <f t="shared" si="117"/>
        <v>0</v>
      </c>
      <c r="AI130">
        <f t="shared" si="117"/>
        <v>0</v>
      </c>
      <c r="AJ130">
        <f>(AS130)</f>
        <v>0</v>
      </c>
      <c r="AK130">
        <v>10202.57</v>
      </c>
      <c r="AL130">
        <v>10202.57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70</v>
      </c>
      <c r="AU130">
        <v>10</v>
      </c>
      <c r="AV130">
        <v>1</v>
      </c>
      <c r="AW130">
        <v>1</v>
      </c>
      <c r="AZ130">
        <v>1</v>
      </c>
      <c r="BA130">
        <v>1</v>
      </c>
      <c r="BB130">
        <v>1</v>
      </c>
      <c r="BC130">
        <v>1</v>
      </c>
      <c r="BD130" t="s">
        <v>3</v>
      </c>
      <c r="BE130" t="s">
        <v>3</v>
      </c>
      <c r="BF130" t="s">
        <v>3</v>
      </c>
      <c r="BG130" t="s">
        <v>3</v>
      </c>
      <c r="BH130">
        <v>3</v>
      </c>
      <c r="BI130">
        <v>4</v>
      </c>
      <c r="BJ130" t="s">
        <v>182</v>
      </c>
      <c r="BM130">
        <v>0</v>
      </c>
      <c r="BN130">
        <v>0</v>
      </c>
      <c r="BO130" t="s">
        <v>3</v>
      </c>
      <c r="BP130">
        <v>0</v>
      </c>
      <c r="BQ130">
        <v>1</v>
      </c>
      <c r="BR130">
        <v>0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 t="s">
        <v>3</v>
      </c>
      <c r="BZ130">
        <v>70</v>
      </c>
      <c r="CA130">
        <v>10</v>
      </c>
      <c r="CE130">
        <v>0</v>
      </c>
      <c r="CF130">
        <v>0</v>
      </c>
      <c r="CG130">
        <v>0</v>
      </c>
      <c r="CM130">
        <v>0</v>
      </c>
      <c r="CN130" t="s">
        <v>3</v>
      </c>
      <c r="CO130">
        <v>0</v>
      </c>
      <c r="CP130">
        <f>(P130+Q130+S130)</f>
        <v>10202.57</v>
      </c>
      <c r="CQ130">
        <f>(AC130*BC130*AW130)</f>
        <v>10202.57</v>
      </c>
      <c r="CR130">
        <f>((((ET130)*BB130-(EU130)*BS130)+AE130*BS130)*AV130)</f>
        <v>0</v>
      </c>
      <c r="CS130">
        <f>(AE130*BS130*AV130)</f>
        <v>0</v>
      </c>
      <c r="CT130">
        <f>(AF130*BA130*AV130)</f>
        <v>0</v>
      </c>
      <c r="CU130">
        <f>AG130</f>
        <v>0</v>
      </c>
      <c r="CV130">
        <f>(AH130*AV130)</f>
        <v>0</v>
      </c>
      <c r="CW130">
        <f t="shared" si="118"/>
        <v>0</v>
      </c>
      <c r="CX130">
        <f t="shared" si="118"/>
        <v>0</v>
      </c>
      <c r="CY130">
        <f>((S130*BZ130)/100)</f>
        <v>0</v>
      </c>
      <c r="CZ130">
        <f>((S130*CA130)/100)</f>
        <v>0</v>
      </c>
      <c r="DC130" t="s">
        <v>3</v>
      </c>
      <c r="DD130" t="s">
        <v>3</v>
      </c>
      <c r="DE130" t="s">
        <v>3</v>
      </c>
      <c r="DF130" t="s">
        <v>3</v>
      </c>
      <c r="DG130" t="s">
        <v>3</v>
      </c>
      <c r="DH130" t="s">
        <v>3</v>
      </c>
      <c r="DI130" t="s">
        <v>3</v>
      </c>
      <c r="DJ130" t="s">
        <v>3</v>
      </c>
      <c r="DK130" t="s">
        <v>3</v>
      </c>
      <c r="DL130" t="s">
        <v>3</v>
      </c>
      <c r="DM130" t="s">
        <v>3</v>
      </c>
      <c r="DN130">
        <v>0</v>
      </c>
      <c r="DO130">
        <v>0</v>
      </c>
      <c r="DP130">
        <v>1</v>
      </c>
      <c r="DQ130">
        <v>1</v>
      </c>
      <c r="DU130">
        <v>1010</v>
      </c>
      <c r="DV130" t="s">
        <v>123</v>
      </c>
      <c r="DW130" t="s">
        <v>123</v>
      </c>
      <c r="DX130">
        <v>1</v>
      </c>
      <c r="EE130">
        <v>38628631</v>
      </c>
      <c r="EF130">
        <v>1</v>
      </c>
      <c r="EG130" t="s">
        <v>24</v>
      </c>
      <c r="EH130">
        <v>0</v>
      </c>
      <c r="EI130" t="s">
        <v>3</v>
      </c>
      <c r="EJ130">
        <v>4</v>
      </c>
      <c r="EK130">
        <v>0</v>
      </c>
      <c r="EL130" t="s">
        <v>25</v>
      </c>
      <c r="EM130" t="s">
        <v>26</v>
      </c>
      <c r="EO130" t="s">
        <v>3</v>
      </c>
      <c r="EQ130">
        <v>0</v>
      </c>
      <c r="ER130">
        <v>10202.57</v>
      </c>
      <c r="ES130">
        <v>10202.57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FQ130">
        <v>0</v>
      </c>
      <c r="FR130">
        <f>ROUND(IF(AND(BH130=3,BI130=3),P130,0),2)</f>
        <v>0</v>
      </c>
      <c r="FS130">
        <v>0</v>
      </c>
      <c r="FX130">
        <v>70</v>
      </c>
      <c r="FY130">
        <v>10</v>
      </c>
      <c r="GA130" t="s">
        <v>3</v>
      </c>
      <c r="GD130">
        <v>0</v>
      </c>
      <c r="GF130">
        <v>-1953145621</v>
      </c>
      <c r="GG130">
        <v>2</v>
      </c>
      <c r="GH130">
        <v>1</v>
      </c>
      <c r="GI130">
        <v>-2</v>
      </c>
      <c r="GJ130">
        <v>0</v>
      </c>
      <c r="GK130">
        <f>ROUND(R130*(R12)/100,2)</f>
        <v>0</v>
      </c>
      <c r="GL130">
        <f>ROUND(IF(AND(BH130=3,BI130=3,FS130&lt;&gt;0),P130,0),2)</f>
        <v>0</v>
      </c>
      <c r="GM130">
        <f>ROUND(O130+X130+Y130+GK130,2)+GX130</f>
        <v>10202.57</v>
      </c>
      <c r="GN130">
        <f>IF(OR(BI130=0,BI130=1),ROUND(O130+X130+Y130+GK130,2),0)</f>
        <v>0</v>
      </c>
      <c r="GO130">
        <f>IF(BI130=2,ROUND(O130+X130+Y130+GK130,2),0)</f>
        <v>0</v>
      </c>
      <c r="GP130">
        <f>IF(BI130=4,ROUND(O130+X130+Y130+GK130,2)+GX130,0)</f>
        <v>10202.57</v>
      </c>
      <c r="GR130">
        <v>0</v>
      </c>
      <c r="GS130">
        <v>3</v>
      </c>
      <c r="GT130">
        <v>0</v>
      </c>
      <c r="GU130" t="s">
        <v>3</v>
      </c>
      <c r="GV130">
        <f>ROUND((GT130),6)</f>
        <v>0</v>
      </c>
      <c r="GW130">
        <v>1</v>
      </c>
      <c r="GX130">
        <f>ROUND(HC130*I130,2)</f>
        <v>0</v>
      </c>
      <c r="HA130">
        <v>0</v>
      </c>
      <c r="HB130">
        <v>0</v>
      </c>
      <c r="HC130">
        <f>GV130*GW130</f>
        <v>0</v>
      </c>
      <c r="HE130" t="s">
        <v>3</v>
      </c>
      <c r="HF130" t="s">
        <v>3</v>
      </c>
      <c r="IK130">
        <v>0</v>
      </c>
    </row>
    <row r="132" spans="1:245" x14ac:dyDescent="0.2">
      <c r="A132" s="2">
        <v>51</v>
      </c>
      <c r="B132" s="2">
        <f>B124</f>
        <v>1</v>
      </c>
      <c r="C132" s="2">
        <f>A124</f>
        <v>5</v>
      </c>
      <c r="D132" s="2">
        <f>ROW(A124)</f>
        <v>124</v>
      </c>
      <c r="E132" s="2"/>
      <c r="F132" s="2" t="str">
        <f>IF(F124&lt;&gt;"",F124,"")</f>
        <v>Новый подраздел</v>
      </c>
      <c r="G132" s="2" t="str">
        <f>IF(G124&lt;&gt;"",G124,"")</f>
        <v>Установка ограждения</v>
      </c>
      <c r="H132" s="2">
        <v>0</v>
      </c>
      <c r="I132" s="2"/>
      <c r="J132" s="2"/>
      <c r="K132" s="2"/>
      <c r="L132" s="2"/>
      <c r="M132" s="2"/>
      <c r="N132" s="2"/>
      <c r="O132" s="2">
        <f t="shared" ref="O132:T132" si="119">ROUND(AB132,2)</f>
        <v>778463.03</v>
      </c>
      <c r="P132" s="2">
        <f t="shared" si="119"/>
        <v>667788.87</v>
      </c>
      <c r="Q132" s="2">
        <f t="shared" si="119"/>
        <v>24629.95</v>
      </c>
      <c r="R132" s="2">
        <f t="shared" si="119"/>
        <v>4684.1000000000004</v>
      </c>
      <c r="S132" s="2">
        <f t="shared" si="119"/>
        <v>86044.21</v>
      </c>
      <c r="T132" s="2">
        <f t="shared" si="119"/>
        <v>0</v>
      </c>
      <c r="U132" s="2">
        <f>AH132</f>
        <v>410.97199999999998</v>
      </c>
      <c r="V132" s="2">
        <f>AI132</f>
        <v>0</v>
      </c>
      <c r="W132" s="2">
        <f>ROUND(AJ132,2)</f>
        <v>0</v>
      </c>
      <c r="X132" s="2">
        <f>ROUND(AK132,2)</f>
        <v>60230.95</v>
      </c>
      <c r="Y132" s="2">
        <f>ROUND(AL132,2)</f>
        <v>8604.42</v>
      </c>
      <c r="Z132" s="2"/>
      <c r="AA132" s="2"/>
      <c r="AB132" s="2">
        <f>ROUND(SUMIF(AA128:AA130,"=38214492",O128:O130),2)</f>
        <v>778463.03</v>
      </c>
      <c r="AC132" s="2">
        <f>ROUND(SUMIF(AA128:AA130,"=38214492",P128:P130),2)</f>
        <v>667788.87</v>
      </c>
      <c r="AD132" s="2">
        <f>ROUND(SUMIF(AA128:AA130,"=38214492",Q128:Q130),2)</f>
        <v>24629.95</v>
      </c>
      <c r="AE132" s="2">
        <f>ROUND(SUMIF(AA128:AA130,"=38214492",R128:R130),2)</f>
        <v>4684.1000000000004</v>
      </c>
      <c r="AF132" s="2">
        <f>ROUND(SUMIF(AA128:AA130,"=38214492",S128:S130),2)</f>
        <v>86044.21</v>
      </c>
      <c r="AG132" s="2">
        <f>ROUND(SUMIF(AA128:AA130,"=38214492",T128:T130),2)</f>
        <v>0</v>
      </c>
      <c r="AH132" s="2">
        <f>SUMIF(AA128:AA130,"=38214492",U128:U130)</f>
        <v>410.97199999999998</v>
      </c>
      <c r="AI132" s="2">
        <f>SUMIF(AA128:AA130,"=38214492",V128:V130)</f>
        <v>0</v>
      </c>
      <c r="AJ132" s="2">
        <f>ROUND(SUMIF(AA128:AA130,"=38214492",W128:W130),2)</f>
        <v>0</v>
      </c>
      <c r="AK132" s="2">
        <f>ROUND(SUMIF(AA128:AA130,"=38214492",X128:X130),2)</f>
        <v>60230.95</v>
      </c>
      <c r="AL132" s="2">
        <f>ROUND(SUMIF(AA128:AA130,"=38214492",Y128:Y130),2)</f>
        <v>8604.42</v>
      </c>
      <c r="AM132" s="2"/>
      <c r="AN132" s="2"/>
      <c r="AO132" s="2">
        <f t="shared" ref="AO132:BD132" si="120">ROUND(BX132,2)</f>
        <v>0</v>
      </c>
      <c r="AP132" s="2">
        <f t="shared" si="120"/>
        <v>0</v>
      </c>
      <c r="AQ132" s="2">
        <f t="shared" si="120"/>
        <v>0</v>
      </c>
      <c r="AR132" s="2">
        <f t="shared" si="120"/>
        <v>852357.22</v>
      </c>
      <c r="AS132" s="2">
        <f t="shared" si="120"/>
        <v>0</v>
      </c>
      <c r="AT132" s="2">
        <f t="shared" si="120"/>
        <v>0</v>
      </c>
      <c r="AU132" s="2">
        <f t="shared" si="120"/>
        <v>852357.22</v>
      </c>
      <c r="AV132" s="2">
        <f t="shared" si="120"/>
        <v>667788.87</v>
      </c>
      <c r="AW132" s="2">
        <f t="shared" si="120"/>
        <v>667788.87</v>
      </c>
      <c r="AX132" s="2">
        <f t="shared" si="120"/>
        <v>0</v>
      </c>
      <c r="AY132" s="2">
        <f t="shared" si="120"/>
        <v>667788.87</v>
      </c>
      <c r="AZ132" s="2">
        <f t="shared" si="120"/>
        <v>0</v>
      </c>
      <c r="BA132" s="2">
        <f t="shared" si="120"/>
        <v>0</v>
      </c>
      <c r="BB132" s="2">
        <f t="shared" si="120"/>
        <v>0</v>
      </c>
      <c r="BC132" s="2">
        <f t="shared" si="120"/>
        <v>0</v>
      </c>
      <c r="BD132" s="2">
        <f t="shared" si="120"/>
        <v>0</v>
      </c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>
        <f>ROUND(SUMIF(AA128:AA130,"=38214492",FQ128:FQ130),2)</f>
        <v>0</v>
      </c>
      <c r="BY132" s="2">
        <f>ROUND(SUMIF(AA128:AA130,"=38214492",FR128:FR130),2)</f>
        <v>0</v>
      </c>
      <c r="BZ132" s="2">
        <f>ROUND(SUMIF(AA128:AA130,"=38214492",GL128:GL130),2)</f>
        <v>0</v>
      </c>
      <c r="CA132" s="2">
        <f>ROUND(SUMIF(AA128:AA130,"=38214492",GM128:GM130),2)</f>
        <v>852357.22</v>
      </c>
      <c r="CB132" s="2">
        <f>ROUND(SUMIF(AA128:AA130,"=38214492",GN128:GN130),2)</f>
        <v>0</v>
      </c>
      <c r="CC132" s="2">
        <f>ROUND(SUMIF(AA128:AA130,"=38214492",GO128:GO130),2)</f>
        <v>0</v>
      </c>
      <c r="CD132" s="2">
        <f>ROUND(SUMIF(AA128:AA130,"=38214492",GP128:GP130),2)</f>
        <v>852357.22</v>
      </c>
      <c r="CE132" s="2">
        <f>AC132-BX132</f>
        <v>667788.87</v>
      </c>
      <c r="CF132" s="2">
        <f>AC132-BY132</f>
        <v>667788.87</v>
      </c>
      <c r="CG132" s="2">
        <f>BX132-BZ132</f>
        <v>0</v>
      </c>
      <c r="CH132" s="2">
        <f>AC132-BX132-BY132+BZ132</f>
        <v>667788.87</v>
      </c>
      <c r="CI132" s="2">
        <f>BY132-BZ132</f>
        <v>0</v>
      </c>
      <c r="CJ132" s="2">
        <f>ROUND(SUMIF(AA128:AA130,"=38214492",GX128:GX130),2)</f>
        <v>0</v>
      </c>
      <c r="CK132" s="2">
        <f>ROUND(SUMIF(AA128:AA130,"=38214492",GY128:GY130),2)</f>
        <v>0</v>
      </c>
      <c r="CL132" s="2">
        <f>ROUND(SUMIF(AA128:AA130,"=38214492",GZ128:GZ130),2)</f>
        <v>0</v>
      </c>
      <c r="CM132" s="2">
        <f>ROUND(SUMIF(AA128:AA130,"=38214492",HD128:HD130),2)</f>
        <v>0</v>
      </c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>
        <v>0</v>
      </c>
    </row>
    <row r="134" spans="1:245" x14ac:dyDescent="0.2">
      <c r="A134" s="4">
        <v>50</v>
      </c>
      <c r="B134" s="4">
        <v>0</v>
      </c>
      <c r="C134" s="4">
        <v>0</v>
      </c>
      <c r="D134" s="4">
        <v>1</v>
      </c>
      <c r="E134" s="4">
        <v>201</v>
      </c>
      <c r="F134" s="4">
        <f>ROUND(Source!O132,O134)</f>
        <v>778463.03</v>
      </c>
      <c r="G134" s="4" t="s">
        <v>56</v>
      </c>
      <c r="H134" s="4" t="s">
        <v>57</v>
      </c>
      <c r="I134" s="4"/>
      <c r="J134" s="4"/>
      <c r="K134" s="4">
        <v>201</v>
      </c>
      <c r="L134" s="4">
        <v>1</v>
      </c>
      <c r="M134" s="4">
        <v>3</v>
      </c>
      <c r="N134" s="4" t="s">
        <v>3</v>
      </c>
      <c r="O134" s="4">
        <v>2</v>
      </c>
      <c r="P134" s="4"/>
      <c r="Q134" s="4"/>
      <c r="R134" s="4"/>
      <c r="S134" s="4"/>
      <c r="T134" s="4"/>
      <c r="U134" s="4"/>
      <c r="V134" s="4"/>
      <c r="W134" s="4"/>
    </row>
    <row r="135" spans="1:245" x14ac:dyDescent="0.2">
      <c r="A135" s="4">
        <v>50</v>
      </c>
      <c r="B135" s="4">
        <v>0</v>
      </c>
      <c r="C135" s="4">
        <v>0</v>
      </c>
      <c r="D135" s="4">
        <v>1</v>
      </c>
      <c r="E135" s="4">
        <v>202</v>
      </c>
      <c r="F135" s="4">
        <f>ROUND(Source!P132,O135)</f>
        <v>667788.87</v>
      </c>
      <c r="G135" s="4" t="s">
        <v>58</v>
      </c>
      <c r="H135" s="4" t="s">
        <v>59</v>
      </c>
      <c r="I135" s="4"/>
      <c r="J135" s="4"/>
      <c r="K135" s="4">
        <v>202</v>
      </c>
      <c r="L135" s="4">
        <v>2</v>
      </c>
      <c r="M135" s="4">
        <v>3</v>
      </c>
      <c r="N135" s="4" t="s">
        <v>3</v>
      </c>
      <c r="O135" s="4">
        <v>2</v>
      </c>
      <c r="P135" s="4"/>
      <c r="Q135" s="4"/>
      <c r="R135" s="4"/>
      <c r="S135" s="4"/>
      <c r="T135" s="4"/>
      <c r="U135" s="4"/>
      <c r="V135" s="4"/>
      <c r="W135" s="4"/>
    </row>
    <row r="136" spans="1:245" x14ac:dyDescent="0.2">
      <c r="A136" s="4">
        <v>50</v>
      </c>
      <c r="B136" s="4">
        <v>0</v>
      </c>
      <c r="C136" s="4">
        <v>0</v>
      </c>
      <c r="D136" s="4">
        <v>1</v>
      </c>
      <c r="E136" s="4">
        <v>222</v>
      </c>
      <c r="F136" s="4">
        <f>ROUND(Source!AO132,O136)</f>
        <v>0</v>
      </c>
      <c r="G136" s="4" t="s">
        <v>60</v>
      </c>
      <c r="H136" s="4" t="s">
        <v>61</v>
      </c>
      <c r="I136" s="4"/>
      <c r="J136" s="4"/>
      <c r="K136" s="4">
        <v>222</v>
      </c>
      <c r="L136" s="4">
        <v>3</v>
      </c>
      <c r="M136" s="4">
        <v>3</v>
      </c>
      <c r="N136" s="4" t="s">
        <v>3</v>
      </c>
      <c r="O136" s="4">
        <v>2</v>
      </c>
      <c r="P136" s="4"/>
      <c r="Q136" s="4"/>
      <c r="R136" s="4"/>
      <c r="S136" s="4"/>
      <c r="T136" s="4"/>
      <c r="U136" s="4"/>
      <c r="V136" s="4"/>
      <c r="W136" s="4"/>
    </row>
    <row r="137" spans="1:245" x14ac:dyDescent="0.2">
      <c r="A137" s="4">
        <v>50</v>
      </c>
      <c r="B137" s="4">
        <v>0</v>
      </c>
      <c r="C137" s="4">
        <v>0</v>
      </c>
      <c r="D137" s="4">
        <v>1</v>
      </c>
      <c r="E137" s="4">
        <v>225</v>
      </c>
      <c r="F137" s="4">
        <f>ROUND(Source!AV132,O137)</f>
        <v>667788.87</v>
      </c>
      <c r="G137" s="4" t="s">
        <v>62</v>
      </c>
      <c r="H137" s="4" t="s">
        <v>63</v>
      </c>
      <c r="I137" s="4"/>
      <c r="J137" s="4"/>
      <c r="K137" s="4">
        <v>225</v>
      </c>
      <c r="L137" s="4">
        <v>4</v>
      </c>
      <c r="M137" s="4">
        <v>3</v>
      </c>
      <c r="N137" s="4" t="s">
        <v>3</v>
      </c>
      <c r="O137" s="4">
        <v>2</v>
      </c>
      <c r="P137" s="4"/>
      <c r="Q137" s="4"/>
      <c r="R137" s="4"/>
      <c r="S137" s="4"/>
      <c r="T137" s="4"/>
      <c r="U137" s="4"/>
      <c r="V137" s="4"/>
      <c r="W137" s="4"/>
    </row>
    <row r="138" spans="1:245" x14ac:dyDescent="0.2">
      <c r="A138" s="4">
        <v>50</v>
      </c>
      <c r="B138" s="4">
        <v>0</v>
      </c>
      <c r="C138" s="4">
        <v>0</v>
      </c>
      <c r="D138" s="4">
        <v>1</v>
      </c>
      <c r="E138" s="4">
        <v>226</v>
      </c>
      <c r="F138" s="4">
        <f>ROUND(Source!AW132,O138)</f>
        <v>667788.87</v>
      </c>
      <c r="G138" s="4" t="s">
        <v>64</v>
      </c>
      <c r="H138" s="4" t="s">
        <v>65</v>
      </c>
      <c r="I138" s="4"/>
      <c r="J138" s="4"/>
      <c r="K138" s="4">
        <v>226</v>
      </c>
      <c r="L138" s="4">
        <v>5</v>
      </c>
      <c r="M138" s="4">
        <v>3</v>
      </c>
      <c r="N138" s="4" t="s">
        <v>3</v>
      </c>
      <c r="O138" s="4">
        <v>2</v>
      </c>
      <c r="P138" s="4"/>
      <c r="Q138" s="4"/>
      <c r="R138" s="4"/>
      <c r="S138" s="4"/>
      <c r="T138" s="4"/>
      <c r="U138" s="4"/>
      <c r="V138" s="4"/>
      <c r="W138" s="4"/>
    </row>
    <row r="139" spans="1:245" x14ac:dyDescent="0.2">
      <c r="A139" s="4">
        <v>50</v>
      </c>
      <c r="B139" s="4">
        <v>0</v>
      </c>
      <c r="C139" s="4">
        <v>0</v>
      </c>
      <c r="D139" s="4">
        <v>1</v>
      </c>
      <c r="E139" s="4">
        <v>227</v>
      </c>
      <c r="F139" s="4">
        <f>ROUND(Source!AX132,O139)</f>
        <v>0</v>
      </c>
      <c r="G139" s="4" t="s">
        <v>66</v>
      </c>
      <c r="H139" s="4" t="s">
        <v>67</v>
      </c>
      <c r="I139" s="4"/>
      <c r="J139" s="4"/>
      <c r="K139" s="4">
        <v>227</v>
      </c>
      <c r="L139" s="4">
        <v>6</v>
      </c>
      <c r="M139" s="4">
        <v>3</v>
      </c>
      <c r="N139" s="4" t="s">
        <v>3</v>
      </c>
      <c r="O139" s="4">
        <v>2</v>
      </c>
      <c r="P139" s="4"/>
      <c r="Q139" s="4"/>
      <c r="R139" s="4"/>
      <c r="S139" s="4"/>
      <c r="T139" s="4"/>
      <c r="U139" s="4"/>
      <c r="V139" s="4"/>
      <c r="W139" s="4"/>
    </row>
    <row r="140" spans="1:245" x14ac:dyDescent="0.2">
      <c r="A140" s="4">
        <v>50</v>
      </c>
      <c r="B140" s="4">
        <v>0</v>
      </c>
      <c r="C140" s="4">
        <v>0</v>
      </c>
      <c r="D140" s="4">
        <v>1</v>
      </c>
      <c r="E140" s="4">
        <v>228</v>
      </c>
      <c r="F140" s="4">
        <f>ROUND(Source!AY132,O140)</f>
        <v>667788.87</v>
      </c>
      <c r="G140" s="4" t="s">
        <v>68</v>
      </c>
      <c r="H140" s="4" t="s">
        <v>69</v>
      </c>
      <c r="I140" s="4"/>
      <c r="J140" s="4"/>
      <c r="K140" s="4">
        <v>228</v>
      </c>
      <c r="L140" s="4">
        <v>7</v>
      </c>
      <c r="M140" s="4">
        <v>3</v>
      </c>
      <c r="N140" s="4" t="s">
        <v>3</v>
      </c>
      <c r="O140" s="4">
        <v>2</v>
      </c>
      <c r="P140" s="4"/>
      <c r="Q140" s="4"/>
      <c r="R140" s="4"/>
      <c r="S140" s="4"/>
      <c r="T140" s="4"/>
      <c r="U140" s="4"/>
      <c r="V140" s="4"/>
      <c r="W140" s="4"/>
    </row>
    <row r="141" spans="1:245" x14ac:dyDescent="0.2">
      <c r="A141" s="4">
        <v>50</v>
      </c>
      <c r="B141" s="4">
        <v>0</v>
      </c>
      <c r="C141" s="4">
        <v>0</v>
      </c>
      <c r="D141" s="4">
        <v>1</v>
      </c>
      <c r="E141" s="4">
        <v>216</v>
      </c>
      <c r="F141" s="4">
        <f>ROUND(Source!AP132,O141)</f>
        <v>0</v>
      </c>
      <c r="G141" s="4" t="s">
        <v>70</v>
      </c>
      <c r="H141" s="4" t="s">
        <v>71</v>
      </c>
      <c r="I141" s="4"/>
      <c r="J141" s="4"/>
      <c r="K141" s="4">
        <v>216</v>
      </c>
      <c r="L141" s="4">
        <v>8</v>
      </c>
      <c r="M141" s="4">
        <v>3</v>
      </c>
      <c r="N141" s="4" t="s">
        <v>3</v>
      </c>
      <c r="O141" s="4">
        <v>2</v>
      </c>
      <c r="P141" s="4"/>
      <c r="Q141" s="4"/>
      <c r="R141" s="4"/>
      <c r="S141" s="4"/>
      <c r="T141" s="4"/>
      <c r="U141" s="4"/>
      <c r="V141" s="4"/>
      <c r="W141" s="4"/>
    </row>
    <row r="142" spans="1:245" x14ac:dyDescent="0.2">
      <c r="A142" s="4">
        <v>50</v>
      </c>
      <c r="B142" s="4">
        <v>0</v>
      </c>
      <c r="C142" s="4">
        <v>0</v>
      </c>
      <c r="D142" s="4">
        <v>1</v>
      </c>
      <c r="E142" s="4">
        <v>223</v>
      </c>
      <c r="F142" s="4">
        <f>ROUND(Source!AQ132,O142)</f>
        <v>0</v>
      </c>
      <c r="G142" s="4" t="s">
        <v>72</v>
      </c>
      <c r="H142" s="4" t="s">
        <v>73</v>
      </c>
      <c r="I142" s="4"/>
      <c r="J142" s="4"/>
      <c r="K142" s="4">
        <v>223</v>
      </c>
      <c r="L142" s="4">
        <v>9</v>
      </c>
      <c r="M142" s="4">
        <v>3</v>
      </c>
      <c r="N142" s="4" t="s">
        <v>3</v>
      </c>
      <c r="O142" s="4">
        <v>2</v>
      </c>
      <c r="P142" s="4"/>
      <c r="Q142" s="4"/>
      <c r="R142" s="4"/>
      <c r="S142" s="4"/>
      <c r="T142" s="4"/>
      <c r="U142" s="4"/>
      <c r="V142" s="4"/>
      <c r="W142" s="4"/>
    </row>
    <row r="143" spans="1:245" x14ac:dyDescent="0.2">
      <c r="A143" s="4">
        <v>50</v>
      </c>
      <c r="B143" s="4">
        <v>0</v>
      </c>
      <c r="C143" s="4">
        <v>0</v>
      </c>
      <c r="D143" s="4">
        <v>1</v>
      </c>
      <c r="E143" s="4">
        <v>229</v>
      </c>
      <c r="F143" s="4">
        <f>ROUND(Source!AZ132,O143)</f>
        <v>0</v>
      </c>
      <c r="G143" s="4" t="s">
        <v>74</v>
      </c>
      <c r="H143" s="4" t="s">
        <v>75</v>
      </c>
      <c r="I143" s="4"/>
      <c r="J143" s="4"/>
      <c r="K143" s="4">
        <v>229</v>
      </c>
      <c r="L143" s="4">
        <v>10</v>
      </c>
      <c r="M143" s="4">
        <v>3</v>
      </c>
      <c r="N143" s="4" t="s">
        <v>3</v>
      </c>
      <c r="O143" s="4">
        <v>2</v>
      </c>
      <c r="P143" s="4"/>
      <c r="Q143" s="4"/>
      <c r="R143" s="4"/>
      <c r="S143" s="4"/>
      <c r="T143" s="4"/>
      <c r="U143" s="4"/>
      <c r="V143" s="4"/>
      <c r="W143" s="4"/>
    </row>
    <row r="144" spans="1:245" x14ac:dyDescent="0.2">
      <c r="A144" s="4">
        <v>50</v>
      </c>
      <c r="B144" s="4">
        <v>0</v>
      </c>
      <c r="C144" s="4">
        <v>0</v>
      </c>
      <c r="D144" s="4">
        <v>1</v>
      </c>
      <c r="E144" s="4">
        <v>203</v>
      </c>
      <c r="F144" s="4">
        <f>ROUND(Source!Q132,O144)</f>
        <v>24629.95</v>
      </c>
      <c r="G144" s="4" t="s">
        <v>76</v>
      </c>
      <c r="H144" s="4" t="s">
        <v>77</v>
      </c>
      <c r="I144" s="4"/>
      <c r="J144" s="4"/>
      <c r="K144" s="4">
        <v>203</v>
      </c>
      <c r="L144" s="4">
        <v>11</v>
      </c>
      <c r="M144" s="4">
        <v>3</v>
      </c>
      <c r="N144" s="4" t="s">
        <v>3</v>
      </c>
      <c r="O144" s="4">
        <v>2</v>
      </c>
      <c r="P144" s="4"/>
      <c r="Q144" s="4"/>
      <c r="R144" s="4"/>
      <c r="S144" s="4"/>
      <c r="T144" s="4"/>
      <c r="U144" s="4"/>
      <c r="V144" s="4"/>
      <c r="W144" s="4"/>
    </row>
    <row r="145" spans="1:23" x14ac:dyDescent="0.2">
      <c r="A145" s="4">
        <v>50</v>
      </c>
      <c r="B145" s="4">
        <v>0</v>
      </c>
      <c r="C145" s="4">
        <v>0</v>
      </c>
      <c r="D145" s="4">
        <v>1</v>
      </c>
      <c r="E145" s="4">
        <v>231</v>
      </c>
      <c r="F145" s="4">
        <f>ROUND(Source!BB132,O145)</f>
        <v>0</v>
      </c>
      <c r="G145" s="4" t="s">
        <v>78</v>
      </c>
      <c r="H145" s="4" t="s">
        <v>79</v>
      </c>
      <c r="I145" s="4"/>
      <c r="J145" s="4"/>
      <c r="K145" s="4">
        <v>231</v>
      </c>
      <c r="L145" s="4">
        <v>12</v>
      </c>
      <c r="M145" s="4">
        <v>3</v>
      </c>
      <c r="N145" s="4" t="s">
        <v>3</v>
      </c>
      <c r="O145" s="4">
        <v>2</v>
      </c>
      <c r="P145" s="4"/>
      <c r="Q145" s="4"/>
      <c r="R145" s="4"/>
      <c r="S145" s="4"/>
      <c r="T145" s="4"/>
      <c r="U145" s="4"/>
      <c r="V145" s="4"/>
      <c r="W145" s="4"/>
    </row>
    <row r="146" spans="1:23" x14ac:dyDescent="0.2">
      <c r="A146" s="4">
        <v>50</v>
      </c>
      <c r="B146" s="4">
        <v>0</v>
      </c>
      <c r="C146" s="4">
        <v>0</v>
      </c>
      <c r="D146" s="4">
        <v>1</v>
      </c>
      <c r="E146" s="4">
        <v>204</v>
      </c>
      <c r="F146" s="4">
        <f>ROUND(Source!R132,O146)</f>
        <v>4684.1000000000004</v>
      </c>
      <c r="G146" s="4" t="s">
        <v>80</v>
      </c>
      <c r="H146" s="4" t="s">
        <v>81</v>
      </c>
      <c r="I146" s="4"/>
      <c r="J146" s="4"/>
      <c r="K146" s="4">
        <v>204</v>
      </c>
      <c r="L146" s="4">
        <v>13</v>
      </c>
      <c r="M146" s="4">
        <v>3</v>
      </c>
      <c r="N146" s="4" t="s">
        <v>3</v>
      </c>
      <c r="O146" s="4">
        <v>2</v>
      </c>
      <c r="P146" s="4"/>
      <c r="Q146" s="4"/>
      <c r="R146" s="4"/>
      <c r="S146" s="4"/>
      <c r="T146" s="4"/>
      <c r="U146" s="4"/>
      <c r="V146" s="4"/>
      <c r="W146" s="4"/>
    </row>
    <row r="147" spans="1:23" x14ac:dyDescent="0.2">
      <c r="A147" s="4">
        <v>50</v>
      </c>
      <c r="B147" s="4">
        <v>0</v>
      </c>
      <c r="C147" s="4">
        <v>0</v>
      </c>
      <c r="D147" s="4">
        <v>1</v>
      </c>
      <c r="E147" s="4">
        <v>205</v>
      </c>
      <c r="F147" s="4">
        <f>ROUND(Source!S132,O147)</f>
        <v>86044.21</v>
      </c>
      <c r="G147" s="4" t="s">
        <v>82</v>
      </c>
      <c r="H147" s="4" t="s">
        <v>83</v>
      </c>
      <c r="I147" s="4"/>
      <c r="J147" s="4"/>
      <c r="K147" s="4">
        <v>205</v>
      </c>
      <c r="L147" s="4">
        <v>14</v>
      </c>
      <c r="M147" s="4">
        <v>3</v>
      </c>
      <c r="N147" s="4" t="s">
        <v>3</v>
      </c>
      <c r="O147" s="4">
        <v>2</v>
      </c>
      <c r="P147" s="4"/>
      <c r="Q147" s="4"/>
      <c r="R147" s="4"/>
      <c r="S147" s="4"/>
      <c r="T147" s="4"/>
      <c r="U147" s="4"/>
      <c r="V147" s="4"/>
      <c r="W147" s="4"/>
    </row>
    <row r="148" spans="1:23" x14ac:dyDescent="0.2">
      <c r="A148" s="4">
        <v>50</v>
      </c>
      <c r="B148" s="4">
        <v>0</v>
      </c>
      <c r="C148" s="4">
        <v>0</v>
      </c>
      <c r="D148" s="4">
        <v>1</v>
      </c>
      <c r="E148" s="4">
        <v>232</v>
      </c>
      <c r="F148" s="4">
        <f>ROUND(Source!BC132,O148)</f>
        <v>0</v>
      </c>
      <c r="G148" s="4" t="s">
        <v>84</v>
      </c>
      <c r="H148" s="4" t="s">
        <v>85</v>
      </c>
      <c r="I148" s="4"/>
      <c r="J148" s="4"/>
      <c r="K148" s="4">
        <v>232</v>
      </c>
      <c r="L148" s="4">
        <v>15</v>
      </c>
      <c r="M148" s="4">
        <v>3</v>
      </c>
      <c r="N148" s="4" t="s">
        <v>3</v>
      </c>
      <c r="O148" s="4">
        <v>2</v>
      </c>
      <c r="P148" s="4"/>
      <c r="Q148" s="4"/>
      <c r="R148" s="4"/>
      <c r="S148" s="4"/>
      <c r="T148" s="4"/>
      <c r="U148" s="4"/>
      <c r="V148" s="4"/>
      <c r="W148" s="4"/>
    </row>
    <row r="149" spans="1:23" x14ac:dyDescent="0.2">
      <c r="A149" s="4">
        <v>50</v>
      </c>
      <c r="B149" s="4">
        <v>0</v>
      </c>
      <c r="C149" s="4">
        <v>0</v>
      </c>
      <c r="D149" s="4">
        <v>1</v>
      </c>
      <c r="E149" s="4">
        <v>214</v>
      </c>
      <c r="F149" s="4">
        <f>ROUND(Source!AS132,O149)</f>
        <v>0</v>
      </c>
      <c r="G149" s="4" t="s">
        <v>86</v>
      </c>
      <c r="H149" s="4" t="s">
        <v>87</v>
      </c>
      <c r="I149" s="4"/>
      <c r="J149" s="4"/>
      <c r="K149" s="4">
        <v>214</v>
      </c>
      <c r="L149" s="4">
        <v>16</v>
      </c>
      <c r="M149" s="4">
        <v>3</v>
      </c>
      <c r="N149" s="4" t="s">
        <v>3</v>
      </c>
      <c r="O149" s="4">
        <v>2</v>
      </c>
      <c r="P149" s="4"/>
      <c r="Q149" s="4"/>
      <c r="R149" s="4"/>
      <c r="S149" s="4"/>
      <c r="T149" s="4"/>
      <c r="U149" s="4"/>
      <c r="V149" s="4"/>
      <c r="W149" s="4"/>
    </row>
    <row r="150" spans="1:23" x14ac:dyDescent="0.2">
      <c r="A150" s="4">
        <v>50</v>
      </c>
      <c r="B150" s="4">
        <v>0</v>
      </c>
      <c r="C150" s="4">
        <v>0</v>
      </c>
      <c r="D150" s="4">
        <v>1</v>
      </c>
      <c r="E150" s="4">
        <v>215</v>
      </c>
      <c r="F150" s="4">
        <f>ROUND(Source!AT132,O150)</f>
        <v>0</v>
      </c>
      <c r="G150" s="4" t="s">
        <v>88</v>
      </c>
      <c r="H150" s="4" t="s">
        <v>89</v>
      </c>
      <c r="I150" s="4"/>
      <c r="J150" s="4"/>
      <c r="K150" s="4">
        <v>215</v>
      </c>
      <c r="L150" s="4">
        <v>17</v>
      </c>
      <c r="M150" s="4">
        <v>3</v>
      </c>
      <c r="N150" s="4" t="s">
        <v>3</v>
      </c>
      <c r="O150" s="4">
        <v>2</v>
      </c>
      <c r="P150" s="4"/>
      <c r="Q150" s="4"/>
      <c r="R150" s="4"/>
      <c r="S150" s="4"/>
      <c r="T150" s="4"/>
      <c r="U150" s="4"/>
      <c r="V150" s="4"/>
      <c r="W150" s="4"/>
    </row>
    <row r="151" spans="1:23" x14ac:dyDescent="0.2">
      <c r="A151" s="4">
        <v>50</v>
      </c>
      <c r="B151" s="4">
        <v>0</v>
      </c>
      <c r="C151" s="4">
        <v>0</v>
      </c>
      <c r="D151" s="4">
        <v>1</v>
      </c>
      <c r="E151" s="4">
        <v>217</v>
      </c>
      <c r="F151" s="4">
        <f>ROUND(Source!AU132,O151)</f>
        <v>852357.22</v>
      </c>
      <c r="G151" s="4" t="s">
        <v>90</v>
      </c>
      <c r="H151" s="4" t="s">
        <v>91</v>
      </c>
      <c r="I151" s="4"/>
      <c r="J151" s="4"/>
      <c r="K151" s="4">
        <v>217</v>
      </c>
      <c r="L151" s="4">
        <v>18</v>
      </c>
      <c r="M151" s="4">
        <v>3</v>
      </c>
      <c r="N151" s="4" t="s">
        <v>3</v>
      </c>
      <c r="O151" s="4">
        <v>2</v>
      </c>
      <c r="P151" s="4"/>
      <c r="Q151" s="4"/>
      <c r="R151" s="4"/>
      <c r="S151" s="4"/>
      <c r="T151" s="4"/>
      <c r="U151" s="4"/>
      <c r="V151" s="4"/>
      <c r="W151" s="4"/>
    </row>
    <row r="152" spans="1:23" x14ac:dyDescent="0.2">
      <c r="A152" s="4">
        <v>50</v>
      </c>
      <c r="B152" s="4">
        <v>0</v>
      </c>
      <c r="C152" s="4">
        <v>0</v>
      </c>
      <c r="D152" s="4">
        <v>1</v>
      </c>
      <c r="E152" s="4">
        <v>230</v>
      </c>
      <c r="F152" s="4">
        <f>ROUND(Source!BA132,O152)</f>
        <v>0</v>
      </c>
      <c r="G152" s="4" t="s">
        <v>92</v>
      </c>
      <c r="H152" s="4" t="s">
        <v>93</v>
      </c>
      <c r="I152" s="4"/>
      <c r="J152" s="4"/>
      <c r="K152" s="4">
        <v>230</v>
      </c>
      <c r="L152" s="4">
        <v>19</v>
      </c>
      <c r="M152" s="4">
        <v>3</v>
      </c>
      <c r="N152" s="4" t="s">
        <v>3</v>
      </c>
      <c r="O152" s="4">
        <v>2</v>
      </c>
      <c r="P152" s="4"/>
      <c r="Q152" s="4"/>
      <c r="R152" s="4"/>
      <c r="S152" s="4"/>
      <c r="T152" s="4"/>
      <c r="U152" s="4"/>
      <c r="V152" s="4"/>
      <c r="W152" s="4"/>
    </row>
    <row r="153" spans="1:23" x14ac:dyDescent="0.2">
      <c r="A153" s="4">
        <v>50</v>
      </c>
      <c r="B153" s="4">
        <v>0</v>
      </c>
      <c r="C153" s="4">
        <v>0</v>
      </c>
      <c r="D153" s="4">
        <v>1</v>
      </c>
      <c r="E153" s="4">
        <v>206</v>
      </c>
      <c r="F153" s="4">
        <f>ROUND(Source!T132,O153)</f>
        <v>0</v>
      </c>
      <c r="G153" s="4" t="s">
        <v>94</v>
      </c>
      <c r="H153" s="4" t="s">
        <v>95</v>
      </c>
      <c r="I153" s="4"/>
      <c r="J153" s="4"/>
      <c r="K153" s="4">
        <v>206</v>
      </c>
      <c r="L153" s="4">
        <v>20</v>
      </c>
      <c r="M153" s="4">
        <v>3</v>
      </c>
      <c r="N153" s="4" t="s">
        <v>3</v>
      </c>
      <c r="O153" s="4">
        <v>2</v>
      </c>
      <c r="P153" s="4"/>
      <c r="Q153" s="4"/>
      <c r="R153" s="4"/>
      <c r="S153" s="4"/>
      <c r="T153" s="4"/>
      <c r="U153" s="4"/>
      <c r="V153" s="4"/>
      <c r="W153" s="4"/>
    </row>
    <row r="154" spans="1:23" x14ac:dyDescent="0.2">
      <c r="A154" s="4">
        <v>50</v>
      </c>
      <c r="B154" s="4">
        <v>0</v>
      </c>
      <c r="C154" s="4">
        <v>0</v>
      </c>
      <c r="D154" s="4">
        <v>1</v>
      </c>
      <c r="E154" s="4">
        <v>207</v>
      </c>
      <c r="F154" s="4">
        <f>Source!U132</f>
        <v>410.97199999999998</v>
      </c>
      <c r="G154" s="4" t="s">
        <v>96</v>
      </c>
      <c r="H154" s="4" t="s">
        <v>97</v>
      </c>
      <c r="I154" s="4"/>
      <c r="J154" s="4"/>
      <c r="K154" s="4">
        <v>207</v>
      </c>
      <c r="L154" s="4">
        <v>21</v>
      </c>
      <c r="M154" s="4">
        <v>3</v>
      </c>
      <c r="N154" s="4" t="s">
        <v>3</v>
      </c>
      <c r="O154" s="4">
        <v>-1</v>
      </c>
      <c r="P154" s="4"/>
      <c r="Q154" s="4"/>
      <c r="R154" s="4"/>
      <c r="S154" s="4"/>
      <c r="T154" s="4"/>
      <c r="U154" s="4"/>
      <c r="V154" s="4"/>
      <c r="W154" s="4"/>
    </row>
    <row r="155" spans="1:23" x14ac:dyDescent="0.2">
      <c r="A155" s="4">
        <v>50</v>
      </c>
      <c r="B155" s="4">
        <v>0</v>
      </c>
      <c r="C155" s="4">
        <v>0</v>
      </c>
      <c r="D155" s="4">
        <v>1</v>
      </c>
      <c r="E155" s="4">
        <v>208</v>
      </c>
      <c r="F155" s="4">
        <f>Source!V132</f>
        <v>0</v>
      </c>
      <c r="G155" s="4" t="s">
        <v>98</v>
      </c>
      <c r="H155" s="4" t="s">
        <v>99</v>
      </c>
      <c r="I155" s="4"/>
      <c r="J155" s="4"/>
      <c r="K155" s="4">
        <v>208</v>
      </c>
      <c r="L155" s="4">
        <v>22</v>
      </c>
      <c r="M155" s="4">
        <v>3</v>
      </c>
      <c r="N155" s="4" t="s">
        <v>3</v>
      </c>
      <c r="O155" s="4">
        <v>-1</v>
      </c>
      <c r="P155" s="4"/>
      <c r="Q155" s="4"/>
      <c r="R155" s="4"/>
      <c r="S155" s="4"/>
      <c r="T155" s="4"/>
      <c r="U155" s="4"/>
      <c r="V155" s="4"/>
      <c r="W155" s="4"/>
    </row>
    <row r="156" spans="1:23" x14ac:dyDescent="0.2">
      <c r="A156" s="4">
        <v>50</v>
      </c>
      <c r="B156" s="4">
        <v>0</v>
      </c>
      <c r="C156" s="4">
        <v>0</v>
      </c>
      <c r="D156" s="4">
        <v>1</v>
      </c>
      <c r="E156" s="4">
        <v>209</v>
      </c>
      <c r="F156" s="4">
        <f>ROUND(Source!W132,O156)</f>
        <v>0</v>
      </c>
      <c r="G156" s="4" t="s">
        <v>100</v>
      </c>
      <c r="H156" s="4" t="s">
        <v>101</v>
      </c>
      <c r="I156" s="4"/>
      <c r="J156" s="4"/>
      <c r="K156" s="4">
        <v>209</v>
      </c>
      <c r="L156" s="4">
        <v>23</v>
      </c>
      <c r="M156" s="4">
        <v>3</v>
      </c>
      <c r="N156" s="4" t="s">
        <v>3</v>
      </c>
      <c r="O156" s="4">
        <v>2</v>
      </c>
      <c r="P156" s="4"/>
      <c r="Q156" s="4"/>
      <c r="R156" s="4"/>
      <c r="S156" s="4"/>
      <c r="T156" s="4"/>
      <c r="U156" s="4"/>
      <c r="V156" s="4"/>
      <c r="W156" s="4"/>
    </row>
    <row r="157" spans="1:23" x14ac:dyDescent="0.2">
      <c r="A157" s="4">
        <v>50</v>
      </c>
      <c r="B157" s="4">
        <v>0</v>
      </c>
      <c r="C157" s="4">
        <v>0</v>
      </c>
      <c r="D157" s="4">
        <v>1</v>
      </c>
      <c r="E157" s="4">
        <v>233</v>
      </c>
      <c r="F157" s="4">
        <f>ROUND(Source!BD132,O157)</f>
        <v>0</v>
      </c>
      <c r="G157" s="4" t="s">
        <v>102</v>
      </c>
      <c r="H157" s="4" t="s">
        <v>103</v>
      </c>
      <c r="I157" s="4"/>
      <c r="J157" s="4"/>
      <c r="K157" s="4">
        <v>233</v>
      </c>
      <c r="L157" s="4">
        <v>24</v>
      </c>
      <c r="M157" s="4">
        <v>3</v>
      </c>
      <c r="N157" s="4" t="s">
        <v>3</v>
      </c>
      <c r="O157" s="4">
        <v>2</v>
      </c>
      <c r="P157" s="4"/>
      <c r="Q157" s="4"/>
      <c r="R157" s="4"/>
      <c r="S157" s="4"/>
      <c r="T157" s="4"/>
      <c r="U157" s="4"/>
      <c r="V157" s="4"/>
      <c r="W157" s="4"/>
    </row>
    <row r="158" spans="1:23" x14ac:dyDescent="0.2">
      <c r="A158" s="4">
        <v>50</v>
      </c>
      <c r="B158" s="4">
        <v>0</v>
      </c>
      <c r="C158" s="4">
        <v>0</v>
      </c>
      <c r="D158" s="4">
        <v>1</v>
      </c>
      <c r="E158" s="4">
        <v>210</v>
      </c>
      <c r="F158" s="4">
        <f>ROUND(Source!X132,O158)</f>
        <v>60230.95</v>
      </c>
      <c r="G158" s="4" t="s">
        <v>104</v>
      </c>
      <c r="H158" s="4" t="s">
        <v>105</v>
      </c>
      <c r="I158" s="4"/>
      <c r="J158" s="4"/>
      <c r="K158" s="4">
        <v>210</v>
      </c>
      <c r="L158" s="4">
        <v>25</v>
      </c>
      <c r="M158" s="4">
        <v>3</v>
      </c>
      <c r="N158" s="4" t="s">
        <v>3</v>
      </c>
      <c r="O158" s="4">
        <v>2</v>
      </c>
      <c r="P158" s="4"/>
      <c r="Q158" s="4"/>
      <c r="R158" s="4"/>
      <c r="S158" s="4"/>
      <c r="T158" s="4"/>
      <c r="U158" s="4"/>
      <c r="V158" s="4"/>
      <c r="W158" s="4"/>
    </row>
    <row r="159" spans="1:23" x14ac:dyDescent="0.2">
      <c r="A159" s="4">
        <v>50</v>
      </c>
      <c r="B159" s="4">
        <v>0</v>
      </c>
      <c r="C159" s="4">
        <v>0</v>
      </c>
      <c r="D159" s="4">
        <v>1</v>
      </c>
      <c r="E159" s="4">
        <v>211</v>
      </c>
      <c r="F159" s="4">
        <f>ROUND(Source!Y132,O159)</f>
        <v>8604.42</v>
      </c>
      <c r="G159" s="4" t="s">
        <v>106</v>
      </c>
      <c r="H159" s="4" t="s">
        <v>107</v>
      </c>
      <c r="I159" s="4"/>
      <c r="J159" s="4"/>
      <c r="K159" s="4">
        <v>211</v>
      </c>
      <c r="L159" s="4">
        <v>26</v>
      </c>
      <c r="M159" s="4">
        <v>3</v>
      </c>
      <c r="N159" s="4" t="s">
        <v>3</v>
      </c>
      <c r="O159" s="4">
        <v>2</v>
      </c>
      <c r="P159" s="4"/>
      <c r="Q159" s="4"/>
      <c r="R159" s="4"/>
      <c r="S159" s="4"/>
      <c r="T159" s="4"/>
      <c r="U159" s="4"/>
      <c r="V159" s="4"/>
      <c r="W159" s="4"/>
    </row>
    <row r="160" spans="1:23" x14ac:dyDescent="0.2">
      <c r="A160" s="4">
        <v>50</v>
      </c>
      <c r="B160" s="4">
        <v>0</v>
      </c>
      <c r="C160" s="4">
        <v>0</v>
      </c>
      <c r="D160" s="4">
        <v>1</v>
      </c>
      <c r="E160" s="4">
        <v>224</v>
      </c>
      <c r="F160" s="4">
        <f>ROUND(Source!AR132,O160)</f>
        <v>852357.22</v>
      </c>
      <c r="G160" s="4" t="s">
        <v>108</v>
      </c>
      <c r="H160" s="4" t="s">
        <v>109</v>
      </c>
      <c r="I160" s="4"/>
      <c r="J160" s="4"/>
      <c r="K160" s="4">
        <v>224</v>
      </c>
      <c r="L160" s="4">
        <v>27</v>
      </c>
      <c r="M160" s="4">
        <v>3</v>
      </c>
      <c r="N160" s="4" t="s">
        <v>3</v>
      </c>
      <c r="O160" s="4">
        <v>2</v>
      </c>
      <c r="P160" s="4"/>
      <c r="Q160" s="4"/>
      <c r="R160" s="4"/>
      <c r="S160" s="4"/>
      <c r="T160" s="4"/>
      <c r="U160" s="4"/>
      <c r="V160" s="4"/>
      <c r="W160" s="4"/>
    </row>
    <row r="162" spans="1:245" x14ac:dyDescent="0.2">
      <c r="A162" s="1">
        <v>5</v>
      </c>
      <c r="B162" s="1">
        <v>1</v>
      </c>
      <c r="C162" s="1"/>
      <c r="D162" s="1">
        <f>ROW(A180)</f>
        <v>180</v>
      </c>
      <c r="E162" s="1"/>
      <c r="F162" s="1" t="s">
        <v>17</v>
      </c>
      <c r="G162" s="1" t="s">
        <v>183</v>
      </c>
      <c r="H162" s="1" t="s">
        <v>3</v>
      </c>
      <c r="I162" s="1">
        <v>0</v>
      </c>
      <c r="J162" s="1"/>
      <c r="K162" s="1">
        <v>0</v>
      </c>
      <c r="L162" s="1"/>
      <c r="M162" s="1"/>
      <c r="N162" s="1"/>
      <c r="O162" s="1"/>
      <c r="P162" s="1"/>
      <c r="Q162" s="1"/>
      <c r="R162" s="1"/>
      <c r="S162" s="1"/>
      <c r="T162" s="1"/>
      <c r="U162" s="1" t="s">
        <v>3</v>
      </c>
      <c r="V162" s="1">
        <v>0</v>
      </c>
      <c r="W162" s="1"/>
      <c r="X162" s="1"/>
      <c r="Y162" s="1"/>
      <c r="Z162" s="1"/>
      <c r="AA162" s="1"/>
      <c r="AB162" s="1" t="s">
        <v>3</v>
      </c>
      <c r="AC162" s="1" t="s">
        <v>3</v>
      </c>
      <c r="AD162" s="1" t="s">
        <v>3</v>
      </c>
      <c r="AE162" s="1" t="s">
        <v>3</v>
      </c>
      <c r="AF162" s="1" t="s">
        <v>3</v>
      </c>
      <c r="AG162" s="1" t="s">
        <v>3</v>
      </c>
      <c r="AH162" s="1"/>
      <c r="AI162" s="1"/>
      <c r="AJ162" s="1"/>
      <c r="AK162" s="1"/>
      <c r="AL162" s="1"/>
      <c r="AM162" s="1"/>
      <c r="AN162" s="1"/>
      <c r="AO162" s="1"/>
      <c r="AP162" s="1" t="s">
        <v>3</v>
      </c>
      <c r="AQ162" s="1" t="s">
        <v>3</v>
      </c>
      <c r="AR162" s="1" t="s">
        <v>3</v>
      </c>
      <c r="AS162" s="1"/>
      <c r="AT162" s="1"/>
      <c r="AU162" s="1"/>
      <c r="AV162" s="1"/>
      <c r="AW162" s="1"/>
      <c r="AX162" s="1"/>
      <c r="AY162" s="1"/>
      <c r="AZ162" s="1" t="s">
        <v>3</v>
      </c>
      <c r="BA162" s="1"/>
      <c r="BB162" s="1" t="s">
        <v>3</v>
      </c>
      <c r="BC162" s="1" t="s">
        <v>3</v>
      </c>
      <c r="BD162" s="1" t="s">
        <v>3</v>
      </c>
      <c r="BE162" s="1" t="s">
        <v>3</v>
      </c>
      <c r="BF162" s="1" t="s">
        <v>3</v>
      </c>
      <c r="BG162" s="1" t="s">
        <v>3</v>
      </c>
      <c r="BH162" s="1" t="s">
        <v>3</v>
      </c>
      <c r="BI162" s="1" t="s">
        <v>3</v>
      </c>
      <c r="BJ162" s="1" t="s">
        <v>3</v>
      </c>
      <c r="BK162" s="1" t="s">
        <v>3</v>
      </c>
      <c r="BL162" s="1" t="s">
        <v>3</v>
      </c>
      <c r="BM162" s="1" t="s">
        <v>3</v>
      </c>
      <c r="BN162" s="1" t="s">
        <v>3</v>
      </c>
      <c r="BO162" s="1" t="s">
        <v>3</v>
      </c>
      <c r="BP162" s="1" t="s">
        <v>3</v>
      </c>
      <c r="BQ162" s="1"/>
      <c r="BR162" s="1"/>
      <c r="BS162" s="1"/>
      <c r="BT162" s="1"/>
      <c r="BU162" s="1"/>
      <c r="BV162" s="1"/>
      <c r="BW162" s="1"/>
      <c r="BX162" s="1">
        <v>0</v>
      </c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>
        <v>0</v>
      </c>
    </row>
    <row r="164" spans="1:245" x14ac:dyDescent="0.2">
      <c r="A164" s="2">
        <v>52</v>
      </c>
      <c r="B164" s="2">
        <f t="shared" ref="B164:G164" si="121">B180</f>
        <v>1</v>
      </c>
      <c r="C164" s="2">
        <f t="shared" si="121"/>
        <v>5</v>
      </c>
      <c r="D164" s="2">
        <f t="shared" si="121"/>
        <v>162</v>
      </c>
      <c r="E164" s="2">
        <f t="shared" si="121"/>
        <v>0</v>
      </c>
      <c r="F164" s="2" t="str">
        <f t="shared" si="121"/>
        <v>Новый подраздел</v>
      </c>
      <c r="G164" s="2" t="str">
        <f t="shared" si="121"/>
        <v>Устройство покрытия</v>
      </c>
      <c r="H164" s="2"/>
      <c r="I164" s="2"/>
      <c r="J164" s="2"/>
      <c r="K164" s="2"/>
      <c r="L164" s="2"/>
      <c r="M164" s="2"/>
      <c r="N164" s="2"/>
      <c r="O164" s="2">
        <f t="shared" ref="O164:AT164" si="122">O180</f>
        <v>31708.19</v>
      </c>
      <c r="P164" s="2">
        <f t="shared" si="122"/>
        <v>22523.18</v>
      </c>
      <c r="Q164" s="2">
        <f t="shared" si="122"/>
        <v>6587.25</v>
      </c>
      <c r="R164" s="2">
        <f t="shared" si="122"/>
        <v>3574.7</v>
      </c>
      <c r="S164" s="2">
        <f t="shared" si="122"/>
        <v>2597.7600000000002</v>
      </c>
      <c r="T164" s="2">
        <f t="shared" si="122"/>
        <v>0</v>
      </c>
      <c r="U164" s="2">
        <f t="shared" si="122"/>
        <v>14.700689499999999</v>
      </c>
      <c r="V164" s="2">
        <f t="shared" si="122"/>
        <v>0</v>
      </c>
      <c r="W164" s="2">
        <f t="shared" si="122"/>
        <v>0</v>
      </c>
      <c r="X164" s="2">
        <f t="shared" si="122"/>
        <v>1818.44</v>
      </c>
      <c r="Y164" s="2">
        <f t="shared" si="122"/>
        <v>259.77999999999997</v>
      </c>
      <c r="Z164" s="2">
        <f t="shared" si="122"/>
        <v>0</v>
      </c>
      <c r="AA164" s="2">
        <f t="shared" si="122"/>
        <v>0</v>
      </c>
      <c r="AB164" s="2">
        <f t="shared" si="122"/>
        <v>31708.19</v>
      </c>
      <c r="AC164" s="2">
        <f t="shared" si="122"/>
        <v>22523.18</v>
      </c>
      <c r="AD164" s="2">
        <f t="shared" si="122"/>
        <v>6587.25</v>
      </c>
      <c r="AE164" s="2">
        <f t="shared" si="122"/>
        <v>3574.7</v>
      </c>
      <c r="AF164" s="2">
        <f t="shared" si="122"/>
        <v>2597.7600000000002</v>
      </c>
      <c r="AG164" s="2">
        <f t="shared" si="122"/>
        <v>0</v>
      </c>
      <c r="AH164" s="2">
        <f t="shared" si="122"/>
        <v>14.700689499999999</v>
      </c>
      <c r="AI164" s="2">
        <f t="shared" si="122"/>
        <v>0</v>
      </c>
      <c r="AJ164" s="2">
        <f t="shared" si="122"/>
        <v>0</v>
      </c>
      <c r="AK164" s="2">
        <f t="shared" si="122"/>
        <v>1818.44</v>
      </c>
      <c r="AL164" s="2">
        <f t="shared" si="122"/>
        <v>259.77999999999997</v>
      </c>
      <c r="AM164" s="2">
        <f t="shared" si="122"/>
        <v>0</v>
      </c>
      <c r="AN164" s="2">
        <f t="shared" si="122"/>
        <v>0</v>
      </c>
      <c r="AO164" s="2">
        <f t="shared" si="122"/>
        <v>0</v>
      </c>
      <c r="AP164" s="2">
        <f t="shared" si="122"/>
        <v>0</v>
      </c>
      <c r="AQ164" s="2">
        <f t="shared" si="122"/>
        <v>0</v>
      </c>
      <c r="AR164" s="2">
        <f t="shared" si="122"/>
        <v>36910.21</v>
      </c>
      <c r="AS164" s="2">
        <f t="shared" si="122"/>
        <v>0</v>
      </c>
      <c r="AT164" s="2">
        <f t="shared" si="122"/>
        <v>0</v>
      </c>
      <c r="AU164" s="2">
        <f t="shared" ref="AU164:BZ164" si="123">AU180</f>
        <v>36910.21</v>
      </c>
      <c r="AV164" s="2">
        <f t="shared" si="123"/>
        <v>22523.18</v>
      </c>
      <c r="AW164" s="2">
        <f t="shared" si="123"/>
        <v>22523.18</v>
      </c>
      <c r="AX164" s="2">
        <f t="shared" si="123"/>
        <v>0</v>
      </c>
      <c r="AY164" s="2">
        <f t="shared" si="123"/>
        <v>22523.18</v>
      </c>
      <c r="AZ164" s="2">
        <f t="shared" si="123"/>
        <v>0</v>
      </c>
      <c r="BA164" s="2">
        <f t="shared" si="123"/>
        <v>0</v>
      </c>
      <c r="BB164" s="2">
        <f t="shared" si="123"/>
        <v>0</v>
      </c>
      <c r="BC164" s="2">
        <f t="shared" si="123"/>
        <v>0</v>
      </c>
      <c r="BD164" s="2">
        <f t="shared" si="123"/>
        <v>0</v>
      </c>
      <c r="BE164" s="2">
        <f t="shared" si="123"/>
        <v>0</v>
      </c>
      <c r="BF164" s="2">
        <f t="shared" si="123"/>
        <v>0</v>
      </c>
      <c r="BG164" s="2">
        <f t="shared" si="123"/>
        <v>0</v>
      </c>
      <c r="BH164" s="2">
        <f t="shared" si="123"/>
        <v>0</v>
      </c>
      <c r="BI164" s="2">
        <f t="shared" si="123"/>
        <v>0</v>
      </c>
      <c r="BJ164" s="2">
        <f t="shared" si="123"/>
        <v>0</v>
      </c>
      <c r="BK164" s="2">
        <f t="shared" si="123"/>
        <v>0</v>
      </c>
      <c r="BL164" s="2">
        <f t="shared" si="123"/>
        <v>0</v>
      </c>
      <c r="BM164" s="2">
        <f t="shared" si="123"/>
        <v>0</v>
      </c>
      <c r="BN164" s="2">
        <f t="shared" si="123"/>
        <v>0</v>
      </c>
      <c r="BO164" s="2">
        <f t="shared" si="123"/>
        <v>0</v>
      </c>
      <c r="BP164" s="2">
        <f t="shared" si="123"/>
        <v>0</v>
      </c>
      <c r="BQ164" s="2">
        <f t="shared" si="123"/>
        <v>0</v>
      </c>
      <c r="BR164" s="2">
        <f t="shared" si="123"/>
        <v>0</v>
      </c>
      <c r="BS164" s="2">
        <f t="shared" si="123"/>
        <v>0</v>
      </c>
      <c r="BT164" s="2">
        <f t="shared" si="123"/>
        <v>0</v>
      </c>
      <c r="BU164" s="2">
        <f t="shared" si="123"/>
        <v>0</v>
      </c>
      <c r="BV164" s="2">
        <f t="shared" si="123"/>
        <v>0</v>
      </c>
      <c r="BW164" s="2">
        <f t="shared" si="123"/>
        <v>0</v>
      </c>
      <c r="BX164" s="2">
        <f t="shared" si="123"/>
        <v>0</v>
      </c>
      <c r="BY164" s="2">
        <f t="shared" si="123"/>
        <v>0</v>
      </c>
      <c r="BZ164" s="2">
        <f t="shared" si="123"/>
        <v>0</v>
      </c>
      <c r="CA164" s="2">
        <f t="shared" ref="CA164:DF164" si="124">CA180</f>
        <v>36910.21</v>
      </c>
      <c r="CB164" s="2">
        <f t="shared" si="124"/>
        <v>0</v>
      </c>
      <c r="CC164" s="2">
        <f t="shared" si="124"/>
        <v>0</v>
      </c>
      <c r="CD164" s="2">
        <f t="shared" si="124"/>
        <v>36910.21</v>
      </c>
      <c r="CE164" s="2">
        <f t="shared" si="124"/>
        <v>22523.18</v>
      </c>
      <c r="CF164" s="2">
        <f t="shared" si="124"/>
        <v>22523.18</v>
      </c>
      <c r="CG164" s="2">
        <f t="shared" si="124"/>
        <v>0</v>
      </c>
      <c r="CH164" s="2">
        <f t="shared" si="124"/>
        <v>22523.18</v>
      </c>
      <c r="CI164" s="2">
        <f t="shared" si="124"/>
        <v>0</v>
      </c>
      <c r="CJ164" s="2">
        <f t="shared" si="124"/>
        <v>0</v>
      </c>
      <c r="CK164" s="2">
        <f t="shared" si="124"/>
        <v>0</v>
      </c>
      <c r="CL164" s="2">
        <f t="shared" si="124"/>
        <v>0</v>
      </c>
      <c r="CM164" s="2">
        <f t="shared" si="124"/>
        <v>0</v>
      </c>
      <c r="CN164" s="2">
        <f t="shared" si="124"/>
        <v>0</v>
      </c>
      <c r="CO164" s="2">
        <f t="shared" si="124"/>
        <v>0</v>
      </c>
      <c r="CP164" s="2">
        <f t="shared" si="124"/>
        <v>0</v>
      </c>
      <c r="CQ164" s="2">
        <f t="shared" si="124"/>
        <v>0</v>
      </c>
      <c r="CR164" s="2">
        <f t="shared" si="124"/>
        <v>0</v>
      </c>
      <c r="CS164" s="2">
        <f t="shared" si="124"/>
        <v>0</v>
      </c>
      <c r="CT164" s="2">
        <f t="shared" si="124"/>
        <v>0</v>
      </c>
      <c r="CU164" s="2">
        <f t="shared" si="124"/>
        <v>0</v>
      </c>
      <c r="CV164" s="2">
        <f t="shared" si="124"/>
        <v>0</v>
      </c>
      <c r="CW164" s="2">
        <f t="shared" si="124"/>
        <v>0</v>
      </c>
      <c r="CX164" s="2">
        <f t="shared" si="124"/>
        <v>0</v>
      </c>
      <c r="CY164" s="2">
        <f t="shared" si="124"/>
        <v>0</v>
      </c>
      <c r="CZ164" s="2">
        <f t="shared" si="124"/>
        <v>0</v>
      </c>
      <c r="DA164" s="2">
        <f t="shared" si="124"/>
        <v>0</v>
      </c>
      <c r="DB164" s="2">
        <f t="shared" si="124"/>
        <v>0</v>
      </c>
      <c r="DC164" s="2">
        <f t="shared" si="124"/>
        <v>0</v>
      </c>
      <c r="DD164" s="2">
        <f t="shared" si="124"/>
        <v>0</v>
      </c>
      <c r="DE164" s="2">
        <f t="shared" si="124"/>
        <v>0</v>
      </c>
      <c r="DF164" s="2">
        <f t="shared" si="124"/>
        <v>0</v>
      </c>
      <c r="DG164" s="3">
        <f t="shared" ref="DG164:EL164" si="125">DG180</f>
        <v>0</v>
      </c>
      <c r="DH164" s="3">
        <f t="shared" si="125"/>
        <v>0</v>
      </c>
      <c r="DI164" s="3">
        <f t="shared" si="125"/>
        <v>0</v>
      </c>
      <c r="DJ164" s="3">
        <f t="shared" si="125"/>
        <v>0</v>
      </c>
      <c r="DK164" s="3">
        <f t="shared" si="125"/>
        <v>0</v>
      </c>
      <c r="DL164" s="3">
        <f t="shared" si="125"/>
        <v>0</v>
      </c>
      <c r="DM164" s="3">
        <f t="shared" si="125"/>
        <v>0</v>
      </c>
      <c r="DN164" s="3">
        <f t="shared" si="125"/>
        <v>0</v>
      </c>
      <c r="DO164" s="3">
        <f t="shared" si="125"/>
        <v>0</v>
      </c>
      <c r="DP164" s="3">
        <f t="shared" si="125"/>
        <v>0</v>
      </c>
      <c r="DQ164" s="3">
        <f t="shared" si="125"/>
        <v>0</v>
      </c>
      <c r="DR164" s="3">
        <f t="shared" si="125"/>
        <v>0</v>
      </c>
      <c r="DS164" s="3">
        <f t="shared" si="125"/>
        <v>0</v>
      </c>
      <c r="DT164" s="3">
        <f t="shared" si="125"/>
        <v>0</v>
      </c>
      <c r="DU164" s="3">
        <f t="shared" si="125"/>
        <v>0</v>
      </c>
      <c r="DV164" s="3">
        <f t="shared" si="125"/>
        <v>0</v>
      </c>
      <c r="DW164" s="3">
        <f t="shared" si="125"/>
        <v>0</v>
      </c>
      <c r="DX164" s="3">
        <f t="shared" si="125"/>
        <v>0</v>
      </c>
      <c r="DY164" s="3">
        <f t="shared" si="125"/>
        <v>0</v>
      </c>
      <c r="DZ164" s="3">
        <f t="shared" si="125"/>
        <v>0</v>
      </c>
      <c r="EA164" s="3">
        <f t="shared" si="125"/>
        <v>0</v>
      </c>
      <c r="EB164" s="3">
        <f t="shared" si="125"/>
        <v>0</v>
      </c>
      <c r="EC164" s="3">
        <f t="shared" si="125"/>
        <v>0</v>
      </c>
      <c r="ED164" s="3">
        <f t="shared" si="125"/>
        <v>0</v>
      </c>
      <c r="EE164" s="3">
        <f t="shared" si="125"/>
        <v>0</v>
      </c>
      <c r="EF164" s="3">
        <f t="shared" si="125"/>
        <v>0</v>
      </c>
      <c r="EG164" s="3">
        <f t="shared" si="125"/>
        <v>0</v>
      </c>
      <c r="EH164" s="3">
        <f t="shared" si="125"/>
        <v>0</v>
      </c>
      <c r="EI164" s="3">
        <f t="shared" si="125"/>
        <v>0</v>
      </c>
      <c r="EJ164" s="3">
        <f t="shared" si="125"/>
        <v>0</v>
      </c>
      <c r="EK164" s="3">
        <f t="shared" si="125"/>
        <v>0</v>
      </c>
      <c r="EL164" s="3">
        <f t="shared" si="125"/>
        <v>0</v>
      </c>
      <c r="EM164" s="3">
        <f t="shared" ref="EM164:FR164" si="126">EM180</f>
        <v>0</v>
      </c>
      <c r="EN164" s="3">
        <f t="shared" si="126"/>
        <v>0</v>
      </c>
      <c r="EO164" s="3">
        <f t="shared" si="126"/>
        <v>0</v>
      </c>
      <c r="EP164" s="3">
        <f t="shared" si="126"/>
        <v>0</v>
      </c>
      <c r="EQ164" s="3">
        <f t="shared" si="126"/>
        <v>0</v>
      </c>
      <c r="ER164" s="3">
        <f t="shared" si="126"/>
        <v>0</v>
      </c>
      <c r="ES164" s="3">
        <f t="shared" si="126"/>
        <v>0</v>
      </c>
      <c r="ET164" s="3">
        <f t="shared" si="126"/>
        <v>0</v>
      </c>
      <c r="EU164" s="3">
        <f t="shared" si="126"/>
        <v>0</v>
      </c>
      <c r="EV164" s="3">
        <f t="shared" si="126"/>
        <v>0</v>
      </c>
      <c r="EW164" s="3">
        <f t="shared" si="126"/>
        <v>0</v>
      </c>
      <c r="EX164" s="3">
        <f t="shared" si="126"/>
        <v>0</v>
      </c>
      <c r="EY164" s="3">
        <f t="shared" si="126"/>
        <v>0</v>
      </c>
      <c r="EZ164" s="3">
        <f t="shared" si="126"/>
        <v>0</v>
      </c>
      <c r="FA164" s="3">
        <f t="shared" si="126"/>
        <v>0</v>
      </c>
      <c r="FB164" s="3">
        <f t="shared" si="126"/>
        <v>0</v>
      </c>
      <c r="FC164" s="3">
        <f t="shared" si="126"/>
        <v>0</v>
      </c>
      <c r="FD164" s="3">
        <f t="shared" si="126"/>
        <v>0</v>
      </c>
      <c r="FE164" s="3">
        <f t="shared" si="126"/>
        <v>0</v>
      </c>
      <c r="FF164" s="3">
        <f t="shared" si="126"/>
        <v>0</v>
      </c>
      <c r="FG164" s="3">
        <f t="shared" si="126"/>
        <v>0</v>
      </c>
      <c r="FH164" s="3">
        <f t="shared" si="126"/>
        <v>0</v>
      </c>
      <c r="FI164" s="3">
        <f t="shared" si="126"/>
        <v>0</v>
      </c>
      <c r="FJ164" s="3">
        <f t="shared" si="126"/>
        <v>0</v>
      </c>
      <c r="FK164" s="3">
        <f t="shared" si="126"/>
        <v>0</v>
      </c>
      <c r="FL164" s="3">
        <f t="shared" si="126"/>
        <v>0</v>
      </c>
      <c r="FM164" s="3">
        <f t="shared" si="126"/>
        <v>0</v>
      </c>
      <c r="FN164" s="3">
        <f t="shared" si="126"/>
        <v>0</v>
      </c>
      <c r="FO164" s="3">
        <f t="shared" si="126"/>
        <v>0</v>
      </c>
      <c r="FP164" s="3">
        <f t="shared" si="126"/>
        <v>0</v>
      </c>
      <c r="FQ164" s="3">
        <f t="shared" si="126"/>
        <v>0</v>
      </c>
      <c r="FR164" s="3">
        <f t="shared" si="126"/>
        <v>0</v>
      </c>
      <c r="FS164" s="3">
        <f t="shared" ref="FS164:GX164" si="127">FS180</f>
        <v>0</v>
      </c>
      <c r="FT164" s="3">
        <f t="shared" si="127"/>
        <v>0</v>
      </c>
      <c r="FU164" s="3">
        <f t="shared" si="127"/>
        <v>0</v>
      </c>
      <c r="FV164" s="3">
        <f t="shared" si="127"/>
        <v>0</v>
      </c>
      <c r="FW164" s="3">
        <f t="shared" si="127"/>
        <v>0</v>
      </c>
      <c r="FX164" s="3">
        <f t="shared" si="127"/>
        <v>0</v>
      </c>
      <c r="FY164" s="3">
        <f t="shared" si="127"/>
        <v>0</v>
      </c>
      <c r="FZ164" s="3">
        <f t="shared" si="127"/>
        <v>0</v>
      </c>
      <c r="GA164" s="3">
        <f t="shared" si="127"/>
        <v>0</v>
      </c>
      <c r="GB164" s="3">
        <f t="shared" si="127"/>
        <v>0</v>
      </c>
      <c r="GC164" s="3">
        <f t="shared" si="127"/>
        <v>0</v>
      </c>
      <c r="GD164" s="3">
        <f t="shared" si="127"/>
        <v>0</v>
      </c>
      <c r="GE164" s="3">
        <f t="shared" si="127"/>
        <v>0</v>
      </c>
      <c r="GF164" s="3">
        <f t="shared" si="127"/>
        <v>0</v>
      </c>
      <c r="GG164" s="3">
        <f t="shared" si="127"/>
        <v>0</v>
      </c>
      <c r="GH164" s="3">
        <f t="shared" si="127"/>
        <v>0</v>
      </c>
      <c r="GI164" s="3">
        <f t="shared" si="127"/>
        <v>0</v>
      </c>
      <c r="GJ164" s="3">
        <f t="shared" si="127"/>
        <v>0</v>
      </c>
      <c r="GK164" s="3">
        <f t="shared" si="127"/>
        <v>0</v>
      </c>
      <c r="GL164" s="3">
        <f t="shared" si="127"/>
        <v>0</v>
      </c>
      <c r="GM164" s="3">
        <f t="shared" si="127"/>
        <v>0</v>
      </c>
      <c r="GN164" s="3">
        <f t="shared" si="127"/>
        <v>0</v>
      </c>
      <c r="GO164" s="3">
        <f t="shared" si="127"/>
        <v>0</v>
      </c>
      <c r="GP164" s="3">
        <f t="shared" si="127"/>
        <v>0</v>
      </c>
      <c r="GQ164" s="3">
        <f t="shared" si="127"/>
        <v>0</v>
      </c>
      <c r="GR164" s="3">
        <f t="shared" si="127"/>
        <v>0</v>
      </c>
      <c r="GS164" s="3">
        <f t="shared" si="127"/>
        <v>0</v>
      </c>
      <c r="GT164" s="3">
        <f t="shared" si="127"/>
        <v>0</v>
      </c>
      <c r="GU164" s="3">
        <f t="shared" si="127"/>
        <v>0</v>
      </c>
      <c r="GV164" s="3">
        <f t="shared" si="127"/>
        <v>0</v>
      </c>
      <c r="GW164" s="3">
        <f t="shared" si="127"/>
        <v>0</v>
      </c>
      <c r="GX164" s="3">
        <f t="shared" si="127"/>
        <v>0</v>
      </c>
    </row>
    <row r="166" spans="1:245" x14ac:dyDescent="0.2">
      <c r="A166">
        <v>17</v>
      </c>
      <c r="B166">
        <v>1</v>
      </c>
      <c r="C166">
        <f>ROW(SmtRes!A47)</f>
        <v>47</v>
      </c>
      <c r="D166">
        <f>ROW(EtalonRes!A44)</f>
        <v>44</v>
      </c>
      <c r="E166" t="s">
        <v>184</v>
      </c>
      <c r="F166" t="s">
        <v>185</v>
      </c>
      <c r="G166" t="s">
        <v>186</v>
      </c>
      <c r="H166" t="s">
        <v>187</v>
      </c>
      <c r="I166">
        <f>ROUND(((339.5*0.1)/100)*0.9,9)</f>
        <v>0.30554999999999999</v>
      </c>
      <c r="J166">
        <v>0</v>
      </c>
      <c r="O166">
        <f t="shared" ref="O166:O178" si="128">ROUND(CP166,2)</f>
        <v>2689.55</v>
      </c>
      <c r="P166">
        <f t="shared" ref="P166:P178" si="129">ROUND(CQ166*I166,2)</f>
        <v>0</v>
      </c>
      <c r="Q166">
        <f t="shared" ref="Q166:Q178" si="130">ROUND(CR166*I166,2)</f>
        <v>2511.2600000000002</v>
      </c>
      <c r="R166">
        <f t="shared" ref="R166:R178" si="131">ROUND(CS166*I166,2)</f>
        <v>1719.97</v>
      </c>
      <c r="S166">
        <f t="shared" ref="S166:S178" si="132">ROUND(CT166*I166,2)</f>
        <v>178.29</v>
      </c>
      <c r="T166">
        <f t="shared" ref="T166:T178" si="133">ROUND(CU166*I166,2)</f>
        <v>0</v>
      </c>
      <c r="U166">
        <f t="shared" ref="U166:U178" si="134">CV166*I166</f>
        <v>1.0358145000000001</v>
      </c>
      <c r="V166">
        <f t="shared" ref="V166:V178" si="135">CW166*I166</f>
        <v>0</v>
      </c>
      <c r="W166">
        <f t="shared" ref="W166:W178" si="136">ROUND(CX166*I166,2)</f>
        <v>0</v>
      </c>
      <c r="X166">
        <f t="shared" ref="X166:X178" si="137">ROUND(CY166,2)</f>
        <v>124.8</v>
      </c>
      <c r="Y166">
        <f t="shared" ref="Y166:Y178" si="138">ROUND(CZ166,2)</f>
        <v>17.829999999999998</v>
      </c>
      <c r="AA166">
        <v>38214492</v>
      </c>
      <c r="AB166">
        <f t="shared" ref="AB166:AB178" si="139">ROUND((AC166+AD166+AF166),6)</f>
        <v>8802.35</v>
      </c>
      <c r="AC166">
        <f t="shared" ref="AC166:AC171" si="140">ROUND((ES166),6)</f>
        <v>0</v>
      </c>
      <c r="AD166">
        <f t="shared" ref="AD166:AD171" si="141">ROUND((((ET166)-(EU166))+AE166),6)</f>
        <v>8218.83</v>
      </c>
      <c r="AE166">
        <f t="shared" ref="AE166:AF171" si="142">ROUND((EU166),6)</f>
        <v>5629.09</v>
      </c>
      <c r="AF166">
        <f t="shared" si="142"/>
        <v>583.52</v>
      </c>
      <c r="AG166">
        <f t="shared" ref="AG166:AG178" si="143">ROUND((AP166),6)</f>
        <v>0</v>
      </c>
      <c r="AH166">
        <f t="shared" ref="AH166:AI171" si="144">(EW166)</f>
        <v>3.39</v>
      </c>
      <c r="AI166">
        <f t="shared" si="144"/>
        <v>0</v>
      </c>
      <c r="AJ166">
        <f t="shared" ref="AJ166:AJ178" si="145">(AS166)</f>
        <v>0</v>
      </c>
      <c r="AK166">
        <v>8802.35</v>
      </c>
      <c r="AL166">
        <v>0</v>
      </c>
      <c r="AM166">
        <v>8218.83</v>
      </c>
      <c r="AN166">
        <v>5629.09</v>
      </c>
      <c r="AO166">
        <v>583.52</v>
      </c>
      <c r="AP166">
        <v>0</v>
      </c>
      <c r="AQ166">
        <v>3.39</v>
      </c>
      <c r="AR166">
        <v>0</v>
      </c>
      <c r="AS166">
        <v>0</v>
      </c>
      <c r="AT166">
        <v>70</v>
      </c>
      <c r="AU166">
        <v>10</v>
      </c>
      <c r="AV166">
        <v>1</v>
      </c>
      <c r="AW166">
        <v>1</v>
      </c>
      <c r="AZ166">
        <v>1</v>
      </c>
      <c r="BA166">
        <v>1</v>
      </c>
      <c r="BB166">
        <v>1</v>
      </c>
      <c r="BC166">
        <v>1</v>
      </c>
      <c r="BD166" t="s">
        <v>3</v>
      </c>
      <c r="BE166" t="s">
        <v>3</v>
      </c>
      <c r="BF166" t="s">
        <v>3</v>
      </c>
      <c r="BG166" t="s">
        <v>3</v>
      </c>
      <c r="BH166">
        <v>0</v>
      </c>
      <c r="BI166">
        <v>4</v>
      </c>
      <c r="BJ166" t="s">
        <v>188</v>
      </c>
      <c r="BM166">
        <v>0</v>
      </c>
      <c r="BN166">
        <v>0</v>
      </c>
      <c r="BO166" t="s">
        <v>3</v>
      </c>
      <c r="BP166">
        <v>0</v>
      </c>
      <c r="BQ166">
        <v>1</v>
      </c>
      <c r="BR166">
        <v>0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 t="s">
        <v>3</v>
      </c>
      <c r="BZ166">
        <v>70</v>
      </c>
      <c r="CA166">
        <v>10</v>
      </c>
      <c r="CE166">
        <v>0</v>
      </c>
      <c r="CF166">
        <v>0</v>
      </c>
      <c r="CG166">
        <v>0</v>
      </c>
      <c r="CM166">
        <v>0</v>
      </c>
      <c r="CN166" t="s">
        <v>3</v>
      </c>
      <c r="CO166">
        <v>0</v>
      </c>
      <c r="CP166">
        <f t="shared" ref="CP166:CP178" si="146">(P166+Q166+S166)</f>
        <v>2689.55</v>
      </c>
      <c r="CQ166">
        <f t="shared" ref="CQ166:CQ178" si="147">(AC166*BC166*AW166)</f>
        <v>0</v>
      </c>
      <c r="CR166">
        <f t="shared" ref="CR166:CR171" si="148">((((ET166)*BB166-(EU166)*BS166)+AE166*BS166)*AV166)</f>
        <v>8218.83</v>
      </c>
      <c r="CS166">
        <f t="shared" ref="CS166:CS178" si="149">(AE166*BS166*AV166)</f>
        <v>5629.09</v>
      </c>
      <c r="CT166">
        <f t="shared" ref="CT166:CT178" si="150">(AF166*BA166*AV166)</f>
        <v>583.52</v>
      </c>
      <c r="CU166">
        <f t="shared" ref="CU166:CU178" si="151">AG166</f>
        <v>0</v>
      </c>
      <c r="CV166">
        <f t="shared" ref="CV166:CV178" si="152">(AH166*AV166)</f>
        <v>3.39</v>
      </c>
      <c r="CW166">
        <f t="shared" ref="CW166:CW178" si="153">AI166</f>
        <v>0</v>
      </c>
      <c r="CX166">
        <f t="shared" ref="CX166:CX178" si="154">AJ166</f>
        <v>0</v>
      </c>
      <c r="CY166">
        <f t="shared" ref="CY166:CY178" si="155">((S166*BZ166)/100)</f>
        <v>124.803</v>
      </c>
      <c r="CZ166">
        <f t="shared" ref="CZ166:CZ178" si="156">((S166*CA166)/100)</f>
        <v>17.828999999999997</v>
      </c>
      <c r="DC166" t="s">
        <v>3</v>
      </c>
      <c r="DD166" t="s">
        <v>3</v>
      </c>
      <c r="DE166" t="s">
        <v>3</v>
      </c>
      <c r="DF166" t="s">
        <v>3</v>
      </c>
      <c r="DG166" t="s">
        <v>3</v>
      </c>
      <c r="DH166" t="s">
        <v>3</v>
      </c>
      <c r="DI166" t="s">
        <v>3</v>
      </c>
      <c r="DJ166" t="s">
        <v>3</v>
      </c>
      <c r="DK166" t="s">
        <v>3</v>
      </c>
      <c r="DL166" t="s">
        <v>3</v>
      </c>
      <c r="DM166" t="s">
        <v>3</v>
      </c>
      <c r="DN166">
        <v>0</v>
      </c>
      <c r="DO166">
        <v>0</v>
      </c>
      <c r="DP166">
        <v>1</v>
      </c>
      <c r="DQ166">
        <v>1</v>
      </c>
      <c r="DU166">
        <v>1007</v>
      </c>
      <c r="DV166" t="s">
        <v>187</v>
      </c>
      <c r="DW166" t="s">
        <v>187</v>
      </c>
      <c r="DX166">
        <v>100</v>
      </c>
      <c r="EE166">
        <v>38628631</v>
      </c>
      <c r="EF166">
        <v>1</v>
      </c>
      <c r="EG166" t="s">
        <v>24</v>
      </c>
      <c r="EH166">
        <v>0</v>
      </c>
      <c r="EI166" t="s">
        <v>3</v>
      </c>
      <c r="EJ166">
        <v>4</v>
      </c>
      <c r="EK166">
        <v>0</v>
      </c>
      <c r="EL166" t="s">
        <v>25</v>
      </c>
      <c r="EM166" t="s">
        <v>26</v>
      </c>
      <c r="EO166" t="s">
        <v>3</v>
      </c>
      <c r="EQ166">
        <v>0</v>
      </c>
      <c r="ER166">
        <v>8802.35</v>
      </c>
      <c r="ES166">
        <v>0</v>
      </c>
      <c r="ET166">
        <v>8218.83</v>
      </c>
      <c r="EU166">
        <v>5629.09</v>
      </c>
      <c r="EV166">
        <v>583.52</v>
      </c>
      <c r="EW166">
        <v>3.39</v>
      </c>
      <c r="EX166">
        <v>0</v>
      </c>
      <c r="EY166">
        <v>0</v>
      </c>
      <c r="FQ166">
        <v>0</v>
      </c>
      <c r="FR166">
        <f t="shared" ref="FR166:FR178" si="157">ROUND(IF(AND(BH166=3,BI166=3),P166,0),2)</f>
        <v>0</v>
      </c>
      <c r="FS166">
        <v>0</v>
      </c>
      <c r="FX166">
        <v>70</v>
      </c>
      <c r="FY166">
        <v>10</v>
      </c>
      <c r="GA166" t="s">
        <v>3</v>
      </c>
      <c r="GD166">
        <v>0</v>
      </c>
      <c r="GF166">
        <v>-1496414240</v>
      </c>
      <c r="GG166">
        <v>2</v>
      </c>
      <c r="GH166">
        <v>1</v>
      </c>
      <c r="GI166">
        <v>-2</v>
      </c>
      <c r="GJ166">
        <v>0</v>
      </c>
      <c r="GK166">
        <f>ROUND(R166*(R12)/100,2)</f>
        <v>1857.57</v>
      </c>
      <c r="GL166">
        <f t="shared" ref="GL166:GL178" si="158">ROUND(IF(AND(BH166=3,BI166=3,FS166&lt;&gt;0),P166,0),2)</f>
        <v>0</v>
      </c>
      <c r="GM166">
        <f>ROUND(O166+X166+Y166+GK166,2)+GX166</f>
        <v>4689.75</v>
      </c>
      <c r="GN166">
        <f>IF(OR(BI166=0,BI166=1),ROUND(O166+X166+Y166+GK166,2),0)</f>
        <v>0</v>
      </c>
      <c r="GO166">
        <f>IF(BI166=2,ROUND(O166+X166+Y166+GK166,2),0)</f>
        <v>0</v>
      </c>
      <c r="GP166">
        <f>IF(BI166=4,ROUND(O166+X166+Y166+GK166,2)+GX166,0)</f>
        <v>4689.75</v>
      </c>
      <c r="GR166">
        <v>0</v>
      </c>
      <c r="GS166">
        <v>3</v>
      </c>
      <c r="GT166">
        <v>0</v>
      </c>
      <c r="GU166" t="s">
        <v>3</v>
      </c>
      <c r="GV166">
        <f t="shared" ref="GV166:GV178" si="159">ROUND((GT166),6)</f>
        <v>0</v>
      </c>
      <c r="GW166">
        <v>1</v>
      </c>
      <c r="GX166">
        <f t="shared" ref="GX166:GX178" si="160">ROUND(HC166*I166,2)</f>
        <v>0</v>
      </c>
      <c r="HA166">
        <v>0</v>
      </c>
      <c r="HB166">
        <v>0</v>
      </c>
      <c r="HC166">
        <f t="shared" ref="HC166:HC178" si="161">GV166*GW166</f>
        <v>0</v>
      </c>
      <c r="HE166" t="s">
        <v>3</v>
      </c>
      <c r="HF166" t="s">
        <v>3</v>
      </c>
      <c r="IK166">
        <v>0</v>
      </c>
    </row>
    <row r="167" spans="1:245" x14ac:dyDescent="0.2">
      <c r="A167">
        <v>17</v>
      </c>
      <c r="B167">
        <v>1</v>
      </c>
      <c r="C167">
        <f>ROW(SmtRes!A48)</f>
        <v>48</v>
      </c>
      <c r="D167">
        <f>ROW(EtalonRes!A45)</f>
        <v>45</v>
      </c>
      <c r="E167" t="s">
        <v>189</v>
      </c>
      <c r="F167" t="s">
        <v>190</v>
      </c>
      <c r="G167" t="s">
        <v>191</v>
      </c>
      <c r="H167" t="s">
        <v>187</v>
      </c>
      <c r="I167">
        <f>ROUND(((339.5*0.1)/100)*0.1,9)</f>
        <v>3.3950000000000001E-2</v>
      </c>
      <c r="J167">
        <v>0</v>
      </c>
      <c r="O167">
        <f t="shared" si="128"/>
        <v>1356.38</v>
      </c>
      <c r="P167">
        <f t="shared" si="129"/>
        <v>0</v>
      </c>
      <c r="Q167">
        <f t="shared" si="130"/>
        <v>0</v>
      </c>
      <c r="R167">
        <f t="shared" si="131"/>
        <v>0</v>
      </c>
      <c r="S167">
        <f t="shared" si="132"/>
        <v>1356.38</v>
      </c>
      <c r="T167">
        <f t="shared" si="133"/>
        <v>0</v>
      </c>
      <c r="U167">
        <f t="shared" si="134"/>
        <v>7.52332</v>
      </c>
      <c r="V167">
        <f t="shared" si="135"/>
        <v>0</v>
      </c>
      <c r="W167">
        <f t="shared" si="136"/>
        <v>0</v>
      </c>
      <c r="X167">
        <f t="shared" si="137"/>
        <v>949.47</v>
      </c>
      <c r="Y167">
        <f t="shared" si="138"/>
        <v>135.63999999999999</v>
      </c>
      <c r="AA167">
        <v>38214492</v>
      </c>
      <c r="AB167">
        <f t="shared" si="139"/>
        <v>39952.26</v>
      </c>
      <c r="AC167">
        <f t="shared" si="140"/>
        <v>0</v>
      </c>
      <c r="AD167">
        <f t="shared" si="141"/>
        <v>0</v>
      </c>
      <c r="AE167">
        <f t="shared" si="142"/>
        <v>0</v>
      </c>
      <c r="AF167">
        <f t="shared" si="142"/>
        <v>39952.26</v>
      </c>
      <c r="AG167">
        <f t="shared" si="143"/>
        <v>0</v>
      </c>
      <c r="AH167">
        <f t="shared" si="144"/>
        <v>221.6</v>
      </c>
      <c r="AI167">
        <f t="shared" si="144"/>
        <v>0</v>
      </c>
      <c r="AJ167">
        <f t="shared" si="145"/>
        <v>0</v>
      </c>
      <c r="AK167">
        <v>39952.26</v>
      </c>
      <c r="AL167">
        <v>0</v>
      </c>
      <c r="AM167">
        <v>0</v>
      </c>
      <c r="AN167">
        <v>0</v>
      </c>
      <c r="AO167">
        <v>39952.26</v>
      </c>
      <c r="AP167">
        <v>0</v>
      </c>
      <c r="AQ167">
        <v>221.6</v>
      </c>
      <c r="AR167">
        <v>0</v>
      </c>
      <c r="AS167">
        <v>0</v>
      </c>
      <c r="AT167">
        <v>70</v>
      </c>
      <c r="AU167">
        <v>10</v>
      </c>
      <c r="AV167">
        <v>1</v>
      </c>
      <c r="AW167">
        <v>1</v>
      </c>
      <c r="AZ167">
        <v>1</v>
      </c>
      <c r="BA167">
        <v>1</v>
      </c>
      <c r="BB167">
        <v>1</v>
      </c>
      <c r="BC167">
        <v>1</v>
      </c>
      <c r="BD167" t="s">
        <v>3</v>
      </c>
      <c r="BE167" t="s">
        <v>3</v>
      </c>
      <c r="BF167" t="s">
        <v>3</v>
      </c>
      <c r="BG167" t="s">
        <v>3</v>
      </c>
      <c r="BH167">
        <v>0</v>
      </c>
      <c r="BI167">
        <v>4</v>
      </c>
      <c r="BJ167" t="s">
        <v>192</v>
      </c>
      <c r="BM167">
        <v>0</v>
      </c>
      <c r="BN167">
        <v>0</v>
      </c>
      <c r="BO167" t="s">
        <v>3</v>
      </c>
      <c r="BP167">
        <v>0</v>
      </c>
      <c r="BQ167">
        <v>1</v>
      </c>
      <c r="BR167">
        <v>0</v>
      </c>
      <c r="BS167">
        <v>1</v>
      </c>
      <c r="BT167">
        <v>1</v>
      </c>
      <c r="BU167">
        <v>1</v>
      </c>
      <c r="BV167">
        <v>1</v>
      </c>
      <c r="BW167">
        <v>1</v>
      </c>
      <c r="BX167">
        <v>1</v>
      </c>
      <c r="BY167" t="s">
        <v>3</v>
      </c>
      <c r="BZ167">
        <v>70</v>
      </c>
      <c r="CA167">
        <v>10</v>
      </c>
      <c r="CE167">
        <v>0</v>
      </c>
      <c r="CF167">
        <v>0</v>
      </c>
      <c r="CG167">
        <v>0</v>
      </c>
      <c r="CM167">
        <v>0</v>
      </c>
      <c r="CN167" t="s">
        <v>3</v>
      </c>
      <c r="CO167">
        <v>0</v>
      </c>
      <c r="CP167">
        <f t="shared" si="146"/>
        <v>1356.38</v>
      </c>
      <c r="CQ167">
        <f t="shared" si="147"/>
        <v>0</v>
      </c>
      <c r="CR167">
        <f t="shared" si="148"/>
        <v>0</v>
      </c>
      <c r="CS167">
        <f t="shared" si="149"/>
        <v>0</v>
      </c>
      <c r="CT167">
        <f t="shared" si="150"/>
        <v>39952.26</v>
      </c>
      <c r="CU167">
        <f t="shared" si="151"/>
        <v>0</v>
      </c>
      <c r="CV167">
        <f t="shared" si="152"/>
        <v>221.6</v>
      </c>
      <c r="CW167">
        <f t="shared" si="153"/>
        <v>0</v>
      </c>
      <c r="CX167">
        <f t="shared" si="154"/>
        <v>0</v>
      </c>
      <c r="CY167">
        <f t="shared" si="155"/>
        <v>949.46600000000001</v>
      </c>
      <c r="CZ167">
        <f t="shared" si="156"/>
        <v>135.63800000000001</v>
      </c>
      <c r="DC167" t="s">
        <v>3</v>
      </c>
      <c r="DD167" t="s">
        <v>3</v>
      </c>
      <c r="DE167" t="s">
        <v>3</v>
      </c>
      <c r="DF167" t="s">
        <v>3</v>
      </c>
      <c r="DG167" t="s">
        <v>3</v>
      </c>
      <c r="DH167" t="s">
        <v>3</v>
      </c>
      <c r="DI167" t="s">
        <v>3</v>
      </c>
      <c r="DJ167" t="s">
        <v>3</v>
      </c>
      <c r="DK167" t="s">
        <v>3</v>
      </c>
      <c r="DL167" t="s">
        <v>3</v>
      </c>
      <c r="DM167" t="s">
        <v>3</v>
      </c>
      <c r="DN167">
        <v>0</v>
      </c>
      <c r="DO167">
        <v>0</v>
      </c>
      <c r="DP167">
        <v>1</v>
      </c>
      <c r="DQ167">
        <v>1</v>
      </c>
      <c r="DU167">
        <v>1007</v>
      </c>
      <c r="DV167" t="s">
        <v>187</v>
      </c>
      <c r="DW167" t="s">
        <v>187</v>
      </c>
      <c r="DX167">
        <v>100</v>
      </c>
      <c r="EE167">
        <v>38628631</v>
      </c>
      <c r="EF167">
        <v>1</v>
      </c>
      <c r="EG167" t="s">
        <v>24</v>
      </c>
      <c r="EH167">
        <v>0</v>
      </c>
      <c r="EI167" t="s">
        <v>3</v>
      </c>
      <c r="EJ167">
        <v>4</v>
      </c>
      <c r="EK167">
        <v>0</v>
      </c>
      <c r="EL167" t="s">
        <v>25</v>
      </c>
      <c r="EM167" t="s">
        <v>26</v>
      </c>
      <c r="EO167" t="s">
        <v>3</v>
      </c>
      <c r="EQ167">
        <v>0</v>
      </c>
      <c r="ER167">
        <v>39952.26</v>
      </c>
      <c r="ES167">
        <v>0</v>
      </c>
      <c r="ET167">
        <v>0</v>
      </c>
      <c r="EU167">
        <v>0</v>
      </c>
      <c r="EV167">
        <v>39952.26</v>
      </c>
      <c r="EW167">
        <v>221.6</v>
      </c>
      <c r="EX167">
        <v>0</v>
      </c>
      <c r="EY167">
        <v>0</v>
      </c>
      <c r="FQ167">
        <v>0</v>
      </c>
      <c r="FR167">
        <f t="shared" si="157"/>
        <v>0</v>
      </c>
      <c r="FS167">
        <v>0</v>
      </c>
      <c r="FX167">
        <v>70</v>
      </c>
      <c r="FY167">
        <v>10</v>
      </c>
      <c r="GA167" t="s">
        <v>3</v>
      </c>
      <c r="GD167">
        <v>0</v>
      </c>
      <c r="GF167">
        <v>-1026881037</v>
      </c>
      <c r="GG167">
        <v>2</v>
      </c>
      <c r="GH167">
        <v>1</v>
      </c>
      <c r="GI167">
        <v>-2</v>
      </c>
      <c r="GJ167">
        <v>0</v>
      </c>
      <c r="GK167">
        <f>ROUND(R167*(R12)/100,2)</f>
        <v>0</v>
      </c>
      <c r="GL167">
        <f t="shared" si="158"/>
        <v>0</v>
      </c>
      <c r="GM167">
        <f>ROUND(O167+X167+Y167+GK167,2)+GX167</f>
        <v>2441.4899999999998</v>
      </c>
      <c r="GN167">
        <f>IF(OR(BI167=0,BI167=1),ROUND(O167+X167+Y167+GK167,2),0)</f>
        <v>0</v>
      </c>
      <c r="GO167">
        <f>IF(BI167=2,ROUND(O167+X167+Y167+GK167,2),0)</f>
        <v>0</v>
      </c>
      <c r="GP167">
        <f>IF(BI167=4,ROUND(O167+X167+Y167+GK167,2)+GX167,0)</f>
        <v>2441.4899999999998</v>
      </c>
      <c r="GR167">
        <v>0</v>
      </c>
      <c r="GS167">
        <v>3</v>
      </c>
      <c r="GT167">
        <v>0</v>
      </c>
      <c r="GU167" t="s">
        <v>3</v>
      </c>
      <c r="GV167">
        <f t="shared" si="159"/>
        <v>0</v>
      </c>
      <c r="GW167">
        <v>1</v>
      </c>
      <c r="GX167">
        <f t="shared" si="160"/>
        <v>0</v>
      </c>
      <c r="HA167">
        <v>0</v>
      </c>
      <c r="HB167">
        <v>0</v>
      </c>
      <c r="HC167">
        <f t="shared" si="161"/>
        <v>0</v>
      </c>
      <c r="HE167" t="s">
        <v>3</v>
      </c>
      <c r="HF167" t="s">
        <v>3</v>
      </c>
      <c r="IK167">
        <v>0</v>
      </c>
    </row>
    <row r="168" spans="1:245" x14ac:dyDescent="0.2">
      <c r="A168">
        <v>17</v>
      </c>
      <c r="B168">
        <v>1</v>
      </c>
      <c r="C168">
        <f>ROW(SmtRes!A49)</f>
        <v>49</v>
      </c>
      <c r="D168">
        <f>ROW(EtalonRes!A46)</f>
        <v>46</v>
      </c>
      <c r="E168" t="s">
        <v>193</v>
      </c>
      <c r="F168" t="s">
        <v>194</v>
      </c>
      <c r="G168" t="s">
        <v>195</v>
      </c>
      <c r="H168" t="s">
        <v>30</v>
      </c>
      <c r="I168">
        <f>ROUND((((I166+I167)*10)*0.6)*0.75,9)</f>
        <v>1.5277499999999999</v>
      </c>
      <c r="J168">
        <v>0</v>
      </c>
      <c r="O168">
        <f t="shared" si="128"/>
        <v>119.1</v>
      </c>
      <c r="P168">
        <f t="shared" si="129"/>
        <v>0</v>
      </c>
      <c r="Q168">
        <f t="shared" si="130"/>
        <v>119.1</v>
      </c>
      <c r="R168">
        <f t="shared" si="131"/>
        <v>37.57</v>
      </c>
      <c r="S168">
        <f t="shared" si="132"/>
        <v>0</v>
      </c>
      <c r="T168">
        <f t="shared" si="133"/>
        <v>0</v>
      </c>
      <c r="U168">
        <f t="shared" si="134"/>
        <v>0</v>
      </c>
      <c r="V168">
        <f t="shared" si="135"/>
        <v>0</v>
      </c>
      <c r="W168">
        <f t="shared" si="136"/>
        <v>0</v>
      </c>
      <c r="X168">
        <f t="shared" si="137"/>
        <v>0</v>
      </c>
      <c r="Y168">
        <f t="shared" si="138"/>
        <v>0</v>
      </c>
      <c r="AA168">
        <v>38214492</v>
      </c>
      <c r="AB168">
        <f t="shared" si="139"/>
        <v>77.959999999999994</v>
      </c>
      <c r="AC168">
        <f t="shared" si="140"/>
        <v>0</v>
      </c>
      <c r="AD168">
        <f t="shared" si="141"/>
        <v>77.959999999999994</v>
      </c>
      <c r="AE168">
        <f t="shared" si="142"/>
        <v>24.59</v>
      </c>
      <c r="AF168">
        <f t="shared" si="142"/>
        <v>0</v>
      </c>
      <c r="AG168">
        <f t="shared" si="143"/>
        <v>0</v>
      </c>
      <c r="AH168">
        <f t="shared" si="144"/>
        <v>0</v>
      </c>
      <c r="AI168">
        <f t="shared" si="144"/>
        <v>0</v>
      </c>
      <c r="AJ168">
        <f t="shared" si="145"/>
        <v>0</v>
      </c>
      <c r="AK168">
        <v>77.959999999999994</v>
      </c>
      <c r="AL168">
        <v>0</v>
      </c>
      <c r="AM168">
        <v>77.959999999999994</v>
      </c>
      <c r="AN168">
        <v>24.59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70</v>
      </c>
      <c r="AU168">
        <v>10</v>
      </c>
      <c r="AV168">
        <v>1</v>
      </c>
      <c r="AW168">
        <v>1</v>
      </c>
      <c r="AZ168">
        <v>1</v>
      </c>
      <c r="BA168">
        <v>1</v>
      </c>
      <c r="BB168">
        <v>1</v>
      </c>
      <c r="BC168">
        <v>1</v>
      </c>
      <c r="BD168" t="s">
        <v>3</v>
      </c>
      <c r="BE168" t="s">
        <v>3</v>
      </c>
      <c r="BF168" t="s">
        <v>3</v>
      </c>
      <c r="BG168" t="s">
        <v>3</v>
      </c>
      <c r="BH168">
        <v>0</v>
      </c>
      <c r="BI168">
        <v>4</v>
      </c>
      <c r="BJ168" t="s">
        <v>196</v>
      </c>
      <c r="BM168">
        <v>0</v>
      </c>
      <c r="BN168">
        <v>0</v>
      </c>
      <c r="BO168" t="s">
        <v>3</v>
      </c>
      <c r="BP168">
        <v>0</v>
      </c>
      <c r="BQ168">
        <v>1</v>
      </c>
      <c r="BR168">
        <v>0</v>
      </c>
      <c r="BS168">
        <v>1</v>
      </c>
      <c r="BT168">
        <v>1</v>
      </c>
      <c r="BU168">
        <v>1</v>
      </c>
      <c r="BV168">
        <v>1</v>
      </c>
      <c r="BW168">
        <v>1</v>
      </c>
      <c r="BX168">
        <v>1</v>
      </c>
      <c r="BY168" t="s">
        <v>3</v>
      </c>
      <c r="BZ168">
        <v>70</v>
      </c>
      <c r="CA168">
        <v>10</v>
      </c>
      <c r="CE168">
        <v>0</v>
      </c>
      <c r="CF168">
        <v>0</v>
      </c>
      <c r="CG168">
        <v>0</v>
      </c>
      <c r="CM168">
        <v>0</v>
      </c>
      <c r="CN168" t="s">
        <v>3</v>
      </c>
      <c r="CO168">
        <v>0</v>
      </c>
      <c r="CP168">
        <f t="shared" si="146"/>
        <v>119.1</v>
      </c>
      <c r="CQ168">
        <f t="shared" si="147"/>
        <v>0</v>
      </c>
      <c r="CR168">
        <f t="shared" si="148"/>
        <v>77.959999999999994</v>
      </c>
      <c r="CS168">
        <f t="shared" si="149"/>
        <v>24.59</v>
      </c>
      <c r="CT168">
        <f t="shared" si="150"/>
        <v>0</v>
      </c>
      <c r="CU168">
        <f t="shared" si="151"/>
        <v>0</v>
      </c>
      <c r="CV168">
        <f t="shared" si="152"/>
        <v>0</v>
      </c>
      <c r="CW168">
        <f t="shared" si="153"/>
        <v>0</v>
      </c>
      <c r="CX168">
        <f t="shared" si="154"/>
        <v>0</v>
      </c>
      <c r="CY168">
        <f t="shared" si="155"/>
        <v>0</v>
      </c>
      <c r="CZ168">
        <f t="shared" si="156"/>
        <v>0</v>
      </c>
      <c r="DC168" t="s">
        <v>3</v>
      </c>
      <c r="DD168" t="s">
        <v>3</v>
      </c>
      <c r="DE168" t="s">
        <v>3</v>
      </c>
      <c r="DF168" t="s">
        <v>3</v>
      </c>
      <c r="DG168" t="s">
        <v>3</v>
      </c>
      <c r="DH168" t="s">
        <v>3</v>
      </c>
      <c r="DI168" t="s">
        <v>3</v>
      </c>
      <c r="DJ168" t="s">
        <v>3</v>
      </c>
      <c r="DK168" t="s">
        <v>3</v>
      </c>
      <c r="DL168" t="s">
        <v>3</v>
      </c>
      <c r="DM168" t="s">
        <v>3</v>
      </c>
      <c r="DN168">
        <v>0</v>
      </c>
      <c r="DO168">
        <v>0</v>
      </c>
      <c r="DP168">
        <v>1</v>
      </c>
      <c r="DQ168">
        <v>1</v>
      </c>
      <c r="DU168">
        <v>1009</v>
      </c>
      <c r="DV168" t="s">
        <v>30</v>
      </c>
      <c r="DW168" t="s">
        <v>30</v>
      </c>
      <c r="DX168">
        <v>1000</v>
      </c>
      <c r="EE168">
        <v>38628631</v>
      </c>
      <c r="EF168">
        <v>1</v>
      </c>
      <c r="EG168" t="s">
        <v>24</v>
      </c>
      <c r="EH168">
        <v>0</v>
      </c>
      <c r="EI168" t="s">
        <v>3</v>
      </c>
      <c r="EJ168">
        <v>4</v>
      </c>
      <c r="EK168">
        <v>0</v>
      </c>
      <c r="EL168" t="s">
        <v>25</v>
      </c>
      <c r="EM168" t="s">
        <v>26</v>
      </c>
      <c r="EO168" t="s">
        <v>3</v>
      </c>
      <c r="EQ168">
        <v>0</v>
      </c>
      <c r="ER168">
        <v>77.959999999999994</v>
      </c>
      <c r="ES168">
        <v>0</v>
      </c>
      <c r="ET168">
        <v>77.959999999999994</v>
      </c>
      <c r="EU168">
        <v>24.59</v>
      </c>
      <c r="EV168">
        <v>0</v>
      </c>
      <c r="EW168">
        <v>0</v>
      </c>
      <c r="EX168">
        <v>0</v>
      </c>
      <c r="EY168">
        <v>0</v>
      </c>
      <c r="FQ168">
        <v>0</v>
      </c>
      <c r="FR168">
        <f t="shared" si="157"/>
        <v>0</v>
      </c>
      <c r="FS168">
        <v>0</v>
      </c>
      <c r="FX168">
        <v>70</v>
      </c>
      <c r="FY168">
        <v>10</v>
      </c>
      <c r="GA168" t="s">
        <v>3</v>
      </c>
      <c r="GD168">
        <v>0</v>
      </c>
      <c r="GF168">
        <v>-621992786</v>
      </c>
      <c r="GG168">
        <v>2</v>
      </c>
      <c r="GH168">
        <v>1</v>
      </c>
      <c r="GI168">
        <v>-2</v>
      </c>
      <c r="GJ168">
        <v>0</v>
      </c>
      <c r="GK168">
        <f>ROUND(R168*(R12)/100,2)</f>
        <v>40.58</v>
      </c>
      <c r="GL168">
        <f t="shared" si="158"/>
        <v>0</v>
      </c>
      <c r="GM168">
        <f>ROUND(O168+X168+Y168+GK168,2)+GX168</f>
        <v>159.68</v>
      </c>
      <c r="GN168">
        <f>IF(OR(BI168=0,BI168=1),ROUND(O168+X168+Y168+GK168,2),0)</f>
        <v>0</v>
      </c>
      <c r="GO168">
        <f>IF(BI168=2,ROUND(O168+X168+Y168+GK168,2),0)</f>
        <v>0</v>
      </c>
      <c r="GP168">
        <f>IF(BI168=4,ROUND(O168+X168+Y168+GK168,2)+GX168,0)</f>
        <v>159.68</v>
      </c>
      <c r="GR168">
        <v>0</v>
      </c>
      <c r="GS168">
        <v>3</v>
      </c>
      <c r="GT168">
        <v>0</v>
      </c>
      <c r="GU168" t="s">
        <v>3</v>
      </c>
      <c r="GV168">
        <f t="shared" si="159"/>
        <v>0</v>
      </c>
      <c r="GW168">
        <v>1</v>
      </c>
      <c r="GX168">
        <f t="shared" si="160"/>
        <v>0</v>
      </c>
      <c r="HA168">
        <v>0</v>
      </c>
      <c r="HB168">
        <v>0</v>
      </c>
      <c r="HC168">
        <f t="shared" si="161"/>
        <v>0</v>
      </c>
      <c r="HE168" t="s">
        <v>3</v>
      </c>
      <c r="HF168" t="s">
        <v>3</v>
      </c>
      <c r="IK168">
        <v>0</v>
      </c>
    </row>
    <row r="169" spans="1:245" x14ac:dyDescent="0.2">
      <c r="A169">
        <v>17</v>
      </c>
      <c r="B169">
        <v>1</v>
      </c>
      <c r="C169">
        <f>ROW(SmtRes!A50)</f>
        <v>50</v>
      </c>
      <c r="D169">
        <f>ROW(EtalonRes!A47)</f>
        <v>47</v>
      </c>
      <c r="E169" t="s">
        <v>197</v>
      </c>
      <c r="F169" t="s">
        <v>35</v>
      </c>
      <c r="G169" t="s">
        <v>36</v>
      </c>
      <c r="H169" t="s">
        <v>30</v>
      </c>
      <c r="I169">
        <f>ROUND((((I166+I167)*10)*0.6)*0.25,9)</f>
        <v>0.50924999999999998</v>
      </c>
      <c r="J169">
        <v>0</v>
      </c>
      <c r="O169">
        <f t="shared" si="128"/>
        <v>60.95</v>
      </c>
      <c r="P169">
        <f t="shared" si="129"/>
        <v>0</v>
      </c>
      <c r="Q169">
        <f t="shared" si="130"/>
        <v>0</v>
      </c>
      <c r="R169">
        <f t="shared" si="131"/>
        <v>0</v>
      </c>
      <c r="S169">
        <f t="shared" si="132"/>
        <v>60.95</v>
      </c>
      <c r="T169">
        <f t="shared" si="133"/>
        <v>0</v>
      </c>
      <c r="U169">
        <f t="shared" si="134"/>
        <v>0.51943499999999998</v>
      </c>
      <c r="V169">
        <f t="shared" si="135"/>
        <v>0</v>
      </c>
      <c r="W169">
        <f t="shared" si="136"/>
        <v>0</v>
      </c>
      <c r="X169">
        <f t="shared" si="137"/>
        <v>42.67</v>
      </c>
      <c r="Y169">
        <f t="shared" si="138"/>
        <v>6.1</v>
      </c>
      <c r="AA169">
        <v>38214492</v>
      </c>
      <c r="AB169">
        <f t="shared" si="139"/>
        <v>119.69</v>
      </c>
      <c r="AC169">
        <f t="shared" si="140"/>
        <v>0</v>
      </c>
      <c r="AD169">
        <f t="shared" si="141"/>
        <v>0</v>
      </c>
      <c r="AE169">
        <f t="shared" si="142"/>
        <v>0</v>
      </c>
      <c r="AF169">
        <f t="shared" si="142"/>
        <v>119.69</v>
      </c>
      <c r="AG169">
        <f t="shared" si="143"/>
        <v>0</v>
      </c>
      <c r="AH169">
        <f t="shared" si="144"/>
        <v>1.02</v>
      </c>
      <c r="AI169">
        <f t="shared" si="144"/>
        <v>0</v>
      </c>
      <c r="AJ169">
        <f t="shared" si="145"/>
        <v>0</v>
      </c>
      <c r="AK169">
        <v>119.69</v>
      </c>
      <c r="AL169">
        <v>0</v>
      </c>
      <c r="AM169">
        <v>0</v>
      </c>
      <c r="AN169">
        <v>0</v>
      </c>
      <c r="AO169">
        <v>119.69</v>
      </c>
      <c r="AP169">
        <v>0</v>
      </c>
      <c r="AQ169">
        <v>1.02</v>
      </c>
      <c r="AR169">
        <v>0</v>
      </c>
      <c r="AS169">
        <v>0</v>
      </c>
      <c r="AT169">
        <v>70</v>
      </c>
      <c r="AU169">
        <v>10</v>
      </c>
      <c r="AV169">
        <v>1</v>
      </c>
      <c r="AW169">
        <v>1</v>
      </c>
      <c r="AZ169">
        <v>1</v>
      </c>
      <c r="BA169">
        <v>1</v>
      </c>
      <c r="BB169">
        <v>1</v>
      </c>
      <c r="BC169">
        <v>1</v>
      </c>
      <c r="BD169" t="s">
        <v>3</v>
      </c>
      <c r="BE169" t="s">
        <v>3</v>
      </c>
      <c r="BF169" t="s">
        <v>3</v>
      </c>
      <c r="BG169" t="s">
        <v>3</v>
      </c>
      <c r="BH169">
        <v>0</v>
      </c>
      <c r="BI169">
        <v>4</v>
      </c>
      <c r="BJ169" t="s">
        <v>37</v>
      </c>
      <c r="BM169">
        <v>0</v>
      </c>
      <c r="BN169">
        <v>0</v>
      </c>
      <c r="BO169" t="s">
        <v>3</v>
      </c>
      <c r="BP169">
        <v>0</v>
      </c>
      <c r="BQ169">
        <v>1</v>
      </c>
      <c r="BR169">
        <v>0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 t="s">
        <v>3</v>
      </c>
      <c r="BZ169">
        <v>70</v>
      </c>
      <c r="CA169">
        <v>10</v>
      </c>
      <c r="CE169">
        <v>0</v>
      </c>
      <c r="CF169">
        <v>0</v>
      </c>
      <c r="CG169">
        <v>0</v>
      </c>
      <c r="CM169">
        <v>0</v>
      </c>
      <c r="CN169" t="s">
        <v>3</v>
      </c>
      <c r="CO169">
        <v>0</v>
      </c>
      <c r="CP169">
        <f t="shared" si="146"/>
        <v>60.95</v>
      </c>
      <c r="CQ169">
        <f t="shared" si="147"/>
        <v>0</v>
      </c>
      <c r="CR169">
        <f t="shared" si="148"/>
        <v>0</v>
      </c>
      <c r="CS169">
        <f t="shared" si="149"/>
        <v>0</v>
      </c>
      <c r="CT169">
        <f t="shared" si="150"/>
        <v>119.69</v>
      </c>
      <c r="CU169">
        <f t="shared" si="151"/>
        <v>0</v>
      </c>
      <c r="CV169">
        <f t="shared" si="152"/>
        <v>1.02</v>
      </c>
      <c r="CW169">
        <f t="shared" si="153"/>
        <v>0</v>
      </c>
      <c r="CX169">
        <f t="shared" si="154"/>
        <v>0</v>
      </c>
      <c r="CY169">
        <f t="shared" si="155"/>
        <v>42.664999999999999</v>
      </c>
      <c r="CZ169">
        <f t="shared" si="156"/>
        <v>6.0949999999999998</v>
      </c>
      <c r="DC169" t="s">
        <v>3</v>
      </c>
      <c r="DD169" t="s">
        <v>3</v>
      </c>
      <c r="DE169" t="s">
        <v>3</v>
      </c>
      <c r="DF169" t="s">
        <v>3</v>
      </c>
      <c r="DG169" t="s">
        <v>3</v>
      </c>
      <c r="DH169" t="s">
        <v>3</v>
      </c>
      <c r="DI169" t="s">
        <v>3</v>
      </c>
      <c r="DJ169" t="s">
        <v>3</v>
      </c>
      <c r="DK169" t="s">
        <v>3</v>
      </c>
      <c r="DL169" t="s">
        <v>3</v>
      </c>
      <c r="DM169" t="s">
        <v>3</v>
      </c>
      <c r="DN169">
        <v>0</v>
      </c>
      <c r="DO169">
        <v>0</v>
      </c>
      <c r="DP169">
        <v>1</v>
      </c>
      <c r="DQ169">
        <v>1</v>
      </c>
      <c r="DU169">
        <v>1009</v>
      </c>
      <c r="DV169" t="s">
        <v>30</v>
      </c>
      <c r="DW169" t="s">
        <v>30</v>
      </c>
      <c r="DX169">
        <v>1000</v>
      </c>
      <c r="EE169">
        <v>38628631</v>
      </c>
      <c r="EF169">
        <v>1</v>
      </c>
      <c r="EG169" t="s">
        <v>24</v>
      </c>
      <c r="EH169">
        <v>0</v>
      </c>
      <c r="EI169" t="s">
        <v>3</v>
      </c>
      <c r="EJ169">
        <v>4</v>
      </c>
      <c r="EK169">
        <v>0</v>
      </c>
      <c r="EL169" t="s">
        <v>25</v>
      </c>
      <c r="EM169" t="s">
        <v>26</v>
      </c>
      <c r="EO169" t="s">
        <v>3</v>
      </c>
      <c r="EQ169">
        <v>0</v>
      </c>
      <c r="ER169">
        <v>119.69</v>
      </c>
      <c r="ES169">
        <v>0</v>
      </c>
      <c r="ET169">
        <v>0</v>
      </c>
      <c r="EU169">
        <v>0</v>
      </c>
      <c r="EV169">
        <v>119.69</v>
      </c>
      <c r="EW169">
        <v>1.02</v>
      </c>
      <c r="EX169">
        <v>0</v>
      </c>
      <c r="EY169">
        <v>0</v>
      </c>
      <c r="FQ169">
        <v>0</v>
      </c>
      <c r="FR169">
        <f t="shared" si="157"/>
        <v>0</v>
      </c>
      <c r="FS169">
        <v>0</v>
      </c>
      <c r="FX169">
        <v>70</v>
      </c>
      <c r="FY169">
        <v>10</v>
      </c>
      <c r="GA169" t="s">
        <v>3</v>
      </c>
      <c r="GD169">
        <v>0</v>
      </c>
      <c r="GF169">
        <v>1555540630</v>
      </c>
      <c r="GG169">
        <v>2</v>
      </c>
      <c r="GH169">
        <v>1</v>
      </c>
      <c r="GI169">
        <v>-2</v>
      </c>
      <c r="GJ169">
        <v>0</v>
      </c>
      <c r="GK169">
        <f>ROUND(R169*(R12)/100,2)</f>
        <v>0</v>
      </c>
      <c r="GL169">
        <f t="shared" si="158"/>
        <v>0</v>
      </c>
      <c r="GM169">
        <f>ROUND(O169+X169+Y169+GK169,2)+GX169</f>
        <v>109.72</v>
      </c>
      <c r="GN169">
        <f>IF(OR(BI169=0,BI169=1),ROUND(O169+X169+Y169+GK169,2),0)</f>
        <v>0</v>
      </c>
      <c r="GO169">
        <f>IF(BI169=2,ROUND(O169+X169+Y169+GK169,2),0)</f>
        <v>0</v>
      </c>
      <c r="GP169">
        <f>IF(BI169=4,ROUND(O169+X169+Y169+GK169,2)+GX169,0)</f>
        <v>109.72</v>
      </c>
      <c r="GR169">
        <v>0</v>
      </c>
      <c r="GS169">
        <v>3</v>
      </c>
      <c r="GT169">
        <v>0</v>
      </c>
      <c r="GU169" t="s">
        <v>3</v>
      </c>
      <c r="GV169">
        <f t="shared" si="159"/>
        <v>0</v>
      </c>
      <c r="GW169">
        <v>1</v>
      </c>
      <c r="GX169">
        <f t="shared" si="160"/>
        <v>0</v>
      </c>
      <c r="HA169">
        <v>0</v>
      </c>
      <c r="HB169">
        <v>0</v>
      </c>
      <c r="HC169">
        <f t="shared" si="161"/>
        <v>0</v>
      </c>
      <c r="HE169" t="s">
        <v>3</v>
      </c>
      <c r="HF169" t="s">
        <v>3</v>
      </c>
      <c r="IK169">
        <v>0</v>
      </c>
    </row>
    <row r="170" spans="1:245" x14ac:dyDescent="0.2">
      <c r="A170">
        <v>17</v>
      </c>
      <c r="B170">
        <v>1</v>
      </c>
      <c r="C170">
        <f>ROW(SmtRes!A52)</f>
        <v>52</v>
      </c>
      <c r="D170">
        <f>ROW(EtalonRes!A49)</f>
        <v>49</v>
      </c>
      <c r="E170" t="s">
        <v>198</v>
      </c>
      <c r="F170" t="s">
        <v>39</v>
      </c>
      <c r="G170" t="s">
        <v>40</v>
      </c>
      <c r="H170" t="s">
        <v>30</v>
      </c>
      <c r="I170">
        <f>ROUND(I168,9)</f>
        <v>1.5277499999999999</v>
      </c>
      <c r="J170">
        <v>0</v>
      </c>
      <c r="O170">
        <f t="shared" si="128"/>
        <v>95.48</v>
      </c>
      <c r="P170">
        <f t="shared" si="129"/>
        <v>0</v>
      </c>
      <c r="Q170">
        <f t="shared" si="130"/>
        <v>95.48</v>
      </c>
      <c r="R170">
        <f t="shared" si="131"/>
        <v>56.56</v>
      </c>
      <c r="S170">
        <f t="shared" si="132"/>
        <v>0</v>
      </c>
      <c r="T170">
        <f t="shared" si="133"/>
        <v>0</v>
      </c>
      <c r="U170">
        <f t="shared" si="134"/>
        <v>0</v>
      </c>
      <c r="V170">
        <f t="shared" si="135"/>
        <v>0</v>
      </c>
      <c r="W170">
        <f t="shared" si="136"/>
        <v>0</v>
      </c>
      <c r="X170">
        <f t="shared" si="137"/>
        <v>0</v>
      </c>
      <c r="Y170">
        <f t="shared" si="138"/>
        <v>0</v>
      </c>
      <c r="AA170">
        <v>38214492</v>
      </c>
      <c r="AB170">
        <f t="shared" si="139"/>
        <v>62.5</v>
      </c>
      <c r="AC170">
        <f t="shared" si="140"/>
        <v>0</v>
      </c>
      <c r="AD170">
        <f t="shared" si="141"/>
        <v>62.5</v>
      </c>
      <c r="AE170">
        <f t="shared" si="142"/>
        <v>37.020000000000003</v>
      </c>
      <c r="AF170">
        <f t="shared" si="142"/>
        <v>0</v>
      </c>
      <c r="AG170">
        <f t="shared" si="143"/>
        <v>0</v>
      </c>
      <c r="AH170">
        <f t="shared" si="144"/>
        <v>0</v>
      </c>
      <c r="AI170">
        <f t="shared" si="144"/>
        <v>0</v>
      </c>
      <c r="AJ170">
        <f t="shared" si="145"/>
        <v>0</v>
      </c>
      <c r="AK170">
        <v>62.5</v>
      </c>
      <c r="AL170">
        <v>0</v>
      </c>
      <c r="AM170">
        <v>62.5</v>
      </c>
      <c r="AN170">
        <v>37.020000000000003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1</v>
      </c>
      <c r="AW170">
        <v>1</v>
      </c>
      <c r="AZ170">
        <v>1</v>
      </c>
      <c r="BA170">
        <v>1</v>
      </c>
      <c r="BB170">
        <v>1</v>
      </c>
      <c r="BC170">
        <v>1</v>
      </c>
      <c r="BD170" t="s">
        <v>3</v>
      </c>
      <c r="BE170" t="s">
        <v>3</v>
      </c>
      <c r="BF170" t="s">
        <v>3</v>
      </c>
      <c r="BG170" t="s">
        <v>3</v>
      </c>
      <c r="BH170">
        <v>0</v>
      </c>
      <c r="BI170">
        <v>4</v>
      </c>
      <c r="BJ170" t="s">
        <v>41</v>
      </c>
      <c r="BM170">
        <v>1</v>
      </c>
      <c r="BN170">
        <v>0</v>
      </c>
      <c r="BO170" t="s">
        <v>3</v>
      </c>
      <c r="BP170">
        <v>0</v>
      </c>
      <c r="BQ170">
        <v>1</v>
      </c>
      <c r="BR170">
        <v>0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 t="s">
        <v>3</v>
      </c>
      <c r="BZ170">
        <v>0</v>
      </c>
      <c r="CA170">
        <v>0</v>
      </c>
      <c r="CE170">
        <v>0</v>
      </c>
      <c r="CF170">
        <v>0</v>
      </c>
      <c r="CG170">
        <v>0</v>
      </c>
      <c r="CM170">
        <v>0</v>
      </c>
      <c r="CN170" t="s">
        <v>3</v>
      </c>
      <c r="CO170">
        <v>0</v>
      </c>
      <c r="CP170">
        <f t="shared" si="146"/>
        <v>95.48</v>
      </c>
      <c r="CQ170">
        <f t="shared" si="147"/>
        <v>0</v>
      </c>
      <c r="CR170">
        <f t="shared" si="148"/>
        <v>62.5</v>
      </c>
      <c r="CS170">
        <f t="shared" si="149"/>
        <v>37.020000000000003</v>
      </c>
      <c r="CT170">
        <f t="shared" si="150"/>
        <v>0</v>
      </c>
      <c r="CU170">
        <f t="shared" si="151"/>
        <v>0</v>
      </c>
      <c r="CV170">
        <f t="shared" si="152"/>
        <v>0</v>
      </c>
      <c r="CW170">
        <f t="shared" si="153"/>
        <v>0</v>
      </c>
      <c r="CX170">
        <f t="shared" si="154"/>
        <v>0</v>
      </c>
      <c r="CY170">
        <f t="shared" si="155"/>
        <v>0</v>
      </c>
      <c r="CZ170">
        <f t="shared" si="156"/>
        <v>0</v>
      </c>
      <c r="DC170" t="s">
        <v>3</v>
      </c>
      <c r="DD170" t="s">
        <v>3</v>
      </c>
      <c r="DE170" t="s">
        <v>3</v>
      </c>
      <c r="DF170" t="s">
        <v>3</v>
      </c>
      <c r="DG170" t="s">
        <v>3</v>
      </c>
      <c r="DH170" t="s">
        <v>3</v>
      </c>
      <c r="DI170" t="s">
        <v>3</v>
      </c>
      <c r="DJ170" t="s">
        <v>3</v>
      </c>
      <c r="DK170" t="s">
        <v>3</v>
      </c>
      <c r="DL170" t="s">
        <v>3</v>
      </c>
      <c r="DM170" t="s">
        <v>3</v>
      </c>
      <c r="DN170">
        <v>0</v>
      </c>
      <c r="DO170">
        <v>0</v>
      </c>
      <c r="DP170">
        <v>1</v>
      </c>
      <c r="DQ170">
        <v>1</v>
      </c>
      <c r="DU170">
        <v>1009</v>
      </c>
      <c r="DV170" t="s">
        <v>30</v>
      </c>
      <c r="DW170" t="s">
        <v>30</v>
      </c>
      <c r="DX170">
        <v>1000</v>
      </c>
      <c r="EE170">
        <v>38628633</v>
      </c>
      <c r="EF170">
        <v>1</v>
      </c>
      <c r="EG170" t="s">
        <v>24</v>
      </c>
      <c r="EH170">
        <v>0</v>
      </c>
      <c r="EI170" t="s">
        <v>3</v>
      </c>
      <c r="EJ170">
        <v>4</v>
      </c>
      <c r="EK170">
        <v>1</v>
      </c>
      <c r="EL170" t="s">
        <v>42</v>
      </c>
      <c r="EM170" t="s">
        <v>26</v>
      </c>
      <c r="EO170" t="s">
        <v>3</v>
      </c>
      <c r="EQ170">
        <v>0</v>
      </c>
      <c r="ER170">
        <v>62.5</v>
      </c>
      <c r="ES170">
        <v>0</v>
      </c>
      <c r="ET170">
        <v>62.5</v>
      </c>
      <c r="EU170">
        <v>37.020000000000003</v>
      </c>
      <c r="EV170">
        <v>0</v>
      </c>
      <c r="EW170">
        <v>0</v>
      </c>
      <c r="EX170">
        <v>0</v>
      </c>
      <c r="EY170">
        <v>0</v>
      </c>
      <c r="FQ170">
        <v>0</v>
      </c>
      <c r="FR170">
        <f t="shared" si="157"/>
        <v>0</v>
      </c>
      <c r="FS170">
        <v>0</v>
      </c>
      <c r="FX170">
        <v>0</v>
      </c>
      <c r="FY170">
        <v>0</v>
      </c>
      <c r="GA170" t="s">
        <v>3</v>
      </c>
      <c r="GD170">
        <v>1</v>
      </c>
      <c r="GF170">
        <v>-283681225</v>
      </c>
      <c r="GG170">
        <v>2</v>
      </c>
      <c r="GH170">
        <v>1</v>
      </c>
      <c r="GI170">
        <v>-2</v>
      </c>
      <c r="GJ170">
        <v>0</v>
      </c>
      <c r="GK170">
        <v>0</v>
      </c>
      <c r="GL170">
        <f t="shared" si="158"/>
        <v>0</v>
      </c>
      <c r="GM170">
        <f>ROUND(O170+X170+Y170,2)+GX170</f>
        <v>95.48</v>
      </c>
      <c r="GN170">
        <f>IF(OR(BI170=0,BI170=1),ROUND(O170+X170+Y170,2),0)</f>
        <v>0</v>
      </c>
      <c r="GO170">
        <f>IF(BI170=2,ROUND(O170+X170+Y170,2),0)</f>
        <v>0</v>
      </c>
      <c r="GP170">
        <f>IF(BI170=4,ROUND(O170+X170+Y170,2)+GX170,0)</f>
        <v>95.48</v>
      </c>
      <c r="GR170">
        <v>0</v>
      </c>
      <c r="GS170">
        <v>3</v>
      </c>
      <c r="GT170">
        <v>0</v>
      </c>
      <c r="GU170" t="s">
        <v>3</v>
      </c>
      <c r="GV170">
        <f t="shared" si="159"/>
        <v>0</v>
      </c>
      <c r="GW170">
        <v>1</v>
      </c>
      <c r="GX170">
        <f t="shared" si="160"/>
        <v>0</v>
      </c>
      <c r="HA170">
        <v>0</v>
      </c>
      <c r="HB170">
        <v>0</v>
      </c>
      <c r="HC170">
        <f t="shared" si="161"/>
        <v>0</v>
      </c>
      <c r="HE170" t="s">
        <v>3</v>
      </c>
      <c r="HF170" t="s">
        <v>3</v>
      </c>
      <c r="IK170">
        <v>0</v>
      </c>
    </row>
    <row r="171" spans="1:245" x14ac:dyDescent="0.2">
      <c r="A171">
        <v>17</v>
      </c>
      <c r="B171">
        <v>1</v>
      </c>
      <c r="C171">
        <f>ROW(SmtRes!A54)</f>
        <v>54</v>
      </c>
      <c r="D171">
        <f>ROW(EtalonRes!A51)</f>
        <v>51</v>
      </c>
      <c r="E171" t="s">
        <v>199</v>
      </c>
      <c r="F171" t="s">
        <v>44</v>
      </c>
      <c r="G171" t="s">
        <v>45</v>
      </c>
      <c r="H171" t="s">
        <v>30</v>
      </c>
      <c r="I171">
        <f>ROUND(I169,9)</f>
        <v>0.50924999999999998</v>
      </c>
      <c r="J171">
        <v>0</v>
      </c>
      <c r="O171">
        <f t="shared" si="128"/>
        <v>91.36</v>
      </c>
      <c r="P171">
        <f t="shared" si="129"/>
        <v>0</v>
      </c>
      <c r="Q171">
        <f t="shared" si="130"/>
        <v>91.36</v>
      </c>
      <c r="R171">
        <f t="shared" si="131"/>
        <v>54.08</v>
      </c>
      <c r="S171">
        <f t="shared" si="132"/>
        <v>0</v>
      </c>
      <c r="T171">
        <f t="shared" si="133"/>
        <v>0</v>
      </c>
      <c r="U171">
        <f t="shared" si="134"/>
        <v>0</v>
      </c>
      <c r="V171">
        <f t="shared" si="135"/>
        <v>0</v>
      </c>
      <c r="W171">
        <f t="shared" si="136"/>
        <v>0</v>
      </c>
      <c r="X171">
        <f t="shared" si="137"/>
        <v>0</v>
      </c>
      <c r="Y171">
        <f t="shared" si="138"/>
        <v>0</v>
      </c>
      <c r="AA171">
        <v>38214492</v>
      </c>
      <c r="AB171">
        <f t="shared" si="139"/>
        <v>179.4</v>
      </c>
      <c r="AC171">
        <f t="shared" si="140"/>
        <v>0</v>
      </c>
      <c r="AD171">
        <f t="shared" si="141"/>
        <v>179.4</v>
      </c>
      <c r="AE171">
        <f t="shared" si="142"/>
        <v>106.2</v>
      </c>
      <c r="AF171">
        <f t="shared" si="142"/>
        <v>0</v>
      </c>
      <c r="AG171">
        <f t="shared" si="143"/>
        <v>0</v>
      </c>
      <c r="AH171">
        <f t="shared" si="144"/>
        <v>0</v>
      </c>
      <c r="AI171">
        <f t="shared" si="144"/>
        <v>0</v>
      </c>
      <c r="AJ171">
        <f t="shared" si="145"/>
        <v>0</v>
      </c>
      <c r="AK171">
        <v>179.4</v>
      </c>
      <c r="AL171">
        <v>0</v>
      </c>
      <c r="AM171">
        <v>179.4</v>
      </c>
      <c r="AN171">
        <v>106.2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1</v>
      </c>
      <c r="AW171">
        <v>1</v>
      </c>
      <c r="AZ171">
        <v>1</v>
      </c>
      <c r="BA171">
        <v>1</v>
      </c>
      <c r="BB171">
        <v>1</v>
      </c>
      <c r="BC171">
        <v>1</v>
      </c>
      <c r="BD171" t="s">
        <v>3</v>
      </c>
      <c r="BE171" t="s">
        <v>3</v>
      </c>
      <c r="BF171" t="s">
        <v>3</v>
      </c>
      <c r="BG171" t="s">
        <v>3</v>
      </c>
      <c r="BH171">
        <v>0</v>
      </c>
      <c r="BI171">
        <v>4</v>
      </c>
      <c r="BJ171" t="s">
        <v>46</v>
      </c>
      <c r="BM171">
        <v>1</v>
      </c>
      <c r="BN171">
        <v>0</v>
      </c>
      <c r="BO171" t="s">
        <v>3</v>
      </c>
      <c r="BP171">
        <v>0</v>
      </c>
      <c r="BQ171">
        <v>1</v>
      </c>
      <c r="BR171">
        <v>0</v>
      </c>
      <c r="BS171">
        <v>1</v>
      </c>
      <c r="BT171">
        <v>1</v>
      </c>
      <c r="BU171">
        <v>1</v>
      </c>
      <c r="BV171">
        <v>1</v>
      </c>
      <c r="BW171">
        <v>1</v>
      </c>
      <c r="BX171">
        <v>1</v>
      </c>
      <c r="BY171" t="s">
        <v>3</v>
      </c>
      <c r="BZ171">
        <v>0</v>
      </c>
      <c r="CA171">
        <v>0</v>
      </c>
      <c r="CE171">
        <v>0</v>
      </c>
      <c r="CF171">
        <v>0</v>
      </c>
      <c r="CG171">
        <v>0</v>
      </c>
      <c r="CM171">
        <v>0</v>
      </c>
      <c r="CN171" t="s">
        <v>3</v>
      </c>
      <c r="CO171">
        <v>0</v>
      </c>
      <c r="CP171">
        <f t="shared" si="146"/>
        <v>91.36</v>
      </c>
      <c r="CQ171">
        <f t="shared" si="147"/>
        <v>0</v>
      </c>
      <c r="CR171">
        <f t="shared" si="148"/>
        <v>179.4</v>
      </c>
      <c r="CS171">
        <f t="shared" si="149"/>
        <v>106.2</v>
      </c>
      <c r="CT171">
        <f t="shared" si="150"/>
        <v>0</v>
      </c>
      <c r="CU171">
        <f t="shared" si="151"/>
        <v>0</v>
      </c>
      <c r="CV171">
        <f t="shared" si="152"/>
        <v>0</v>
      </c>
      <c r="CW171">
        <f t="shared" si="153"/>
        <v>0</v>
      </c>
      <c r="CX171">
        <f t="shared" si="154"/>
        <v>0</v>
      </c>
      <c r="CY171">
        <f t="shared" si="155"/>
        <v>0</v>
      </c>
      <c r="CZ171">
        <f t="shared" si="156"/>
        <v>0</v>
      </c>
      <c r="DC171" t="s">
        <v>3</v>
      </c>
      <c r="DD171" t="s">
        <v>3</v>
      </c>
      <c r="DE171" t="s">
        <v>3</v>
      </c>
      <c r="DF171" t="s">
        <v>3</v>
      </c>
      <c r="DG171" t="s">
        <v>3</v>
      </c>
      <c r="DH171" t="s">
        <v>3</v>
      </c>
      <c r="DI171" t="s">
        <v>3</v>
      </c>
      <c r="DJ171" t="s">
        <v>3</v>
      </c>
      <c r="DK171" t="s">
        <v>3</v>
      </c>
      <c r="DL171" t="s">
        <v>3</v>
      </c>
      <c r="DM171" t="s">
        <v>3</v>
      </c>
      <c r="DN171">
        <v>0</v>
      </c>
      <c r="DO171">
        <v>0</v>
      </c>
      <c r="DP171">
        <v>1</v>
      </c>
      <c r="DQ171">
        <v>1</v>
      </c>
      <c r="DU171">
        <v>1009</v>
      </c>
      <c r="DV171" t="s">
        <v>30</v>
      </c>
      <c r="DW171" t="s">
        <v>30</v>
      </c>
      <c r="DX171">
        <v>1000</v>
      </c>
      <c r="EE171">
        <v>38628633</v>
      </c>
      <c r="EF171">
        <v>1</v>
      </c>
      <c r="EG171" t="s">
        <v>24</v>
      </c>
      <c r="EH171">
        <v>0</v>
      </c>
      <c r="EI171" t="s">
        <v>3</v>
      </c>
      <c r="EJ171">
        <v>4</v>
      </c>
      <c r="EK171">
        <v>1</v>
      </c>
      <c r="EL171" t="s">
        <v>42</v>
      </c>
      <c r="EM171" t="s">
        <v>26</v>
      </c>
      <c r="EO171" t="s">
        <v>3</v>
      </c>
      <c r="EQ171">
        <v>0</v>
      </c>
      <c r="ER171">
        <v>179.4</v>
      </c>
      <c r="ES171">
        <v>0</v>
      </c>
      <c r="ET171">
        <v>179.4</v>
      </c>
      <c r="EU171">
        <v>106.2</v>
      </c>
      <c r="EV171">
        <v>0</v>
      </c>
      <c r="EW171">
        <v>0</v>
      </c>
      <c r="EX171">
        <v>0</v>
      </c>
      <c r="EY171">
        <v>0</v>
      </c>
      <c r="FQ171">
        <v>0</v>
      </c>
      <c r="FR171">
        <f t="shared" si="157"/>
        <v>0</v>
      </c>
      <c r="FS171">
        <v>0</v>
      </c>
      <c r="FX171">
        <v>0</v>
      </c>
      <c r="FY171">
        <v>0</v>
      </c>
      <c r="GA171" t="s">
        <v>3</v>
      </c>
      <c r="GD171">
        <v>1</v>
      </c>
      <c r="GF171">
        <v>1779235029</v>
      </c>
      <c r="GG171">
        <v>2</v>
      </c>
      <c r="GH171">
        <v>1</v>
      </c>
      <c r="GI171">
        <v>-2</v>
      </c>
      <c r="GJ171">
        <v>0</v>
      </c>
      <c r="GK171">
        <v>0</v>
      </c>
      <c r="GL171">
        <f t="shared" si="158"/>
        <v>0</v>
      </c>
      <c r="GM171">
        <f>ROUND(O171+X171+Y171,2)+GX171</f>
        <v>91.36</v>
      </c>
      <c r="GN171">
        <f>IF(OR(BI171=0,BI171=1),ROUND(O171+X171+Y171,2),0)</f>
        <v>0</v>
      </c>
      <c r="GO171">
        <f>IF(BI171=2,ROUND(O171+X171+Y171,2),0)</f>
        <v>0</v>
      </c>
      <c r="GP171">
        <f>IF(BI171=4,ROUND(O171+X171+Y171,2)+GX171,0)</f>
        <v>91.36</v>
      </c>
      <c r="GR171">
        <v>0</v>
      </c>
      <c r="GS171">
        <v>3</v>
      </c>
      <c r="GT171">
        <v>0</v>
      </c>
      <c r="GU171" t="s">
        <v>3</v>
      </c>
      <c r="GV171">
        <f t="shared" si="159"/>
        <v>0</v>
      </c>
      <c r="GW171">
        <v>1</v>
      </c>
      <c r="GX171">
        <f t="shared" si="160"/>
        <v>0</v>
      </c>
      <c r="HA171">
        <v>0</v>
      </c>
      <c r="HB171">
        <v>0</v>
      </c>
      <c r="HC171">
        <f t="shared" si="161"/>
        <v>0</v>
      </c>
      <c r="HE171" t="s">
        <v>3</v>
      </c>
      <c r="HF171" t="s">
        <v>3</v>
      </c>
      <c r="IK171">
        <v>0</v>
      </c>
    </row>
    <row r="172" spans="1:245" x14ac:dyDescent="0.2">
      <c r="A172">
        <v>17</v>
      </c>
      <c r="B172">
        <v>1</v>
      </c>
      <c r="C172">
        <f>ROW(SmtRes!A56)</f>
        <v>56</v>
      </c>
      <c r="D172">
        <f>ROW(EtalonRes!A53)</f>
        <v>53</v>
      </c>
      <c r="E172" t="s">
        <v>200</v>
      </c>
      <c r="F172" t="s">
        <v>48</v>
      </c>
      <c r="G172" t="s">
        <v>49</v>
      </c>
      <c r="H172" t="s">
        <v>30</v>
      </c>
      <c r="I172">
        <f>ROUND(I171+I170,9)</f>
        <v>2.0369999999999999</v>
      </c>
      <c r="J172">
        <v>0</v>
      </c>
      <c r="O172">
        <f t="shared" si="128"/>
        <v>964.07</v>
      </c>
      <c r="P172">
        <f t="shared" si="129"/>
        <v>0</v>
      </c>
      <c r="Q172">
        <f t="shared" si="130"/>
        <v>964.07</v>
      </c>
      <c r="R172">
        <f t="shared" si="131"/>
        <v>571.66</v>
      </c>
      <c r="S172">
        <f t="shared" si="132"/>
        <v>0</v>
      </c>
      <c r="T172">
        <f t="shared" si="133"/>
        <v>0</v>
      </c>
      <c r="U172">
        <f t="shared" si="134"/>
        <v>0</v>
      </c>
      <c r="V172">
        <f t="shared" si="135"/>
        <v>0</v>
      </c>
      <c r="W172">
        <f t="shared" si="136"/>
        <v>0</v>
      </c>
      <c r="X172">
        <f t="shared" si="137"/>
        <v>0</v>
      </c>
      <c r="Y172">
        <f t="shared" si="138"/>
        <v>0</v>
      </c>
      <c r="AA172">
        <v>38214492</v>
      </c>
      <c r="AB172">
        <f t="shared" si="139"/>
        <v>473.28</v>
      </c>
      <c r="AC172">
        <f>ROUND(((ES172*16)),6)</f>
        <v>0</v>
      </c>
      <c r="AD172">
        <f>ROUND(((((ET172*16))-((EU172*16)))+AE172),6)</f>
        <v>473.28</v>
      </c>
      <c r="AE172">
        <f>ROUND(((EU172*16)),6)</f>
        <v>280.64</v>
      </c>
      <c r="AF172">
        <f>ROUND(((EV172*16)),6)</f>
        <v>0</v>
      </c>
      <c r="AG172">
        <f t="shared" si="143"/>
        <v>0</v>
      </c>
      <c r="AH172">
        <f>((EW172*16))</f>
        <v>0</v>
      </c>
      <c r="AI172">
        <f>((EX172*16))</f>
        <v>0</v>
      </c>
      <c r="AJ172">
        <f t="shared" si="145"/>
        <v>0</v>
      </c>
      <c r="AK172">
        <v>29.58</v>
      </c>
      <c r="AL172">
        <v>0</v>
      </c>
      <c r="AM172">
        <v>29.58</v>
      </c>
      <c r="AN172">
        <v>17.54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1</v>
      </c>
      <c r="AW172">
        <v>1</v>
      </c>
      <c r="AZ172">
        <v>1</v>
      </c>
      <c r="BA172">
        <v>1</v>
      </c>
      <c r="BB172">
        <v>1</v>
      </c>
      <c r="BC172">
        <v>1</v>
      </c>
      <c r="BD172" t="s">
        <v>3</v>
      </c>
      <c r="BE172" t="s">
        <v>3</v>
      </c>
      <c r="BF172" t="s">
        <v>3</v>
      </c>
      <c r="BG172" t="s">
        <v>3</v>
      </c>
      <c r="BH172">
        <v>0</v>
      </c>
      <c r="BI172">
        <v>4</v>
      </c>
      <c r="BJ172" t="s">
        <v>50</v>
      </c>
      <c r="BM172">
        <v>1</v>
      </c>
      <c r="BN172">
        <v>0</v>
      </c>
      <c r="BO172" t="s">
        <v>3</v>
      </c>
      <c r="BP172">
        <v>0</v>
      </c>
      <c r="BQ172">
        <v>1</v>
      </c>
      <c r="BR172">
        <v>0</v>
      </c>
      <c r="BS172">
        <v>1</v>
      </c>
      <c r="BT172">
        <v>1</v>
      </c>
      <c r="BU172">
        <v>1</v>
      </c>
      <c r="BV172">
        <v>1</v>
      </c>
      <c r="BW172">
        <v>1</v>
      </c>
      <c r="BX172">
        <v>1</v>
      </c>
      <c r="BY172" t="s">
        <v>3</v>
      </c>
      <c r="BZ172">
        <v>0</v>
      </c>
      <c r="CA172">
        <v>0</v>
      </c>
      <c r="CE172">
        <v>0</v>
      </c>
      <c r="CF172">
        <v>0</v>
      </c>
      <c r="CG172">
        <v>0</v>
      </c>
      <c r="CM172">
        <v>0</v>
      </c>
      <c r="CN172" t="s">
        <v>3</v>
      </c>
      <c r="CO172">
        <v>0</v>
      </c>
      <c r="CP172">
        <f t="shared" si="146"/>
        <v>964.07</v>
      </c>
      <c r="CQ172">
        <f t="shared" si="147"/>
        <v>0</v>
      </c>
      <c r="CR172">
        <f>(((((ET172*16))*BB172-((EU172*16))*BS172)+AE172*BS172)*AV172)</f>
        <v>473.28</v>
      </c>
      <c r="CS172">
        <f t="shared" si="149"/>
        <v>280.64</v>
      </c>
      <c r="CT172">
        <f t="shared" si="150"/>
        <v>0</v>
      </c>
      <c r="CU172">
        <f t="shared" si="151"/>
        <v>0</v>
      </c>
      <c r="CV172">
        <f t="shared" si="152"/>
        <v>0</v>
      </c>
      <c r="CW172">
        <f t="shared" si="153"/>
        <v>0</v>
      </c>
      <c r="CX172">
        <f t="shared" si="154"/>
        <v>0</v>
      </c>
      <c r="CY172">
        <f t="shared" si="155"/>
        <v>0</v>
      </c>
      <c r="CZ172">
        <f t="shared" si="156"/>
        <v>0</v>
      </c>
      <c r="DC172" t="s">
        <v>3</v>
      </c>
      <c r="DD172" t="s">
        <v>201</v>
      </c>
      <c r="DE172" t="s">
        <v>201</v>
      </c>
      <c r="DF172" t="s">
        <v>201</v>
      </c>
      <c r="DG172" t="s">
        <v>201</v>
      </c>
      <c r="DH172" t="s">
        <v>3</v>
      </c>
      <c r="DI172" t="s">
        <v>201</v>
      </c>
      <c r="DJ172" t="s">
        <v>201</v>
      </c>
      <c r="DK172" t="s">
        <v>3</v>
      </c>
      <c r="DL172" t="s">
        <v>3</v>
      </c>
      <c r="DM172" t="s">
        <v>3</v>
      </c>
      <c r="DN172">
        <v>0</v>
      </c>
      <c r="DO172">
        <v>0</v>
      </c>
      <c r="DP172">
        <v>1</v>
      </c>
      <c r="DQ172">
        <v>1</v>
      </c>
      <c r="DU172">
        <v>1009</v>
      </c>
      <c r="DV172" t="s">
        <v>30</v>
      </c>
      <c r="DW172" t="s">
        <v>30</v>
      </c>
      <c r="DX172">
        <v>1000</v>
      </c>
      <c r="EE172">
        <v>38628633</v>
      </c>
      <c r="EF172">
        <v>1</v>
      </c>
      <c r="EG172" t="s">
        <v>24</v>
      </c>
      <c r="EH172">
        <v>0</v>
      </c>
      <c r="EI172" t="s">
        <v>3</v>
      </c>
      <c r="EJ172">
        <v>4</v>
      </c>
      <c r="EK172">
        <v>1</v>
      </c>
      <c r="EL172" t="s">
        <v>42</v>
      </c>
      <c r="EM172" t="s">
        <v>26</v>
      </c>
      <c r="EO172" t="s">
        <v>3</v>
      </c>
      <c r="EQ172">
        <v>0</v>
      </c>
      <c r="ER172">
        <v>29.58</v>
      </c>
      <c r="ES172">
        <v>0</v>
      </c>
      <c r="ET172">
        <v>29.58</v>
      </c>
      <c r="EU172">
        <v>17.54</v>
      </c>
      <c r="EV172">
        <v>0</v>
      </c>
      <c r="EW172">
        <v>0</v>
      </c>
      <c r="EX172">
        <v>0</v>
      </c>
      <c r="EY172">
        <v>0</v>
      </c>
      <c r="FQ172">
        <v>0</v>
      </c>
      <c r="FR172">
        <f t="shared" si="157"/>
        <v>0</v>
      </c>
      <c r="FS172">
        <v>0</v>
      </c>
      <c r="FX172">
        <v>0</v>
      </c>
      <c r="FY172">
        <v>0</v>
      </c>
      <c r="GA172" t="s">
        <v>3</v>
      </c>
      <c r="GD172">
        <v>1</v>
      </c>
      <c r="GF172">
        <v>-576512497</v>
      </c>
      <c r="GG172">
        <v>2</v>
      </c>
      <c r="GH172">
        <v>1</v>
      </c>
      <c r="GI172">
        <v>-2</v>
      </c>
      <c r="GJ172">
        <v>0</v>
      </c>
      <c r="GK172">
        <v>0</v>
      </c>
      <c r="GL172">
        <f t="shared" si="158"/>
        <v>0</v>
      </c>
      <c r="GM172">
        <f>ROUND(O172+X172+Y172,2)+GX172</f>
        <v>964.07</v>
      </c>
      <c r="GN172">
        <f>IF(OR(BI172=0,BI172=1),ROUND(O172+X172+Y172,2),0)</f>
        <v>0</v>
      </c>
      <c r="GO172">
        <f>IF(BI172=2,ROUND(O172+X172+Y172,2),0)</f>
        <v>0</v>
      </c>
      <c r="GP172">
        <f>IF(BI172=4,ROUND(O172+X172+Y172,2)+GX172,0)</f>
        <v>964.07</v>
      </c>
      <c r="GR172">
        <v>0</v>
      </c>
      <c r="GS172">
        <v>3</v>
      </c>
      <c r="GT172">
        <v>0</v>
      </c>
      <c r="GU172" t="s">
        <v>3</v>
      </c>
      <c r="GV172">
        <f t="shared" si="159"/>
        <v>0</v>
      </c>
      <c r="GW172">
        <v>1</v>
      </c>
      <c r="GX172">
        <f t="shared" si="160"/>
        <v>0</v>
      </c>
      <c r="HA172">
        <v>0</v>
      </c>
      <c r="HB172">
        <v>0</v>
      </c>
      <c r="HC172">
        <f t="shared" si="161"/>
        <v>0</v>
      </c>
      <c r="HE172" t="s">
        <v>3</v>
      </c>
      <c r="HF172" t="s">
        <v>3</v>
      </c>
      <c r="IK172">
        <v>0</v>
      </c>
    </row>
    <row r="173" spans="1:245" x14ac:dyDescent="0.2">
      <c r="A173">
        <v>17</v>
      </c>
      <c r="B173">
        <v>1</v>
      </c>
      <c r="E173" t="s">
        <v>202</v>
      </c>
      <c r="F173" t="s">
        <v>53</v>
      </c>
      <c r="G173" t="s">
        <v>54</v>
      </c>
      <c r="H173" t="s">
        <v>30</v>
      </c>
      <c r="I173">
        <f>ROUND(I172,9)</f>
        <v>2.0369999999999999</v>
      </c>
      <c r="J173">
        <v>0</v>
      </c>
      <c r="O173">
        <f t="shared" si="128"/>
        <v>403.24</v>
      </c>
      <c r="P173">
        <f t="shared" si="129"/>
        <v>403.24</v>
      </c>
      <c r="Q173">
        <f t="shared" si="130"/>
        <v>0</v>
      </c>
      <c r="R173">
        <f t="shared" si="131"/>
        <v>0</v>
      </c>
      <c r="S173">
        <f t="shared" si="132"/>
        <v>0</v>
      </c>
      <c r="T173">
        <f t="shared" si="133"/>
        <v>0</v>
      </c>
      <c r="U173">
        <f t="shared" si="134"/>
        <v>0</v>
      </c>
      <c r="V173">
        <f t="shared" si="135"/>
        <v>0</v>
      </c>
      <c r="W173">
        <f t="shared" si="136"/>
        <v>0</v>
      </c>
      <c r="X173">
        <f t="shared" si="137"/>
        <v>0</v>
      </c>
      <c r="Y173">
        <f t="shared" si="138"/>
        <v>0</v>
      </c>
      <c r="AA173">
        <v>38214492</v>
      </c>
      <c r="AB173">
        <f t="shared" si="139"/>
        <v>197.96</v>
      </c>
      <c r="AC173">
        <f>ROUND((ES173),6)</f>
        <v>197.96</v>
      </c>
      <c r="AD173">
        <f>ROUND((((ET173)-(EU173))+AE173),6)</f>
        <v>0</v>
      </c>
      <c r="AE173">
        <f t="shared" ref="AE173:AF175" si="162">ROUND((EU173),6)</f>
        <v>0</v>
      </c>
      <c r="AF173">
        <f t="shared" si="162"/>
        <v>0</v>
      </c>
      <c r="AG173">
        <f t="shared" si="143"/>
        <v>0</v>
      </c>
      <c r="AH173">
        <f t="shared" ref="AH173:AI175" si="163">(EW173)</f>
        <v>0</v>
      </c>
      <c r="AI173">
        <f t="shared" si="163"/>
        <v>0</v>
      </c>
      <c r="AJ173">
        <f t="shared" si="145"/>
        <v>0</v>
      </c>
      <c r="AK173">
        <v>197.96</v>
      </c>
      <c r="AL173">
        <v>197.96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70</v>
      </c>
      <c r="AU173">
        <v>10</v>
      </c>
      <c r="AV173">
        <v>1</v>
      </c>
      <c r="AW173">
        <v>1</v>
      </c>
      <c r="AZ173">
        <v>1</v>
      </c>
      <c r="BA173">
        <v>1</v>
      </c>
      <c r="BB173">
        <v>1</v>
      </c>
      <c r="BC173">
        <v>1</v>
      </c>
      <c r="BD173" t="s">
        <v>3</v>
      </c>
      <c r="BE173" t="s">
        <v>3</v>
      </c>
      <c r="BF173" t="s">
        <v>3</v>
      </c>
      <c r="BG173" t="s">
        <v>3</v>
      </c>
      <c r="BH173">
        <v>3</v>
      </c>
      <c r="BI173">
        <v>4</v>
      </c>
      <c r="BJ173" t="s">
        <v>55</v>
      </c>
      <c r="BM173">
        <v>0</v>
      </c>
      <c r="BN173">
        <v>0</v>
      </c>
      <c r="BO173" t="s">
        <v>3</v>
      </c>
      <c r="BP173">
        <v>0</v>
      </c>
      <c r="BQ173">
        <v>1</v>
      </c>
      <c r="BR173">
        <v>0</v>
      </c>
      <c r="BS173">
        <v>1</v>
      </c>
      <c r="BT173">
        <v>1</v>
      </c>
      <c r="BU173">
        <v>1</v>
      </c>
      <c r="BV173">
        <v>1</v>
      </c>
      <c r="BW173">
        <v>1</v>
      </c>
      <c r="BX173">
        <v>1</v>
      </c>
      <c r="BY173" t="s">
        <v>3</v>
      </c>
      <c r="BZ173">
        <v>70</v>
      </c>
      <c r="CA173">
        <v>10</v>
      </c>
      <c r="CE173">
        <v>0</v>
      </c>
      <c r="CF173">
        <v>0</v>
      </c>
      <c r="CG173">
        <v>0</v>
      </c>
      <c r="CM173">
        <v>0</v>
      </c>
      <c r="CN173" t="s">
        <v>3</v>
      </c>
      <c r="CO173">
        <v>0</v>
      </c>
      <c r="CP173">
        <f t="shared" si="146"/>
        <v>403.24</v>
      </c>
      <c r="CQ173">
        <f t="shared" si="147"/>
        <v>197.96</v>
      </c>
      <c r="CR173">
        <f>((((ET173)*BB173-(EU173)*BS173)+AE173*BS173)*AV173)</f>
        <v>0</v>
      </c>
      <c r="CS173">
        <f t="shared" si="149"/>
        <v>0</v>
      </c>
      <c r="CT173">
        <f t="shared" si="150"/>
        <v>0</v>
      </c>
      <c r="CU173">
        <f t="shared" si="151"/>
        <v>0</v>
      </c>
      <c r="CV173">
        <f t="shared" si="152"/>
        <v>0</v>
      </c>
      <c r="CW173">
        <f t="shared" si="153"/>
        <v>0</v>
      </c>
      <c r="CX173">
        <f t="shared" si="154"/>
        <v>0</v>
      </c>
      <c r="CY173">
        <f t="shared" si="155"/>
        <v>0</v>
      </c>
      <c r="CZ173">
        <f t="shared" si="156"/>
        <v>0</v>
      </c>
      <c r="DC173" t="s">
        <v>3</v>
      </c>
      <c r="DD173" t="s">
        <v>3</v>
      </c>
      <c r="DE173" t="s">
        <v>3</v>
      </c>
      <c r="DF173" t="s">
        <v>3</v>
      </c>
      <c r="DG173" t="s">
        <v>3</v>
      </c>
      <c r="DH173" t="s">
        <v>3</v>
      </c>
      <c r="DI173" t="s">
        <v>3</v>
      </c>
      <c r="DJ173" t="s">
        <v>3</v>
      </c>
      <c r="DK173" t="s">
        <v>3</v>
      </c>
      <c r="DL173" t="s">
        <v>3</v>
      </c>
      <c r="DM173" t="s">
        <v>3</v>
      </c>
      <c r="DN173">
        <v>0</v>
      </c>
      <c r="DO173">
        <v>0</v>
      </c>
      <c r="DP173">
        <v>1</v>
      </c>
      <c r="DQ173">
        <v>1</v>
      </c>
      <c r="DU173">
        <v>1009</v>
      </c>
      <c r="DV173" t="s">
        <v>30</v>
      </c>
      <c r="DW173" t="s">
        <v>30</v>
      </c>
      <c r="DX173">
        <v>1000</v>
      </c>
      <c r="EE173">
        <v>38628631</v>
      </c>
      <c r="EF173">
        <v>1</v>
      </c>
      <c r="EG173" t="s">
        <v>24</v>
      </c>
      <c r="EH173">
        <v>0</v>
      </c>
      <c r="EI173" t="s">
        <v>3</v>
      </c>
      <c r="EJ173">
        <v>4</v>
      </c>
      <c r="EK173">
        <v>0</v>
      </c>
      <c r="EL173" t="s">
        <v>25</v>
      </c>
      <c r="EM173" t="s">
        <v>26</v>
      </c>
      <c r="EO173" t="s">
        <v>3</v>
      </c>
      <c r="EQ173">
        <v>0</v>
      </c>
      <c r="ER173">
        <v>197.96</v>
      </c>
      <c r="ES173">
        <v>197.96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FQ173">
        <v>0</v>
      </c>
      <c r="FR173">
        <f t="shared" si="157"/>
        <v>0</v>
      </c>
      <c r="FS173">
        <v>0</v>
      </c>
      <c r="FX173">
        <v>70</v>
      </c>
      <c r="FY173">
        <v>10</v>
      </c>
      <c r="GA173" t="s">
        <v>3</v>
      </c>
      <c r="GD173">
        <v>0</v>
      </c>
      <c r="GF173">
        <v>-1219268023</v>
      </c>
      <c r="GG173">
        <v>2</v>
      </c>
      <c r="GH173">
        <v>1</v>
      </c>
      <c r="GI173">
        <v>-2</v>
      </c>
      <c r="GJ173">
        <v>0</v>
      </c>
      <c r="GK173">
        <f>ROUND(R173*(R12)/100,2)</f>
        <v>0</v>
      </c>
      <c r="GL173">
        <f t="shared" si="158"/>
        <v>0</v>
      </c>
      <c r="GM173">
        <f>ROUND(O173+X173+Y173+GK173,2)+GX173</f>
        <v>403.24</v>
      </c>
      <c r="GN173">
        <f>IF(OR(BI173=0,BI173=1),ROUND(O173+X173+Y173+GK173,2),0)</f>
        <v>0</v>
      </c>
      <c r="GO173">
        <f>IF(BI173=2,ROUND(O173+X173+Y173+GK173,2),0)</f>
        <v>0</v>
      </c>
      <c r="GP173">
        <f>IF(BI173=4,ROUND(O173+X173+Y173+GK173,2)+GX173,0)</f>
        <v>403.24</v>
      </c>
      <c r="GR173">
        <v>0</v>
      </c>
      <c r="GS173">
        <v>3</v>
      </c>
      <c r="GT173">
        <v>0</v>
      </c>
      <c r="GU173" t="s">
        <v>3</v>
      </c>
      <c r="GV173">
        <f t="shared" si="159"/>
        <v>0</v>
      </c>
      <c r="GW173">
        <v>1</v>
      </c>
      <c r="GX173">
        <f t="shared" si="160"/>
        <v>0</v>
      </c>
      <c r="HA173">
        <v>0</v>
      </c>
      <c r="HB173">
        <v>0</v>
      </c>
      <c r="HC173">
        <f t="shared" si="161"/>
        <v>0</v>
      </c>
      <c r="HE173" t="s">
        <v>3</v>
      </c>
      <c r="HF173" t="s">
        <v>3</v>
      </c>
      <c r="IK173">
        <v>0</v>
      </c>
    </row>
    <row r="174" spans="1:245" x14ac:dyDescent="0.2">
      <c r="A174">
        <v>17</v>
      </c>
      <c r="B174">
        <v>1</v>
      </c>
      <c r="E174" t="s">
        <v>203</v>
      </c>
      <c r="F174" t="s">
        <v>204</v>
      </c>
      <c r="G174" t="s">
        <v>205</v>
      </c>
      <c r="H174" t="s">
        <v>206</v>
      </c>
      <c r="I174">
        <v>0</v>
      </c>
      <c r="J174">
        <v>0</v>
      </c>
      <c r="O174">
        <f t="shared" si="128"/>
        <v>0</v>
      </c>
      <c r="P174">
        <f t="shared" si="129"/>
        <v>0</v>
      </c>
      <c r="Q174">
        <f t="shared" si="130"/>
        <v>0</v>
      </c>
      <c r="R174">
        <f t="shared" si="131"/>
        <v>0</v>
      </c>
      <c r="S174">
        <f t="shared" si="132"/>
        <v>0</v>
      </c>
      <c r="T174">
        <f t="shared" si="133"/>
        <v>0</v>
      </c>
      <c r="U174">
        <f t="shared" si="134"/>
        <v>0</v>
      </c>
      <c r="V174">
        <f t="shared" si="135"/>
        <v>0</v>
      </c>
      <c r="W174">
        <f t="shared" si="136"/>
        <v>0</v>
      </c>
      <c r="X174">
        <f t="shared" si="137"/>
        <v>0</v>
      </c>
      <c r="Y174">
        <f t="shared" si="138"/>
        <v>0</v>
      </c>
      <c r="AA174">
        <v>38214492</v>
      </c>
      <c r="AB174">
        <f t="shared" si="139"/>
        <v>59.29</v>
      </c>
      <c r="AC174">
        <f>ROUND((ES174),6)</f>
        <v>0</v>
      </c>
      <c r="AD174">
        <f>ROUND((((ET174)-(EU174))+AE174),6)</f>
        <v>59.29</v>
      </c>
      <c r="AE174">
        <f t="shared" si="162"/>
        <v>44.76</v>
      </c>
      <c r="AF174">
        <f t="shared" si="162"/>
        <v>0</v>
      </c>
      <c r="AG174">
        <f t="shared" si="143"/>
        <v>0</v>
      </c>
      <c r="AH174">
        <f t="shared" si="163"/>
        <v>0</v>
      </c>
      <c r="AI174">
        <f t="shared" si="163"/>
        <v>0</v>
      </c>
      <c r="AJ174">
        <f t="shared" si="145"/>
        <v>0</v>
      </c>
      <c r="AK174">
        <v>59.29</v>
      </c>
      <c r="AL174">
        <v>0</v>
      </c>
      <c r="AM174">
        <v>59.29</v>
      </c>
      <c r="AN174">
        <v>44.76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70</v>
      </c>
      <c r="AU174">
        <v>10</v>
      </c>
      <c r="AV174">
        <v>1</v>
      </c>
      <c r="AW174">
        <v>1</v>
      </c>
      <c r="AZ174">
        <v>1</v>
      </c>
      <c r="BA174">
        <v>1</v>
      </c>
      <c r="BB174">
        <v>1</v>
      </c>
      <c r="BC174">
        <v>1</v>
      </c>
      <c r="BD174" t="s">
        <v>3</v>
      </c>
      <c r="BE174" t="s">
        <v>3</v>
      </c>
      <c r="BF174" t="s">
        <v>3</v>
      </c>
      <c r="BG174" t="s">
        <v>3</v>
      </c>
      <c r="BH174">
        <v>0</v>
      </c>
      <c r="BI174">
        <v>4</v>
      </c>
      <c r="BJ174" t="s">
        <v>207</v>
      </c>
      <c r="BM174">
        <v>0</v>
      </c>
      <c r="BN174">
        <v>0</v>
      </c>
      <c r="BO174" t="s">
        <v>3</v>
      </c>
      <c r="BP174">
        <v>0</v>
      </c>
      <c r="BQ174">
        <v>1</v>
      </c>
      <c r="BR174">
        <v>0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 t="s">
        <v>3</v>
      </c>
      <c r="BZ174">
        <v>70</v>
      </c>
      <c r="CA174">
        <v>10</v>
      </c>
      <c r="CE174">
        <v>0</v>
      </c>
      <c r="CF174">
        <v>0</v>
      </c>
      <c r="CG174">
        <v>0</v>
      </c>
      <c r="CM174">
        <v>0</v>
      </c>
      <c r="CN174" t="s">
        <v>3</v>
      </c>
      <c r="CO174">
        <v>0</v>
      </c>
      <c r="CP174">
        <f t="shared" si="146"/>
        <v>0</v>
      </c>
      <c r="CQ174">
        <f t="shared" si="147"/>
        <v>0</v>
      </c>
      <c r="CR174">
        <f>((((ET174)*BB174-(EU174)*BS174)+AE174*BS174)*AV174)</f>
        <v>59.29</v>
      </c>
      <c r="CS174">
        <f t="shared" si="149"/>
        <v>44.76</v>
      </c>
      <c r="CT174">
        <f t="shared" si="150"/>
        <v>0</v>
      </c>
      <c r="CU174">
        <f t="shared" si="151"/>
        <v>0</v>
      </c>
      <c r="CV174">
        <f t="shared" si="152"/>
        <v>0</v>
      </c>
      <c r="CW174">
        <f t="shared" si="153"/>
        <v>0</v>
      </c>
      <c r="CX174">
        <f t="shared" si="154"/>
        <v>0</v>
      </c>
      <c r="CY174">
        <f t="shared" si="155"/>
        <v>0</v>
      </c>
      <c r="CZ174">
        <f t="shared" si="156"/>
        <v>0</v>
      </c>
      <c r="DC174" t="s">
        <v>3</v>
      </c>
      <c r="DD174" t="s">
        <v>3</v>
      </c>
      <c r="DE174" t="s">
        <v>3</v>
      </c>
      <c r="DF174" t="s">
        <v>3</v>
      </c>
      <c r="DG174" t="s">
        <v>3</v>
      </c>
      <c r="DH174" t="s">
        <v>3</v>
      </c>
      <c r="DI174" t="s">
        <v>3</v>
      </c>
      <c r="DJ174" t="s">
        <v>3</v>
      </c>
      <c r="DK174" t="s">
        <v>3</v>
      </c>
      <c r="DL174" t="s">
        <v>3</v>
      </c>
      <c r="DM174" t="s">
        <v>3</v>
      </c>
      <c r="DN174">
        <v>0</v>
      </c>
      <c r="DO174">
        <v>0</v>
      </c>
      <c r="DP174">
        <v>1</v>
      </c>
      <c r="DQ174">
        <v>1</v>
      </c>
      <c r="DU174">
        <v>1007</v>
      </c>
      <c r="DV174" t="s">
        <v>206</v>
      </c>
      <c r="DW174" t="s">
        <v>206</v>
      </c>
      <c r="DX174">
        <v>1</v>
      </c>
      <c r="EE174">
        <v>38628631</v>
      </c>
      <c r="EF174">
        <v>1</v>
      </c>
      <c r="EG174" t="s">
        <v>24</v>
      </c>
      <c r="EH174">
        <v>0</v>
      </c>
      <c r="EI174" t="s">
        <v>3</v>
      </c>
      <c r="EJ174">
        <v>4</v>
      </c>
      <c r="EK174">
        <v>0</v>
      </c>
      <c r="EL174" t="s">
        <v>25</v>
      </c>
      <c r="EM174" t="s">
        <v>26</v>
      </c>
      <c r="EO174" t="s">
        <v>3</v>
      </c>
      <c r="EQ174">
        <v>0</v>
      </c>
      <c r="ER174">
        <v>59.29</v>
      </c>
      <c r="ES174">
        <v>0</v>
      </c>
      <c r="ET174">
        <v>59.29</v>
      </c>
      <c r="EU174">
        <v>44.76</v>
      </c>
      <c r="EV174">
        <v>0</v>
      </c>
      <c r="EW174">
        <v>0</v>
      </c>
      <c r="EX174">
        <v>0</v>
      </c>
      <c r="EY174">
        <v>0</v>
      </c>
      <c r="FQ174">
        <v>0</v>
      </c>
      <c r="FR174">
        <f t="shared" si="157"/>
        <v>0</v>
      </c>
      <c r="FS174">
        <v>0</v>
      </c>
      <c r="FX174">
        <v>70</v>
      </c>
      <c r="FY174">
        <v>10</v>
      </c>
      <c r="GA174" t="s">
        <v>3</v>
      </c>
      <c r="GD174">
        <v>1</v>
      </c>
      <c r="GF174">
        <v>10906184</v>
      </c>
      <c r="GG174">
        <v>2</v>
      </c>
      <c r="GH174">
        <v>1</v>
      </c>
      <c r="GI174">
        <v>-2</v>
      </c>
      <c r="GJ174">
        <v>0</v>
      </c>
      <c r="GK174">
        <v>0</v>
      </c>
      <c r="GL174">
        <f t="shared" si="158"/>
        <v>0</v>
      </c>
      <c r="GM174">
        <f>ROUND(O174+X174+Y174,2)+GX174</f>
        <v>0</v>
      </c>
      <c r="GN174">
        <f>IF(OR(BI174=0,BI174=1),ROUND(O174+X174+Y174,2),0)</f>
        <v>0</v>
      </c>
      <c r="GO174">
        <f>IF(BI174=2,ROUND(O174+X174+Y174,2),0)</f>
        <v>0</v>
      </c>
      <c r="GP174">
        <f>IF(BI174=4,ROUND(O174+X174+Y174,2)+GX174,0)</f>
        <v>0</v>
      </c>
      <c r="GR174">
        <v>0</v>
      </c>
      <c r="GS174">
        <v>0</v>
      </c>
      <c r="GT174">
        <v>0</v>
      </c>
      <c r="GU174" t="s">
        <v>3</v>
      </c>
      <c r="GV174">
        <f t="shared" si="159"/>
        <v>0</v>
      </c>
      <c r="GW174">
        <v>1</v>
      </c>
      <c r="GX174">
        <f t="shared" si="160"/>
        <v>0</v>
      </c>
      <c r="HA174">
        <v>0</v>
      </c>
      <c r="HB174">
        <v>0</v>
      </c>
      <c r="HC174">
        <f t="shared" si="161"/>
        <v>0</v>
      </c>
      <c r="HE174" t="s">
        <v>3</v>
      </c>
      <c r="HF174" t="s">
        <v>3</v>
      </c>
      <c r="IK174">
        <v>0</v>
      </c>
    </row>
    <row r="175" spans="1:245" x14ac:dyDescent="0.2">
      <c r="A175">
        <v>17</v>
      </c>
      <c r="B175">
        <v>1</v>
      </c>
      <c r="E175" t="s">
        <v>208</v>
      </c>
      <c r="F175" t="s">
        <v>209</v>
      </c>
      <c r="G175" t="s">
        <v>210</v>
      </c>
      <c r="H175" t="s">
        <v>30</v>
      </c>
      <c r="I175">
        <v>0</v>
      </c>
      <c r="J175">
        <v>0</v>
      </c>
      <c r="O175">
        <f t="shared" si="128"/>
        <v>0</v>
      </c>
      <c r="P175">
        <f t="shared" si="129"/>
        <v>0</v>
      </c>
      <c r="Q175">
        <f t="shared" si="130"/>
        <v>0</v>
      </c>
      <c r="R175">
        <f t="shared" si="131"/>
        <v>0</v>
      </c>
      <c r="S175">
        <f t="shared" si="132"/>
        <v>0</v>
      </c>
      <c r="T175">
        <f t="shared" si="133"/>
        <v>0</v>
      </c>
      <c r="U175">
        <f t="shared" si="134"/>
        <v>0</v>
      </c>
      <c r="V175">
        <f t="shared" si="135"/>
        <v>0</v>
      </c>
      <c r="W175">
        <f t="shared" si="136"/>
        <v>0</v>
      </c>
      <c r="X175">
        <f t="shared" si="137"/>
        <v>0</v>
      </c>
      <c r="Y175">
        <f t="shared" si="138"/>
        <v>0</v>
      </c>
      <c r="AA175">
        <v>38214492</v>
      </c>
      <c r="AB175">
        <f t="shared" si="139"/>
        <v>96.08</v>
      </c>
      <c r="AC175">
        <f>ROUND((ES175),6)</f>
        <v>96.08</v>
      </c>
      <c r="AD175">
        <f>ROUND((((ET175)-(EU175))+AE175),6)</f>
        <v>0</v>
      </c>
      <c r="AE175">
        <f t="shared" si="162"/>
        <v>0</v>
      </c>
      <c r="AF175">
        <f t="shared" si="162"/>
        <v>0</v>
      </c>
      <c r="AG175">
        <f t="shared" si="143"/>
        <v>0</v>
      </c>
      <c r="AH175">
        <f t="shared" si="163"/>
        <v>0</v>
      </c>
      <c r="AI175">
        <f t="shared" si="163"/>
        <v>0</v>
      </c>
      <c r="AJ175">
        <f t="shared" si="145"/>
        <v>0</v>
      </c>
      <c r="AK175">
        <v>96.08</v>
      </c>
      <c r="AL175">
        <v>96.08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70</v>
      </c>
      <c r="AU175">
        <v>10</v>
      </c>
      <c r="AV175">
        <v>1</v>
      </c>
      <c r="AW175">
        <v>1</v>
      </c>
      <c r="AZ175">
        <v>1</v>
      </c>
      <c r="BA175">
        <v>1</v>
      </c>
      <c r="BB175">
        <v>1</v>
      </c>
      <c r="BC175">
        <v>1</v>
      </c>
      <c r="BD175" t="s">
        <v>3</v>
      </c>
      <c r="BE175" t="s">
        <v>3</v>
      </c>
      <c r="BF175" t="s">
        <v>3</v>
      </c>
      <c r="BG175" t="s">
        <v>3</v>
      </c>
      <c r="BH175">
        <v>3</v>
      </c>
      <c r="BI175">
        <v>4</v>
      </c>
      <c r="BJ175" t="s">
        <v>211</v>
      </c>
      <c r="BM175">
        <v>0</v>
      </c>
      <c r="BN175">
        <v>0</v>
      </c>
      <c r="BO175" t="s">
        <v>3</v>
      </c>
      <c r="BP175">
        <v>0</v>
      </c>
      <c r="BQ175">
        <v>1</v>
      </c>
      <c r="BR175">
        <v>0</v>
      </c>
      <c r="BS175">
        <v>1</v>
      </c>
      <c r="BT175">
        <v>1</v>
      </c>
      <c r="BU175">
        <v>1</v>
      </c>
      <c r="BV175">
        <v>1</v>
      </c>
      <c r="BW175">
        <v>1</v>
      </c>
      <c r="BX175">
        <v>1</v>
      </c>
      <c r="BY175" t="s">
        <v>3</v>
      </c>
      <c r="BZ175">
        <v>70</v>
      </c>
      <c r="CA175">
        <v>10</v>
      </c>
      <c r="CE175">
        <v>0</v>
      </c>
      <c r="CF175">
        <v>0</v>
      </c>
      <c r="CG175">
        <v>0</v>
      </c>
      <c r="CM175">
        <v>0</v>
      </c>
      <c r="CN175" t="s">
        <v>3</v>
      </c>
      <c r="CO175">
        <v>0</v>
      </c>
      <c r="CP175">
        <f t="shared" si="146"/>
        <v>0</v>
      </c>
      <c r="CQ175">
        <f t="shared" si="147"/>
        <v>96.08</v>
      </c>
      <c r="CR175">
        <f>((((ET175)*BB175-(EU175)*BS175)+AE175*BS175)*AV175)</f>
        <v>0</v>
      </c>
      <c r="CS175">
        <f t="shared" si="149"/>
        <v>0</v>
      </c>
      <c r="CT175">
        <f t="shared" si="150"/>
        <v>0</v>
      </c>
      <c r="CU175">
        <f t="shared" si="151"/>
        <v>0</v>
      </c>
      <c r="CV175">
        <f t="shared" si="152"/>
        <v>0</v>
      </c>
      <c r="CW175">
        <f t="shared" si="153"/>
        <v>0</v>
      </c>
      <c r="CX175">
        <f t="shared" si="154"/>
        <v>0</v>
      </c>
      <c r="CY175">
        <f t="shared" si="155"/>
        <v>0</v>
      </c>
      <c r="CZ175">
        <f t="shared" si="156"/>
        <v>0</v>
      </c>
      <c r="DC175" t="s">
        <v>3</v>
      </c>
      <c r="DD175" t="s">
        <v>3</v>
      </c>
      <c r="DE175" t="s">
        <v>3</v>
      </c>
      <c r="DF175" t="s">
        <v>3</v>
      </c>
      <c r="DG175" t="s">
        <v>3</v>
      </c>
      <c r="DH175" t="s">
        <v>3</v>
      </c>
      <c r="DI175" t="s">
        <v>3</v>
      </c>
      <c r="DJ175" t="s">
        <v>3</v>
      </c>
      <c r="DK175" t="s">
        <v>3</v>
      </c>
      <c r="DL175" t="s">
        <v>3</v>
      </c>
      <c r="DM175" t="s">
        <v>3</v>
      </c>
      <c r="DN175">
        <v>0</v>
      </c>
      <c r="DO175">
        <v>0</v>
      </c>
      <c r="DP175">
        <v>1</v>
      </c>
      <c r="DQ175">
        <v>1</v>
      </c>
      <c r="DU175">
        <v>1009</v>
      </c>
      <c r="DV175" t="s">
        <v>30</v>
      </c>
      <c r="DW175" t="s">
        <v>30</v>
      </c>
      <c r="DX175">
        <v>1000</v>
      </c>
      <c r="EE175">
        <v>38628631</v>
      </c>
      <c r="EF175">
        <v>1</v>
      </c>
      <c r="EG175" t="s">
        <v>24</v>
      </c>
      <c r="EH175">
        <v>0</v>
      </c>
      <c r="EI175" t="s">
        <v>3</v>
      </c>
      <c r="EJ175">
        <v>4</v>
      </c>
      <c r="EK175">
        <v>0</v>
      </c>
      <c r="EL175" t="s">
        <v>25</v>
      </c>
      <c r="EM175" t="s">
        <v>26</v>
      </c>
      <c r="EO175" t="s">
        <v>3</v>
      </c>
      <c r="EQ175">
        <v>0</v>
      </c>
      <c r="ER175">
        <v>96.08</v>
      </c>
      <c r="ES175">
        <v>96.08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FQ175">
        <v>0</v>
      </c>
      <c r="FR175">
        <f t="shared" si="157"/>
        <v>0</v>
      </c>
      <c r="FS175">
        <v>0</v>
      </c>
      <c r="FX175">
        <v>70</v>
      </c>
      <c r="FY175">
        <v>10</v>
      </c>
      <c r="GA175" t="s">
        <v>3</v>
      </c>
      <c r="GD175">
        <v>0</v>
      </c>
      <c r="GF175">
        <v>-1286717690</v>
      </c>
      <c r="GG175">
        <v>2</v>
      </c>
      <c r="GH175">
        <v>1</v>
      </c>
      <c r="GI175">
        <v>-2</v>
      </c>
      <c r="GJ175">
        <v>0</v>
      </c>
      <c r="GK175">
        <f>ROUND(R175*(R12)/100,2)</f>
        <v>0</v>
      </c>
      <c r="GL175">
        <f t="shared" si="158"/>
        <v>0</v>
      </c>
      <c r="GM175">
        <f>ROUND(O175+X175+Y175+GK175,2)+GX175</f>
        <v>0</v>
      </c>
      <c r="GN175">
        <f>IF(OR(BI175=0,BI175=1),ROUND(O175+X175+Y175+GK175,2),0)</f>
        <v>0</v>
      </c>
      <c r="GO175">
        <f>IF(BI175=2,ROUND(O175+X175+Y175+GK175,2),0)</f>
        <v>0</v>
      </c>
      <c r="GP175">
        <f>IF(BI175=4,ROUND(O175+X175+Y175+GK175,2)+GX175,0)</f>
        <v>0</v>
      </c>
      <c r="GR175">
        <v>0</v>
      </c>
      <c r="GS175">
        <v>0</v>
      </c>
      <c r="GT175">
        <v>0</v>
      </c>
      <c r="GU175" t="s">
        <v>3</v>
      </c>
      <c r="GV175">
        <f t="shared" si="159"/>
        <v>0</v>
      </c>
      <c r="GW175">
        <v>1</v>
      </c>
      <c r="GX175">
        <f t="shared" si="160"/>
        <v>0</v>
      </c>
      <c r="HA175">
        <v>0</v>
      </c>
      <c r="HB175">
        <v>0</v>
      </c>
      <c r="HC175">
        <f t="shared" si="161"/>
        <v>0</v>
      </c>
      <c r="HE175" t="s">
        <v>3</v>
      </c>
      <c r="HF175" t="s">
        <v>3</v>
      </c>
      <c r="IK175">
        <v>0</v>
      </c>
    </row>
    <row r="176" spans="1:245" x14ac:dyDescent="0.2">
      <c r="A176">
        <v>17</v>
      </c>
      <c r="B176">
        <v>1</v>
      </c>
      <c r="E176" t="s">
        <v>212</v>
      </c>
      <c r="F176" t="s">
        <v>213</v>
      </c>
      <c r="G176" t="s">
        <v>214</v>
      </c>
      <c r="H176" t="s">
        <v>206</v>
      </c>
      <c r="I176">
        <f>ROUND(I174,9)</f>
        <v>0</v>
      </c>
      <c r="J176">
        <v>0</v>
      </c>
      <c r="O176">
        <f t="shared" si="128"/>
        <v>0</v>
      </c>
      <c r="P176">
        <f t="shared" si="129"/>
        <v>0</v>
      </c>
      <c r="Q176">
        <f t="shared" si="130"/>
        <v>0</v>
      </c>
      <c r="R176">
        <f t="shared" si="131"/>
        <v>0</v>
      </c>
      <c r="S176">
        <f t="shared" si="132"/>
        <v>0</v>
      </c>
      <c r="T176">
        <f t="shared" si="133"/>
        <v>0</v>
      </c>
      <c r="U176">
        <f t="shared" si="134"/>
        <v>0</v>
      </c>
      <c r="V176">
        <f t="shared" si="135"/>
        <v>0</v>
      </c>
      <c r="W176">
        <f t="shared" si="136"/>
        <v>0</v>
      </c>
      <c r="X176">
        <f t="shared" si="137"/>
        <v>0</v>
      </c>
      <c r="Y176">
        <f t="shared" si="138"/>
        <v>0</v>
      </c>
      <c r="AA176">
        <v>38214492</v>
      </c>
      <c r="AB176">
        <f t="shared" si="139"/>
        <v>765.2</v>
      </c>
      <c r="AC176">
        <f>ROUND(((ES176*40)),6)</f>
        <v>0</v>
      </c>
      <c r="AD176">
        <f>ROUND(((((ET176*40))-((EU176*40)))+AE176),6)</f>
        <v>765.2</v>
      </c>
      <c r="AE176">
        <f>ROUND(((EU176*40)),6)</f>
        <v>577.6</v>
      </c>
      <c r="AF176">
        <f>ROUND(((EV176*40)),6)</f>
        <v>0</v>
      </c>
      <c r="AG176">
        <f t="shared" si="143"/>
        <v>0</v>
      </c>
      <c r="AH176">
        <f>((EW176*40))</f>
        <v>0</v>
      </c>
      <c r="AI176">
        <f>((EX176*40))</f>
        <v>0</v>
      </c>
      <c r="AJ176">
        <f t="shared" si="145"/>
        <v>0</v>
      </c>
      <c r="AK176">
        <v>19.13</v>
      </c>
      <c r="AL176">
        <v>0</v>
      </c>
      <c r="AM176">
        <v>19.13</v>
      </c>
      <c r="AN176">
        <v>14.44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70</v>
      </c>
      <c r="AU176">
        <v>10</v>
      </c>
      <c r="AV176">
        <v>1</v>
      </c>
      <c r="AW176">
        <v>1</v>
      </c>
      <c r="AZ176">
        <v>1</v>
      </c>
      <c r="BA176">
        <v>1</v>
      </c>
      <c r="BB176">
        <v>1</v>
      </c>
      <c r="BC176">
        <v>1</v>
      </c>
      <c r="BD176" t="s">
        <v>3</v>
      </c>
      <c r="BE176" t="s">
        <v>3</v>
      </c>
      <c r="BF176" t="s">
        <v>3</v>
      </c>
      <c r="BG176" t="s">
        <v>3</v>
      </c>
      <c r="BH176">
        <v>0</v>
      </c>
      <c r="BI176">
        <v>4</v>
      </c>
      <c r="BJ176" t="s">
        <v>215</v>
      </c>
      <c r="BM176">
        <v>0</v>
      </c>
      <c r="BN176">
        <v>0</v>
      </c>
      <c r="BO176" t="s">
        <v>3</v>
      </c>
      <c r="BP176">
        <v>0</v>
      </c>
      <c r="BQ176">
        <v>1</v>
      </c>
      <c r="BR176">
        <v>0</v>
      </c>
      <c r="BS176">
        <v>1</v>
      </c>
      <c r="BT176">
        <v>1</v>
      </c>
      <c r="BU176">
        <v>1</v>
      </c>
      <c r="BV176">
        <v>1</v>
      </c>
      <c r="BW176">
        <v>1</v>
      </c>
      <c r="BX176">
        <v>1</v>
      </c>
      <c r="BY176" t="s">
        <v>3</v>
      </c>
      <c r="BZ176">
        <v>70</v>
      </c>
      <c r="CA176">
        <v>10</v>
      </c>
      <c r="CE176">
        <v>0</v>
      </c>
      <c r="CF176">
        <v>0</v>
      </c>
      <c r="CG176">
        <v>0</v>
      </c>
      <c r="CM176">
        <v>0</v>
      </c>
      <c r="CN176" t="s">
        <v>3</v>
      </c>
      <c r="CO176">
        <v>0</v>
      </c>
      <c r="CP176">
        <f t="shared" si="146"/>
        <v>0</v>
      </c>
      <c r="CQ176">
        <f t="shared" si="147"/>
        <v>0</v>
      </c>
      <c r="CR176">
        <f>(((((ET176*40))*BB176-((EU176*40))*BS176)+AE176*BS176)*AV176)</f>
        <v>765.19999999999993</v>
      </c>
      <c r="CS176">
        <f t="shared" si="149"/>
        <v>577.6</v>
      </c>
      <c r="CT176">
        <f t="shared" si="150"/>
        <v>0</v>
      </c>
      <c r="CU176">
        <f t="shared" si="151"/>
        <v>0</v>
      </c>
      <c r="CV176">
        <f t="shared" si="152"/>
        <v>0</v>
      </c>
      <c r="CW176">
        <f t="shared" si="153"/>
        <v>0</v>
      </c>
      <c r="CX176">
        <f t="shared" si="154"/>
        <v>0</v>
      </c>
      <c r="CY176">
        <f t="shared" si="155"/>
        <v>0</v>
      </c>
      <c r="CZ176">
        <f t="shared" si="156"/>
        <v>0</v>
      </c>
      <c r="DC176" t="s">
        <v>3</v>
      </c>
      <c r="DD176" t="s">
        <v>216</v>
      </c>
      <c r="DE176" t="s">
        <v>216</v>
      </c>
      <c r="DF176" t="s">
        <v>216</v>
      </c>
      <c r="DG176" t="s">
        <v>216</v>
      </c>
      <c r="DH176" t="s">
        <v>3</v>
      </c>
      <c r="DI176" t="s">
        <v>216</v>
      </c>
      <c r="DJ176" t="s">
        <v>216</v>
      </c>
      <c r="DK176" t="s">
        <v>3</v>
      </c>
      <c r="DL176" t="s">
        <v>3</v>
      </c>
      <c r="DM176" t="s">
        <v>217</v>
      </c>
      <c r="DN176">
        <v>0</v>
      </c>
      <c r="DO176">
        <v>0</v>
      </c>
      <c r="DP176">
        <v>1</v>
      </c>
      <c r="DQ176">
        <v>1</v>
      </c>
      <c r="DU176">
        <v>1007</v>
      </c>
      <c r="DV176" t="s">
        <v>206</v>
      </c>
      <c r="DW176" t="s">
        <v>206</v>
      </c>
      <c r="DX176">
        <v>1</v>
      </c>
      <c r="EE176">
        <v>38628631</v>
      </c>
      <c r="EF176">
        <v>1</v>
      </c>
      <c r="EG176" t="s">
        <v>24</v>
      </c>
      <c r="EH176">
        <v>0</v>
      </c>
      <c r="EI176" t="s">
        <v>3</v>
      </c>
      <c r="EJ176">
        <v>4</v>
      </c>
      <c r="EK176">
        <v>0</v>
      </c>
      <c r="EL176" t="s">
        <v>25</v>
      </c>
      <c r="EM176" t="s">
        <v>26</v>
      </c>
      <c r="EO176" t="s">
        <v>3</v>
      </c>
      <c r="EQ176">
        <v>0</v>
      </c>
      <c r="ER176">
        <v>19.13</v>
      </c>
      <c r="ES176">
        <v>0</v>
      </c>
      <c r="ET176">
        <v>19.13</v>
      </c>
      <c r="EU176">
        <v>14.44</v>
      </c>
      <c r="EV176">
        <v>0</v>
      </c>
      <c r="EW176">
        <v>0</v>
      </c>
      <c r="EX176">
        <v>0</v>
      </c>
      <c r="EY176">
        <v>0</v>
      </c>
      <c r="FQ176">
        <v>0</v>
      </c>
      <c r="FR176">
        <f t="shared" si="157"/>
        <v>0</v>
      </c>
      <c r="FS176">
        <v>0</v>
      </c>
      <c r="FX176">
        <v>70</v>
      </c>
      <c r="FY176">
        <v>280</v>
      </c>
      <c r="GA176" t="s">
        <v>3</v>
      </c>
      <c r="GD176">
        <v>1</v>
      </c>
      <c r="GF176">
        <v>1386989528</v>
      </c>
      <c r="GG176">
        <v>2</v>
      </c>
      <c r="GH176">
        <v>1</v>
      </c>
      <c r="GI176">
        <v>-2</v>
      </c>
      <c r="GJ176">
        <v>0</v>
      </c>
      <c r="GK176">
        <v>0</v>
      </c>
      <c r="GL176">
        <f t="shared" si="158"/>
        <v>0</v>
      </c>
      <c r="GM176">
        <f>ROUND(O176+X176+Y176,2)+GX176</f>
        <v>0</v>
      </c>
      <c r="GN176">
        <f>IF(OR(BI176=0,BI176=1),ROUND(O176+X176+Y176,2),0)</f>
        <v>0</v>
      </c>
      <c r="GO176">
        <f>IF(BI176=2,ROUND(O176+X176+Y176,2),0)</f>
        <v>0</v>
      </c>
      <c r="GP176">
        <f>IF(BI176=4,ROUND(O176+X176+Y176,2)+GX176,0)</f>
        <v>0</v>
      </c>
      <c r="GR176">
        <v>0</v>
      </c>
      <c r="GS176">
        <v>0</v>
      </c>
      <c r="GT176">
        <v>0</v>
      </c>
      <c r="GU176" t="s">
        <v>3</v>
      </c>
      <c r="GV176">
        <f t="shared" si="159"/>
        <v>0</v>
      </c>
      <c r="GW176">
        <v>1</v>
      </c>
      <c r="GX176">
        <f t="shared" si="160"/>
        <v>0</v>
      </c>
      <c r="HA176">
        <v>0</v>
      </c>
      <c r="HB176">
        <v>0</v>
      </c>
      <c r="HC176">
        <f t="shared" si="161"/>
        <v>0</v>
      </c>
      <c r="HE176" t="s">
        <v>3</v>
      </c>
      <c r="HF176" t="s">
        <v>3</v>
      </c>
      <c r="IK176">
        <v>0</v>
      </c>
    </row>
    <row r="177" spans="1:245" x14ac:dyDescent="0.2">
      <c r="A177">
        <v>17</v>
      </c>
      <c r="B177">
        <v>1</v>
      </c>
      <c r="C177">
        <f>ROW(SmtRes!A64)</f>
        <v>64</v>
      </c>
      <c r="D177">
        <f>ROW(EtalonRes!A61)</f>
        <v>61</v>
      </c>
      <c r="E177" t="s">
        <v>218</v>
      </c>
      <c r="F177" t="s">
        <v>219</v>
      </c>
      <c r="G177" t="s">
        <v>220</v>
      </c>
      <c r="H177" t="s">
        <v>187</v>
      </c>
      <c r="I177">
        <f>ROUND((339.5*0.1)/100,9)</f>
        <v>0.33950000000000002</v>
      </c>
      <c r="J177">
        <v>0</v>
      </c>
      <c r="O177">
        <f t="shared" si="128"/>
        <v>25928.06</v>
      </c>
      <c r="P177">
        <f t="shared" si="129"/>
        <v>22119.94</v>
      </c>
      <c r="Q177">
        <f t="shared" si="130"/>
        <v>2805.98</v>
      </c>
      <c r="R177">
        <f t="shared" si="131"/>
        <v>1134.8599999999999</v>
      </c>
      <c r="S177">
        <f t="shared" si="132"/>
        <v>1002.14</v>
      </c>
      <c r="T177">
        <f t="shared" si="133"/>
        <v>0</v>
      </c>
      <c r="U177">
        <f t="shared" si="134"/>
        <v>5.6221199999999998</v>
      </c>
      <c r="V177">
        <f t="shared" si="135"/>
        <v>0</v>
      </c>
      <c r="W177">
        <f t="shared" si="136"/>
        <v>0</v>
      </c>
      <c r="X177">
        <f t="shared" si="137"/>
        <v>701.5</v>
      </c>
      <c r="Y177">
        <f t="shared" si="138"/>
        <v>100.21</v>
      </c>
      <c r="AA177">
        <v>38214492</v>
      </c>
      <c r="AB177">
        <f t="shared" si="139"/>
        <v>76371.3</v>
      </c>
      <c r="AC177">
        <f>ROUND((ES177),6)</f>
        <v>65154.45</v>
      </c>
      <c r="AD177">
        <f>ROUND((((ET177)-(EU177))+AE177),6)</f>
        <v>8265.0300000000007</v>
      </c>
      <c r="AE177">
        <f>ROUND((EU177),6)</f>
        <v>3342.74</v>
      </c>
      <c r="AF177">
        <f>ROUND((EV177),6)</f>
        <v>2951.82</v>
      </c>
      <c r="AG177">
        <f t="shared" si="143"/>
        <v>0</v>
      </c>
      <c r="AH177">
        <f>(EW177)</f>
        <v>16.559999999999999</v>
      </c>
      <c r="AI177">
        <f>(EX177)</f>
        <v>0</v>
      </c>
      <c r="AJ177">
        <f t="shared" si="145"/>
        <v>0</v>
      </c>
      <c r="AK177">
        <v>76371.3</v>
      </c>
      <c r="AL177">
        <v>65154.45</v>
      </c>
      <c r="AM177">
        <v>8265.0300000000007</v>
      </c>
      <c r="AN177">
        <v>3342.74</v>
      </c>
      <c r="AO177">
        <v>2951.82</v>
      </c>
      <c r="AP177">
        <v>0</v>
      </c>
      <c r="AQ177">
        <v>16.559999999999999</v>
      </c>
      <c r="AR177">
        <v>0</v>
      </c>
      <c r="AS177">
        <v>0</v>
      </c>
      <c r="AT177">
        <v>70</v>
      </c>
      <c r="AU177">
        <v>10</v>
      </c>
      <c r="AV177">
        <v>1</v>
      </c>
      <c r="AW177">
        <v>1</v>
      </c>
      <c r="AZ177">
        <v>1</v>
      </c>
      <c r="BA177">
        <v>1</v>
      </c>
      <c r="BB177">
        <v>1</v>
      </c>
      <c r="BC177">
        <v>1</v>
      </c>
      <c r="BD177" t="s">
        <v>3</v>
      </c>
      <c r="BE177" t="s">
        <v>3</v>
      </c>
      <c r="BF177" t="s">
        <v>3</v>
      </c>
      <c r="BG177" t="s">
        <v>3</v>
      </c>
      <c r="BH177">
        <v>0</v>
      </c>
      <c r="BI177">
        <v>4</v>
      </c>
      <c r="BJ177" t="s">
        <v>221</v>
      </c>
      <c r="BM177">
        <v>0</v>
      </c>
      <c r="BN177">
        <v>0</v>
      </c>
      <c r="BO177" t="s">
        <v>3</v>
      </c>
      <c r="BP177">
        <v>0</v>
      </c>
      <c r="BQ177">
        <v>1</v>
      </c>
      <c r="BR177">
        <v>0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1</v>
      </c>
      <c r="BY177" t="s">
        <v>3</v>
      </c>
      <c r="BZ177">
        <v>70</v>
      </c>
      <c r="CA177">
        <v>10</v>
      </c>
      <c r="CE177">
        <v>0</v>
      </c>
      <c r="CF177">
        <v>0</v>
      </c>
      <c r="CG177">
        <v>0</v>
      </c>
      <c r="CM177">
        <v>0</v>
      </c>
      <c r="CN177" t="s">
        <v>3</v>
      </c>
      <c r="CO177">
        <v>0</v>
      </c>
      <c r="CP177">
        <f t="shared" si="146"/>
        <v>25928.059999999998</v>
      </c>
      <c r="CQ177">
        <f t="shared" si="147"/>
        <v>65154.45</v>
      </c>
      <c r="CR177">
        <f>((((ET177)*BB177-(EU177)*BS177)+AE177*BS177)*AV177)</f>
        <v>8265.0300000000007</v>
      </c>
      <c r="CS177">
        <f t="shared" si="149"/>
        <v>3342.74</v>
      </c>
      <c r="CT177">
        <f t="shared" si="150"/>
        <v>2951.82</v>
      </c>
      <c r="CU177">
        <f t="shared" si="151"/>
        <v>0</v>
      </c>
      <c r="CV177">
        <f t="shared" si="152"/>
        <v>16.559999999999999</v>
      </c>
      <c r="CW177">
        <f t="shared" si="153"/>
        <v>0</v>
      </c>
      <c r="CX177">
        <f t="shared" si="154"/>
        <v>0</v>
      </c>
      <c r="CY177">
        <f t="shared" si="155"/>
        <v>701.49800000000005</v>
      </c>
      <c r="CZ177">
        <f t="shared" si="156"/>
        <v>100.214</v>
      </c>
      <c r="DC177" t="s">
        <v>3</v>
      </c>
      <c r="DD177" t="s">
        <v>3</v>
      </c>
      <c r="DE177" t="s">
        <v>3</v>
      </c>
      <c r="DF177" t="s">
        <v>3</v>
      </c>
      <c r="DG177" t="s">
        <v>3</v>
      </c>
      <c r="DH177" t="s">
        <v>3</v>
      </c>
      <c r="DI177" t="s">
        <v>3</v>
      </c>
      <c r="DJ177" t="s">
        <v>3</v>
      </c>
      <c r="DK177" t="s">
        <v>3</v>
      </c>
      <c r="DL177" t="s">
        <v>3</v>
      </c>
      <c r="DM177" t="s">
        <v>3</v>
      </c>
      <c r="DN177">
        <v>0</v>
      </c>
      <c r="DO177">
        <v>0</v>
      </c>
      <c r="DP177">
        <v>1</v>
      </c>
      <c r="DQ177">
        <v>1</v>
      </c>
      <c r="DU177">
        <v>1007</v>
      </c>
      <c r="DV177" t="s">
        <v>187</v>
      </c>
      <c r="DW177" t="s">
        <v>187</v>
      </c>
      <c r="DX177">
        <v>100</v>
      </c>
      <c r="EE177">
        <v>38628631</v>
      </c>
      <c r="EF177">
        <v>1</v>
      </c>
      <c r="EG177" t="s">
        <v>24</v>
      </c>
      <c r="EH177">
        <v>0</v>
      </c>
      <c r="EI177" t="s">
        <v>3</v>
      </c>
      <c r="EJ177">
        <v>4</v>
      </c>
      <c r="EK177">
        <v>0</v>
      </c>
      <c r="EL177" t="s">
        <v>25</v>
      </c>
      <c r="EM177" t="s">
        <v>26</v>
      </c>
      <c r="EO177" t="s">
        <v>3</v>
      </c>
      <c r="EQ177">
        <v>0</v>
      </c>
      <c r="ER177">
        <v>76371.3</v>
      </c>
      <c r="ES177">
        <v>65154.45</v>
      </c>
      <c r="ET177">
        <v>8265.0300000000007</v>
      </c>
      <c r="EU177">
        <v>3342.74</v>
      </c>
      <c r="EV177">
        <v>2951.82</v>
      </c>
      <c r="EW177">
        <v>16.559999999999999</v>
      </c>
      <c r="EX177">
        <v>0</v>
      </c>
      <c r="EY177">
        <v>0</v>
      </c>
      <c r="FQ177">
        <v>0</v>
      </c>
      <c r="FR177">
        <f t="shared" si="157"/>
        <v>0</v>
      </c>
      <c r="FS177">
        <v>0</v>
      </c>
      <c r="FX177">
        <v>70</v>
      </c>
      <c r="FY177">
        <v>10</v>
      </c>
      <c r="GA177" t="s">
        <v>3</v>
      </c>
      <c r="GD177">
        <v>0</v>
      </c>
      <c r="GF177">
        <v>1364004777</v>
      </c>
      <c r="GG177">
        <v>2</v>
      </c>
      <c r="GH177">
        <v>1</v>
      </c>
      <c r="GI177">
        <v>-2</v>
      </c>
      <c r="GJ177">
        <v>0</v>
      </c>
      <c r="GK177">
        <f>ROUND(R177*(R12)/100,2)</f>
        <v>1225.6500000000001</v>
      </c>
      <c r="GL177">
        <f t="shared" si="158"/>
        <v>0</v>
      </c>
      <c r="GM177">
        <f>ROUND(O177+X177+Y177+GK177,2)+GX177</f>
        <v>27955.42</v>
      </c>
      <c r="GN177">
        <f>IF(OR(BI177=0,BI177=1),ROUND(O177+X177+Y177+GK177,2),0)</f>
        <v>0</v>
      </c>
      <c r="GO177">
        <f>IF(BI177=2,ROUND(O177+X177+Y177+GK177,2),0)</f>
        <v>0</v>
      </c>
      <c r="GP177">
        <f>IF(BI177=4,ROUND(O177+X177+Y177+GK177,2)+GX177,0)</f>
        <v>27955.42</v>
      </c>
      <c r="GR177">
        <v>0</v>
      </c>
      <c r="GS177">
        <v>3</v>
      </c>
      <c r="GT177">
        <v>0</v>
      </c>
      <c r="GU177" t="s">
        <v>3</v>
      </c>
      <c r="GV177">
        <f t="shared" si="159"/>
        <v>0</v>
      </c>
      <c r="GW177">
        <v>1</v>
      </c>
      <c r="GX177">
        <f t="shared" si="160"/>
        <v>0</v>
      </c>
      <c r="HA177">
        <v>0</v>
      </c>
      <c r="HB177">
        <v>0</v>
      </c>
      <c r="HC177">
        <f t="shared" si="161"/>
        <v>0</v>
      </c>
      <c r="HE177" t="s">
        <v>3</v>
      </c>
      <c r="HF177" t="s">
        <v>3</v>
      </c>
      <c r="IK177">
        <v>0</v>
      </c>
    </row>
    <row r="178" spans="1:245" x14ac:dyDescent="0.2">
      <c r="A178">
        <v>17</v>
      </c>
      <c r="B178">
        <v>1</v>
      </c>
      <c r="C178">
        <f>ROW(SmtRes!A68)</f>
        <v>68</v>
      </c>
      <c r="D178">
        <f>ROW(EtalonRes!A65)</f>
        <v>65</v>
      </c>
      <c r="E178" t="s">
        <v>222</v>
      </c>
      <c r="F178" t="s">
        <v>223</v>
      </c>
      <c r="G178" t="s">
        <v>224</v>
      </c>
      <c r="H178" t="s">
        <v>225</v>
      </c>
      <c r="I178">
        <v>0</v>
      </c>
      <c r="J178">
        <v>0</v>
      </c>
      <c r="O178">
        <f t="shared" si="128"/>
        <v>0</v>
      </c>
      <c r="P178">
        <f t="shared" si="129"/>
        <v>0</v>
      </c>
      <c r="Q178">
        <f t="shared" si="130"/>
        <v>0</v>
      </c>
      <c r="R178">
        <f t="shared" si="131"/>
        <v>0</v>
      </c>
      <c r="S178">
        <f t="shared" si="132"/>
        <v>0</v>
      </c>
      <c r="T178">
        <f t="shared" si="133"/>
        <v>0</v>
      </c>
      <c r="U178">
        <f t="shared" si="134"/>
        <v>0</v>
      </c>
      <c r="V178">
        <f t="shared" si="135"/>
        <v>0</v>
      </c>
      <c r="W178">
        <f t="shared" si="136"/>
        <v>0</v>
      </c>
      <c r="X178">
        <f t="shared" si="137"/>
        <v>0</v>
      </c>
      <c r="Y178">
        <f t="shared" si="138"/>
        <v>0</v>
      </c>
      <c r="AA178">
        <v>38214492</v>
      </c>
      <c r="AB178">
        <f t="shared" si="139"/>
        <v>140.43</v>
      </c>
      <c r="AC178">
        <f>ROUND((ES178),6)</f>
        <v>62.37</v>
      </c>
      <c r="AD178">
        <f>ROUND((((ET178)-(EU178))+AE178),6)</f>
        <v>3.71</v>
      </c>
      <c r="AE178">
        <f>ROUND((EU178),6)</f>
        <v>1.41</v>
      </c>
      <c r="AF178">
        <f>ROUND((EV178),6)</f>
        <v>74.349999999999994</v>
      </c>
      <c r="AG178">
        <f t="shared" si="143"/>
        <v>0</v>
      </c>
      <c r="AH178">
        <f>(EW178)</f>
        <v>0.37</v>
      </c>
      <c r="AI178">
        <f>(EX178)</f>
        <v>0</v>
      </c>
      <c r="AJ178">
        <f t="shared" si="145"/>
        <v>0</v>
      </c>
      <c r="AK178">
        <v>140.43</v>
      </c>
      <c r="AL178">
        <v>62.37</v>
      </c>
      <c r="AM178">
        <v>3.71</v>
      </c>
      <c r="AN178">
        <v>1.41</v>
      </c>
      <c r="AO178">
        <v>74.349999999999994</v>
      </c>
      <c r="AP178">
        <v>0</v>
      </c>
      <c r="AQ178">
        <v>0.37</v>
      </c>
      <c r="AR178">
        <v>0</v>
      </c>
      <c r="AS178">
        <v>0</v>
      </c>
      <c r="AT178">
        <v>70</v>
      </c>
      <c r="AU178">
        <v>10</v>
      </c>
      <c r="AV178">
        <v>1</v>
      </c>
      <c r="AW178">
        <v>1</v>
      </c>
      <c r="AZ178">
        <v>1</v>
      </c>
      <c r="BA178">
        <v>1</v>
      </c>
      <c r="BB178">
        <v>1</v>
      </c>
      <c r="BC178">
        <v>1</v>
      </c>
      <c r="BD178" t="s">
        <v>3</v>
      </c>
      <c r="BE178" t="s">
        <v>3</v>
      </c>
      <c r="BF178" t="s">
        <v>3</v>
      </c>
      <c r="BG178" t="s">
        <v>3</v>
      </c>
      <c r="BH178">
        <v>0</v>
      </c>
      <c r="BI178">
        <v>4</v>
      </c>
      <c r="BJ178" t="s">
        <v>226</v>
      </c>
      <c r="BM178">
        <v>0</v>
      </c>
      <c r="BN178">
        <v>0</v>
      </c>
      <c r="BO178" t="s">
        <v>3</v>
      </c>
      <c r="BP178">
        <v>0</v>
      </c>
      <c r="BQ178">
        <v>1</v>
      </c>
      <c r="BR178">
        <v>0</v>
      </c>
      <c r="BS178">
        <v>1</v>
      </c>
      <c r="BT178">
        <v>1</v>
      </c>
      <c r="BU178">
        <v>1</v>
      </c>
      <c r="BV178">
        <v>1</v>
      </c>
      <c r="BW178">
        <v>1</v>
      </c>
      <c r="BX178">
        <v>1</v>
      </c>
      <c r="BY178" t="s">
        <v>3</v>
      </c>
      <c r="BZ178">
        <v>70</v>
      </c>
      <c r="CA178">
        <v>10</v>
      </c>
      <c r="CE178">
        <v>0</v>
      </c>
      <c r="CF178">
        <v>0</v>
      </c>
      <c r="CG178">
        <v>0</v>
      </c>
      <c r="CM178">
        <v>0</v>
      </c>
      <c r="CN178" t="s">
        <v>3</v>
      </c>
      <c r="CO178">
        <v>0</v>
      </c>
      <c r="CP178">
        <f t="shared" si="146"/>
        <v>0</v>
      </c>
      <c r="CQ178">
        <f t="shared" si="147"/>
        <v>62.37</v>
      </c>
      <c r="CR178">
        <f>((((ET178)*BB178-(EU178)*BS178)+AE178*BS178)*AV178)</f>
        <v>3.71</v>
      </c>
      <c r="CS178">
        <f t="shared" si="149"/>
        <v>1.41</v>
      </c>
      <c r="CT178">
        <f t="shared" si="150"/>
        <v>74.349999999999994</v>
      </c>
      <c r="CU178">
        <f t="shared" si="151"/>
        <v>0</v>
      </c>
      <c r="CV178">
        <f t="shared" si="152"/>
        <v>0.37</v>
      </c>
      <c r="CW178">
        <f t="shared" si="153"/>
        <v>0</v>
      </c>
      <c r="CX178">
        <f t="shared" si="154"/>
        <v>0</v>
      </c>
      <c r="CY178">
        <f t="shared" si="155"/>
        <v>0</v>
      </c>
      <c r="CZ178">
        <f t="shared" si="156"/>
        <v>0</v>
      </c>
      <c r="DC178" t="s">
        <v>3</v>
      </c>
      <c r="DD178" t="s">
        <v>3</v>
      </c>
      <c r="DE178" t="s">
        <v>3</v>
      </c>
      <c r="DF178" t="s">
        <v>3</v>
      </c>
      <c r="DG178" t="s">
        <v>3</v>
      </c>
      <c r="DH178" t="s">
        <v>3</v>
      </c>
      <c r="DI178" t="s">
        <v>3</v>
      </c>
      <c r="DJ178" t="s">
        <v>3</v>
      </c>
      <c r="DK178" t="s">
        <v>3</v>
      </c>
      <c r="DL178" t="s">
        <v>3</v>
      </c>
      <c r="DM178" t="s">
        <v>3</v>
      </c>
      <c r="DN178">
        <v>0</v>
      </c>
      <c r="DO178">
        <v>0</v>
      </c>
      <c r="DP178">
        <v>1</v>
      </c>
      <c r="DQ178">
        <v>1</v>
      </c>
      <c r="DU178">
        <v>1005</v>
      </c>
      <c r="DV178" t="s">
        <v>225</v>
      </c>
      <c r="DW178" t="s">
        <v>225</v>
      </c>
      <c r="DX178">
        <v>1</v>
      </c>
      <c r="EE178">
        <v>38628631</v>
      </c>
      <c r="EF178">
        <v>1</v>
      </c>
      <c r="EG178" t="s">
        <v>24</v>
      </c>
      <c r="EH178">
        <v>0</v>
      </c>
      <c r="EI178" t="s">
        <v>3</v>
      </c>
      <c r="EJ178">
        <v>4</v>
      </c>
      <c r="EK178">
        <v>0</v>
      </c>
      <c r="EL178" t="s">
        <v>25</v>
      </c>
      <c r="EM178" t="s">
        <v>26</v>
      </c>
      <c r="EO178" t="s">
        <v>3</v>
      </c>
      <c r="EQ178">
        <v>0</v>
      </c>
      <c r="ER178">
        <v>140.43</v>
      </c>
      <c r="ES178">
        <v>62.37</v>
      </c>
      <c r="ET178">
        <v>3.71</v>
      </c>
      <c r="EU178">
        <v>1.41</v>
      </c>
      <c r="EV178">
        <v>74.349999999999994</v>
      </c>
      <c r="EW178">
        <v>0.37</v>
      </c>
      <c r="EX178">
        <v>0</v>
      </c>
      <c r="EY178">
        <v>0</v>
      </c>
      <c r="FQ178">
        <v>0</v>
      </c>
      <c r="FR178">
        <f t="shared" si="157"/>
        <v>0</v>
      </c>
      <c r="FS178">
        <v>0</v>
      </c>
      <c r="FX178">
        <v>70</v>
      </c>
      <c r="FY178">
        <v>10</v>
      </c>
      <c r="GA178" t="s">
        <v>3</v>
      </c>
      <c r="GD178">
        <v>0</v>
      </c>
      <c r="GF178">
        <v>1783203198</v>
      </c>
      <c r="GG178">
        <v>2</v>
      </c>
      <c r="GH178">
        <v>1</v>
      </c>
      <c r="GI178">
        <v>-2</v>
      </c>
      <c r="GJ178">
        <v>0</v>
      </c>
      <c r="GK178">
        <f>ROUND(R178*(R12)/100,2)</f>
        <v>0</v>
      </c>
      <c r="GL178">
        <f t="shared" si="158"/>
        <v>0</v>
      </c>
      <c r="GM178">
        <f>ROUND(O178+X178+Y178+GK178,2)+GX178</f>
        <v>0</v>
      </c>
      <c r="GN178">
        <f>IF(OR(BI178=0,BI178=1),ROUND(O178+X178+Y178+GK178,2),0)</f>
        <v>0</v>
      </c>
      <c r="GO178">
        <f>IF(BI178=2,ROUND(O178+X178+Y178+GK178,2),0)</f>
        <v>0</v>
      </c>
      <c r="GP178">
        <f>IF(BI178=4,ROUND(O178+X178+Y178+GK178,2)+GX178,0)</f>
        <v>0</v>
      </c>
      <c r="GR178">
        <v>0</v>
      </c>
      <c r="GS178">
        <v>3</v>
      </c>
      <c r="GT178">
        <v>0</v>
      </c>
      <c r="GU178" t="s">
        <v>3</v>
      </c>
      <c r="GV178">
        <f t="shared" si="159"/>
        <v>0</v>
      </c>
      <c r="GW178">
        <v>1</v>
      </c>
      <c r="GX178">
        <f t="shared" si="160"/>
        <v>0</v>
      </c>
      <c r="HA178">
        <v>0</v>
      </c>
      <c r="HB178">
        <v>0</v>
      </c>
      <c r="HC178">
        <f t="shared" si="161"/>
        <v>0</v>
      </c>
      <c r="HE178" t="s">
        <v>3</v>
      </c>
      <c r="HF178" t="s">
        <v>3</v>
      </c>
      <c r="IK178">
        <v>0</v>
      </c>
    </row>
    <row r="180" spans="1:245" x14ac:dyDescent="0.2">
      <c r="A180" s="2">
        <v>51</v>
      </c>
      <c r="B180" s="2">
        <f>B162</f>
        <v>1</v>
      </c>
      <c r="C180" s="2">
        <f>A162</f>
        <v>5</v>
      </c>
      <c r="D180" s="2">
        <f>ROW(A162)</f>
        <v>162</v>
      </c>
      <c r="E180" s="2"/>
      <c r="F180" s="2" t="str">
        <f>IF(F162&lt;&gt;"",F162,"")</f>
        <v>Новый подраздел</v>
      </c>
      <c r="G180" s="2" t="str">
        <f>IF(G162&lt;&gt;"",G162,"")</f>
        <v>Устройство покрытия</v>
      </c>
      <c r="H180" s="2">
        <v>0</v>
      </c>
      <c r="I180" s="2"/>
      <c r="J180" s="2"/>
      <c r="K180" s="2"/>
      <c r="L180" s="2"/>
      <c r="M180" s="2"/>
      <c r="N180" s="2"/>
      <c r="O180" s="2">
        <f t="shared" ref="O180:T180" si="164">ROUND(AB180,2)</f>
        <v>31708.19</v>
      </c>
      <c r="P180" s="2">
        <f t="shared" si="164"/>
        <v>22523.18</v>
      </c>
      <c r="Q180" s="2">
        <f t="shared" si="164"/>
        <v>6587.25</v>
      </c>
      <c r="R180" s="2">
        <f t="shared" si="164"/>
        <v>3574.7</v>
      </c>
      <c r="S180" s="2">
        <f t="shared" si="164"/>
        <v>2597.7600000000002</v>
      </c>
      <c r="T180" s="2">
        <f t="shared" si="164"/>
        <v>0</v>
      </c>
      <c r="U180" s="2">
        <f>AH180</f>
        <v>14.700689499999999</v>
      </c>
      <c r="V180" s="2">
        <f>AI180</f>
        <v>0</v>
      </c>
      <c r="W180" s="2">
        <f>ROUND(AJ180,2)</f>
        <v>0</v>
      </c>
      <c r="X180" s="2">
        <f>ROUND(AK180,2)</f>
        <v>1818.44</v>
      </c>
      <c r="Y180" s="2">
        <f>ROUND(AL180,2)</f>
        <v>259.77999999999997</v>
      </c>
      <c r="Z180" s="2"/>
      <c r="AA180" s="2"/>
      <c r="AB180" s="2">
        <f>ROUND(SUMIF(AA166:AA178,"=38214492",O166:O178),2)</f>
        <v>31708.19</v>
      </c>
      <c r="AC180" s="2">
        <f>ROUND(SUMIF(AA166:AA178,"=38214492",P166:P178),2)</f>
        <v>22523.18</v>
      </c>
      <c r="AD180" s="2">
        <f>ROUND(SUMIF(AA166:AA178,"=38214492",Q166:Q178),2)</f>
        <v>6587.25</v>
      </c>
      <c r="AE180" s="2">
        <f>ROUND(SUMIF(AA166:AA178,"=38214492",R166:R178),2)</f>
        <v>3574.7</v>
      </c>
      <c r="AF180" s="2">
        <f>ROUND(SUMIF(AA166:AA178,"=38214492",S166:S178),2)</f>
        <v>2597.7600000000002</v>
      </c>
      <c r="AG180" s="2">
        <f>ROUND(SUMIF(AA166:AA178,"=38214492",T166:T178),2)</f>
        <v>0</v>
      </c>
      <c r="AH180" s="2">
        <f>SUMIF(AA166:AA178,"=38214492",U166:U178)</f>
        <v>14.700689499999999</v>
      </c>
      <c r="AI180" s="2">
        <f>SUMIF(AA166:AA178,"=38214492",V166:V178)</f>
        <v>0</v>
      </c>
      <c r="AJ180" s="2">
        <f>ROUND(SUMIF(AA166:AA178,"=38214492",W166:W178),2)</f>
        <v>0</v>
      </c>
      <c r="AK180" s="2">
        <f>ROUND(SUMIF(AA166:AA178,"=38214492",X166:X178),2)</f>
        <v>1818.44</v>
      </c>
      <c r="AL180" s="2">
        <f>ROUND(SUMIF(AA166:AA178,"=38214492",Y166:Y178),2)</f>
        <v>259.77999999999997</v>
      </c>
      <c r="AM180" s="2"/>
      <c r="AN180" s="2"/>
      <c r="AO180" s="2">
        <f t="shared" ref="AO180:BD180" si="165">ROUND(BX180,2)</f>
        <v>0</v>
      </c>
      <c r="AP180" s="2">
        <f t="shared" si="165"/>
        <v>0</v>
      </c>
      <c r="AQ180" s="2">
        <f t="shared" si="165"/>
        <v>0</v>
      </c>
      <c r="AR180" s="2">
        <f t="shared" si="165"/>
        <v>36910.21</v>
      </c>
      <c r="AS180" s="2">
        <f t="shared" si="165"/>
        <v>0</v>
      </c>
      <c r="AT180" s="2">
        <f t="shared" si="165"/>
        <v>0</v>
      </c>
      <c r="AU180" s="2">
        <f t="shared" si="165"/>
        <v>36910.21</v>
      </c>
      <c r="AV180" s="2">
        <f t="shared" si="165"/>
        <v>22523.18</v>
      </c>
      <c r="AW180" s="2">
        <f t="shared" si="165"/>
        <v>22523.18</v>
      </c>
      <c r="AX180" s="2">
        <f t="shared" si="165"/>
        <v>0</v>
      </c>
      <c r="AY180" s="2">
        <f t="shared" si="165"/>
        <v>22523.18</v>
      </c>
      <c r="AZ180" s="2">
        <f t="shared" si="165"/>
        <v>0</v>
      </c>
      <c r="BA180" s="2">
        <f t="shared" si="165"/>
        <v>0</v>
      </c>
      <c r="BB180" s="2">
        <f t="shared" si="165"/>
        <v>0</v>
      </c>
      <c r="BC180" s="2">
        <f t="shared" si="165"/>
        <v>0</v>
      </c>
      <c r="BD180" s="2">
        <f t="shared" si="165"/>
        <v>0</v>
      </c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>
        <f>ROUND(SUMIF(AA166:AA178,"=38214492",FQ166:FQ178),2)</f>
        <v>0</v>
      </c>
      <c r="BY180" s="2">
        <f>ROUND(SUMIF(AA166:AA178,"=38214492",FR166:FR178),2)</f>
        <v>0</v>
      </c>
      <c r="BZ180" s="2">
        <f>ROUND(SUMIF(AA166:AA178,"=38214492",GL166:GL178),2)</f>
        <v>0</v>
      </c>
      <c r="CA180" s="2">
        <f>ROUND(SUMIF(AA166:AA178,"=38214492",GM166:GM178),2)</f>
        <v>36910.21</v>
      </c>
      <c r="CB180" s="2">
        <f>ROUND(SUMIF(AA166:AA178,"=38214492",GN166:GN178),2)</f>
        <v>0</v>
      </c>
      <c r="CC180" s="2">
        <f>ROUND(SUMIF(AA166:AA178,"=38214492",GO166:GO178),2)</f>
        <v>0</v>
      </c>
      <c r="CD180" s="2">
        <f>ROUND(SUMIF(AA166:AA178,"=38214492",GP166:GP178),2)</f>
        <v>36910.21</v>
      </c>
      <c r="CE180" s="2">
        <f>AC180-BX180</f>
        <v>22523.18</v>
      </c>
      <c r="CF180" s="2">
        <f>AC180-BY180</f>
        <v>22523.18</v>
      </c>
      <c r="CG180" s="2">
        <f>BX180-BZ180</f>
        <v>0</v>
      </c>
      <c r="CH180" s="2">
        <f>AC180-BX180-BY180+BZ180</f>
        <v>22523.18</v>
      </c>
      <c r="CI180" s="2">
        <f>BY180-BZ180</f>
        <v>0</v>
      </c>
      <c r="CJ180" s="2">
        <f>ROUND(SUMIF(AA166:AA178,"=38214492",GX166:GX178),2)</f>
        <v>0</v>
      </c>
      <c r="CK180" s="2">
        <f>ROUND(SUMIF(AA166:AA178,"=38214492",GY166:GY178),2)</f>
        <v>0</v>
      </c>
      <c r="CL180" s="2">
        <f>ROUND(SUMIF(AA166:AA178,"=38214492",GZ166:GZ178),2)</f>
        <v>0</v>
      </c>
      <c r="CM180" s="2">
        <f>ROUND(SUMIF(AA166:AA178,"=38214492",HD166:HD178),2)</f>
        <v>0</v>
      </c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>
        <v>0</v>
      </c>
    </row>
    <row r="182" spans="1:245" x14ac:dyDescent="0.2">
      <c r="A182" s="4">
        <v>50</v>
      </c>
      <c r="B182" s="4">
        <v>0</v>
      </c>
      <c r="C182" s="4">
        <v>0</v>
      </c>
      <c r="D182" s="4">
        <v>1</v>
      </c>
      <c r="E182" s="4">
        <v>201</v>
      </c>
      <c r="F182" s="4">
        <f>ROUND(Source!O180,O182)</f>
        <v>31708.19</v>
      </c>
      <c r="G182" s="4" t="s">
        <v>56</v>
      </c>
      <c r="H182" s="4" t="s">
        <v>57</v>
      </c>
      <c r="I182" s="4"/>
      <c r="J182" s="4"/>
      <c r="K182" s="4">
        <v>201</v>
      </c>
      <c r="L182" s="4">
        <v>1</v>
      </c>
      <c r="M182" s="4">
        <v>3</v>
      </c>
      <c r="N182" s="4" t="s">
        <v>3</v>
      </c>
      <c r="O182" s="4">
        <v>2</v>
      </c>
      <c r="P182" s="4"/>
      <c r="Q182" s="4"/>
      <c r="R182" s="4"/>
      <c r="S182" s="4"/>
      <c r="T182" s="4"/>
      <c r="U182" s="4"/>
      <c r="V182" s="4"/>
      <c r="W182" s="4"/>
    </row>
    <row r="183" spans="1:245" x14ac:dyDescent="0.2">
      <c r="A183" s="4">
        <v>50</v>
      </c>
      <c r="B183" s="4">
        <v>0</v>
      </c>
      <c r="C183" s="4">
        <v>0</v>
      </c>
      <c r="D183" s="4">
        <v>1</v>
      </c>
      <c r="E183" s="4">
        <v>202</v>
      </c>
      <c r="F183" s="4">
        <f>ROUND(Source!P180,O183)</f>
        <v>22523.18</v>
      </c>
      <c r="G183" s="4" t="s">
        <v>58</v>
      </c>
      <c r="H183" s="4" t="s">
        <v>59</v>
      </c>
      <c r="I183" s="4"/>
      <c r="J183" s="4"/>
      <c r="K183" s="4">
        <v>202</v>
      </c>
      <c r="L183" s="4">
        <v>2</v>
      </c>
      <c r="M183" s="4">
        <v>3</v>
      </c>
      <c r="N183" s="4" t="s">
        <v>3</v>
      </c>
      <c r="O183" s="4">
        <v>2</v>
      </c>
      <c r="P183" s="4"/>
      <c r="Q183" s="4"/>
      <c r="R183" s="4"/>
      <c r="S183" s="4"/>
      <c r="T183" s="4"/>
      <c r="U183" s="4"/>
      <c r="V183" s="4"/>
      <c r="W183" s="4"/>
    </row>
    <row r="184" spans="1:245" x14ac:dyDescent="0.2">
      <c r="A184" s="4">
        <v>50</v>
      </c>
      <c r="B184" s="4">
        <v>0</v>
      </c>
      <c r="C184" s="4">
        <v>0</v>
      </c>
      <c r="D184" s="4">
        <v>1</v>
      </c>
      <c r="E184" s="4">
        <v>222</v>
      </c>
      <c r="F184" s="4">
        <f>ROUND(Source!AO180,O184)</f>
        <v>0</v>
      </c>
      <c r="G184" s="4" t="s">
        <v>60</v>
      </c>
      <c r="H184" s="4" t="s">
        <v>61</v>
      </c>
      <c r="I184" s="4"/>
      <c r="J184" s="4"/>
      <c r="K184" s="4">
        <v>222</v>
      </c>
      <c r="L184" s="4">
        <v>3</v>
      </c>
      <c r="M184" s="4">
        <v>3</v>
      </c>
      <c r="N184" s="4" t="s">
        <v>3</v>
      </c>
      <c r="O184" s="4">
        <v>2</v>
      </c>
      <c r="P184" s="4"/>
      <c r="Q184" s="4"/>
      <c r="R184" s="4"/>
      <c r="S184" s="4"/>
      <c r="T184" s="4"/>
      <c r="U184" s="4"/>
      <c r="V184" s="4"/>
      <c r="W184" s="4"/>
    </row>
    <row r="185" spans="1:245" x14ac:dyDescent="0.2">
      <c r="A185" s="4">
        <v>50</v>
      </c>
      <c r="B185" s="4">
        <v>0</v>
      </c>
      <c r="C185" s="4">
        <v>0</v>
      </c>
      <c r="D185" s="4">
        <v>1</v>
      </c>
      <c r="E185" s="4">
        <v>225</v>
      </c>
      <c r="F185" s="4">
        <f>ROUND(Source!AV180,O185)</f>
        <v>22523.18</v>
      </c>
      <c r="G185" s="4" t="s">
        <v>62</v>
      </c>
      <c r="H185" s="4" t="s">
        <v>63</v>
      </c>
      <c r="I185" s="4"/>
      <c r="J185" s="4"/>
      <c r="K185" s="4">
        <v>225</v>
      </c>
      <c r="L185" s="4">
        <v>4</v>
      </c>
      <c r="M185" s="4">
        <v>3</v>
      </c>
      <c r="N185" s="4" t="s">
        <v>3</v>
      </c>
      <c r="O185" s="4">
        <v>2</v>
      </c>
      <c r="P185" s="4"/>
      <c r="Q185" s="4"/>
      <c r="R185" s="4"/>
      <c r="S185" s="4"/>
      <c r="T185" s="4"/>
      <c r="U185" s="4"/>
      <c r="V185" s="4"/>
      <c r="W185" s="4"/>
    </row>
    <row r="186" spans="1:245" x14ac:dyDescent="0.2">
      <c r="A186" s="4">
        <v>50</v>
      </c>
      <c r="B186" s="4">
        <v>0</v>
      </c>
      <c r="C186" s="4">
        <v>0</v>
      </c>
      <c r="D186" s="4">
        <v>1</v>
      </c>
      <c r="E186" s="4">
        <v>226</v>
      </c>
      <c r="F186" s="4">
        <f>ROUND(Source!AW180,O186)</f>
        <v>22523.18</v>
      </c>
      <c r="G186" s="4" t="s">
        <v>64</v>
      </c>
      <c r="H186" s="4" t="s">
        <v>65</v>
      </c>
      <c r="I186" s="4"/>
      <c r="J186" s="4"/>
      <c r="K186" s="4">
        <v>226</v>
      </c>
      <c r="L186" s="4">
        <v>5</v>
      </c>
      <c r="M186" s="4">
        <v>3</v>
      </c>
      <c r="N186" s="4" t="s">
        <v>3</v>
      </c>
      <c r="O186" s="4">
        <v>2</v>
      </c>
      <c r="P186" s="4"/>
      <c r="Q186" s="4"/>
      <c r="R186" s="4"/>
      <c r="S186" s="4"/>
      <c r="T186" s="4"/>
      <c r="U186" s="4"/>
      <c r="V186" s="4"/>
      <c r="W186" s="4"/>
    </row>
    <row r="187" spans="1:245" x14ac:dyDescent="0.2">
      <c r="A187" s="4">
        <v>50</v>
      </c>
      <c r="B187" s="4">
        <v>0</v>
      </c>
      <c r="C187" s="4">
        <v>0</v>
      </c>
      <c r="D187" s="4">
        <v>1</v>
      </c>
      <c r="E187" s="4">
        <v>227</v>
      </c>
      <c r="F187" s="4">
        <f>ROUND(Source!AX180,O187)</f>
        <v>0</v>
      </c>
      <c r="G187" s="4" t="s">
        <v>66</v>
      </c>
      <c r="H187" s="4" t="s">
        <v>67</v>
      </c>
      <c r="I187" s="4"/>
      <c r="J187" s="4"/>
      <c r="K187" s="4">
        <v>227</v>
      </c>
      <c r="L187" s="4">
        <v>6</v>
      </c>
      <c r="M187" s="4">
        <v>3</v>
      </c>
      <c r="N187" s="4" t="s">
        <v>3</v>
      </c>
      <c r="O187" s="4">
        <v>2</v>
      </c>
      <c r="P187" s="4"/>
      <c r="Q187" s="4"/>
      <c r="R187" s="4"/>
      <c r="S187" s="4"/>
      <c r="T187" s="4"/>
      <c r="U187" s="4"/>
      <c r="V187" s="4"/>
      <c r="W187" s="4"/>
    </row>
    <row r="188" spans="1:245" x14ac:dyDescent="0.2">
      <c r="A188" s="4">
        <v>50</v>
      </c>
      <c r="B188" s="4">
        <v>0</v>
      </c>
      <c r="C188" s="4">
        <v>0</v>
      </c>
      <c r="D188" s="4">
        <v>1</v>
      </c>
      <c r="E188" s="4">
        <v>228</v>
      </c>
      <c r="F188" s="4">
        <f>ROUND(Source!AY180,O188)</f>
        <v>22523.18</v>
      </c>
      <c r="G188" s="4" t="s">
        <v>68</v>
      </c>
      <c r="H188" s="4" t="s">
        <v>69</v>
      </c>
      <c r="I188" s="4"/>
      <c r="J188" s="4"/>
      <c r="K188" s="4">
        <v>228</v>
      </c>
      <c r="L188" s="4">
        <v>7</v>
      </c>
      <c r="M188" s="4">
        <v>3</v>
      </c>
      <c r="N188" s="4" t="s">
        <v>3</v>
      </c>
      <c r="O188" s="4">
        <v>2</v>
      </c>
      <c r="P188" s="4"/>
      <c r="Q188" s="4"/>
      <c r="R188" s="4"/>
      <c r="S188" s="4"/>
      <c r="T188" s="4"/>
      <c r="U188" s="4"/>
      <c r="V188" s="4"/>
      <c r="W188" s="4"/>
    </row>
    <row r="189" spans="1:245" x14ac:dyDescent="0.2">
      <c r="A189" s="4">
        <v>50</v>
      </c>
      <c r="B189" s="4">
        <v>0</v>
      </c>
      <c r="C189" s="4">
        <v>0</v>
      </c>
      <c r="D189" s="4">
        <v>1</v>
      </c>
      <c r="E189" s="4">
        <v>216</v>
      </c>
      <c r="F189" s="4">
        <f>ROUND(Source!AP180,O189)</f>
        <v>0</v>
      </c>
      <c r="G189" s="4" t="s">
        <v>70</v>
      </c>
      <c r="H189" s="4" t="s">
        <v>71</v>
      </c>
      <c r="I189" s="4"/>
      <c r="J189" s="4"/>
      <c r="K189" s="4">
        <v>216</v>
      </c>
      <c r="L189" s="4">
        <v>8</v>
      </c>
      <c r="M189" s="4">
        <v>3</v>
      </c>
      <c r="N189" s="4" t="s">
        <v>3</v>
      </c>
      <c r="O189" s="4">
        <v>2</v>
      </c>
      <c r="P189" s="4"/>
      <c r="Q189" s="4"/>
      <c r="R189" s="4"/>
      <c r="S189" s="4"/>
      <c r="T189" s="4"/>
      <c r="U189" s="4"/>
      <c r="V189" s="4"/>
      <c r="W189" s="4"/>
    </row>
    <row r="190" spans="1:245" x14ac:dyDescent="0.2">
      <c r="A190" s="4">
        <v>50</v>
      </c>
      <c r="B190" s="4">
        <v>0</v>
      </c>
      <c r="C190" s="4">
        <v>0</v>
      </c>
      <c r="D190" s="4">
        <v>1</v>
      </c>
      <c r="E190" s="4">
        <v>223</v>
      </c>
      <c r="F190" s="4">
        <f>ROUND(Source!AQ180,O190)</f>
        <v>0</v>
      </c>
      <c r="G190" s="4" t="s">
        <v>72</v>
      </c>
      <c r="H190" s="4" t="s">
        <v>73</v>
      </c>
      <c r="I190" s="4"/>
      <c r="J190" s="4"/>
      <c r="K190" s="4">
        <v>223</v>
      </c>
      <c r="L190" s="4">
        <v>9</v>
      </c>
      <c r="M190" s="4">
        <v>3</v>
      </c>
      <c r="N190" s="4" t="s">
        <v>3</v>
      </c>
      <c r="O190" s="4">
        <v>2</v>
      </c>
      <c r="P190" s="4"/>
      <c r="Q190" s="4"/>
      <c r="R190" s="4"/>
      <c r="S190" s="4"/>
      <c r="T190" s="4"/>
      <c r="U190" s="4"/>
      <c r="V190" s="4"/>
      <c r="W190" s="4"/>
    </row>
    <row r="191" spans="1:245" x14ac:dyDescent="0.2">
      <c r="A191" s="4">
        <v>50</v>
      </c>
      <c r="B191" s="4">
        <v>0</v>
      </c>
      <c r="C191" s="4">
        <v>0</v>
      </c>
      <c r="D191" s="4">
        <v>1</v>
      </c>
      <c r="E191" s="4">
        <v>229</v>
      </c>
      <c r="F191" s="4">
        <f>ROUND(Source!AZ180,O191)</f>
        <v>0</v>
      </c>
      <c r="G191" s="4" t="s">
        <v>74</v>
      </c>
      <c r="H191" s="4" t="s">
        <v>75</v>
      </c>
      <c r="I191" s="4"/>
      <c r="J191" s="4"/>
      <c r="K191" s="4">
        <v>229</v>
      </c>
      <c r="L191" s="4">
        <v>10</v>
      </c>
      <c r="M191" s="4">
        <v>3</v>
      </c>
      <c r="N191" s="4" t="s">
        <v>3</v>
      </c>
      <c r="O191" s="4">
        <v>2</v>
      </c>
      <c r="P191" s="4"/>
      <c r="Q191" s="4"/>
      <c r="R191" s="4"/>
      <c r="S191" s="4"/>
      <c r="T191" s="4"/>
      <c r="U191" s="4"/>
      <c r="V191" s="4"/>
      <c r="W191" s="4"/>
    </row>
    <row r="192" spans="1:245" x14ac:dyDescent="0.2">
      <c r="A192" s="4">
        <v>50</v>
      </c>
      <c r="B192" s="4">
        <v>0</v>
      </c>
      <c r="C192" s="4">
        <v>0</v>
      </c>
      <c r="D192" s="4">
        <v>1</v>
      </c>
      <c r="E192" s="4">
        <v>203</v>
      </c>
      <c r="F192" s="4">
        <f>ROUND(Source!Q180,O192)</f>
        <v>6587.25</v>
      </c>
      <c r="G192" s="4" t="s">
        <v>76</v>
      </c>
      <c r="H192" s="4" t="s">
        <v>77</v>
      </c>
      <c r="I192" s="4"/>
      <c r="J192" s="4"/>
      <c r="K192" s="4">
        <v>203</v>
      </c>
      <c r="L192" s="4">
        <v>11</v>
      </c>
      <c r="M192" s="4">
        <v>3</v>
      </c>
      <c r="N192" s="4" t="s">
        <v>3</v>
      </c>
      <c r="O192" s="4">
        <v>2</v>
      </c>
      <c r="P192" s="4"/>
      <c r="Q192" s="4"/>
      <c r="R192" s="4"/>
      <c r="S192" s="4"/>
      <c r="T192" s="4"/>
      <c r="U192" s="4"/>
      <c r="V192" s="4"/>
      <c r="W192" s="4"/>
    </row>
    <row r="193" spans="1:23" x14ac:dyDescent="0.2">
      <c r="A193" s="4">
        <v>50</v>
      </c>
      <c r="B193" s="4">
        <v>0</v>
      </c>
      <c r="C193" s="4">
        <v>0</v>
      </c>
      <c r="D193" s="4">
        <v>1</v>
      </c>
      <c r="E193" s="4">
        <v>231</v>
      </c>
      <c r="F193" s="4">
        <f>ROUND(Source!BB180,O193)</f>
        <v>0</v>
      </c>
      <c r="G193" s="4" t="s">
        <v>78</v>
      </c>
      <c r="H193" s="4" t="s">
        <v>79</v>
      </c>
      <c r="I193" s="4"/>
      <c r="J193" s="4"/>
      <c r="K193" s="4">
        <v>231</v>
      </c>
      <c r="L193" s="4">
        <v>12</v>
      </c>
      <c r="M193" s="4">
        <v>3</v>
      </c>
      <c r="N193" s="4" t="s">
        <v>3</v>
      </c>
      <c r="O193" s="4">
        <v>2</v>
      </c>
      <c r="P193" s="4"/>
      <c r="Q193" s="4"/>
      <c r="R193" s="4"/>
      <c r="S193" s="4"/>
      <c r="T193" s="4"/>
      <c r="U193" s="4"/>
      <c r="V193" s="4"/>
      <c r="W193" s="4"/>
    </row>
    <row r="194" spans="1:23" x14ac:dyDescent="0.2">
      <c r="A194" s="4">
        <v>50</v>
      </c>
      <c r="B194" s="4">
        <v>0</v>
      </c>
      <c r="C194" s="4">
        <v>0</v>
      </c>
      <c r="D194" s="4">
        <v>1</v>
      </c>
      <c r="E194" s="4">
        <v>204</v>
      </c>
      <c r="F194" s="4">
        <f>ROUND(Source!R180,O194)</f>
        <v>3574.7</v>
      </c>
      <c r="G194" s="4" t="s">
        <v>80</v>
      </c>
      <c r="H194" s="4" t="s">
        <v>81</v>
      </c>
      <c r="I194" s="4"/>
      <c r="J194" s="4"/>
      <c r="K194" s="4">
        <v>204</v>
      </c>
      <c r="L194" s="4">
        <v>13</v>
      </c>
      <c r="M194" s="4">
        <v>3</v>
      </c>
      <c r="N194" s="4" t="s">
        <v>3</v>
      </c>
      <c r="O194" s="4">
        <v>2</v>
      </c>
      <c r="P194" s="4"/>
      <c r="Q194" s="4"/>
      <c r="R194" s="4"/>
      <c r="S194" s="4"/>
      <c r="T194" s="4"/>
      <c r="U194" s="4"/>
      <c r="V194" s="4"/>
      <c r="W194" s="4"/>
    </row>
    <row r="195" spans="1:23" x14ac:dyDescent="0.2">
      <c r="A195" s="4">
        <v>50</v>
      </c>
      <c r="B195" s="4">
        <v>0</v>
      </c>
      <c r="C195" s="4">
        <v>0</v>
      </c>
      <c r="D195" s="4">
        <v>1</v>
      </c>
      <c r="E195" s="4">
        <v>205</v>
      </c>
      <c r="F195" s="4">
        <f>ROUND(Source!S180,O195)</f>
        <v>2597.7600000000002</v>
      </c>
      <c r="G195" s="4" t="s">
        <v>82</v>
      </c>
      <c r="H195" s="4" t="s">
        <v>83</v>
      </c>
      <c r="I195" s="4"/>
      <c r="J195" s="4"/>
      <c r="K195" s="4">
        <v>205</v>
      </c>
      <c r="L195" s="4">
        <v>14</v>
      </c>
      <c r="M195" s="4">
        <v>3</v>
      </c>
      <c r="N195" s="4" t="s">
        <v>3</v>
      </c>
      <c r="O195" s="4">
        <v>2</v>
      </c>
      <c r="P195" s="4"/>
      <c r="Q195" s="4"/>
      <c r="R195" s="4"/>
      <c r="S195" s="4"/>
      <c r="T195" s="4"/>
      <c r="U195" s="4"/>
      <c r="V195" s="4"/>
      <c r="W195" s="4"/>
    </row>
    <row r="196" spans="1:23" x14ac:dyDescent="0.2">
      <c r="A196" s="4">
        <v>50</v>
      </c>
      <c r="B196" s="4">
        <v>0</v>
      </c>
      <c r="C196" s="4">
        <v>0</v>
      </c>
      <c r="D196" s="4">
        <v>1</v>
      </c>
      <c r="E196" s="4">
        <v>232</v>
      </c>
      <c r="F196" s="4">
        <f>ROUND(Source!BC180,O196)</f>
        <v>0</v>
      </c>
      <c r="G196" s="4" t="s">
        <v>84</v>
      </c>
      <c r="H196" s="4" t="s">
        <v>85</v>
      </c>
      <c r="I196" s="4"/>
      <c r="J196" s="4"/>
      <c r="K196" s="4">
        <v>232</v>
      </c>
      <c r="L196" s="4">
        <v>15</v>
      </c>
      <c r="M196" s="4">
        <v>3</v>
      </c>
      <c r="N196" s="4" t="s">
        <v>3</v>
      </c>
      <c r="O196" s="4">
        <v>2</v>
      </c>
      <c r="P196" s="4"/>
      <c r="Q196" s="4"/>
      <c r="R196" s="4"/>
      <c r="S196" s="4"/>
      <c r="T196" s="4"/>
      <c r="U196" s="4"/>
      <c r="V196" s="4"/>
      <c r="W196" s="4"/>
    </row>
    <row r="197" spans="1:23" x14ac:dyDescent="0.2">
      <c r="A197" s="4">
        <v>50</v>
      </c>
      <c r="B197" s="4">
        <v>0</v>
      </c>
      <c r="C197" s="4">
        <v>0</v>
      </c>
      <c r="D197" s="4">
        <v>1</v>
      </c>
      <c r="E197" s="4">
        <v>214</v>
      </c>
      <c r="F197" s="4">
        <f>ROUND(Source!AS180,O197)</f>
        <v>0</v>
      </c>
      <c r="G197" s="4" t="s">
        <v>86</v>
      </c>
      <c r="H197" s="4" t="s">
        <v>87</v>
      </c>
      <c r="I197" s="4"/>
      <c r="J197" s="4"/>
      <c r="K197" s="4">
        <v>214</v>
      </c>
      <c r="L197" s="4">
        <v>16</v>
      </c>
      <c r="M197" s="4">
        <v>3</v>
      </c>
      <c r="N197" s="4" t="s">
        <v>3</v>
      </c>
      <c r="O197" s="4">
        <v>2</v>
      </c>
      <c r="P197" s="4"/>
      <c r="Q197" s="4"/>
      <c r="R197" s="4"/>
      <c r="S197" s="4"/>
      <c r="T197" s="4"/>
      <c r="U197" s="4"/>
      <c r="V197" s="4"/>
      <c r="W197" s="4"/>
    </row>
    <row r="198" spans="1:23" x14ac:dyDescent="0.2">
      <c r="A198" s="4">
        <v>50</v>
      </c>
      <c r="B198" s="4">
        <v>0</v>
      </c>
      <c r="C198" s="4">
        <v>0</v>
      </c>
      <c r="D198" s="4">
        <v>1</v>
      </c>
      <c r="E198" s="4">
        <v>215</v>
      </c>
      <c r="F198" s="4">
        <f>ROUND(Source!AT180,O198)</f>
        <v>0</v>
      </c>
      <c r="G198" s="4" t="s">
        <v>88</v>
      </c>
      <c r="H198" s="4" t="s">
        <v>89</v>
      </c>
      <c r="I198" s="4"/>
      <c r="J198" s="4"/>
      <c r="K198" s="4">
        <v>215</v>
      </c>
      <c r="L198" s="4">
        <v>17</v>
      </c>
      <c r="M198" s="4">
        <v>3</v>
      </c>
      <c r="N198" s="4" t="s">
        <v>3</v>
      </c>
      <c r="O198" s="4">
        <v>2</v>
      </c>
      <c r="P198" s="4"/>
      <c r="Q198" s="4"/>
      <c r="R198" s="4"/>
      <c r="S198" s="4"/>
      <c r="T198" s="4"/>
      <c r="U198" s="4"/>
      <c r="V198" s="4"/>
      <c r="W198" s="4"/>
    </row>
    <row r="199" spans="1:23" x14ac:dyDescent="0.2">
      <c r="A199" s="4">
        <v>50</v>
      </c>
      <c r="B199" s="4">
        <v>0</v>
      </c>
      <c r="C199" s="4">
        <v>0</v>
      </c>
      <c r="D199" s="4">
        <v>1</v>
      </c>
      <c r="E199" s="4">
        <v>217</v>
      </c>
      <c r="F199" s="4">
        <f>ROUND(Source!AU180,O199)</f>
        <v>36910.21</v>
      </c>
      <c r="G199" s="4" t="s">
        <v>90</v>
      </c>
      <c r="H199" s="4" t="s">
        <v>91</v>
      </c>
      <c r="I199" s="4"/>
      <c r="J199" s="4"/>
      <c r="K199" s="4">
        <v>217</v>
      </c>
      <c r="L199" s="4">
        <v>18</v>
      </c>
      <c r="M199" s="4">
        <v>3</v>
      </c>
      <c r="N199" s="4" t="s">
        <v>3</v>
      </c>
      <c r="O199" s="4">
        <v>2</v>
      </c>
      <c r="P199" s="4"/>
      <c r="Q199" s="4"/>
      <c r="R199" s="4"/>
      <c r="S199" s="4"/>
      <c r="T199" s="4"/>
      <c r="U199" s="4"/>
      <c r="V199" s="4"/>
      <c r="W199" s="4"/>
    </row>
    <row r="200" spans="1:23" x14ac:dyDescent="0.2">
      <c r="A200" s="4">
        <v>50</v>
      </c>
      <c r="B200" s="4">
        <v>0</v>
      </c>
      <c r="C200" s="4">
        <v>0</v>
      </c>
      <c r="D200" s="4">
        <v>1</v>
      </c>
      <c r="E200" s="4">
        <v>230</v>
      </c>
      <c r="F200" s="4">
        <f>ROUND(Source!BA180,O200)</f>
        <v>0</v>
      </c>
      <c r="G200" s="4" t="s">
        <v>92</v>
      </c>
      <c r="H200" s="4" t="s">
        <v>93</v>
      </c>
      <c r="I200" s="4"/>
      <c r="J200" s="4"/>
      <c r="K200" s="4">
        <v>230</v>
      </c>
      <c r="L200" s="4">
        <v>19</v>
      </c>
      <c r="M200" s="4">
        <v>3</v>
      </c>
      <c r="N200" s="4" t="s">
        <v>3</v>
      </c>
      <c r="O200" s="4">
        <v>2</v>
      </c>
      <c r="P200" s="4"/>
      <c r="Q200" s="4"/>
      <c r="R200" s="4"/>
      <c r="S200" s="4"/>
      <c r="T200" s="4"/>
      <c r="U200" s="4"/>
      <c r="V200" s="4"/>
      <c r="W200" s="4"/>
    </row>
    <row r="201" spans="1:23" x14ac:dyDescent="0.2">
      <c r="A201" s="4">
        <v>50</v>
      </c>
      <c r="B201" s="4">
        <v>0</v>
      </c>
      <c r="C201" s="4">
        <v>0</v>
      </c>
      <c r="D201" s="4">
        <v>1</v>
      </c>
      <c r="E201" s="4">
        <v>206</v>
      </c>
      <c r="F201" s="4">
        <f>ROUND(Source!T180,O201)</f>
        <v>0</v>
      </c>
      <c r="G201" s="4" t="s">
        <v>94</v>
      </c>
      <c r="H201" s="4" t="s">
        <v>95</v>
      </c>
      <c r="I201" s="4"/>
      <c r="J201" s="4"/>
      <c r="K201" s="4">
        <v>206</v>
      </c>
      <c r="L201" s="4">
        <v>20</v>
      </c>
      <c r="M201" s="4">
        <v>3</v>
      </c>
      <c r="N201" s="4" t="s">
        <v>3</v>
      </c>
      <c r="O201" s="4">
        <v>2</v>
      </c>
      <c r="P201" s="4"/>
      <c r="Q201" s="4"/>
      <c r="R201" s="4"/>
      <c r="S201" s="4"/>
      <c r="T201" s="4"/>
      <c r="U201" s="4"/>
      <c r="V201" s="4"/>
      <c r="W201" s="4"/>
    </row>
    <row r="202" spans="1:23" x14ac:dyDescent="0.2">
      <c r="A202" s="4">
        <v>50</v>
      </c>
      <c r="B202" s="4">
        <v>0</v>
      </c>
      <c r="C202" s="4">
        <v>0</v>
      </c>
      <c r="D202" s="4">
        <v>1</v>
      </c>
      <c r="E202" s="4">
        <v>207</v>
      </c>
      <c r="F202" s="4">
        <f>Source!U180</f>
        <v>14.700689499999999</v>
      </c>
      <c r="G202" s="4" t="s">
        <v>96</v>
      </c>
      <c r="H202" s="4" t="s">
        <v>97</v>
      </c>
      <c r="I202" s="4"/>
      <c r="J202" s="4"/>
      <c r="K202" s="4">
        <v>207</v>
      </c>
      <c r="L202" s="4">
        <v>21</v>
      </c>
      <c r="M202" s="4">
        <v>3</v>
      </c>
      <c r="N202" s="4" t="s">
        <v>3</v>
      </c>
      <c r="O202" s="4">
        <v>-1</v>
      </c>
      <c r="P202" s="4"/>
      <c r="Q202" s="4"/>
      <c r="R202" s="4"/>
      <c r="S202" s="4"/>
      <c r="T202" s="4"/>
      <c r="U202" s="4"/>
      <c r="V202" s="4"/>
      <c r="W202" s="4"/>
    </row>
    <row r="203" spans="1:23" x14ac:dyDescent="0.2">
      <c r="A203" s="4">
        <v>50</v>
      </c>
      <c r="B203" s="4">
        <v>0</v>
      </c>
      <c r="C203" s="4">
        <v>0</v>
      </c>
      <c r="D203" s="4">
        <v>1</v>
      </c>
      <c r="E203" s="4">
        <v>208</v>
      </c>
      <c r="F203" s="4">
        <f>Source!V180</f>
        <v>0</v>
      </c>
      <c r="G203" s="4" t="s">
        <v>98</v>
      </c>
      <c r="H203" s="4" t="s">
        <v>99</v>
      </c>
      <c r="I203" s="4"/>
      <c r="J203" s="4"/>
      <c r="K203" s="4">
        <v>208</v>
      </c>
      <c r="L203" s="4">
        <v>22</v>
      </c>
      <c r="M203" s="4">
        <v>3</v>
      </c>
      <c r="N203" s="4" t="s">
        <v>3</v>
      </c>
      <c r="O203" s="4">
        <v>-1</v>
      </c>
      <c r="P203" s="4"/>
      <c r="Q203" s="4"/>
      <c r="R203" s="4"/>
      <c r="S203" s="4"/>
      <c r="T203" s="4"/>
      <c r="U203" s="4"/>
      <c r="V203" s="4"/>
      <c r="W203" s="4"/>
    </row>
    <row r="204" spans="1:23" x14ac:dyDescent="0.2">
      <c r="A204" s="4">
        <v>50</v>
      </c>
      <c r="B204" s="4">
        <v>0</v>
      </c>
      <c r="C204" s="4">
        <v>0</v>
      </c>
      <c r="D204" s="4">
        <v>1</v>
      </c>
      <c r="E204" s="4">
        <v>209</v>
      </c>
      <c r="F204" s="4">
        <f>ROUND(Source!W180,O204)</f>
        <v>0</v>
      </c>
      <c r="G204" s="4" t="s">
        <v>100</v>
      </c>
      <c r="H204" s="4" t="s">
        <v>101</v>
      </c>
      <c r="I204" s="4"/>
      <c r="J204" s="4"/>
      <c r="K204" s="4">
        <v>209</v>
      </c>
      <c r="L204" s="4">
        <v>23</v>
      </c>
      <c r="M204" s="4">
        <v>3</v>
      </c>
      <c r="N204" s="4" t="s">
        <v>3</v>
      </c>
      <c r="O204" s="4">
        <v>2</v>
      </c>
      <c r="P204" s="4"/>
      <c r="Q204" s="4"/>
      <c r="R204" s="4"/>
      <c r="S204" s="4"/>
      <c r="T204" s="4"/>
      <c r="U204" s="4"/>
      <c r="V204" s="4"/>
      <c r="W204" s="4"/>
    </row>
    <row r="205" spans="1:23" x14ac:dyDescent="0.2">
      <c r="A205" s="4">
        <v>50</v>
      </c>
      <c r="B205" s="4">
        <v>0</v>
      </c>
      <c r="C205" s="4">
        <v>0</v>
      </c>
      <c r="D205" s="4">
        <v>1</v>
      </c>
      <c r="E205" s="4">
        <v>233</v>
      </c>
      <c r="F205" s="4">
        <f>ROUND(Source!BD180,O205)</f>
        <v>0</v>
      </c>
      <c r="G205" s="4" t="s">
        <v>102</v>
      </c>
      <c r="H205" s="4" t="s">
        <v>103</v>
      </c>
      <c r="I205" s="4"/>
      <c r="J205" s="4"/>
      <c r="K205" s="4">
        <v>233</v>
      </c>
      <c r="L205" s="4">
        <v>24</v>
      </c>
      <c r="M205" s="4">
        <v>3</v>
      </c>
      <c r="N205" s="4" t="s">
        <v>3</v>
      </c>
      <c r="O205" s="4">
        <v>2</v>
      </c>
      <c r="P205" s="4"/>
      <c r="Q205" s="4"/>
      <c r="R205" s="4"/>
      <c r="S205" s="4"/>
      <c r="T205" s="4"/>
      <c r="U205" s="4"/>
      <c r="V205" s="4"/>
      <c r="W205" s="4"/>
    </row>
    <row r="206" spans="1:23" x14ac:dyDescent="0.2">
      <c r="A206" s="4">
        <v>50</v>
      </c>
      <c r="B206" s="4">
        <v>0</v>
      </c>
      <c r="C206" s="4">
        <v>0</v>
      </c>
      <c r="D206" s="4">
        <v>1</v>
      </c>
      <c r="E206" s="4">
        <v>210</v>
      </c>
      <c r="F206" s="4">
        <f>ROUND(Source!X180,O206)</f>
        <v>1818.44</v>
      </c>
      <c r="G206" s="4" t="s">
        <v>104</v>
      </c>
      <c r="H206" s="4" t="s">
        <v>105</v>
      </c>
      <c r="I206" s="4"/>
      <c r="J206" s="4"/>
      <c r="K206" s="4">
        <v>210</v>
      </c>
      <c r="L206" s="4">
        <v>25</v>
      </c>
      <c r="M206" s="4">
        <v>3</v>
      </c>
      <c r="N206" s="4" t="s">
        <v>3</v>
      </c>
      <c r="O206" s="4">
        <v>2</v>
      </c>
      <c r="P206" s="4"/>
      <c r="Q206" s="4"/>
      <c r="R206" s="4"/>
      <c r="S206" s="4"/>
      <c r="T206" s="4"/>
      <c r="U206" s="4"/>
      <c r="V206" s="4"/>
      <c r="W206" s="4"/>
    </row>
    <row r="207" spans="1:23" x14ac:dyDescent="0.2">
      <c r="A207" s="4">
        <v>50</v>
      </c>
      <c r="B207" s="4">
        <v>0</v>
      </c>
      <c r="C207" s="4">
        <v>0</v>
      </c>
      <c r="D207" s="4">
        <v>1</v>
      </c>
      <c r="E207" s="4">
        <v>211</v>
      </c>
      <c r="F207" s="4">
        <f>ROUND(Source!Y180,O207)</f>
        <v>259.77999999999997</v>
      </c>
      <c r="G207" s="4" t="s">
        <v>106</v>
      </c>
      <c r="H207" s="4" t="s">
        <v>107</v>
      </c>
      <c r="I207" s="4"/>
      <c r="J207" s="4"/>
      <c r="K207" s="4">
        <v>211</v>
      </c>
      <c r="L207" s="4">
        <v>26</v>
      </c>
      <c r="M207" s="4">
        <v>3</v>
      </c>
      <c r="N207" s="4" t="s">
        <v>3</v>
      </c>
      <c r="O207" s="4">
        <v>2</v>
      </c>
      <c r="P207" s="4"/>
      <c r="Q207" s="4"/>
      <c r="R207" s="4"/>
      <c r="S207" s="4"/>
      <c r="T207" s="4"/>
      <c r="U207" s="4"/>
      <c r="V207" s="4"/>
      <c r="W207" s="4"/>
    </row>
    <row r="208" spans="1:23" x14ac:dyDescent="0.2">
      <c r="A208" s="4">
        <v>50</v>
      </c>
      <c r="B208" s="4">
        <v>0</v>
      </c>
      <c r="C208" s="4">
        <v>0</v>
      </c>
      <c r="D208" s="4">
        <v>1</v>
      </c>
      <c r="E208" s="4">
        <v>224</v>
      </c>
      <c r="F208" s="4">
        <f>ROUND(Source!AR180,O208)</f>
        <v>36910.21</v>
      </c>
      <c r="G208" s="4" t="s">
        <v>108</v>
      </c>
      <c r="H208" s="4" t="s">
        <v>109</v>
      </c>
      <c r="I208" s="4"/>
      <c r="J208" s="4"/>
      <c r="K208" s="4">
        <v>224</v>
      </c>
      <c r="L208" s="4">
        <v>27</v>
      </c>
      <c r="M208" s="4">
        <v>3</v>
      </c>
      <c r="N208" s="4" t="s">
        <v>3</v>
      </c>
      <c r="O208" s="4">
        <v>2</v>
      </c>
      <c r="P208" s="4"/>
      <c r="Q208" s="4"/>
      <c r="R208" s="4"/>
      <c r="S208" s="4"/>
      <c r="T208" s="4"/>
      <c r="U208" s="4"/>
      <c r="V208" s="4"/>
      <c r="W208" s="4"/>
    </row>
    <row r="210" spans="1:206" x14ac:dyDescent="0.2">
      <c r="A210" s="2">
        <v>51</v>
      </c>
      <c r="B210" s="2">
        <f>B24</f>
        <v>1</v>
      </c>
      <c r="C210" s="2">
        <f>A24</f>
        <v>4</v>
      </c>
      <c r="D210" s="2">
        <f>ROW(A24)</f>
        <v>24</v>
      </c>
      <c r="E210" s="2"/>
      <c r="F210" s="2" t="str">
        <f>IF(F24&lt;&gt;"",F24,"")</f>
        <v>Новый раздел</v>
      </c>
      <c r="G210" s="2" t="str">
        <f>IF(G24&lt;&gt;"",G24,"")</f>
        <v>ЛЗ "Тропаревский" - 339,5 кв.м кв. 23, выд. 128</v>
      </c>
      <c r="H210" s="2">
        <v>0</v>
      </c>
      <c r="I210" s="2"/>
      <c r="J210" s="2"/>
      <c r="K210" s="2"/>
      <c r="L210" s="2"/>
      <c r="M210" s="2"/>
      <c r="N210" s="2"/>
      <c r="O210" s="2">
        <f t="shared" ref="O210:T210" si="166">ROUND(O40+O94+O132+O180+AB210,2)</f>
        <v>926588.17</v>
      </c>
      <c r="P210" s="2">
        <f t="shared" si="166"/>
        <v>801976.14</v>
      </c>
      <c r="Q210" s="2">
        <f t="shared" si="166"/>
        <v>31397.759999999998</v>
      </c>
      <c r="R210" s="2">
        <f t="shared" si="166"/>
        <v>8300.8799999999992</v>
      </c>
      <c r="S210" s="2">
        <f t="shared" si="166"/>
        <v>93214.27</v>
      </c>
      <c r="T210" s="2">
        <f t="shared" si="166"/>
        <v>0</v>
      </c>
      <c r="U210" s="2">
        <f>U40+U94+U132+U180+AH210</f>
        <v>444.81305449999996</v>
      </c>
      <c r="V210" s="2">
        <f>V40+V94+V132+V180+AI210</f>
        <v>0</v>
      </c>
      <c r="W210" s="2">
        <f>ROUND(W40+W94+W132+W180+AJ210,2)</f>
        <v>0</v>
      </c>
      <c r="X210" s="2">
        <f>ROUND(X40+X94+X132+X180+AK210,2)</f>
        <v>65250</v>
      </c>
      <c r="Y210" s="2">
        <f>ROUND(Y40+Y94+Y132+Y180+AL210,2)</f>
        <v>9321.43</v>
      </c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>
        <f t="shared" ref="AO210:BD210" si="167">ROUND(AO40+AO94+AO132+AO180+BX210,2)</f>
        <v>0</v>
      </c>
      <c r="AP210" s="2">
        <f t="shared" si="167"/>
        <v>0</v>
      </c>
      <c r="AQ210" s="2">
        <f t="shared" si="167"/>
        <v>0</v>
      </c>
      <c r="AR210" s="2">
        <f t="shared" si="167"/>
        <v>1009347.51</v>
      </c>
      <c r="AS210" s="2">
        <f t="shared" si="167"/>
        <v>111650.58</v>
      </c>
      <c r="AT210" s="2">
        <f t="shared" si="167"/>
        <v>0</v>
      </c>
      <c r="AU210" s="2">
        <f t="shared" si="167"/>
        <v>897696.93</v>
      </c>
      <c r="AV210" s="2">
        <f t="shared" si="167"/>
        <v>801976.14</v>
      </c>
      <c r="AW210" s="2">
        <f t="shared" si="167"/>
        <v>801976.14</v>
      </c>
      <c r="AX210" s="2">
        <f t="shared" si="167"/>
        <v>0</v>
      </c>
      <c r="AY210" s="2">
        <f t="shared" si="167"/>
        <v>801976.14</v>
      </c>
      <c r="AZ210" s="2">
        <f t="shared" si="167"/>
        <v>0</v>
      </c>
      <c r="BA210" s="2">
        <f t="shared" si="167"/>
        <v>0</v>
      </c>
      <c r="BB210" s="2">
        <f t="shared" si="167"/>
        <v>0</v>
      </c>
      <c r="BC210" s="2">
        <f t="shared" si="167"/>
        <v>0</v>
      </c>
      <c r="BD210" s="2">
        <f t="shared" si="167"/>
        <v>0</v>
      </c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/>
      <c r="GA210" s="3"/>
      <c r="GB210" s="3"/>
      <c r="GC210" s="3"/>
      <c r="GD210" s="3"/>
      <c r="GE210" s="3"/>
      <c r="GF210" s="3"/>
      <c r="GG210" s="3"/>
      <c r="GH210" s="3"/>
      <c r="GI210" s="3"/>
      <c r="GJ210" s="3"/>
      <c r="GK210" s="3"/>
      <c r="GL210" s="3"/>
      <c r="GM210" s="3"/>
      <c r="GN210" s="3"/>
      <c r="GO210" s="3"/>
      <c r="GP210" s="3"/>
      <c r="GQ210" s="3"/>
      <c r="GR210" s="3"/>
      <c r="GS210" s="3"/>
      <c r="GT210" s="3"/>
      <c r="GU210" s="3"/>
      <c r="GV210" s="3"/>
      <c r="GW210" s="3"/>
      <c r="GX210" s="3">
        <v>0</v>
      </c>
    </row>
    <row r="212" spans="1:206" x14ac:dyDescent="0.2">
      <c r="A212" s="4">
        <v>50</v>
      </c>
      <c r="B212" s="4">
        <v>0</v>
      </c>
      <c r="C212" s="4">
        <v>0</v>
      </c>
      <c r="D212" s="4">
        <v>1</v>
      </c>
      <c r="E212" s="4">
        <v>201</v>
      </c>
      <c r="F212" s="4">
        <f>ROUND(Source!O210,O212)</f>
        <v>926588.17</v>
      </c>
      <c r="G212" s="4" t="s">
        <v>56</v>
      </c>
      <c r="H212" s="4" t="s">
        <v>57</v>
      </c>
      <c r="I212" s="4"/>
      <c r="J212" s="4"/>
      <c r="K212" s="4">
        <v>201</v>
      </c>
      <c r="L212" s="4">
        <v>1</v>
      </c>
      <c r="M212" s="4">
        <v>3</v>
      </c>
      <c r="N212" s="4" t="s">
        <v>3</v>
      </c>
      <c r="O212" s="4">
        <v>2</v>
      </c>
      <c r="P212" s="4"/>
      <c r="Q212" s="4"/>
      <c r="R212" s="4"/>
      <c r="S212" s="4"/>
      <c r="T212" s="4"/>
      <c r="U212" s="4"/>
      <c r="V212" s="4"/>
      <c r="W212" s="4"/>
    </row>
    <row r="213" spans="1:206" x14ac:dyDescent="0.2">
      <c r="A213" s="4">
        <v>50</v>
      </c>
      <c r="B213" s="4">
        <v>0</v>
      </c>
      <c r="C213" s="4">
        <v>0</v>
      </c>
      <c r="D213" s="4">
        <v>1</v>
      </c>
      <c r="E213" s="4">
        <v>202</v>
      </c>
      <c r="F213" s="4">
        <f>ROUND(Source!P210,O213)</f>
        <v>801976.14</v>
      </c>
      <c r="G213" s="4" t="s">
        <v>58</v>
      </c>
      <c r="H213" s="4" t="s">
        <v>59</v>
      </c>
      <c r="I213" s="4"/>
      <c r="J213" s="4"/>
      <c r="K213" s="4">
        <v>202</v>
      </c>
      <c r="L213" s="4">
        <v>2</v>
      </c>
      <c r="M213" s="4">
        <v>3</v>
      </c>
      <c r="N213" s="4" t="s">
        <v>3</v>
      </c>
      <c r="O213" s="4">
        <v>2</v>
      </c>
      <c r="P213" s="4"/>
      <c r="Q213" s="4"/>
      <c r="R213" s="4"/>
      <c r="S213" s="4"/>
      <c r="T213" s="4"/>
      <c r="U213" s="4"/>
      <c r="V213" s="4"/>
      <c r="W213" s="4"/>
    </row>
    <row r="214" spans="1:206" x14ac:dyDescent="0.2">
      <c r="A214" s="4">
        <v>50</v>
      </c>
      <c r="B214" s="4">
        <v>0</v>
      </c>
      <c r="C214" s="4">
        <v>0</v>
      </c>
      <c r="D214" s="4">
        <v>1</v>
      </c>
      <c r="E214" s="4">
        <v>222</v>
      </c>
      <c r="F214" s="4">
        <f>ROUND(Source!AO210,O214)</f>
        <v>0</v>
      </c>
      <c r="G214" s="4" t="s">
        <v>60</v>
      </c>
      <c r="H214" s="4" t="s">
        <v>61</v>
      </c>
      <c r="I214" s="4"/>
      <c r="J214" s="4"/>
      <c r="K214" s="4">
        <v>222</v>
      </c>
      <c r="L214" s="4">
        <v>3</v>
      </c>
      <c r="M214" s="4">
        <v>3</v>
      </c>
      <c r="N214" s="4" t="s">
        <v>3</v>
      </c>
      <c r="O214" s="4">
        <v>2</v>
      </c>
      <c r="P214" s="4"/>
      <c r="Q214" s="4"/>
      <c r="R214" s="4"/>
      <c r="S214" s="4"/>
      <c r="T214" s="4"/>
      <c r="U214" s="4"/>
      <c r="V214" s="4"/>
      <c r="W214" s="4"/>
    </row>
    <row r="215" spans="1:206" x14ac:dyDescent="0.2">
      <c r="A215" s="4">
        <v>50</v>
      </c>
      <c r="B215" s="4">
        <v>0</v>
      </c>
      <c r="C215" s="4">
        <v>0</v>
      </c>
      <c r="D215" s="4">
        <v>1</v>
      </c>
      <c r="E215" s="4">
        <v>225</v>
      </c>
      <c r="F215" s="4">
        <f>ROUND(Source!AV210,O215)</f>
        <v>801976.14</v>
      </c>
      <c r="G215" s="4" t="s">
        <v>62</v>
      </c>
      <c r="H215" s="4" t="s">
        <v>63</v>
      </c>
      <c r="I215" s="4"/>
      <c r="J215" s="4"/>
      <c r="K215" s="4">
        <v>225</v>
      </c>
      <c r="L215" s="4">
        <v>4</v>
      </c>
      <c r="M215" s="4">
        <v>3</v>
      </c>
      <c r="N215" s="4" t="s">
        <v>3</v>
      </c>
      <c r="O215" s="4">
        <v>2</v>
      </c>
      <c r="P215" s="4"/>
      <c r="Q215" s="4"/>
      <c r="R215" s="4"/>
      <c r="S215" s="4"/>
      <c r="T215" s="4"/>
      <c r="U215" s="4"/>
      <c r="V215" s="4"/>
      <c r="W215" s="4"/>
    </row>
    <row r="216" spans="1:206" x14ac:dyDescent="0.2">
      <c r="A216" s="4">
        <v>50</v>
      </c>
      <c r="B216" s="4">
        <v>0</v>
      </c>
      <c r="C216" s="4">
        <v>0</v>
      </c>
      <c r="D216" s="4">
        <v>1</v>
      </c>
      <c r="E216" s="4">
        <v>226</v>
      </c>
      <c r="F216" s="4">
        <f>ROUND(Source!AW210,O216)</f>
        <v>801976.14</v>
      </c>
      <c r="G216" s="4" t="s">
        <v>64</v>
      </c>
      <c r="H216" s="4" t="s">
        <v>65</v>
      </c>
      <c r="I216" s="4"/>
      <c r="J216" s="4"/>
      <c r="K216" s="4">
        <v>226</v>
      </c>
      <c r="L216" s="4">
        <v>5</v>
      </c>
      <c r="M216" s="4">
        <v>3</v>
      </c>
      <c r="N216" s="4" t="s">
        <v>3</v>
      </c>
      <c r="O216" s="4">
        <v>2</v>
      </c>
      <c r="P216" s="4"/>
      <c r="Q216" s="4"/>
      <c r="R216" s="4"/>
      <c r="S216" s="4"/>
      <c r="T216" s="4"/>
      <c r="U216" s="4"/>
      <c r="V216" s="4"/>
      <c r="W216" s="4"/>
    </row>
    <row r="217" spans="1:206" x14ac:dyDescent="0.2">
      <c r="A217" s="4">
        <v>50</v>
      </c>
      <c r="B217" s="4">
        <v>0</v>
      </c>
      <c r="C217" s="4">
        <v>0</v>
      </c>
      <c r="D217" s="4">
        <v>1</v>
      </c>
      <c r="E217" s="4">
        <v>227</v>
      </c>
      <c r="F217" s="4">
        <f>ROUND(Source!AX210,O217)</f>
        <v>0</v>
      </c>
      <c r="G217" s="4" t="s">
        <v>66</v>
      </c>
      <c r="H217" s="4" t="s">
        <v>67</v>
      </c>
      <c r="I217" s="4"/>
      <c r="J217" s="4"/>
      <c r="K217" s="4">
        <v>227</v>
      </c>
      <c r="L217" s="4">
        <v>6</v>
      </c>
      <c r="M217" s="4">
        <v>3</v>
      </c>
      <c r="N217" s="4" t="s">
        <v>3</v>
      </c>
      <c r="O217" s="4">
        <v>2</v>
      </c>
      <c r="P217" s="4"/>
      <c r="Q217" s="4"/>
      <c r="R217" s="4"/>
      <c r="S217" s="4"/>
      <c r="T217" s="4"/>
      <c r="U217" s="4"/>
      <c r="V217" s="4"/>
      <c r="W217" s="4"/>
    </row>
    <row r="218" spans="1:206" x14ac:dyDescent="0.2">
      <c r="A218" s="4">
        <v>50</v>
      </c>
      <c r="B218" s="4">
        <v>0</v>
      </c>
      <c r="C218" s="4">
        <v>0</v>
      </c>
      <c r="D218" s="4">
        <v>1</v>
      </c>
      <c r="E218" s="4">
        <v>228</v>
      </c>
      <c r="F218" s="4">
        <f>ROUND(Source!AY210,O218)</f>
        <v>801976.14</v>
      </c>
      <c r="G218" s="4" t="s">
        <v>68</v>
      </c>
      <c r="H218" s="4" t="s">
        <v>69</v>
      </c>
      <c r="I218" s="4"/>
      <c r="J218" s="4"/>
      <c r="K218" s="4">
        <v>228</v>
      </c>
      <c r="L218" s="4">
        <v>7</v>
      </c>
      <c r="M218" s="4">
        <v>3</v>
      </c>
      <c r="N218" s="4" t="s">
        <v>3</v>
      </c>
      <c r="O218" s="4">
        <v>2</v>
      </c>
      <c r="P218" s="4"/>
      <c r="Q218" s="4"/>
      <c r="R218" s="4"/>
      <c r="S218" s="4"/>
      <c r="T218" s="4"/>
      <c r="U218" s="4"/>
      <c r="V218" s="4"/>
      <c r="W218" s="4"/>
    </row>
    <row r="219" spans="1:206" x14ac:dyDescent="0.2">
      <c r="A219" s="4">
        <v>50</v>
      </c>
      <c r="B219" s="4">
        <v>0</v>
      </c>
      <c r="C219" s="4">
        <v>0</v>
      </c>
      <c r="D219" s="4">
        <v>1</v>
      </c>
      <c r="E219" s="4">
        <v>216</v>
      </c>
      <c r="F219" s="4">
        <f>ROUND(Source!AP210,O219)</f>
        <v>0</v>
      </c>
      <c r="G219" s="4" t="s">
        <v>70</v>
      </c>
      <c r="H219" s="4" t="s">
        <v>71</v>
      </c>
      <c r="I219" s="4"/>
      <c r="J219" s="4"/>
      <c r="K219" s="4">
        <v>216</v>
      </c>
      <c r="L219" s="4">
        <v>8</v>
      </c>
      <c r="M219" s="4">
        <v>3</v>
      </c>
      <c r="N219" s="4" t="s">
        <v>3</v>
      </c>
      <c r="O219" s="4">
        <v>2</v>
      </c>
      <c r="P219" s="4"/>
      <c r="Q219" s="4"/>
      <c r="R219" s="4"/>
      <c r="S219" s="4"/>
      <c r="T219" s="4"/>
      <c r="U219" s="4"/>
      <c r="V219" s="4"/>
      <c r="W219" s="4"/>
    </row>
    <row r="220" spans="1:206" x14ac:dyDescent="0.2">
      <c r="A220" s="4">
        <v>50</v>
      </c>
      <c r="B220" s="4">
        <v>0</v>
      </c>
      <c r="C220" s="4">
        <v>0</v>
      </c>
      <c r="D220" s="4">
        <v>1</v>
      </c>
      <c r="E220" s="4">
        <v>223</v>
      </c>
      <c r="F220" s="4">
        <f>ROUND(Source!AQ210,O220)</f>
        <v>0</v>
      </c>
      <c r="G220" s="4" t="s">
        <v>72</v>
      </c>
      <c r="H220" s="4" t="s">
        <v>73</v>
      </c>
      <c r="I220" s="4"/>
      <c r="J220" s="4"/>
      <c r="K220" s="4">
        <v>223</v>
      </c>
      <c r="L220" s="4">
        <v>9</v>
      </c>
      <c r="M220" s="4">
        <v>3</v>
      </c>
      <c r="N220" s="4" t="s">
        <v>3</v>
      </c>
      <c r="O220" s="4">
        <v>2</v>
      </c>
      <c r="P220" s="4"/>
      <c r="Q220" s="4"/>
      <c r="R220" s="4"/>
      <c r="S220" s="4"/>
      <c r="T220" s="4"/>
      <c r="U220" s="4"/>
      <c r="V220" s="4"/>
      <c r="W220" s="4"/>
    </row>
    <row r="221" spans="1:206" x14ac:dyDescent="0.2">
      <c r="A221" s="4">
        <v>50</v>
      </c>
      <c r="B221" s="4">
        <v>0</v>
      </c>
      <c r="C221" s="4">
        <v>0</v>
      </c>
      <c r="D221" s="4">
        <v>1</v>
      </c>
      <c r="E221" s="4">
        <v>229</v>
      </c>
      <c r="F221" s="4">
        <f>ROUND(Source!AZ210,O221)</f>
        <v>0</v>
      </c>
      <c r="G221" s="4" t="s">
        <v>74</v>
      </c>
      <c r="H221" s="4" t="s">
        <v>75</v>
      </c>
      <c r="I221" s="4"/>
      <c r="J221" s="4"/>
      <c r="K221" s="4">
        <v>229</v>
      </c>
      <c r="L221" s="4">
        <v>10</v>
      </c>
      <c r="M221" s="4">
        <v>3</v>
      </c>
      <c r="N221" s="4" t="s">
        <v>3</v>
      </c>
      <c r="O221" s="4">
        <v>2</v>
      </c>
      <c r="P221" s="4"/>
      <c r="Q221" s="4"/>
      <c r="R221" s="4"/>
      <c r="S221" s="4"/>
      <c r="T221" s="4"/>
      <c r="U221" s="4"/>
      <c r="V221" s="4"/>
      <c r="W221" s="4"/>
    </row>
    <row r="222" spans="1:206" x14ac:dyDescent="0.2">
      <c r="A222" s="4">
        <v>50</v>
      </c>
      <c r="B222" s="4">
        <v>0</v>
      </c>
      <c r="C222" s="4">
        <v>0</v>
      </c>
      <c r="D222" s="4">
        <v>1</v>
      </c>
      <c r="E222" s="4">
        <v>203</v>
      </c>
      <c r="F222" s="4">
        <f>ROUND(Source!Q210,O222)</f>
        <v>31397.759999999998</v>
      </c>
      <c r="G222" s="4" t="s">
        <v>76</v>
      </c>
      <c r="H222" s="4" t="s">
        <v>77</v>
      </c>
      <c r="I222" s="4"/>
      <c r="J222" s="4"/>
      <c r="K222" s="4">
        <v>203</v>
      </c>
      <c r="L222" s="4">
        <v>11</v>
      </c>
      <c r="M222" s="4">
        <v>3</v>
      </c>
      <c r="N222" s="4" t="s">
        <v>3</v>
      </c>
      <c r="O222" s="4">
        <v>2</v>
      </c>
      <c r="P222" s="4"/>
      <c r="Q222" s="4"/>
      <c r="R222" s="4"/>
      <c r="S222" s="4"/>
      <c r="T222" s="4"/>
      <c r="U222" s="4"/>
      <c r="V222" s="4"/>
      <c r="W222" s="4"/>
    </row>
    <row r="223" spans="1:206" x14ac:dyDescent="0.2">
      <c r="A223" s="4">
        <v>50</v>
      </c>
      <c r="B223" s="4">
        <v>0</v>
      </c>
      <c r="C223" s="4">
        <v>0</v>
      </c>
      <c r="D223" s="4">
        <v>1</v>
      </c>
      <c r="E223" s="4">
        <v>231</v>
      </c>
      <c r="F223" s="4">
        <f>ROUND(Source!BB210,O223)</f>
        <v>0</v>
      </c>
      <c r="G223" s="4" t="s">
        <v>78</v>
      </c>
      <c r="H223" s="4" t="s">
        <v>79</v>
      </c>
      <c r="I223" s="4"/>
      <c r="J223" s="4"/>
      <c r="K223" s="4">
        <v>231</v>
      </c>
      <c r="L223" s="4">
        <v>12</v>
      </c>
      <c r="M223" s="4">
        <v>3</v>
      </c>
      <c r="N223" s="4" t="s">
        <v>3</v>
      </c>
      <c r="O223" s="4">
        <v>2</v>
      </c>
      <c r="P223" s="4"/>
      <c r="Q223" s="4"/>
      <c r="R223" s="4"/>
      <c r="S223" s="4"/>
      <c r="T223" s="4"/>
      <c r="U223" s="4"/>
      <c r="V223" s="4"/>
      <c r="W223" s="4"/>
    </row>
    <row r="224" spans="1:206" x14ac:dyDescent="0.2">
      <c r="A224" s="4">
        <v>50</v>
      </c>
      <c r="B224" s="4">
        <v>0</v>
      </c>
      <c r="C224" s="4">
        <v>0</v>
      </c>
      <c r="D224" s="4">
        <v>1</v>
      </c>
      <c r="E224" s="4">
        <v>204</v>
      </c>
      <c r="F224" s="4">
        <f>ROUND(Source!R210,O224)</f>
        <v>8300.8799999999992</v>
      </c>
      <c r="G224" s="4" t="s">
        <v>80</v>
      </c>
      <c r="H224" s="4" t="s">
        <v>81</v>
      </c>
      <c r="I224" s="4"/>
      <c r="J224" s="4"/>
      <c r="K224" s="4">
        <v>204</v>
      </c>
      <c r="L224" s="4">
        <v>13</v>
      </c>
      <c r="M224" s="4">
        <v>3</v>
      </c>
      <c r="N224" s="4" t="s">
        <v>3</v>
      </c>
      <c r="O224" s="4">
        <v>2</v>
      </c>
      <c r="P224" s="4"/>
      <c r="Q224" s="4"/>
      <c r="R224" s="4"/>
      <c r="S224" s="4"/>
      <c r="T224" s="4"/>
      <c r="U224" s="4"/>
      <c r="V224" s="4"/>
      <c r="W224" s="4"/>
    </row>
    <row r="225" spans="1:23" x14ac:dyDescent="0.2">
      <c r="A225" s="4">
        <v>50</v>
      </c>
      <c r="B225" s="4">
        <v>0</v>
      </c>
      <c r="C225" s="4">
        <v>0</v>
      </c>
      <c r="D225" s="4">
        <v>1</v>
      </c>
      <c r="E225" s="4">
        <v>205</v>
      </c>
      <c r="F225" s="4">
        <f>ROUND(Source!S210,O225)</f>
        <v>93214.27</v>
      </c>
      <c r="G225" s="4" t="s">
        <v>82</v>
      </c>
      <c r="H225" s="4" t="s">
        <v>83</v>
      </c>
      <c r="I225" s="4"/>
      <c r="J225" s="4"/>
      <c r="K225" s="4">
        <v>205</v>
      </c>
      <c r="L225" s="4">
        <v>14</v>
      </c>
      <c r="M225" s="4">
        <v>3</v>
      </c>
      <c r="N225" s="4" t="s">
        <v>3</v>
      </c>
      <c r="O225" s="4">
        <v>2</v>
      </c>
      <c r="P225" s="4"/>
      <c r="Q225" s="4"/>
      <c r="R225" s="4"/>
      <c r="S225" s="4"/>
      <c r="T225" s="4"/>
      <c r="U225" s="4"/>
      <c r="V225" s="4"/>
      <c r="W225" s="4"/>
    </row>
    <row r="226" spans="1:23" x14ac:dyDescent="0.2">
      <c r="A226" s="4">
        <v>50</v>
      </c>
      <c r="B226" s="4">
        <v>0</v>
      </c>
      <c r="C226" s="4">
        <v>0</v>
      </c>
      <c r="D226" s="4">
        <v>1</v>
      </c>
      <c r="E226" s="4">
        <v>232</v>
      </c>
      <c r="F226" s="4">
        <f>ROUND(Source!BC210,O226)</f>
        <v>0</v>
      </c>
      <c r="G226" s="4" t="s">
        <v>84</v>
      </c>
      <c r="H226" s="4" t="s">
        <v>85</v>
      </c>
      <c r="I226" s="4"/>
      <c r="J226" s="4"/>
      <c r="K226" s="4">
        <v>232</v>
      </c>
      <c r="L226" s="4">
        <v>15</v>
      </c>
      <c r="M226" s="4">
        <v>3</v>
      </c>
      <c r="N226" s="4" t="s">
        <v>3</v>
      </c>
      <c r="O226" s="4">
        <v>2</v>
      </c>
      <c r="P226" s="4"/>
      <c r="Q226" s="4"/>
      <c r="R226" s="4"/>
      <c r="S226" s="4"/>
      <c r="T226" s="4"/>
      <c r="U226" s="4"/>
      <c r="V226" s="4"/>
      <c r="W226" s="4"/>
    </row>
    <row r="227" spans="1:23" x14ac:dyDescent="0.2">
      <c r="A227" s="4">
        <v>50</v>
      </c>
      <c r="B227" s="4">
        <v>0</v>
      </c>
      <c r="C227" s="4">
        <v>0</v>
      </c>
      <c r="D227" s="4">
        <v>1</v>
      </c>
      <c r="E227" s="4">
        <v>214</v>
      </c>
      <c r="F227" s="4">
        <f>ROUND(Source!AS210,O227)</f>
        <v>111650.58</v>
      </c>
      <c r="G227" s="4" t="s">
        <v>86</v>
      </c>
      <c r="H227" s="4" t="s">
        <v>87</v>
      </c>
      <c r="I227" s="4"/>
      <c r="J227" s="4"/>
      <c r="K227" s="4">
        <v>214</v>
      </c>
      <c r="L227" s="4">
        <v>16</v>
      </c>
      <c r="M227" s="4">
        <v>3</v>
      </c>
      <c r="N227" s="4" t="s">
        <v>3</v>
      </c>
      <c r="O227" s="4">
        <v>2</v>
      </c>
      <c r="P227" s="4"/>
      <c r="Q227" s="4"/>
      <c r="R227" s="4"/>
      <c r="S227" s="4"/>
      <c r="T227" s="4"/>
      <c r="U227" s="4"/>
      <c r="V227" s="4"/>
      <c r="W227" s="4"/>
    </row>
    <row r="228" spans="1:23" x14ac:dyDescent="0.2">
      <c r="A228" s="4">
        <v>50</v>
      </c>
      <c r="B228" s="4">
        <v>0</v>
      </c>
      <c r="C228" s="4">
        <v>0</v>
      </c>
      <c r="D228" s="4">
        <v>1</v>
      </c>
      <c r="E228" s="4">
        <v>215</v>
      </c>
      <c r="F228" s="4">
        <f>ROUND(Source!AT210,O228)</f>
        <v>0</v>
      </c>
      <c r="G228" s="4" t="s">
        <v>88</v>
      </c>
      <c r="H228" s="4" t="s">
        <v>89</v>
      </c>
      <c r="I228" s="4"/>
      <c r="J228" s="4"/>
      <c r="K228" s="4">
        <v>215</v>
      </c>
      <c r="L228" s="4">
        <v>17</v>
      </c>
      <c r="M228" s="4">
        <v>3</v>
      </c>
      <c r="N228" s="4" t="s">
        <v>3</v>
      </c>
      <c r="O228" s="4">
        <v>2</v>
      </c>
      <c r="P228" s="4"/>
      <c r="Q228" s="4"/>
      <c r="R228" s="4"/>
      <c r="S228" s="4"/>
      <c r="T228" s="4"/>
      <c r="U228" s="4"/>
      <c r="V228" s="4"/>
      <c r="W228" s="4"/>
    </row>
    <row r="229" spans="1:23" x14ac:dyDescent="0.2">
      <c r="A229" s="4">
        <v>50</v>
      </c>
      <c r="B229" s="4">
        <v>0</v>
      </c>
      <c r="C229" s="4">
        <v>0</v>
      </c>
      <c r="D229" s="4">
        <v>1</v>
      </c>
      <c r="E229" s="4">
        <v>217</v>
      </c>
      <c r="F229" s="4">
        <f>ROUND(Source!AU210,O229)</f>
        <v>897696.93</v>
      </c>
      <c r="G229" s="4" t="s">
        <v>90</v>
      </c>
      <c r="H229" s="4" t="s">
        <v>91</v>
      </c>
      <c r="I229" s="4"/>
      <c r="J229" s="4"/>
      <c r="K229" s="4">
        <v>217</v>
      </c>
      <c r="L229" s="4">
        <v>18</v>
      </c>
      <c r="M229" s="4">
        <v>3</v>
      </c>
      <c r="N229" s="4" t="s">
        <v>3</v>
      </c>
      <c r="O229" s="4">
        <v>2</v>
      </c>
      <c r="P229" s="4"/>
      <c r="Q229" s="4"/>
      <c r="R229" s="4"/>
      <c r="S229" s="4"/>
      <c r="T229" s="4"/>
      <c r="U229" s="4"/>
      <c r="V229" s="4"/>
      <c r="W229" s="4"/>
    </row>
    <row r="230" spans="1:23" x14ac:dyDescent="0.2">
      <c r="A230" s="4">
        <v>50</v>
      </c>
      <c r="B230" s="4">
        <v>0</v>
      </c>
      <c r="C230" s="4">
        <v>0</v>
      </c>
      <c r="D230" s="4">
        <v>1</v>
      </c>
      <c r="E230" s="4">
        <v>230</v>
      </c>
      <c r="F230" s="4">
        <f>ROUND(Source!BA210,O230)</f>
        <v>0</v>
      </c>
      <c r="G230" s="4" t="s">
        <v>92</v>
      </c>
      <c r="H230" s="4" t="s">
        <v>93</v>
      </c>
      <c r="I230" s="4"/>
      <c r="J230" s="4"/>
      <c r="K230" s="4">
        <v>230</v>
      </c>
      <c r="L230" s="4">
        <v>19</v>
      </c>
      <c r="M230" s="4">
        <v>3</v>
      </c>
      <c r="N230" s="4" t="s">
        <v>3</v>
      </c>
      <c r="O230" s="4">
        <v>2</v>
      </c>
      <c r="P230" s="4"/>
      <c r="Q230" s="4"/>
      <c r="R230" s="4"/>
      <c r="S230" s="4"/>
      <c r="T230" s="4"/>
      <c r="U230" s="4"/>
      <c r="V230" s="4"/>
      <c r="W230" s="4"/>
    </row>
    <row r="231" spans="1:23" x14ac:dyDescent="0.2">
      <c r="A231" s="4">
        <v>50</v>
      </c>
      <c r="B231" s="4">
        <v>0</v>
      </c>
      <c r="C231" s="4">
        <v>0</v>
      </c>
      <c r="D231" s="4">
        <v>1</v>
      </c>
      <c r="E231" s="4">
        <v>206</v>
      </c>
      <c r="F231" s="4">
        <f>ROUND(Source!T210,O231)</f>
        <v>0</v>
      </c>
      <c r="G231" s="4" t="s">
        <v>94</v>
      </c>
      <c r="H231" s="4" t="s">
        <v>95</v>
      </c>
      <c r="I231" s="4"/>
      <c r="J231" s="4"/>
      <c r="K231" s="4">
        <v>206</v>
      </c>
      <c r="L231" s="4">
        <v>20</v>
      </c>
      <c r="M231" s="4">
        <v>3</v>
      </c>
      <c r="N231" s="4" t="s">
        <v>3</v>
      </c>
      <c r="O231" s="4">
        <v>2</v>
      </c>
      <c r="P231" s="4"/>
      <c r="Q231" s="4"/>
      <c r="R231" s="4"/>
      <c r="S231" s="4"/>
      <c r="T231" s="4"/>
      <c r="U231" s="4"/>
      <c r="V231" s="4"/>
      <c r="W231" s="4"/>
    </row>
    <row r="232" spans="1:23" x14ac:dyDescent="0.2">
      <c r="A232" s="4">
        <v>50</v>
      </c>
      <c r="B232" s="4">
        <v>0</v>
      </c>
      <c r="C232" s="4">
        <v>0</v>
      </c>
      <c r="D232" s="4">
        <v>1</v>
      </c>
      <c r="E232" s="4">
        <v>207</v>
      </c>
      <c r="F232" s="4">
        <f>Source!U210</f>
        <v>444.81305449999996</v>
      </c>
      <c r="G232" s="4" t="s">
        <v>96</v>
      </c>
      <c r="H232" s="4" t="s">
        <v>97</v>
      </c>
      <c r="I232" s="4"/>
      <c r="J232" s="4"/>
      <c r="K232" s="4">
        <v>207</v>
      </c>
      <c r="L232" s="4">
        <v>21</v>
      </c>
      <c r="M232" s="4">
        <v>3</v>
      </c>
      <c r="N232" s="4" t="s">
        <v>3</v>
      </c>
      <c r="O232" s="4">
        <v>-1</v>
      </c>
      <c r="P232" s="4"/>
      <c r="Q232" s="4"/>
      <c r="R232" s="4"/>
      <c r="S232" s="4"/>
      <c r="T232" s="4"/>
      <c r="U232" s="4"/>
      <c r="V232" s="4"/>
      <c r="W232" s="4"/>
    </row>
    <row r="233" spans="1:23" x14ac:dyDescent="0.2">
      <c r="A233" s="4">
        <v>50</v>
      </c>
      <c r="B233" s="4">
        <v>0</v>
      </c>
      <c r="C233" s="4">
        <v>0</v>
      </c>
      <c r="D233" s="4">
        <v>1</v>
      </c>
      <c r="E233" s="4">
        <v>208</v>
      </c>
      <c r="F233" s="4">
        <f>Source!V210</f>
        <v>0</v>
      </c>
      <c r="G233" s="4" t="s">
        <v>98</v>
      </c>
      <c r="H233" s="4" t="s">
        <v>99</v>
      </c>
      <c r="I233" s="4"/>
      <c r="J233" s="4"/>
      <c r="K233" s="4">
        <v>208</v>
      </c>
      <c r="L233" s="4">
        <v>22</v>
      </c>
      <c r="M233" s="4">
        <v>3</v>
      </c>
      <c r="N233" s="4" t="s">
        <v>3</v>
      </c>
      <c r="O233" s="4">
        <v>-1</v>
      </c>
      <c r="P233" s="4"/>
      <c r="Q233" s="4"/>
      <c r="R233" s="4"/>
      <c r="S233" s="4"/>
      <c r="T233" s="4"/>
      <c r="U233" s="4"/>
      <c r="V233" s="4"/>
      <c r="W233" s="4"/>
    </row>
    <row r="234" spans="1:23" x14ac:dyDescent="0.2">
      <c r="A234" s="4">
        <v>50</v>
      </c>
      <c r="B234" s="4">
        <v>0</v>
      </c>
      <c r="C234" s="4">
        <v>0</v>
      </c>
      <c r="D234" s="4">
        <v>1</v>
      </c>
      <c r="E234" s="4">
        <v>209</v>
      </c>
      <c r="F234" s="4">
        <f>ROUND(Source!W210,O234)</f>
        <v>0</v>
      </c>
      <c r="G234" s="4" t="s">
        <v>100</v>
      </c>
      <c r="H234" s="4" t="s">
        <v>101</v>
      </c>
      <c r="I234" s="4"/>
      <c r="J234" s="4"/>
      <c r="K234" s="4">
        <v>209</v>
      </c>
      <c r="L234" s="4">
        <v>23</v>
      </c>
      <c r="M234" s="4">
        <v>3</v>
      </c>
      <c r="N234" s="4" t="s">
        <v>3</v>
      </c>
      <c r="O234" s="4">
        <v>2</v>
      </c>
      <c r="P234" s="4"/>
      <c r="Q234" s="4"/>
      <c r="R234" s="4"/>
      <c r="S234" s="4"/>
      <c r="T234" s="4"/>
      <c r="U234" s="4"/>
      <c r="V234" s="4"/>
      <c r="W234" s="4"/>
    </row>
    <row r="235" spans="1:23" x14ac:dyDescent="0.2">
      <c r="A235" s="4">
        <v>50</v>
      </c>
      <c r="B235" s="4">
        <v>0</v>
      </c>
      <c r="C235" s="4">
        <v>0</v>
      </c>
      <c r="D235" s="4">
        <v>1</v>
      </c>
      <c r="E235" s="4">
        <v>233</v>
      </c>
      <c r="F235" s="4">
        <f>ROUND(Source!BD210,O235)</f>
        <v>0</v>
      </c>
      <c r="G235" s="4" t="s">
        <v>102</v>
      </c>
      <c r="H235" s="4" t="s">
        <v>103</v>
      </c>
      <c r="I235" s="4"/>
      <c r="J235" s="4"/>
      <c r="K235" s="4">
        <v>233</v>
      </c>
      <c r="L235" s="4">
        <v>24</v>
      </c>
      <c r="M235" s="4">
        <v>3</v>
      </c>
      <c r="N235" s="4" t="s">
        <v>3</v>
      </c>
      <c r="O235" s="4">
        <v>2</v>
      </c>
      <c r="P235" s="4"/>
      <c r="Q235" s="4"/>
      <c r="R235" s="4"/>
      <c r="S235" s="4"/>
      <c r="T235" s="4"/>
      <c r="U235" s="4"/>
      <c r="V235" s="4"/>
      <c r="W235" s="4"/>
    </row>
    <row r="236" spans="1:23" x14ac:dyDescent="0.2">
      <c r="A236" s="4">
        <v>50</v>
      </c>
      <c r="B236" s="4">
        <v>0</v>
      </c>
      <c r="C236" s="4">
        <v>0</v>
      </c>
      <c r="D236" s="4">
        <v>1</v>
      </c>
      <c r="E236" s="4">
        <v>210</v>
      </c>
      <c r="F236" s="4">
        <f>ROUND(Source!X210,O236)</f>
        <v>65250</v>
      </c>
      <c r="G236" s="4" t="s">
        <v>104</v>
      </c>
      <c r="H236" s="4" t="s">
        <v>105</v>
      </c>
      <c r="I236" s="4"/>
      <c r="J236" s="4"/>
      <c r="K236" s="4">
        <v>210</v>
      </c>
      <c r="L236" s="4">
        <v>25</v>
      </c>
      <c r="M236" s="4">
        <v>3</v>
      </c>
      <c r="N236" s="4" t="s">
        <v>3</v>
      </c>
      <c r="O236" s="4">
        <v>2</v>
      </c>
      <c r="P236" s="4"/>
      <c r="Q236" s="4"/>
      <c r="R236" s="4"/>
      <c r="S236" s="4"/>
      <c r="T236" s="4"/>
      <c r="U236" s="4"/>
      <c r="V236" s="4"/>
      <c r="W236" s="4"/>
    </row>
    <row r="237" spans="1:23" x14ac:dyDescent="0.2">
      <c r="A237" s="4">
        <v>50</v>
      </c>
      <c r="B237" s="4">
        <v>0</v>
      </c>
      <c r="C237" s="4">
        <v>0</v>
      </c>
      <c r="D237" s="4">
        <v>1</v>
      </c>
      <c r="E237" s="4">
        <v>211</v>
      </c>
      <c r="F237" s="4">
        <f>ROUND(Source!Y210,O237)</f>
        <v>9321.43</v>
      </c>
      <c r="G237" s="4" t="s">
        <v>106</v>
      </c>
      <c r="H237" s="4" t="s">
        <v>107</v>
      </c>
      <c r="I237" s="4"/>
      <c r="J237" s="4"/>
      <c r="K237" s="4">
        <v>211</v>
      </c>
      <c r="L237" s="4">
        <v>26</v>
      </c>
      <c r="M237" s="4">
        <v>3</v>
      </c>
      <c r="N237" s="4" t="s">
        <v>3</v>
      </c>
      <c r="O237" s="4">
        <v>2</v>
      </c>
      <c r="P237" s="4"/>
      <c r="Q237" s="4"/>
      <c r="R237" s="4"/>
      <c r="S237" s="4"/>
      <c r="T237" s="4"/>
      <c r="U237" s="4"/>
      <c r="V237" s="4"/>
      <c r="W237" s="4"/>
    </row>
    <row r="238" spans="1:23" x14ac:dyDescent="0.2">
      <c r="A238" s="4">
        <v>50</v>
      </c>
      <c r="B238" s="4">
        <v>0</v>
      </c>
      <c r="C238" s="4">
        <v>0</v>
      </c>
      <c r="D238" s="4">
        <v>1</v>
      </c>
      <c r="E238" s="4">
        <v>224</v>
      </c>
      <c r="F238" s="4">
        <f>ROUND(Source!AR210,O238)</f>
        <v>1009347.51</v>
      </c>
      <c r="G238" s="4" t="s">
        <v>108</v>
      </c>
      <c r="H238" s="4" t="s">
        <v>109</v>
      </c>
      <c r="I238" s="4"/>
      <c r="J238" s="4"/>
      <c r="K238" s="4">
        <v>224</v>
      </c>
      <c r="L238" s="4">
        <v>27</v>
      </c>
      <c r="M238" s="4">
        <v>3</v>
      </c>
      <c r="N238" s="4" t="s">
        <v>3</v>
      </c>
      <c r="O238" s="4">
        <v>2</v>
      </c>
      <c r="P238" s="4"/>
      <c r="Q238" s="4"/>
      <c r="R238" s="4"/>
      <c r="S238" s="4"/>
      <c r="T238" s="4"/>
      <c r="U238" s="4"/>
      <c r="V238" s="4"/>
      <c r="W238" s="4"/>
    </row>
    <row r="239" spans="1:23" x14ac:dyDescent="0.2">
      <c r="A239" s="4">
        <v>50</v>
      </c>
      <c r="B239" s="4">
        <v>1</v>
      </c>
      <c r="C239" s="4">
        <v>0</v>
      </c>
      <c r="D239" s="4">
        <v>2</v>
      </c>
      <c r="E239" s="4">
        <v>0</v>
      </c>
      <c r="F239" s="4">
        <f>ROUND(F238*0.2,O239)</f>
        <v>201869.5</v>
      </c>
      <c r="G239" s="4" t="s">
        <v>227</v>
      </c>
      <c r="H239" s="4" t="s">
        <v>228</v>
      </c>
      <c r="I239" s="4"/>
      <c r="J239" s="4"/>
      <c r="K239" s="4">
        <v>212</v>
      </c>
      <c r="L239" s="4">
        <v>28</v>
      </c>
      <c r="M239" s="4">
        <v>0</v>
      </c>
      <c r="N239" s="4" t="s">
        <v>3</v>
      </c>
      <c r="O239" s="4">
        <v>2</v>
      </c>
      <c r="P239" s="4"/>
      <c r="Q239" s="4"/>
      <c r="R239" s="4"/>
      <c r="S239" s="4"/>
      <c r="T239" s="4"/>
      <c r="U239" s="4"/>
      <c r="V239" s="4"/>
      <c r="W239" s="4"/>
    </row>
    <row r="240" spans="1:23" x14ac:dyDescent="0.2">
      <c r="A240" s="4">
        <v>50</v>
      </c>
      <c r="B240" s="4">
        <v>1</v>
      </c>
      <c r="C240" s="4">
        <v>0</v>
      </c>
      <c r="D240" s="4">
        <v>2</v>
      </c>
      <c r="E240" s="4">
        <v>213</v>
      </c>
      <c r="F240" s="4">
        <f>ROUND(F238+F239,O240)</f>
        <v>1211217.01</v>
      </c>
      <c r="G240" s="4" t="s">
        <v>229</v>
      </c>
      <c r="H240" s="4" t="s">
        <v>230</v>
      </c>
      <c r="I240" s="4"/>
      <c r="J240" s="4"/>
      <c r="K240" s="4">
        <v>212</v>
      </c>
      <c r="L240" s="4">
        <v>29</v>
      </c>
      <c r="M240" s="4">
        <v>0</v>
      </c>
      <c r="N240" s="4" t="s">
        <v>3</v>
      </c>
      <c r="O240" s="4">
        <v>2</v>
      </c>
      <c r="P240" s="4"/>
      <c r="Q240" s="4"/>
      <c r="R240" s="4"/>
      <c r="S240" s="4"/>
      <c r="T240" s="4"/>
      <c r="U240" s="4"/>
      <c r="V240" s="4"/>
      <c r="W240" s="4"/>
    </row>
    <row r="242" spans="1:245" x14ac:dyDescent="0.2">
      <c r="A242" s="1">
        <v>4</v>
      </c>
      <c r="B242" s="1">
        <v>1</v>
      </c>
      <c r="C242" s="1"/>
      <c r="D242" s="1">
        <f>ROW(A417)</f>
        <v>417</v>
      </c>
      <c r="E242" s="1"/>
      <c r="F242" s="1" t="s">
        <v>15</v>
      </c>
      <c r="G242" s="1" t="s">
        <v>231</v>
      </c>
      <c r="H242" s="1" t="s">
        <v>3</v>
      </c>
      <c r="I242" s="1">
        <v>0</v>
      </c>
      <c r="J242" s="1"/>
      <c r="K242" s="1">
        <v>0</v>
      </c>
      <c r="L242" s="1"/>
      <c r="M242" s="1"/>
      <c r="N242" s="1"/>
      <c r="O242" s="1"/>
      <c r="P242" s="1"/>
      <c r="Q242" s="1"/>
      <c r="R242" s="1"/>
      <c r="S242" s="1"/>
      <c r="T242" s="1"/>
      <c r="U242" s="1" t="s">
        <v>3</v>
      </c>
      <c r="V242" s="1">
        <v>0</v>
      </c>
      <c r="W242" s="1"/>
      <c r="X242" s="1"/>
      <c r="Y242" s="1"/>
      <c r="Z242" s="1"/>
      <c r="AA242" s="1"/>
      <c r="AB242" s="1" t="s">
        <v>3</v>
      </c>
      <c r="AC242" s="1" t="s">
        <v>3</v>
      </c>
      <c r="AD242" s="1" t="s">
        <v>3</v>
      </c>
      <c r="AE242" s="1" t="s">
        <v>3</v>
      </c>
      <c r="AF242" s="1" t="s">
        <v>3</v>
      </c>
      <c r="AG242" s="1" t="s">
        <v>3</v>
      </c>
      <c r="AH242" s="1"/>
      <c r="AI242" s="1"/>
      <c r="AJ242" s="1"/>
      <c r="AK242" s="1"/>
      <c r="AL242" s="1"/>
      <c r="AM242" s="1"/>
      <c r="AN242" s="1"/>
      <c r="AO242" s="1"/>
      <c r="AP242" s="1" t="s">
        <v>3</v>
      </c>
      <c r="AQ242" s="1" t="s">
        <v>3</v>
      </c>
      <c r="AR242" s="1" t="s">
        <v>3</v>
      </c>
      <c r="AS242" s="1"/>
      <c r="AT242" s="1"/>
      <c r="AU242" s="1"/>
      <c r="AV242" s="1"/>
      <c r="AW242" s="1"/>
      <c r="AX242" s="1"/>
      <c r="AY242" s="1"/>
      <c r="AZ242" s="1" t="s">
        <v>3</v>
      </c>
      <c r="BA242" s="1"/>
      <c r="BB242" s="1" t="s">
        <v>3</v>
      </c>
      <c r="BC242" s="1" t="s">
        <v>3</v>
      </c>
      <c r="BD242" s="1" t="s">
        <v>3</v>
      </c>
      <c r="BE242" s="1" t="s">
        <v>3</v>
      </c>
      <c r="BF242" s="1" t="s">
        <v>3</v>
      </c>
      <c r="BG242" s="1" t="s">
        <v>3</v>
      </c>
      <c r="BH242" s="1" t="s">
        <v>3</v>
      </c>
      <c r="BI242" s="1" t="s">
        <v>3</v>
      </c>
      <c r="BJ242" s="1" t="s">
        <v>3</v>
      </c>
      <c r="BK242" s="1" t="s">
        <v>3</v>
      </c>
      <c r="BL242" s="1" t="s">
        <v>3</v>
      </c>
      <c r="BM242" s="1" t="s">
        <v>3</v>
      </c>
      <c r="BN242" s="1" t="s">
        <v>3</v>
      </c>
      <c r="BO242" s="1" t="s">
        <v>3</v>
      </c>
      <c r="BP242" s="1" t="s">
        <v>3</v>
      </c>
      <c r="BQ242" s="1"/>
      <c r="BR242" s="1"/>
      <c r="BS242" s="1"/>
      <c r="BT242" s="1"/>
      <c r="BU242" s="1"/>
      <c r="BV242" s="1"/>
      <c r="BW242" s="1"/>
      <c r="BX242" s="1">
        <v>0</v>
      </c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>
        <v>0</v>
      </c>
    </row>
    <row r="244" spans="1:245" x14ac:dyDescent="0.2">
      <c r="A244" s="2">
        <v>52</v>
      </c>
      <c r="B244" s="2">
        <f t="shared" ref="B244:G244" si="168">B417</f>
        <v>1</v>
      </c>
      <c r="C244" s="2">
        <f t="shared" si="168"/>
        <v>4</v>
      </c>
      <c r="D244" s="2">
        <f t="shared" si="168"/>
        <v>242</v>
      </c>
      <c r="E244" s="2">
        <f t="shared" si="168"/>
        <v>0</v>
      </c>
      <c r="F244" s="2" t="str">
        <f t="shared" si="168"/>
        <v>Новый раздел</v>
      </c>
      <c r="G244" s="2" t="str">
        <f t="shared" si="168"/>
        <v>ЛЗ "Тропаревский" - 270 кв.м. кв. 12, выд. 14</v>
      </c>
      <c r="H244" s="2"/>
      <c r="I244" s="2"/>
      <c r="J244" s="2"/>
      <c r="K244" s="2"/>
      <c r="L244" s="2"/>
      <c r="M244" s="2"/>
      <c r="N244" s="2"/>
      <c r="O244" s="2">
        <f t="shared" ref="O244:AT244" si="169">O417</f>
        <v>920078.95</v>
      </c>
      <c r="P244" s="2">
        <f t="shared" si="169"/>
        <v>797365.36</v>
      </c>
      <c r="Q244" s="2">
        <f t="shared" si="169"/>
        <v>30031.11</v>
      </c>
      <c r="R244" s="2">
        <f t="shared" si="169"/>
        <v>7558.32</v>
      </c>
      <c r="S244" s="2">
        <f t="shared" si="169"/>
        <v>92682.48</v>
      </c>
      <c r="T244" s="2">
        <f t="shared" si="169"/>
        <v>0</v>
      </c>
      <c r="U244" s="2">
        <f t="shared" si="169"/>
        <v>441.80363499999993</v>
      </c>
      <c r="V244" s="2">
        <f t="shared" si="169"/>
        <v>0</v>
      </c>
      <c r="W244" s="2">
        <f t="shared" si="169"/>
        <v>0</v>
      </c>
      <c r="X244" s="2">
        <f t="shared" si="169"/>
        <v>64877.74</v>
      </c>
      <c r="Y244" s="2">
        <f t="shared" si="169"/>
        <v>9268.25</v>
      </c>
      <c r="Z244" s="2">
        <f t="shared" si="169"/>
        <v>0</v>
      </c>
      <c r="AA244" s="2">
        <f t="shared" si="169"/>
        <v>0</v>
      </c>
      <c r="AB244" s="2">
        <f t="shared" si="169"/>
        <v>0</v>
      </c>
      <c r="AC244" s="2">
        <f t="shared" si="169"/>
        <v>0</v>
      </c>
      <c r="AD244" s="2">
        <f t="shared" si="169"/>
        <v>0</v>
      </c>
      <c r="AE244" s="2">
        <f t="shared" si="169"/>
        <v>0</v>
      </c>
      <c r="AF244" s="2">
        <f t="shared" si="169"/>
        <v>0</v>
      </c>
      <c r="AG244" s="2">
        <f t="shared" si="169"/>
        <v>0</v>
      </c>
      <c r="AH244" s="2">
        <f t="shared" si="169"/>
        <v>0</v>
      </c>
      <c r="AI244" s="2">
        <f t="shared" si="169"/>
        <v>0</v>
      </c>
      <c r="AJ244" s="2">
        <f t="shared" si="169"/>
        <v>0</v>
      </c>
      <c r="AK244" s="2">
        <f t="shared" si="169"/>
        <v>0</v>
      </c>
      <c r="AL244" s="2">
        <f t="shared" si="169"/>
        <v>0</v>
      </c>
      <c r="AM244" s="2">
        <f t="shared" si="169"/>
        <v>0</v>
      </c>
      <c r="AN244" s="2">
        <f t="shared" si="169"/>
        <v>0</v>
      </c>
      <c r="AO244" s="2">
        <f t="shared" si="169"/>
        <v>0</v>
      </c>
      <c r="AP244" s="2">
        <f t="shared" si="169"/>
        <v>0</v>
      </c>
      <c r="AQ244" s="2">
        <f t="shared" si="169"/>
        <v>0</v>
      </c>
      <c r="AR244" s="2">
        <f t="shared" si="169"/>
        <v>1001773.36</v>
      </c>
      <c r="AS244" s="2">
        <f t="shared" si="169"/>
        <v>111650.58</v>
      </c>
      <c r="AT244" s="2">
        <f t="shared" si="169"/>
        <v>0</v>
      </c>
      <c r="AU244" s="2">
        <f t="shared" ref="AU244:BZ244" si="170">AU417</f>
        <v>890122.78</v>
      </c>
      <c r="AV244" s="2">
        <f t="shared" si="170"/>
        <v>797365.36</v>
      </c>
      <c r="AW244" s="2">
        <f t="shared" si="170"/>
        <v>797365.36</v>
      </c>
      <c r="AX244" s="2">
        <f t="shared" si="170"/>
        <v>0</v>
      </c>
      <c r="AY244" s="2">
        <f t="shared" si="170"/>
        <v>797365.36</v>
      </c>
      <c r="AZ244" s="2">
        <f t="shared" si="170"/>
        <v>0</v>
      </c>
      <c r="BA244" s="2">
        <f t="shared" si="170"/>
        <v>0</v>
      </c>
      <c r="BB244" s="2">
        <f t="shared" si="170"/>
        <v>0</v>
      </c>
      <c r="BC244" s="2">
        <f t="shared" si="170"/>
        <v>0</v>
      </c>
      <c r="BD244" s="2">
        <f t="shared" si="170"/>
        <v>0</v>
      </c>
      <c r="BE244" s="2">
        <f t="shared" si="170"/>
        <v>0</v>
      </c>
      <c r="BF244" s="2">
        <f t="shared" si="170"/>
        <v>0</v>
      </c>
      <c r="BG244" s="2">
        <f t="shared" si="170"/>
        <v>0</v>
      </c>
      <c r="BH244" s="2">
        <f t="shared" si="170"/>
        <v>0</v>
      </c>
      <c r="BI244" s="2">
        <f t="shared" si="170"/>
        <v>0</v>
      </c>
      <c r="BJ244" s="2">
        <f t="shared" si="170"/>
        <v>0</v>
      </c>
      <c r="BK244" s="2">
        <f t="shared" si="170"/>
        <v>0</v>
      </c>
      <c r="BL244" s="2">
        <f t="shared" si="170"/>
        <v>0</v>
      </c>
      <c r="BM244" s="2">
        <f t="shared" si="170"/>
        <v>0</v>
      </c>
      <c r="BN244" s="2">
        <f t="shared" si="170"/>
        <v>0</v>
      </c>
      <c r="BO244" s="2">
        <f t="shared" si="170"/>
        <v>0</v>
      </c>
      <c r="BP244" s="2">
        <f t="shared" si="170"/>
        <v>0</v>
      </c>
      <c r="BQ244" s="2">
        <f t="shared" si="170"/>
        <v>0</v>
      </c>
      <c r="BR244" s="2">
        <f t="shared" si="170"/>
        <v>0</v>
      </c>
      <c r="BS244" s="2">
        <f t="shared" si="170"/>
        <v>0</v>
      </c>
      <c r="BT244" s="2">
        <f t="shared" si="170"/>
        <v>0</v>
      </c>
      <c r="BU244" s="2">
        <f t="shared" si="170"/>
        <v>0</v>
      </c>
      <c r="BV244" s="2">
        <f t="shared" si="170"/>
        <v>0</v>
      </c>
      <c r="BW244" s="2">
        <f t="shared" si="170"/>
        <v>0</v>
      </c>
      <c r="BX244" s="2">
        <f t="shared" si="170"/>
        <v>0</v>
      </c>
      <c r="BY244" s="2">
        <f t="shared" si="170"/>
        <v>0</v>
      </c>
      <c r="BZ244" s="2">
        <f t="shared" si="170"/>
        <v>0</v>
      </c>
      <c r="CA244" s="2">
        <f t="shared" ref="CA244:DF244" si="171">CA417</f>
        <v>0</v>
      </c>
      <c r="CB244" s="2">
        <f t="shared" si="171"/>
        <v>0</v>
      </c>
      <c r="CC244" s="2">
        <f t="shared" si="171"/>
        <v>0</v>
      </c>
      <c r="CD244" s="2">
        <f t="shared" si="171"/>
        <v>0</v>
      </c>
      <c r="CE244" s="2">
        <f t="shared" si="171"/>
        <v>0</v>
      </c>
      <c r="CF244" s="2">
        <f t="shared" si="171"/>
        <v>0</v>
      </c>
      <c r="CG244" s="2">
        <f t="shared" si="171"/>
        <v>0</v>
      </c>
      <c r="CH244" s="2">
        <f t="shared" si="171"/>
        <v>0</v>
      </c>
      <c r="CI244" s="2">
        <f t="shared" si="171"/>
        <v>0</v>
      </c>
      <c r="CJ244" s="2">
        <f t="shared" si="171"/>
        <v>0</v>
      </c>
      <c r="CK244" s="2">
        <f t="shared" si="171"/>
        <v>0</v>
      </c>
      <c r="CL244" s="2">
        <f t="shared" si="171"/>
        <v>0</v>
      </c>
      <c r="CM244" s="2">
        <f t="shared" si="171"/>
        <v>0</v>
      </c>
      <c r="CN244" s="2">
        <f t="shared" si="171"/>
        <v>0</v>
      </c>
      <c r="CO244" s="2">
        <f t="shared" si="171"/>
        <v>0</v>
      </c>
      <c r="CP244" s="2">
        <f t="shared" si="171"/>
        <v>0</v>
      </c>
      <c r="CQ244" s="2">
        <f t="shared" si="171"/>
        <v>0</v>
      </c>
      <c r="CR244" s="2">
        <f t="shared" si="171"/>
        <v>0</v>
      </c>
      <c r="CS244" s="2">
        <f t="shared" si="171"/>
        <v>0</v>
      </c>
      <c r="CT244" s="2">
        <f t="shared" si="171"/>
        <v>0</v>
      </c>
      <c r="CU244" s="2">
        <f t="shared" si="171"/>
        <v>0</v>
      </c>
      <c r="CV244" s="2">
        <f t="shared" si="171"/>
        <v>0</v>
      </c>
      <c r="CW244" s="2">
        <f t="shared" si="171"/>
        <v>0</v>
      </c>
      <c r="CX244" s="2">
        <f t="shared" si="171"/>
        <v>0</v>
      </c>
      <c r="CY244" s="2">
        <f t="shared" si="171"/>
        <v>0</v>
      </c>
      <c r="CZ244" s="2">
        <f t="shared" si="171"/>
        <v>0</v>
      </c>
      <c r="DA244" s="2">
        <f t="shared" si="171"/>
        <v>0</v>
      </c>
      <c r="DB244" s="2">
        <f t="shared" si="171"/>
        <v>0</v>
      </c>
      <c r="DC244" s="2">
        <f t="shared" si="171"/>
        <v>0</v>
      </c>
      <c r="DD244" s="2">
        <f t="shared" si="171"/>
        <v>0</v>
      </c>
      <c r="DE244" s="2">
        <f t="shared" si="171"/>
        <v>0</v>
      </c>
      <c r="DF244" s="2">
        <f t="shared" si="171"/>
        <v>0</v>
      </c>
      <c r="DG244" s="3">
        <f t="shared" ref="DG244:EL244" si="172">DG417</f>
        <v>0</v>
      </c>
      <c r="DH244" s="3">
        <f t="shared" si="172"/>
        <v>0</v>
      </c>
      <c r="DI244" s="3">
        <f t="shared" si="172"/>
        <v>0</v>
      </c>
      <c r="DJ244" s="3">
        <f t="shared" si="172"/>
        <v>0</v>
      </c>
      <c r="DK244" s="3">
        <f t="shared" si="172"/>
        <v>0</v>
      </c>
      <c r="DL244" s="3">
        <f t="shared" si="172"/>
        <v>0</v>
      </c>
      <c r="DM244" s="3">
        <f t="shared" si="172"/>
        <v>0</v>
      </c>
      <c r="DN244" s="3">
        <f t="shared" si="172"/>
        <v>0</v>
      </c>
      <c r="DO244" s="3">
        <f t="shared" si="172"/>
        <v>0</v>
      </c>
      <c r="DP244" s="3">
        <f t="shared" si="172"/>
        <v>0</v>
      </c>
      <c r="DQ244" s="3">
        <f t="shared" si="172"/>
        <v>0</v>
      </c>
      <c r="DR244" s="3">
        <f t="shared" si="172"/>
        <v>0</v>
      </c>
      <c r="DS244" s="3">
        <f t="shared" si="172"/>
        <v>0</v>
      </c>
      <c r="DT244" s="3">
        <f t="shared" si="172"/>
        <v>0</v>
      </c>
      <c r="DU244" s="3">
        <f t="shared" si="172"/>
        <v>0</v>
      </c>
      <c r="DV244" s="3">
        <f t="shared" si="172"/>
        <v>0</v>
      </c>
      <c r="DW244" s="3">
        <f t="shared" si="172"/>
        <v>0</v>
      </c>
      <c r="DX244" s="3">
        <f t="shared" si="172"/>
        <v>0</v>
      </c>
      <c r="DY244" s="3">
        <f t="shared" si="172"/>
        <v>0</v>
      </c>
      <c r="DZ244" s="3">
        <f t="shared" si="172"/>
        <v>0</v>
      </c>
      <c r="EA244" s="3">
        <f t="shared" si="172"/>
        <v>0</v>
      </c>
      <c r="EB244" s="3">
        <f t="shared" si="172"/>
        <v>0</v>
      </c>
      <c r="EC244" s="3">
        <f t="shared" si="172"/>
        <v>0</v>
      </c>
      <c r="ED244" s="3">
        <f t="shared" si="172"/>
        <v>0</v>
      </c>
      <c r="EE244" s="3">
        <f t="shared" si="172"/>
        <v>0</v>
      </c>
      <c r="EF244" s="3">
        <f t="shared" si="172"/>
        <v>0</v>
      </c>
      <c r="EG244" s="3">
        <f t="shared" si="172"/>
        <v>0</v>
      </c>
      <c r="EH244" s="3">
        <f t="shared" si="172"/>
        <v>0</v>
      </c>
      <c r="EI244" s="3">
        <f t="shared" si="172"/>
        <v>0</v>
      </c>
      <c r="EJ244" s="3">
        <f t="shared" si="172"/>
        <v>0</v>
      </c>
      <c r="EK244" s="3">
        <f t="shared" si="172"/>
        <v>0</v>
      </c>
      <c r="EL244" s="3">
        <f t="shared" si="172"/>
        <v>0</v>
      </c>
      <c r="EM244" s="3">
        <f t="shared" ref="EM244:FR244" si="173">EM417</f>
        <v>0</v>
      </c>
      <c r="EN244" s="3">
        <f t="shared" si="173"/>
        <v>0</v>
      </c>
      <c r="EO244" s="3">
        <f t="shared" si="173"/>
        <v>0</v>
      </c>
      <c r="EP244" s="3">
        <f t="shared" si="173"/>
        <v>0</v>
      </c>
      <c r="EQ244" s="3">
        <f t="shared" si="173"/>
        <v>0</v>
      </c>
      <c r="ER244" s="3">
        <f t="shared" si="173"/>
        <v>0</v>
      </c>
      <c r="ES244" s="3">
        <f t="shared" si="173"/>
        <v>0</v>
      </c>
      <c r="ET244" s="3">
        <f t="shared" si="173"/>
        <v>0</v>
      </c>
      <c r="EU244" s="3">
        <f t="shared" si="173"/>
        <v>0</v>
      </c>
      <c r="EV244" s="3">
        <f t="shared" si="173"/>
        <v>0</v>
      </c>
      <c r="EW244" s="3">
        <f t="shared" si="173"/>
        <v>0</v>
      </c>
      <c r="EX244" s="3">
        <f t="shared" si="173"/>
        <v>0</v>
      </c>
      <c r="EY244" s="3">
        <f t="shared" si="173"/>
        <v>0</v>
      </c>
      <c r="EZ244" s="3">
        <f t="shared" si="173"/>
        <v>0</v>
      </c>
      <c r="FA244" s="3">
        <f t="shared" si="173"/>
        <v>0</v>
      </c>
      <c r="FB244" s="3">
        <f t="shared" si="173"/>
        <v>0</v>
      </c>
      <c r="FC244" s="3">
        <f t="shared" si="173"/>
        <v>0</v>
      </c>
      <c r="FD244" s="3">
        <f t="shared" si="173"/>
        <v>0</v>
      </c>
      <c r="FE244" s="3">
        <f t="shared" si="173"/>
        <v>0</v>
      </c>
      <c r="FF244" s="3">
        <f t="shared" si="173"/>
        <v>0</v>
      </c>
      <c r="FG244" s="3">
        <f t="shared" si="173"/>
        <v>0</v>
      </c>
      <c r="FH244" s="3">
        <f t="shared" si="173"/>
        <v>0</v>
      </c>
      <c r="FI244" s="3">
        <f t="shared" si="173"/>
        <v>0</v>
      </c>
      <c r="FJ244" s="3">
        <f t="shared" si="173"/>
        <v>0</v>
      </c>
      <c r="FK244" s="3">
        <f t="shared" si="173"/>
        <v>0</v>
      </c>
      <c r="FL244" s="3">
        <f t="shared" si="173"/>
        <v>0</v>
      </c>
      <c r="FM244" s="3">
        <f t="shared" si="173"/>
        <v>0</v>
      </c>
      <c r="FN244" s="3">
        <f t="shared" si="173"/>
        <v>0</v>
      </c>
      <c r="FO244" s="3">
        <f t="shared" si="173"/>
        <v>0</v>
      </c>
      <c r="FP244" s="3">
        <f t="shared" si="173"/>
        <v>0</v>
      </c>
      <c r="FQ244" s="3">
        <f t="shared" si="173"/>
        <v>0</v>
      </c>
      <c r="FR244" s="3">
        <f t="shared" si="173"/>
        <v>0</v>
      </c>
      <c r="FS244" s="3">
        <f t="shared" ref="FS244:GX244" si="174">FS417</f>
        <v>0</v>
      </c>
      <c r="FT244" s="3">
        <f t="shared" si="174"/>
        <v>0</v>
      </c>
      <c r="FU244" s="3">
        <f t="shared" si="174"/>
        <v>0</v>
      </c>
      <c r="FV244" s="3">
        <f t="shared" si="174"/>
        <v>0</v>
      </c>
      <c r="FW244" s="3">
        <f t="shared" si="174"/>
        <v>0</v>
      </c>
      <c r="FX244" s="3">
        <f t="shared" si="174"/>
        <v>0</v>
      </c>
      <c r="FY244" s="3">
        <f t="shared" si="174"/>
        <v>0</v>
      </c>
      <c r="FZ244" s="3">
        <f t="shared" si="174"/>
        <v>0</v>
      </c>
      <c r="GA244" s="3">
        <f t="shared" si="174"/>
        <v>0</v>
      </c>
      <c r="GB244" s="3">
        <f t="shared" si="174"/>
        <v>0</v>
      </c>
      <c r="GC244" s="3">
        <f t="shared" si="174"/>
        <v>0</v>
      </c>
      <c r="GD244" s="3">
        <f t="shared" si="174"/>
        <v>0</v>
      </c>
      <c r="GE244" s="3">
        <f t="shared" si="174"/>
        <v>0</v>
      </c>
      <c r="GF244" s="3">
        <f t="shared" si="174"/>
        <v>0</v>
      </c>
      <c r="GG244" s="3">
        <f t="shared" si="174"/>
        <v>0</v>
      </c>
      <c r="GH244" s="3">
        <f t="shared" si="174"/>
        <v>0</v>
      </c>
      <c r="GI244" s="3">
        <f t="shared" si="174"/>
        <v>0</v>
      </c>
      <c r="GJ244" s="3">
        <f t="shared" si="174"/>
        <v>0</v>
      </c>
      <c r="GK244" s="3">
        <f t="shared" si="174"/>
        <v>0</v>
      </c>
      <c r="GL244" s="3">
        <f t="shared" si="174"/>
        <v>0</v>
      </c>
      <c r="GM244" s="3">
        <f t="shared" si="174"/>
        <v>0</v>
      </c>
      <c r="GN244" s="3">
        <f t="shared" si="174"/>
        <v>0</v>
      </c>
      <c r="GO244" s="3">
        <f t="shared" si="174"/>
        <v>0</v>
      </c>
      <c r="GP244" s="3">
        <f t="shared" si="174"/>
        <v>0</v>
      </c>
      <c r="GQ244" s="3">
        <f t="shared" si="174"/>
        <v>0</v>
      </c>
      <c r="GR244" s="3">
        <f t="shared" si="174"/>
        <v>0</v>
      </c>
      <c r="GS244" s="3">
        <f t="shared" si="174"/>
        <v>0</v>
      </c>
      <c r="GT244" s="3">
        <f t="shared" si="174"/>
        <v>0</v>
      </c>
      <c r="GU244" s="3">
        <f t="shared" si="174"/>
        <v>0</v>
      </c>
      <c r="GV244" s="3">
        <f t="shared" si="174"/>
        <v>0</v>
      </c>
      <c r="GW244" s="3">
        <f t="shared" si="174"/>
        <v>0</v>
      </c>
      <c r="GX244" s="3">
        <f t="shared" si="174"/>
        <v>0</v>
      </c>
    </row>
    <row r="246" spans="1:245" x14ac:dyDescent="0.2">
      <c r="A246" s="1">
        <v>5</v>
      </c>
      <c r="B246" s="1">
        <v>1</v>
      </c>
      <c r="C246" s="1"/>
      <c r="D246" s="1">
        <f>ROW(A257)</f>
        <v>257</v>
      </c>
      <c r="E246" s="1"/>
      <c r="F246" s="1" t="s">
        <v>17</v>
      </c>
      <c r="G246" s="1" t="s">
        <v>18</v>
      </c>
      <c r="H246" s="1" t="s">
        <v>3</v>
      </c>
      <c r="I246" s="1">
        <v>0</v>
      </c>
      <c r="J246" s="1"/>
      <c r="K246" s="1">
        <v>0</v>
      </c>
      <c r="L246" s="1"/>
      <c r="M246" s="1"/>
      <c r="N246" s="1"/>
      <c r="O246" s="1"/>
      <c r="P246" s="1"/>
      <c r="Q246" s="1"/>
      <c r="R246" s="1"/>
      <c r="S246" s="1"/>
      <c r="T246" s="1"/>
      <c r="U246" s="1" t="s">
        <v>3</v>
      </c>
      <c r="V246" s="1">
        <v>0</v>
      </c>
      <c r="W246" s="1"/>
      <c r="X246" s="1"/>
      <c r="Y246" s="1"/>
      <c r="Z246" s="1"/>
      <c r="AA246" s="1"/>
      <c r="AB246" s="1" t="s">
        <v>3</v>
      </c>
      <c r="AC246" s="1" t="s">
        <v>3</v>
      </c>
      <c r="AD246" s="1" t="s">
        <v>3</v>
      </c>
      <c r="AE246" s="1" t="s">
        <v>3</v>
      </c>
      <c r="AF246" s="1" t="s">
        <v>3</v>
      </c>
      <c r="AG246" s="1" t="s">
        <v>3</v>
      </c>
      <c r="AH246" s="1"/>
      <c r="AI246" s="1"/>
      <c r="AJ246" s="1"/>
      <c r="AK246" s="1"/>
      <c r="AL246" s="1"/>
      <c r="AM246" s="1"/>
      <c r="AN246" s="1"/>
      <c r="AO246" s="1"/>
      <c r="AP246" s="1" t="s">
        <v>3</v>
      </c>
      <c r="AQ246" s="1" t="s">
        <v>3</v>
      </c>
      <c r="AR246" s="1" t="s">
        <v>3</v>
      </c>
      <c r="AS246" s="1"/>
      <c r="AT246" s="1"/>
      <c r="AU246" s="1"/>
      <c r="AV246" s="1"/>
      <c r="AW246" s="1"/>
      <c r="AX246" s="1"/>
      <c r="AY246" s="1"/>
      <c r="AZ246" s="1" t="s">
        <v>3</v>
      </c>
      <c r="BA246" s="1"/>
      <c r="BB246" s="1" t="s">
        <v>3</v>
      </c>
      <c r="BC246" s="1" t="s">
        <v>3</v>
      </c>
      <c r="BD246" s="1" t="s">
        <v>3</v>
      </c>
      <c r="BE246" s="1" t="s">
        <v>3</v>
      </c>
      <c r="BF246" s="1" t="s">
        <v>3</v>
      </c>
      <c r="BG246" s="1" t="s">
        <v>3</v>
      </c>
      <c r="BH246" s="1" t="s">
        <v>3</v>
      </c>
      <c r="BI246" s="1" t="s">
        <v>3</v>
      </c>
      <c r="BJ246" s="1" t="s">
        <v>3</v>
      </c>
      <c r="BK246" s="1" t="s">
        <v>3</v>
      </c>
      <c r="BL246" s="1" t="s">
        <v>3</v>
      </c>
      <c r="BM246" s="1" t="s">
        <v>3</v>
      </c>
      <c r="BN246" s="1" t="s">
        <v>3</v>
      </c>
      <c r="BO246" s="1" t="s">
        <v>3</v>
      </c>
      <c r="BP246" s="1" t="s">
        <v>3</v>
      </c>
      <c r="BQ246" s="1"/>
      <c r="BR246" s="1"/>
      <c r="BS246" s="1"/>
      <c r="BT246" s="1"/>
      <c r="BU246" s="1"/>
      <c r="BV246" s="1"/>
      <c r="BW246" s="1"/>
      <c r="BX246" s="1">
        <v>0</v>
      </c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>
        <v>0</v>
      </c>
    </row>
    <row r="248" spans="1:245" x14ac:dyDescent="0.2">
      <c r="A248" s="2">
        <v>52</v>
      </c>
      <c r="B248" s="2">
        <f t="shared" ref="B248:G248" si="175">B257</f>
        <v>1</v>
      </c>
      <c r="C248" s="2">
        <f t="shared" si="175"/>
        <v>5</v>
      </c>
      <c r="D248" s="2">
        <f t="shared" si="175"/>
        <v>246</v>
      </c>
      <c r="E248" s="2">
        <f t="shared" si="175"/>
        <v>0</v>
      </c>
      <c r="F248" s="2" t="str">
        <f t="shared" si="175"/>
        <v>Новый подраздел</v>
      </c>
      <c r="G248" s="2" t="str">
        <f t="shared" si="175"/>
        <v>Демонтаж</v>
      </c>
      <c r="H248" s="2"/>
      <c r="I248" s="2"/>
      <c r="J248" s="2"/>
      <c r="K248" s="2"/>
      <c r="L248" s="2"/>
      <c r="M248" s="2"/>
      <c r="N248" s="2"/>
      <c r="O248" s="2">
        <f t="shared" ref="O248:AT248" si="176">O257</f>
        <v>346.54</v>
      </c>
      <c r="P248" s="2">
        <f t="shared" si="176"/>
        <v>13.51</v>
      </c>
      <c r="Q248" s="2">
        <f t="shared" si="176"/>
        <v>44.55</v>
      </c>
      <c r="R248" s="2">
        <f t="shared" si="176"/>
        <v>26.4</v>
      </c>
      <c r="S248" s="2">
        <f t="shared" si="176"/>
        <v>288.48</v>
      </c>
      <c r="T248" s="2">
        <f t="shared" si="176"/>
        <v>0</v>
      </c>
      <c r="U248" s="2">
        <f t="shared" si="176"/>
        <v>1.6603649999999999</v>
      </c>
      <c r="V248" s="2">
        <f t="shared" si="176"/>
        <v>0</v>
      </c>
      <c r="W248" s="2">
        <f t="shared" si="176"/>
        <v>0</v>
      </c>
      <c r="X248" s="2">
        <f t="shared" si="176"/>
        <v>201.94</v>
      </c>
      <c r="Y248" s="2">
        <f t="shared" si="176"/>
        <v>28.85</v>
      </c>
      <c r="Z248" s="2">
        <f t="shared" si="176"/>
        <v>0</v>
      </c>
      <c r="AA248" s="2">
        <f t="shared" si="176"/>
        <v>0</v>
      </c>
      <c r="AB248" s="2">
        <f t="shared" si="176"/>
        <v>346.54</v>
      </c>
      <c r="AC248" s="2">
        <f t="shared" si="176"/>
        <v>13.51</v>
      </c>
      <c r="AD248" s="2">
        <f t="shared" si="176"/>
        <v>44.55</v>
      </c>
      <c r="AE248" s="2">
        <f t="shared" si="176"/>
        <v>26.4</v>
      </c>
      <c r="AF248" s="2">
        <f t="shared" si="176"/>
        <v>288.48</v>
      </c>
      <c r="AG248" s="2">
        <f t="shared" si="176"/>
        <v>0</v>
      </c>
      <c r="AH248" s="2">
        <f t="shared" si="176"/>
        <v>1.6603649999999999</v>
      </c>
      <c r="AI248" s="2">
        <f t="shared" si="176"/>
        <v>0</v>
      </c>
      <c r="AJ248" s="2">
        <f t="shared" si="176"/>
        <v>0</v>
      </c>
      <c r="AK248" s="2">
        <f t="shared" si="176"/>
        <v>201.94</v>
      </c>
      <c r="AL248" s="2">
        <f t="shared" si="176"/>
        <v>28.85</v>
      </c>
      <c r="AM248" s="2">
        <f t="shared" si="176"/>
        <v>0</v>
      </c>
      <c r="AN248" s="2">
        <f t="shared" si="176"/>
        <v>0</v>
      </c>
      <c r="AO248" s="2">
        <f t="shared" si="176"/>
        <v>0</v>
      </c>
      <c r="AP248" s="2">
        <f t="shared" si="176"/>
        <v>0</v>
      </c>
      <c r="AQ248" s="2">
        <f t="shared" si="176"/>
        <v>0</v>
      </c>
      <c r="AR248" s="2">
        <f t="shared" si="176"/>
        <v>577.33000000000004</v>
      </c>
      <c r="AS248" s="2">
        <f t="shared" si="176"/>
        <v>0</v>
      </c>
      <c r="AT248" s="2">
        <f t="shared" si="176"/>
        <v>0</v>
      </c>
      <c r="AU248" s="2">
        <f t="shared" ref="AU248:BZ248" si="177">AU257</f>
        <v>577.33000000000004</v>
      </c>
      <c r="AV248" s="2">
        <f t="shared" si="177"/>
        <v>13.51</v>
      </c>
      <c r="AW248" s="2">
        <f t="shared" si="177"/>
        <v>13.51</v>
      </c>
      <c r="AX248" s="2">
        <f t="shared" si="177"/>
        <v>0</v>
      </c>
      <c r="AY248" s="2">
        <f t="shared" si="177"/>
        <v>13.51</v>
      </c>
      <c r="AZ248" s="2">
        <f t="shared" si="177"/>
        <v>0</v>
      </c>
      <c r="BA248" s="2">
        <f t="shared" si="177"/>
        <v>0</v>
      </c>
      <c r="BB248" s="2">
        <f t="shared" si="177"/>
        <v>0</v>
      </c>
      <c r="BC248" s="2">
        <f t="shared" si="177"/>
        <v>0</v>
      </c>
      <c r="BD248" s="2">
        <f t="shared" si="177"/>
        <v>0</v>
      </c>
      <c r="BE248" s="2">
        <f t="shared" si="177"/>
        <v>0</v>
      </c>
      <c r="BF248" s="2">
        <f t="shared" si="177"/>
        <v>0</v>
      </c>
      <c r="BG248" s="2">
        <f t="shared" si="177"/>
        <v>0</v>
      </c>
      <c r="BH248" s="2">
        <f t="shared" si="177"/>
        <v>0</v>
      </c>
      <c r="BI248" s="2">
        <f t="shared" si="177"/>
        <v>0</v>
      </c>
      <c r="BJ248" s="2">
        <f t="shared" si="177"/>
        <v>0</v>
      </c>
      <c r="BK248" s="2">
        <f t="shared" si="177"/>
        <v>0</v>
      </c>
      <c r="BL248" s="2">
        <f t="shared" si="177"/>
        <v>0</v>
      </c>
      <c r="BM248" s="2">
        <f t="shared" si="177"/>
        <v>0</v>
      </c>
      <c r="BN248" s="2">
        <f t="shared" si="177"/>
        <v>0</v>
      </c>
      <c r="BO248" s="2">
        <f t="shared" si="177"/>
        <v>0</v>
      </c>
      <c r="BP248" s="2">
        <f t="shared" si="177"/>
        <v>0</v>
      </c>
      <c r="BQ248" s="2">
        <f t="shared" si="177"/>
        <v>0</v>
      </c>
      <c r="BR248" s="2">
        <f t="shared" si="177"/>
        <v>0</v>
      </c>
      <c r="BS248" s="2">
        <f t="shared" si="177"/>
        <v>0</v>
      </c>
      <c r="BT248" s="2">
        <f t="shared" si="177"/>
        <v>0</v>
      </c>
      <c r="BU248" s="2">
        <f t="shared" si="177"/>
        <v>0</v>
      </c>
      <c r="BV248" s="2">
        <f t="shared" si="177"/>
        <v>0</v>
      </c>
      <c r="BW248" s="2">
        <f t="shared" si="177"/>
        <v>0</v>
      </c>
      <c r="BX248" s="2">
        <f t="shared" si="177"/>
        <v>0</v>
      </c>
      <c r="BY248" s="2">
        <f t="shared" si="177"/>
        <v>0</v>
      </c>
      <c r="BZ248" s="2">
        <f t="shared" si="177"/>
        <v>0</v>
      </c>
      <c r="CA248" s="2">
        <f t="shared" ref="CA248:DF248" si="178">CA257</f>
        <v>577.33000000000004</v>
      </c>
      <c r="CB248" s="2">
        <f t="shared" si="178"/>
        <v>0</v>
      </c>
      <c r="CC248" s="2">
        <f t="shared" si="178"/>
        <v>0</v>
      </c>
      <c r="CD248" s="2">
        <f t="shared" si="178"/>
        <v>577.33000000000004</v>
      </c>
      <c r="CE248" s="2">
        <f t="shared" si="178"/>
        <v>13.51</v>
      </c>
      <c r="CF248" s="2">
        <f t="shared" si="178"/>
        <v>13.51</v>
      </c>
      <c r="CG248" s="2">
        <f t="shared" si="178"/>
        <v>0</v>
      </c>
      <c r="CH248" s="2">
        <f t="shared" si="178"/>
        <v>13.51</v>
      </c>
      <c r="CI248" s="2">
        <f t="shared" si="178"/>
        <v>0</v>
      </c>
      <c r="CJ248" s="2">
        <f t="shared" si="178"/>
        <v>0</v>
      </c>
      <c r="CK248" s="2">
        <f t="shared" si="178"/>
        <v>0</v>
      </c>
      <c r="CL248" s="2">
        <f t="shared" si="178"/>
        <v>0</v>
      </c>
      <c r="CM248" s="2">
        <f t="shared" si="178"/>
        <v>0</v>
      </c>
      <c r="CN248" s="2">
        <f t="shared" si="178"/>
        <v>0</v>
      </c>
      <c r="CO248" s="2">
        <f t="shared" si="178"/>
        <v>0</v>
      </c>
      <c r="CP248" s="2">
        <f t="shared" si="178"/>
        <v>0</v>
      </c>
      <c r="CQ248" s="2">
        <f t="shared" si="178"/>
        <v>0</v>
      </c>
      <c r="CR248" s="2">
        <f t="shared" si="178"/>
        <v>0</v>
      </c>
      <c r="CS248" s="2">
        <f t="shared" si="178"/>
        <v>0</v>
      </c>
      <c r="CT248" s="2">
        <f t="shared" si="178"/>
        <v>0</v>
      </c>
      <c r="CU248" s="2">
        <f t="shared" si="178"/>
        <v>0</v>
      </c>
      <c r="CV248" s="2">
        <f t="shared" si="178"/>
        <v>0</v>
      </c>
      <c r="CW248" s="2">
        <f t="shared" si="178"/>
        <v>0</v>
      </c>
      <c r="CX248" s="2">
        <f t="shared" si="178"/>
        <v>0</v>
      </c>
      <c r="CY248" s="2">
        <f t="shared" si="178"/>
        <v>0</v>
      </c>
      <c r="CZ248" s="2">
        <f t="shared" si="178"/>
        <v>0</v>
      </c>
      <c r="DA248" s="2">
        <f t="shared" si="178"/>
        <v>0</v>
      </c>
      <c r="DB248" s="2">
        <f t="shared" si="178"/>
        <v>0</v>
      </c>
      <c r="DC248" s="2">
        <f t="shared" si="178"/>
        <v>0</v>
      </c>
      <c r="DD248" s="2">
        <f t="shared" si="178"/>
        <v>0</v>
      </c>
      <c r="DE248" s="2">
        <f t="shared" si="178"/>
        <v>0</v>
      </c>
      <c r="DF248" s="2">
        <f t="shared" si="178"/>
        <v>0</v>
      </c>
      <c r="DG248" s="3">
        <f t="shared" ref="DG248:EL248" si="179">DG257</f>
        <v>0</v>
      </c>
      <c r="DH248" s="3">
        <f t="shared" si="179"/>
        <v>0</v>
      </c>
      <c r="DI248" s="3">
        <f t="shared" si="179"/>
        <v>0</v>
      </c>
      <c r="DJ248" s="3">
        <f t="shared" si="179"/>
        <v>0</v>
      </c>
      <c r="DK248" s="3">
        <f t="shared" si="179"/>
        <v>0</v>
      </c>
      <c r="DL248" s="3">
        <f t="shared" si="179"/>
        <v>0</v>
      </c>
      <c r="DM248" s="3">
        <f t="shared" si="179"/>
        <v>0</v>
      </c>
      <c r="DN248" s="3">
        <f t="shared" si="179"/>
        <v>0</v>
      </c>
      <c r="DO248" s="3">
        <f t="shared" si="179"/>
        <v>0</v>
      </c>
      <c r="DP248" s="3">
        <f t="shared" si="179"/>
        <v>0</v>
      </c>
      <c r="DQ248" s="3">
        <f t="shared" si="179"/>
        <v>0</v>
      </c>
      <c r="DR248" s="3">
        <f t="shared" si="179"/>
        <v>0</v>
      </c>
      <c r="DS248" s="3">
        <f t="shared" si="179"/>
        <v>0</v>
      </c>
      <c r="DT248" s="3">
        <f t="shared" si="179"/>
        <v>0</v>
      </c>
      <c r="DU248" s="3">
        <f t="shared" si="179"/>
        <v>0</v>
      </c>
      <c r="DV248" s="3">
        <f t="shared" si="179"/>
        <v>0</v>
      </c>
      <c r="DW248" s="3">
        <f t="shared" si="179"/>
        <v>0</v>
      </c>
      <c r="DX248" s="3">
        <f t="shared" si="179"/>
        <v>0</v>
      </c>
      <c r="DY248" s="3">
        <f t="shared" si="179"/>
        <v>0</v>
      </c>
      <c r="DZ248" s="3">
        <f t="shared" si="179"/>
        <v>0</v>
      </c>
      <c r="EA248" s="3">
        <f t="shared" si="179"/>
        <v>0</v>
      </c>
      <c r="EB248" s="3">
        <f t="shared" si="179"/>
        <v>0</v>
      </c>
      <c r="EC248" s="3">
        <f t="shared" si="179"/>
        <v>0</v>
      </c>
      <c r="ED248" s="3">
        <f t="shared" si="179"/>
        <v>0</v>
      </c>
      <c r="EE248" s="3">
        <f t="shared" si="179"/>
        <v>0</v>
      </c>
      <c r="EF248" s="3">
        <f t="shared" si="179"/>
        <v>0</v>
      </c>
      <c r="EG248" s="3">
        <f t="shared" si="179"/>
        <v>0</v>
      </c>
      <c r="EH248" s="3">
        <f t="shared" si="179"/>
        <v>0</v>
      </c>
      <c r="EI248" s="3">
        <f t="shared" si="179"/>
        <v>0</v>
      </c>
      <c r="EJ248" s="3">
        <f t="shared" si="179"/>
        <v>0</v>
      </c>
      <c r="EK248" s="3">
        <f t="shared" si="179"/>
        <v>0</v>
      </c>
      <c r="EL248" s="3">
        <f t="shared" si="179"/>
        <v>0</v>
      </c>
      <c r="EM248" s="3">
        <f t="shared" ref="EM248:FR248" si="180">EM257</f>
        <v>0</v>
      </c>
      <c r="EN248" s="3">
        <f t="shared" si="180"/>
        <v>0</v>
      </c>
      <c r="EO248" s="3">
        <f t="shared" si="180"/>
        <v>0</v>
      </c>
      <c r="EP248" s="3">
        <f t="shared" si="180"/>
        <v>0</v>
      </c>
      <c r="EQ248" s="3">
        <f t="shared" si="180"/>
        <v>0</v>
      </c>
      <c r="ER248" s="3">
        <f t="shared" si="180"/>
        <v>0</v>
      </c>
      <c r="ES248" s="3">
        <f t="shared" si="180"/>
        <v>0</v>
      </c>
      <c r="ET248" s="3">
        <f t="shared" si="180"/>
        <v>0</v>
      </c>
      <c r="EU248" s="3">
        <f t="shared" si="180"/>
        <v>0</v>
      </c>
      <c r="EV248" s="3">
        <f t="shared" si="180"/>
        <v>0</v>
      </c>
      <c r="EW248" s="3">
        <f t="shared" si="180"/>
        <v>0</v>
      </c>
      <c r="EX248" s="3">
        <f t="shared" si="180"/>
        <v>0</v>
      </c>
      <c r="EY248" s="3">
        <f t="shared" si="180"/>
        <v>0</v>
      </c>
      <c r="EZ248" s="3">
        <f t="shared" si="180"/>
        <v>0</v>
      </c>
      <c r="FA248" s="3">
        <f t="shared" si="180"/>
        <v>0</v>
      </c>
      <c r="FB248" s="3">
        <f t="shared" si="180"/>
        <v>0</v>
      </c>
      <c r="FC248" s="3">
        <f t="shared" si="180"/>
        <v>0</v>
      </c>
      <c r="FD248" s="3">
        <f t="shared" si="180"/>
        <v>0</v>
      </c>
      <c r="FE248" s="3">
        <f t="shared" si="180"/>
        <v>0</v>
      </c>
      <c r="FF248" s="3">
        <f t="shared" si="180"/>
        <v>0</v>
      </c>
      <c r="FG248" s="3">
        <f t="shared" si="180"/>
        <v>0</v>
      </c>
      <c r="FH248" s="3">
        <f t="shared" si="180"/>
        <v>0</v>
      </c>
      <c r="FI248" s="3">
        <f t="shared" si="180"/>
        <v>0</v>
      </c>
      <c r="FJ248" s="3">
        <f t="shared" si="180"/>
        <v>0</v>
      </c>
      <c r="FK248" s="3">
        <f t="shared" si="180"/>
        <v>0</v>
      </c>
      <c r="FL248" s="3">
        <f t="shared" si="180"/>
        <v>0</v>
      </c>
      <c r="FM248" s="3">
        <f t="shared" si="180"/>
        <v>0</v>
      </c>
      <c r="FN248" s="3">
        <f t="shared" si="180"/>
        <v>0</v>
      </c>
      <c r="FO248" s="3">
        <f t="shared" si="180"/>
        <v>0</v>
      </c>
      <c r="FP248" s="3">
        <f t="shared" si="180"/>
        <v>0</v>
      </c>
      <c r="FQ248" s="3">
        <f t="shared" si="180"/>
        <v>0</v>
      </c>
      <c r="FR248" s="3">
        <f t="shared" si="180"/>
        <v>0</v>
      </c>
      <c r="FS248" s="3">
        <f t="shared" ref="FS248:GX248" si="181">FS257</f>
        <v>0</v>
      </c>
      <c r="FT248" s="3">
        <f t="shared" si="181"/>
        <v>0</v>
      </c>
      <c r="FU248" s="3">
        <f t="shared" si="181"/>
        <v>0</v>
      </c>
      <c r="FV248" s="3">
        <f t="shared" si="181"/>
        <v>0</v>
      </c>
      <c r="FW248" s="3">
        <f t="shared" si="181"/>
        <v>0</v>
      </c>
      <c r="FX248" s="3">
        <f t="shared" si="181"/>
        <v>0</v>
      </c>
      <c r="FY248" s="3">
        <f t="shared" si="181"/>
        <v>0</v>
      </c>
      <c r="FZ248" s="3">
        <f t="shared" si="181"/>
        <v>0</v>
      </c>
      <c r="GA248" s="3">
        <f t="shared" si="181"/>
        <v>0</v>
      </c>
      <c r="GB248" s="3">
        <f t="shared" si="181"/>
        <v>0</v>
      </c>
      <c r="GC248" s="3">
        <f t="shared" si="181"/>
        <v>0</v>
      </c>
      <c r="GD248" s="3">
        <f t="shared" si="181"/>
        <v>0</v>
      </c>
      <c r="GE248" s="3">
        <f t="shared" si="181"/>
        <v>0</v>
      </c>
      <c r="GF248" s="3">
        <f t="shared" si="181"/>
        <v>0</v>
      </c>
      <c r="GG248" s="3">
        <f t="shared" si="181"/>
        <v>0</v>
      </c>
      <c r="GH248" s="3">
        <f t="shared" si="181"/>
        <v>0</v>
      </c>
      <c r="GI248" s="3">
        <f t="shared" si="181"/>
        <v>0</v>
      </c>
      <c r="GJ248" s="3">
        <f t="shared" si="181"/>
        <v>0</v>
      </c>
      <c r="GK248" s="3">
        <f t="shared" si="181"/>
        <v>0</v>
      </c>
      <c r="GL248" s="3">
        <f t="shared" si="181"/>
        <v>0</v>
      </c>
      <c r="GM248" s="3">
        <f t="shared" si="181"/>
        <v>0</v>
      </c>
      <c r="GN248" s="3">
        <f t="shared" si="181"/>
        <v>0</v>
      </c>
      <c r="GO248" s="3">
        <f t="shared" si="181"/>
        <v>0</v>
      </c>
      <c r="GP248" s="3">
        <f t="shared" si="181"/>
        <v>0</v>
      </c>
      <c r="GQ248" s="3">
        <f t="shared" si="181"/>
        <v>0</v>
      </c>
      <c r="GR248" s="3">
        <f t="shared" si="181"/>
        <v>0</v>
      </c>
      <c r="GS248" s="3">
        <f t="shared" si="181"/>
        <v>0</v>
      </c>
      <c r="GT248" s="3">
        <f t="shared" si="181"/>
        <v>0</v>
      </c>
      <c r="GU248" s="3">
        <f t="shared" si="181"/>
        <v>0</v>
      </c>
      <c r="GV248" s="3">
        <f t="shared" si="181"/>
        <v>0</v>
      </c>
      <c r="GW248" s="3">
        <f t="shared" si="181"/>
        <v>0</v>
      </c>
      <c r="GX248" s="3">
        <f t="shared" si="181"/>
        <v>0</v>
      </c>
    </row>
    <row r="250" spans="1:245" x14ac:dyDescent="0.2">
      <c r="A250">
        <v>17</v>
      </c>
      <c r="B250">
        <v>1</v>
      </c>
      <c r="C250">
        <f>ROW(SmtRes!A71)</f>
        <v>71</v>
      </c>
      <c r="D250">
        <f>ROW(EtalonRes!A68)</f>
        <v>68</v>
      </c>
      <c r="E250" t="s">
        <v>232</v>
      </c>
      <c r="F250" t="s">
        <v>20</v>
      </c>
      <c r="G250" t="s">
        <v>21</v>
      </c>
      <c r="H250" t="s">
        <v>22</v>
      </c>
      <c r="I250">
        <f>ROUND(((1*2)+(3+3+1)+(3*0.5))/100,9)</f>
        <v>0.105</v>
      </c>
      <c r="J250">
        <v>0</v>
      </c>
      <c r="O250">
        <f t="shared" ref="O250:O255" si="182">ROUND(CP250,2)</f>
        <v>280.32</v>
      </c>
      <c r="P250">
        <f t="shared" ref="P250:P255" si="183">ROUND(CQ250*I250,2)</f>
        <v>0</v>
      </c>
      <c r="Q250">
        <f t="shared" ref="Q250:Q255" si="184">ROUND(CR250*I250,2)</f>
        <v>0.01</v>
      </c>
      <c r="R250">
        <f t="shared" ref="R250:R255" si="185">ROUND(CS250*I250,2)</f>
        <v>0</v>
      </c>
      <c r="S250">
        <f t="shared" ref="S250:S255" si="186">ROUND(CT250*I250,2)</f>
        <v>280.31</v>
      </c>
      <c r="T250">
        <f t="shared" ref="T250:T255" si="187">ROUND(CU250*I250,2)</f>
        <v>0</v>
      </c>
      <c r="U250">
        <f t="shared" ref="U250:U255" si="188">CV250*I250</f>
        <v>1.5907499999999999</v>
      </c>
      <c r="V250">
        <f t="shared" ref="V250:V255" si="189">CW250*I250</f>
        <v>0</v>
      </c>
      <c r="W250">
        <f t="shared" ref="W250:W255" si="190">ROUND(CX250*I250,2)</f>
        <v>0</v>
      </c>
      <c r="X250">
        <f t="shared" ref="X250:Y255" si="191">ROUND(CY250,2)</f>
        <v>196.22</v>
      </c>
      <c r="Y250">
        <f t="shared" si="191"/>
        <v>28.03</v>
      </c>
      <c r="AA250">
        <v>38214492</v>
      </c>
      <c r="AB250">
        <f t="shared" ref="AB250:AB255" si="192">ROUND((AC250+AD250+AF250),6)</f>
        <v>2669.64</v>
      </c>
      <c r="AC250">
        <f>ROUND((ES250),6)</f>
        <v>0</v>
      </c>
      <c r="AD250">
        <f>ROUND((((ET250)-(EU250))+AE250),6)</f>
        <v>0.06</v>
      </c>
      <c r="AE250">
        <f t="shared" ref="AE250:AF253" si="193">ROUND((EU250),6)</f>
        <v>0</v>
      </c>
      <c r="AF250">
        <f t="shared" si="193"/>
        <v>2669.58</v>
      </c>
      <c r="AG250">
        <f t="shared" ref="AG250:AG255" si="194">ROUND((AP250),6)</f>
        <v>0</v>
      </c>
      <c r="AH250">
        <f t="shared" ref="AH250:AI253" si="195">(EW250)</f>
        <v>15.15</v>
      </c>
      <c r="AI250">
        <f t="shared" si="195"/>
        <v>0</v>
      </c>
      <c r="AJ250">
        <f t="shared" ref="AJ250:AJ255" si="196">(AS250)</f>
        <v>0</v>
      </c>
      <c r="AK250">
        <v>2669.64</v>
      </c>
      <c r="AL250">
        <v>0</v>
      </c>
      <c r="AM250">
        <v>0.06</v>
      </c>
      <c r="AN250">
        <v>0</v>
      </c>
      <c r="AO250">
        <v>2669.58</v>
      </c>
      <c r="AP250">
        <v>0</v>
      </c>
      <c r="AQ250">
        <v>15.15</v>
      </c>
      <c r="AR250">
        <v>0</v>
      </c>
      <c r="AS250">
        <v>0</v>
      </c>
      <c r="AT250">
        <v>70</v>
      </c>
      <c r="AU250">
        <v>10</v>
      </c>
      <c r="AV250">
        <v>1</v>
      </c>
      <c r="AW250">
        <v>1</v>
      </c>
      <c r="AZ250">
        <v>1</v>
      </c>
      <c r="BA250">
        <v>1</v>
      </c>
      <c r="BB250">
        <v>1</v>
      </c>
      <c r="BC250">
        <v>1</v>
      </c>
      <c r="BD250" t="s">
        <v>3</v>
      </c>
      <c r="BE250" t="s">
        <v>3</v>
      </c>
      <c r="BF250" t="s">
        <v>3</v>
      </c>
      <c r="BG250" t="s">
        <v>3</v>
      </c>
      <c r="BH250">
        <v>0</v>
      </c>
      <c r="BI250">
        <v>4</v>
      </c>
      <c r="BJ250" t="s">
        <v>23</v>
      </c>
      <c r="BM250">
        <v>0</v>
      </c>
      <c r="BN250">
        <v>0</v>
      </c>
      <c r="BO250" t="s">
        <v>3</v>
      </c>
      <c r="BP250">
        <v>0</v>
      </c>
      <c r="BQ250">
        <v>1</v>
      </c>
      <c r="BR250">
        <v>0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 t="s">
        <v>3</v>
      </c>
      <c r="BZ250">
        <v>70</v>
      </c>
      <c r="CA250">
        <v>10</v>
      </c>
      <c r="CE250">
        <v>0</v>
      </c>
      <c r="CF250">
        <v>0</v>
      </c>
      <c r="CG250">
        <v>0</v>
      </c>
      <c r="CM250">
        <v>0</v>
      </c>
      <c r="CN250" t="s">
        <v>3</v>
      </c>
      <c r="CO250">
        <v>0</v>
      </c>
      <c r="CP250">
        <f t="shared" ref="CP250:CP255" si="197">(P250+Q250+S250)</f>
        <v>280.32</v>
      </c>
      <c r="CQ250">
        <f t="shared" ref="CQ250:CQ255" si="198">(AC250*BC250*AW250)</f>
        <v>0</v>
      </c>
      <c r="CR250">
        <f>((((ET250)*BB250-(EU250)*BS250)+AE250*BS250)*AV250)</f>
        <v>0.06</v>
      </c>
      <c r="CS250">
        <f t="shared" ref="CS250:CS255" si="199">(AE250*BS250*AV250)</f>
        <v>0</v>
      </c>
      <c r="CT250">
        <f t="shared" ref="CT250:CT255" si="200">(AF250*BA250*AV250)</f>
        <v>2669.58</v>
      </c>
      <c r="CU250">
        <f t="shared" ref="CU250:CU255" si="201">AG250</f>
        <v>0</v>
      </c>
      <c r="CV250">
        <f t="shared" ref="CV250:CV255" si="202">(AH250*AV250)</f>
        <v>15.15</v>
      </c>
      <c r="CW250">
        <f t="shared" ref="CW250:CX255" si="203">AI250</f>
        <v>0</v>
      </c>
      <c r="CX250">
        <f t="shared" si="203"/>
        <v>0</v>
      </c>
      <c r="CY250">
        <f t="shared" ref="CY250:CY255" si="204">((S250*BZ250)/100)</f>
        <v>196.21700000000001</v>
      </c>
      <c r="CZ250">
        <f t="shared" ref="CZ250:CZ255" si="205">((S250*CA250)/100)</f>
        <v>28.030999999999999</v>
      </c>
      <c r="DC250" t="s">
        <v>3</v>
      </c>
      <c r="DD250" t="s">
        <v>3</v>
      </c>
      <c r="DE250" t="s">
        <v>3</v>
      </c>
      <c r="DF250" t="s">
        <v>3</v>
      </c>
      <c r="DG250" t="s">
        <v>3</v>
      </c>
      <c r="DH250" t="s">
        <v>3</v>
      </c>
      <c r="DI250" t="s">
        <v>3</v>
      </c>
      <c r="DJ250" t="s">
        <v>3</v>
      </c>
      <c r="DK250" t="s">
        <v>3</v>
      </c>
      <c r="DL250" t="s">
        <v>3</v>
      </c>
      <c r="DM250" t="s">
        <v>3</v>
      </c>
      <c r="DN250">
        <v>0</v>
      </c>
      <c r="DO250">
        <v>0</v>
      </c>
      <c r="DP250">
        <v>1</v>
      </c>
      <c r="DQ250">
        <v>1</v>
      </c>
      <c r="DU250">
        <v>1005</v>
      </c>
      <c r="DV250" t="s">
        <v>22</v>
      </c>
      <c r="DW250" t="s">
        <v>22</v>
      </c>
      <c r="DX250">
        <v>100</v>
      </c>
      <c r="EE250">
        <v>38628631</v>
      </c>
      <c r="EF250">
        <v>1</v>
      </c>
      <c r="EG250" t="s">
        <v>24</v>
      </c>
      <c r="EH250">
        <v>0</v>
      </c>
      <c r="EI250" t="s">
        <v>3</v>
      </c>
      <c r="EJ250">
        <v>4</v>
      </c>
      <c r="EK250">
        <v>0</v>
      </c>
      <c r="EL250" t="s">
        <v>25</v>
      </c>
      <c r="EM250" t="s">
        <v>26</v>
      </c>
      <c r="EO250" t="s">
        <v>3</v>
      </c>
      <c r="EQ250">
        <v>0</v>
      </c>
      <c r="ER250">
        <v>2669.64</v>
      </c>
      <c r="ES250">
        <v>0</v>
      </c>
      <c r="ET250">
        <v>0.06</v>
      </c>
      <c r="EU250">
        <v>0</v>
      </c>
      <c r="EV250">
        <v>2669.58</v>
      </c>
      <c r="EW250">
        <v>15.15</v>
      </c>
      <c r="EX250">
        <v>0</v>
      </c>
      <c r="EY250">
        <v>0</v>
      </c>
      <c r="FQ250">
        <v>0</v>
      </c>
      <c r="FR250">
        <f t="shared" ref="FR250:FR255" si="206">ROUND(IF(AND(BH250=3,BI250=3),P250,0),2)</f>
        <v>0</v>
      </c>
      <c r="FS250">
        <v>0</v>
      </c>
      <c r="FX250">
        <v>70</v>
      </c>
      <c r="FY250">
        <v>10</v>
      </c>
      <c r="GA250" t="s">
        <v>3</v>
      </c>
      <c r="GD250">
        <v>0</v>
      </c>
      <c r="GF250">
        <v>-52895716</v>
      </c>
      <c r="GG250">
        <v>2</v>
      </c>
      <c r="GH250">
        <v>1</v>
      </c>
      <c r="GI250">
        <v>-2</v>
      </c>
      <c r="GJ250">
        <v>0</v>
      </c>
      <c r="GK250">
        <f>ROUND(R250*(R12)/100,2)</f>
        <v>0</v>
      </c>
      <c r="GL250">
        <f t="shared" ref="GL250:GL255" si="207">ROUND(IF(AND(BH250=3,BI250=3,FS250&lt;&gt;0),P250,0),2)</f>
        <v>0</v>
      </c>
      <c r="GM250">
        <f>ROUND(O250+X250+Y250+GK250,2)+GX250</f>
        <v>504.57</v>
      </c>
      <c r="GN250">
        <f>IF(OR(BI250=0,BI250=1),ROUND(O250+X250+Y250+GK250,2),0)</f>
        <v>0</v>
      </c>
      <c r="GO250">
        <f>IF(BI250=2,ROUND(O250+X250+Y250+GK250,2),0)</f>
        <v>0</v>
      </c>
      <c r="GP250">
        <f>IF(BI250=4,ROUND(O250+X250+Y250+GK250,2)+GX250,0)</f>
        <v>504.57</v>
      </c>
      <c r="GR250">
        <v>0</v>
      </c>
      <c r="GS250">
        <v>3</v>
      </c>
      <c r="GT250">
        <v>0</v>
      </c>
      <c r="GU250" t="s">
        <v>3</v>
      </c>
      <c r="GV250">
        <f t="shared" ref="GV250:GV255" si="208">ROUND((GT250),6)</f>
        <v>0</v>
      </c>
      <c r="GW250">
        <v>1</v>
      </c>
      <c r="GX250">
        <f t="shared" ref="GX250:GX255" si="209">ROUND(HC250*I250,2)</f>
        <v>0</v>
      </c>
      <c r="HA250">
        <v>0</v>
      </c>
      <c r="HB250">
        <v>0</v>
      </c>
      <c r="HC250">
        <f t="shared" ref="HC250:HC255" si="210">GV250*GW250</f>
        <v>0</v>
      </c>
      <c r="HE250" t="s">
        <v>3</v>
      </c>
      <c r="HF250" t="s">
        <v>3</v>
      </c>
      <c r="IK250">
        <v>0</v>
      </c>
    </row>
    <row r="251" spans="1:245" x14ac:dyDescent="0.2">
      <c r="A251">
        <v>17</v>
      </c>
      <c r="B251">
        <v>1</v>
      </c>
      <c r="C251">
        <f>ROW(SmtRes!A72)</f>
        <v>72</v>
      </c>
      <c r="D251">
        <f>ROW(EtalonRes!A69)</f>
        <v>69</v>
      </c>
      <c r="E251" t="s">
        <v>233</v>
      </c>
      <c r="F251" t="s">
        <v>35</v>
      </c>
      <c r="G251" t="s">
        <v>36</v>
      </c>
      <c r="H251" t="s">
        <v>30</v>
      </c>
      <c r="I251">
        <v>6.8250000000000005E-2</v>
      </c>
      <c r="J251">
        <v>0</v>
      </c>
      <c r="O251">
        <f t="shared" si="182"/>
        <v>8.17</v>
      </c>
      <c r="P251">
        <f t="shared" si="183"/>
        <v>0</v>
      </c>
      <c r="Q251">
        <f t="shared" si="184"/>
        <v>0</v>
      </c>
      <c r="R251">
        <f t="shared" si="185"/>
        <v>0</v>
      </c>
      <c r="S251">
        <f t="shared" si="186"/>
        <v>8.17</v>
      </c>
      <c r="T251">
        <f t="shared" si="187"/>
        <v>0</v>
      </c>
      <c r="U251">
        <f t="shared" si="188"/>
        <v>6.961500000000001E-2</v>
      </c>
      <c r="V251">
        <f t="shared" si="189"/>
        <v>0</v>
      </c>
      <c r="W251">
        <f t="shared" si="190"/>
        <v>0</v>
      </c>
      <c r="X251">
        <f t="shared" si="191"/>
        <v>5.72</v>
      </c>
      <c r="Y251">
        <f t="shared" si="191"/>
        <v>0.82</v>
      </c>
      <c r="AA251">
        <v>38214492</v>
      </c>
      <c r="AB251">
        <f t="shared" si="192"/>
        <v>119.69</v>
      </c>
      <c r="AC251">
        <f>ROUND((ES251),6)</f>
        <v>0</v>
      </c>
      <c r="AD251">
        <f>ROUND((((ET251)-(EU251))+AE251),6)</f>
        <v>0</v>
      </c>
      <c r="AE251">
        <f t="shared" si="193"/>
        <v>0</v>
      </c>
      <c r="AF251">
        <f t="shared" si="193"/>
        <v>119.69</v>
      </c>
      <c r="AG251">
        <f t="shared" si="194"/>
        <v>0</v>
      </c>
      <c r="AH251">
        <f t="shared" si="195"/>
        <v>1.02</v>
      </c>
      <c r="AI251">
        <f t="shared" si="195"/>
        <v>0</v>
      </c>
      <c r="AJ251">
        <f t="shared" si="196"/>
        <v>0</v>
      </c>
      <c r="AK251">
        <v>119.69</v>
      </c>
      <c r="AL251">
        <v>0</v>
      </c>
      <c r="AM251">
        <v>0</v>
      </c>
      <c r="AN251">
        <v>0</v>
      </c>
      <c r="AO251">
        <v>119.69</v>
      </c>
      <c r="AP251">
        <v>0</v>
      </c>
      <c r="AQ251">
        <v>1.02</v>
      </c>
      <c r="AR251">
        <v>0</v>
      </c>
      <c r="AS251">
        <v>0</v>
      </c>
      <c r="AT251">
        <v>70</v>
      </c>
      <c r="AU251">
        <v>10</v>
      </c>
      <c r="AV251">
        <v>1</v>
      </c>
      <c r="AW251">
        <v>1</v>
      </c>
      <c r="AZ251">
        <v>1</v>
      </c>
      <c r="BA251">
        <v>1</v>
      </c>
      <c r="BB251">
        <v>1</v>
      </c>
      <c r="BC251">
        <v>1</v>
      </c>
      <c r="BD251" t="s">
        <v>3</v>
      </c>
      <c r="BE251" t="s">
        <v>3</v>
      </c>
      <c r="BF251" t="s">
        <v>3</v>
      </c>
      <c r="BG251" t="s">
        <v>3</v>
      </c>
      <c r="BH251">
        <v>0</v>
      </c>
      <c r="BI251">
        <v>4</v>
      </c>
      <c r="BJ251" t="s">
        <v>37</v>
      </c>
      <c r="BM251">
        <v>0</v>
      </c>
      <c r="BN251">
        <v>0</v>
      </c>
      <c r="BO251" t="s">
        <v>3</v>
      </c>
      <c r="BP251">
        <v>0</v>
      </c>
      <c r="BQ251">
        <v>1</v>
      </c>
      <c r="BR251">
        <v>0</v>
      </c>
      <c r="BS251">
        <v>1</v>
      </c>
      <c r="BT251">
        <v>1</v>
      </c>
      <c r="BU251">
        <v>1</v>
      </c>
      <c r="BV251">
        <v>1</v>
      </c>
      <c r="BW251">
        <v>1</v>
      </c>
      <c r="BX251">
        <v>1</v>
      </c>
      <c r="BY251" t="s">
        <v>3</v>
      </c>
      <c r="BZ251">
        <v>70</v>
      </c>
      <c r="CA251">
        <v>10</v>
      </c>
      <c r="CE251">
        <v>0</v>
      </c>
      <c r="CF251">
        <v>0</v>
      </c>
      <c r="CG251">
        <v>0</v>
      </c>
      <c r="CM251">
        <v>0</v>
      </c>
      <c r="CN251" t="s">
        <v>3</v>
      </c>
      <c r="CO251">
        <v>0</v>
      </c>
      <c r="CP251">
        <f t="shared" si="197"/>
        <v>8.17</v>
      </c>
      <c r="CQ251">
        <f t="shared" si="198"/>
        <v>0</v>
      </c>
      <c r="CR251">
        <f>((((ET251)*BB251-(EU251)*BS251)+AE251*BS251)*AV251)</f>
        <v>0</v>
      </c>
      <c r="CS251">
        <f t="shared" si="199"/>
        <v>0</v>
      </c>
      <c r="CT251">
        <f t="shared" si="200"/>
        <v>119.69</v>
      </c>
      <c r="CU251">
        <f t="shared" si="201"/>
        <v>0</v>
      </c>
      <c r="CV251">
        <f t="shared" si="202"/>
        <v>1.02</v>
      </c>
      <c r="CW251">
        <f t="shared" si="203"/>
        <v>0</v>
      </c>
      <c r="CX251">
        <f t="shared" si="203"/>
        <v>0</v>
      </c>
      <c r="CY251">
        <f t="shared" si="204"/>
        <v>5.7189999999999994</v>
      </c>
      <c r="CZ251">
        <f t="shared" si="205"/>
        <v>0.81700000000000006</v>
      </c>
      <c r="DC251" t="s">
        <v>3</v>
      </c>
      <c r="DD251" t="s">
        <v>3</v>
      </c>
      <c r="DE251" t="s">
        <v>3</v>
      </c>
      <c r="DF251" t="s">
        <v>3</v>
      </c>
      <c r="DG251" t="s">
        <v>3</v>
      </c>
      <c r="DH251" t="s">
        <v>3</v>
      </c>
      <c r="DI251" t="s">
        <v>3</v>
      </c>
      <c r="DJ251" t="s">
        <v>3</v>
      </c>
      <c r="DK251" t="s">
        <v>3</v>
      </c>
      <c r="DL251" t="s">
        <v>3</v>
      </c>
      <c r="DM251" t="s">
        <v>3</v>
      </c>
      <c r="DN251">
        <v>0</v>
      </c>
      <c r="DO251">
        <v>0</v>
      </c>
      <c r="DP251">
        <v>1</v>
      </c>
      <c r="DQ251">
        <v>1</v>
      </c>
      <c r="DU251">
        <v>1009</v>
      </c>
      <c r="DV251" t="s">
        <v>30</v>
      </c>
      <c r="DW251" t="s">
        <v>30</v>
      </c>
      <c r="DX251">
        <v>1000</v>
      </c>
      <c r="EE251">
        <v>38628631</v>
      </c>
      <c r="EF251">
        <v>1</v>
      </c>
      <c r="EG251" t="s">
        <v>24</v>
      </c>
      <c r="EH251">
        <v>0</v>
      </c>
      <c r="EI251" t="s">
        <v>3</v>
      </c>
      <c r="EJ251">
        <v>4</v>
      </c>
      <c r="EK251">
        <v>0</v>
      </c>
      <c r="EL251" t="s">
        <v>25</v>
      </c>
      <c r="EM251" t="s">
        <v>26</v>
      </c>
      <c r="EO251" t="s">
        <v>3</v>
      </c>
      <c r="EQ251">
        <v>0</v>
      </c>
      <c r="ER251">
        <v>119.69</v>
      </c>
      <c r="ES251">
        <v>0</v>
      </c>
      <c r="ET251">
        <v>0</v>
      </c>
      <c r="EU251">
        <v>0</v>
      </c>
      <c r="EV251">
        <v>119.69</v>
      </c>
      <c r="EW251">
        <v>1.02</v>
      </c>
      <c r="EX251">
        <v>0</v>
      </c>
      <c r="EY251">
        <v>0</v>
      </c>
      <c r="FQ251">
        <v>0</v>
      </c>
      <c r="FR251">
        <f t="shared" si="206"/>
        <v>0</v>
      </c>
      <c r="FS251">
        <v>0</v>
      </c>
      <c r="FX251">
        <v>70</v>
      </c>
      <c r="FY251">
        <v>10</v>
      </c>
      <c r="GA251" t="s">
        <v>3</v>
      </c>
      <c r="GD251">
        <v>0</v>
      </c>
      <c r="GF251">
        <v>1555540630</v>
      </c>
      <c r="GG251">
        <v>2</v>
      </c>
      <c r="GH251">
        <v>1</v>
      </c>
      <c r="GI251">
        <v>-2</v>
      </c>
      <c r="GJ251">
        <v>0</v>
      </c>
      <c r="GK251">
        <f>ROUND(R251*(R12)/100,2)</f>
        <v>0</v>
      </c>
      <c r="GL251">
        <f t="shared" si="207"/>
        <v>0</v>
      </c>
      <c r="GM251">
        <f>ROUND(O251+X251+Y251+GK251,2)+GX251</f>
        <v>14.71</v>
      </c>
      <c r="GN251">
        <f>IF(OR(BI251=0,BI251=1),ROUND(O251+X251+Y251+GK251,2),0)</f>
        <v>0</v>
      </c>
      <c r="GO251">
        <f>IF(BI251=2,ROUND(O251+X251+Y251+GK251,2),0)</f>
        <v>0</v>
      </c>
      <c r="GP251">
        <f>IF(BI251=4,ROUND(O251+X251+Y251+GK251,2)+GX251,0)</f>
        <v>14.71</v>
      </c>
      <c r="GR251">
        <v>0</v>
      </c>
      <c r="GS251">
        <v>3</v>
      </c>
      <c r="GT251">
        <v>0</v>
      </c>
      <c r="GU251" t="s">
        <v>3</v>
      </c>
      <c r="GV251">
        <f t="shared" si="208"/>
        <v>0</v>
      </c>
      <c r="GW251">
        <v>1</v>
      </c>
      <c r="GX251">
        <f t="shared" si="209"/>
        <v>0</v>
      </c>
      <c r="HA251">
        <v>0</v>
      </c>
      <c r="HB251">
        <v>0</v>
      </c>
      <c r="HC251">
        <f t="shared" si="210"/>
        <v>0</v>
      </c>
      <c r="HE251" t="s">
        <v>3</v>
      </c>
      <c r="HF251" t="s">
        <v>3</v>
      </c>
      <c r="IK251">
        <v>0</v>
      </c>
    </row>
    <row r="252" spans="1:245" x14ac:dyDescent="0.2">
      <c r="A252">
        <v>17</v>
      </c>
      <c r="B252">
        <v>1</v>
      </c>
      <c r="C252">
        <f>ROW(SmtRes!A74)</f>
        <v>74</v>
      </c>
      <c r="D252">
        <f>ROW(EtalonRes!A71)</f>
        <v>71</v>
      </c>
      <c r="E252" t="s">
        <v>234</v>
      </c>
      <c r="F252" t="s">
        <v>39</v>
      </c>
      <c r="G252" t="s">
        <v>40</v>
      </c>
      <c r="H252" t="s">
        <v>30</v>
      </c>
      <c r="I252">
        <v>0</v>
      </c>
      <c r="J252">
        <v>0</v>
      </c>
      <c r="O252">
        <f t="shared" si="182"/>
        <v>0</v>
      </c>
      <c r="P252">
        <f t="shared" si="183"/>
        <v>0</v>
      </c>
      <c r="Q252">
        <f t="shared" si="184"/>
        <v>0</v>
      </c>
      <c r="R252">
        <f t="shared" si="185"/>
        <v>0</v>
      </c>
      <c r="S252">
        <f t="shared" si="186"/>
        <v>0</v>
      </c>
      <c r="T252">
        <f t="shared" si="187"/>
        <v>0</v>
      </c>
      <c r="U252">
        <f t="shared" si="188"/>
        <v>0</v>
      </c>
      <c r="V252">
        <f t="shared" si="189"/>
        <v>0</v>
      </c>
      <c r="W252">
        <f t="shared" si="190"/>
        <v>0</v>
      </c>
      <c r="X252">
        <f t="shared" si="191"/>
        <v>0</v>
      </c>
      <c r="Y252">
        <f t="shared" si="191"/>
        <v>0</v>
      </c>
      <c r="AA252">
        <v>38214492</v>
      </c>
      <c r="AB252">
        <f t="shared" si="192"/>
        <v>62.5</v>
      </c>
      <c r="AC252">
        <f>ROUND((ES252),6)</f>
        <v>0</v>
      </c>
      <c r="AD252">
        <f>ROUND((((ET252)-(EU252))+AE252),6)</f>
        <v>62.5</v>
      </c>
      <c r="AE252">
        <f t="shared" si="193"/>
        <v>37.020000000000003</v>
      </c>
      <c r="AF252">
        <f t="shared" si="193"/>
        <v>0</v>
      </c>
      <c r="AG252">
        <f t="shared" si="194"/>
        <v>0</v>
      </c>
      <c r="AH252">
        <f t="shared" si="195"/>
        <v>0</v>
      </c>
      <c r="AI252">
        <f t="shared" si="195"/>
        <v>0</v>
      </c>
      <c r="AJ252">
        <f t="shared" si="196"/>
        <v>0</v>
      </c>
      <c r="AK252">
        <v>62.5</v>
      </c>
      <c r="AL252">
        <v>0</v>
      </c>
      <c r="AM252">
        <v>62.5</v>
      </c>
      <c r="AN252">
        <v>37.020000000000003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1</v>
      </c>
      <c r="AW252">
        <v>1</v>
      </c>
      <c r="AZ252">
        <v>1</v>
      </c>
      <c r="BA252">
        <v>1</v>
      </c>
      <c r="BB252">
        <v>1</v>
      </c>
      <c r="BC252">
        <v>1</v>
      </c>
      <c r="BD252" t="s">
        <v>3</v>
      </c>
      <c r="BE252" t="s">
        <v>3</v>
      </c>
      <c r="BF252" t="s">
        <v>3</v>
      </c>
      <c r="BG252" t="s">
        <v>3</v>
      </c>
      <c r="BH252">
        <v>0</v>
      </c>
      <c r="BI252">
        <v>4</v>
      </c>
      <c r="BJ252" t="s">
        <v>41</v>
      </c>
      <c r="BM252">
        <v>1</v>
      </c>
      <c r="BN252">
        <v>0</v>
      </c>
      <c r="BO252" t="s">
        <v>3</v>
      </c>
      <c r="BP252">
        <v>0</v>
      </c>
      <c r="BQ252">
        <v>1</v>
      </c>
      <c r="BR252">
        <v>0</v>
      </c>
      <c r="BS252">
        <v>1</v>
      </c>
      <c r="BT252">
        <v>1</v>
      </c>
      <c r="BU252">
        <v>1</v>
      </c>
      <c r="BV252">
        <v>1</v>
      </c>
      <c r="BW252">
        <v>1</v>
      </c>
      <c r="BX252">
        <v>1</v>
      </c>
      <c r="BY252" t="s">
        <v>3</v>
      </c>
      <c r="BZ252">
        <v>0</v>
      </c>
      <c r="CA252">
        <v>0</v>
      </c>
      <c r="CE252">
        <v>0</v>
      </c>
      <c r="CF252">
        <v>0</v>
      </c>
      <c r="CG252">
        <v>0</v>
      </c>
      <c r="CM252">
        <v>0</v>
      </c>
      <c r="CN252" t="s">
        <v>3</v>
      </c>
      <c r="CO252">
        <v>0</v>
      </c>
      <c r="CP252">
        <f t="shared" si="197"/>
        <v>0</v>
      </c>
      <c r="CQ252">
        <f t="shared" si="198"/>
        <v>0</v>
      </c>
      <c r="CR252">
        <f>((((ET252)*BB252-(EU252)*BS252)+AE252*BS252)*AV252)</f>
        <v>62.5</v>
      </c>
      <c r="CS252">
        <f t="shared" si="199"/>
        <v>37.020000000000003</v>
      </c>
      <c r="CT252">
        <f t="shared" si="200"/>
        <v>0</v>
      </c>
      <c r="CU252">
        <f t="shared" si="201"/>
        <v>0</v>
      </c>
      <c r="CV252">
        <f t="shared" si="202"/>
        <v>0</v>
      </c>
      <c r="CW252">
        <f t="shared" si="203"/>
        <v>0</v>
      </c>
      <c r="CX252">
        <f t="shared" si="203"/>
        <v>0</v>
      </c>
      <c r="CY252">
        <f t="shared" si="204"/>
        <v>0</v>
      </c>
      <c r="CZ252">
        <f t="shared" si="205"/>
        <v>0</v>
      </c>
      <c r="DC252" t="s">
        <v>3</v>
      </c>
      <c r="DD252" t="s">
        <v>3</v>
      </c>
      <c r="DE252" t="s">
        <v>3</v>
      </c>
      <c r="DF252" t="s">
        <v>3</v>
      </c>
      <c r="DG252" t="s">
        <v>3</v>
      </c>
      <c r="DH252" t="s">
        <v>3</v>
      </c>
      <c r="DI252" t="s">
        <v>3</v>
      </c>
      <c r="DJ252" t="s">
        <v>3</v>
      </c>
      <c r="DK252" t="s">
        <v>3</v>
      </c>
      <c r="DL252" t="s">
        <v>3</v>
      </c>
      <c r="DM252" t="s">
        <v>3</v>
      </c>
      <c r="DN252">
        <v>0</v>
      </c>
      <c r="DO252">
        <v>0</v>
      </c>
      <c r="DP252">
        <v>1</v>
      </c>
      <c r="DQ252">
        <v>1</v>
      </c>
      <c r="DU252">
        <v>1009</v>
      </c>
      <c r="DV252" t="s">
        <v>30</v>
      </c>
      <c r="DW252" t="s">
        <v>30</v>
      </c>
      <c r="DX252">
        <v>1000</v>
      </c>
      <c r="EE252">
        <v>38628633</v>
      </c>
      <c r="EF252">
        <v>1</v>
      </c>
      <c r="EG252" t="s">
        <v>24</v>
      </c>
      <c r="EH252">
        <v>0</v>
      </c>
      <c r="EI252" t="s">
        <v>3</v>
      </c>
      <c r="EJ252">
        <v>4</v>
      </c>
      <c r="EK252">
        <v>1</v>
      </c>
      <c r="EL252" t="s">
        <v>42</v>
      </c>
      <c r="EM252" t="s">
        <v>26</v>
      </c>
      <c r="EO252" t="s">
        <v>3</v>
      </c>
      <c r="EQ252">
        <v>0</v>
      </c>
      <c r="ER252">
        <v>62.5</v>
      </c>
      <c r="ES252">
        <v>0</v>
      </c>
      <c r="ET252">
        <v>62.5</v>
      </c>
      <c r="EU252">
        <v>37.020000000000003</v>
      </c>
      <c r="EV252">
        <v>0</v>
      </c>
      <c r="EW252">
        <v>0</v>
      </c>
      <c r="EX252">
        <v>0</v>
      </c>
      <c r="EY252">
        <v>0</v>
      </c>
      <c r="FQ252">
        <v>0</v>
      </c>
      <c r="FR252">
        <f t="shared" si="206"/>
        <v>0</v>
      </c>
      <c r="FS252">
        <v>0</v>
      </c>
      <c r="FX252">
        <v>0</v>
      </c>
      <c r="FY252">
        <v>0</v>
      </c>
      <c r="GA252" t="s">
        <v>3</v>
      </c>
      <c r="GD252">
        <v>1</v>
      </c>
      <c r="GF252">
        <v>-283681225</v>
      </c>
      <c r="GG252">
        <v>2</v>
      </c>
      <c r="GH252">
        <v>1</v>
      </c>
      <c r="GI252">
        <v>-2</v>
      </c>
      <c r="GJ252">
        <v>0</v>
      </c>
      <c r="GK252">
        <v>0</v>
      </c>
      <c r="GL252">
        <f t="shared" si="207"/>
        <v>0</v>
      </c>
      <c r="GM252">
        <f>ROUND(O252+X252+Y252,2)+GX252</f>
        <v>0</v>
      </c>
      <c r="GN252">
        <f>IF(OR(BI252=0,BI252=1),ROUND(O252+X252+Y252,2),0)</f>
        <v>0</v>
      </c>
      <c r="GO252">
        <f>IF(BI252=2,ROUND(O252+X252+Y252,2),0)</f>
        <v>0</v>
      </c>
      <c r="GP252">
        <f>IF(BI252=4,ROUND(O252+X252+Y252,2)+GX252,0)</f>
        <v>0</v>
      </c>
      <c r="GR252">
        <v>0</v>
      </c>
      <c r="GS252">
        <v>3</v>
      </c>
      <c r="GT252">
        <v>0</v>
      </c>
      <c r="GU252" t="s">
        <v>3</v>
      </c>
      <c r="GV252">
        <f t="shared" si="208"/>
        <v>0</v>
      </c>
      <c r="GW252">
        <v>1</v>
      </c>
      <c r="GX252">
        <f t="shared" si="209"/>
        <v>0</v>
      </c>
      <c r="HA252">
        <v>0</v>
      </c>
      <c r="HB252">
        <v>0</v>
      </c>
      <c r="HC252">
        <f t="shared" si="210"/>
        <v>0</v>
      </c>
      <c r="HE252" t="s">
        <v>3</v>
      </c>
      <c r="HF252" t="s">
        <v>3</v>
      </c>
      <c r="IK252">
        <v>0</v>
      </c>
    </row>
    <row r="253" spans="1:245" x14ac:dyDescent="0.2">
      <c r="A253">
        <v>17</v>
      </c>
      <c r="B253">
        <v>1</v>
      </c>
      <c r="C253">
        <f>ROW(SmtRes!A76)</f>
        <v>76</v>
      </c>
      <c r="D253">
        <f>ROW(EtalonRes!A73)</f>
        <v>73</v>
      </c>
      <c r="E253" t="s">
        <v>235</v>
      </c>
      <c r="F253" t="s">
        <v>44</v>
      </c>
      <c r="G253" t="s">
        <v>45</v>
      </c>
      <c r="H253" t="s">
        <v>30</v>
      </c>
      <c r="I253">
        <f>ROUND(I34,9)</f>
        <v>6.8250000000000005E-2</v>
      </c>
      <c r="J253">
        <v>0</v>
      </c>
      <c r="O253">
        <f t="shared" si="182"/>
        <v>12.24</v>
      </c>
      <c r="P253">
        <f t="shared" si="183"/>
        <v>0</v>
      </c>
      <c r="Q253">
        <f t="shared" si="184"/>
        <v>12.24</v>
      </c>
      <c r="R253">
        <f t="shared" si="185"/>
        <v>7.25</v>
      </c>
      <c r="S253">
        <f t="shared" si="186"/>
        <v>0</v>
      </c>
      <c r="T253">
        <f t="shared" si="187"/>
        <v>0</v>
      </c>
      <c r="U253">
        <f t="shared" si="188"/>
        <v>0</v>
      </c>
      <c r="V253">
        <f t="shared" si="189"/>
        <v>0</v>
      </c>
      <c r="W253">
        <f t="shared" si="190"/>
        <v>0</v>
      </c>
      <c r="X253">
        <f t="shared" si="191"/>
        <v>0</v>
      </c>
      <c r="Y253">
        <f t="shared" si="191"/>
        <v>0</v>
      </c>
      <c r="AA253">
        <v>38214492</v>
      </c>
      <c r="AB253">
        <f t="shared" si="192"/>
        <v>179.4</v>
      </c>
      <c r="AC253">
        <f>ROUND((ES253),6)</f>
        <v>0</v>
      </c>
      <c r="AD253">
        <f>ROUND((((ET253)-(EU253))+AE253),6)</f>
        <v>179.4</v>
      </c>
      <c r="AE253">
        <f t="shared" si="193"/>
        <v>106.2</v>
      </c>
      <c r="AF253">
        <f t="shared" si="193"/>
        <v>0</v>
      </c>
      <c r="AG253">
        <f t="shared" si="194"/>
        <v>0</v>
      </c>
      <c r="AH253">
        <f t="shared" si="195"/>
        <v>0</v>
      </c>
      <c r="AI253">
        <f t="shared" si="195"/>
        <v>0</v>
      </c>
      <c r="AJ253">
        <f t="shared" si="196"/>
        <v>0</v>
      </c>
      <c r="AK253">
        <v>179.4</v>
      </c>
      <c r="AL253">
        <v>0</v>
      </c>
      <c r="AM253">
        <v>179.4</v>
      </c>
      <c r="AN253">
        <v>106.2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1</v>
      </c>
      <c r="AW253">
        <v>1</v>
      </c>
      <c r="AZ253">
        <v>1</v>
      </c>
      <c r="BA253">
        <v>1</v>
      </c>
      <c r="BB253">
        <v>1</v>
      </c>
      <c r="BC253">
        <v>1</v>
      </c>
      <c r="BD253" t="s">
        <v>3</v>
      </c>
      <c r="BE253" t="s">
        <v>3</v>
      </c>
      <c r="BF253" t="s">
        <v>3</v>
      </c>
      <c r="BG253" t="s">
        <v>3</v>
      </c>
      <c r="BH253">
        <v>0</v>
      </c>
      <c r="BI253">
        <v>4</v>
      </c>
      <c r="BJ253" t="s">
        <v>46</v>
      </c>
      <c r="BM253">
        <v>1</v>
      </c>
      <c r="BN253">
        <v>0</v>
      </c>
      <c r="BO253" t="s">
        <v>3</v>
      </c>
      <c r="BP253">
        <v>0</v>
      </c>
      <c r="BQ253">
        <v>1</v>
      </c>
      <c r="BR253">
        <v>0</v>
      </c>
      <c r="BS253">
        <v>1</v>
      </c>
      <c r="BT253">
        <v>1</v>
      </c>
      <c r="BU253">
        <v>1</v>
      </c>
      <c r="BV253">
        <v>1</v>
      </c>
      <c r="BW253">
        <v>1</v>
      </c>
      <c r="BX253">
        <v>1</v>
      </c>
      <c r="BY253" t="s">
        <v>3</v>
      </c>
      <c r="BZ253">
        <v>0</v>
      </c>
      <c r="CA253">
        <v>0</v>
      </c>
      <c r="CE253">
        <v>0</v>
      </c>
      <c r="CF253">
        <v>0</v>
      </c>
      <c r="CG253">
        <v>0</v>
      </c>
      <c r="CM253">
        <v>0</v>
      </c>
      <c r="CN253" t="s">
        <v>3</v>
      </c>
      <c r="CO253">
        <v>0</v>
      </c>
      <c r="CP253">
        <f t="shared" si="197"/>
        <v>12.24</v>
      </c>
      <c r="CQ253">
        <f t="shared" si="198"/>
        <v>0</v>
      </c>
      <c r="CR253">
        <f>((((ET253)*BB253-(EU253)*BS253)+AE253*BS253)*AV253)</f>
        <v>179.4</v>
      </c>
      <c r="CS253">
        <f t="shared" si="199"/>
        <v>106.2</v>
      </c>
      <c r="CT253">
        <f t="shared" si="200"/>
        <v>0</v>
      </c>
      <c r="CU253">
        <f t="shared" si="201"/>
        <v>0</v>
      </c>
      <c r="CV253">
        <f t="shared" si="202"/>
        <v>0</v>
      </c>
      <c r="CW253">
        <f t="shared" si="203"/>
        <v>0</v>
      </c>
      <c r="CX253">
        <f t="shared" si="203"/>
        <v>0</v>
      </c>
      <c r="CY253">
        <f t="shared" si="204"/>
        <v>0</v>
      </c>
      <c r="CZ253">
        <f t="shared" si="205"/>
        <v>0</v>
      </c>
      <c r="DC253" t="s">
        <v>3</v>
      </c>
      <c r="DD253" t="s">
        <v>3</v>
      </c>
      <c r="DE253" t="s">
        <v>3</v>
      </c>
      <c r="DF253" t="s">
        <v>3</v>
      </c>
      <c r="DG253" t="s">
        <v>3</v>
      </c>
      <c r="DH253" t="s">
        <v>3</v>
      </c>
      <c r="DI253" t="s">
        <v>3</v>
      </c>
      <c r="DJ253" t="s">
        <v>3</v>
      </c>
      <c r="DK253" t="s">
        <v>3</v>
      </c>
      <c r="DL253" t="s">
        <v>3</v>
      </c>
      <c r="DM253" t="s">
        <v>3</v>
      </c>
      <c r="DN253">
        <v>0</v>
      </c>
      <c r="DO253">
        <v>0</v>
      </c>
      <c r="DP253">
        <v>1</v>
      </c>
      <c r="DQ253">
        <v>1</v>
      </c>
      <c r="DU253">
        <v>1009</v>
      </c>
      <c r="DV253" t="s">
        <v>30</v>
      </c>
      <c r="DW253" t="s">
        <v>30</v>
      </c>
      <c r="DX253">
        <v>1000</v>
      </c>
      <c r="EE253">
        <v>38628633</v>
      </c>
      <c r="EF253">
        <v>1</v>
      </c>
      <c r="EG253" t="s">
        <v>24</v>
      </c>
      <c r="EH253">
        <v>0</v>
      </c>
      <c r="EI253" t="s">
        <v>3</v>
      </c>
      <c r="EJ253">
        <v>4</v>
      </c>
      <c r="EK253">
        <v>1</v>
      </c>
      <c r="EL253" t="s">
        <v>42</v>
      </c>
      <c r="EM253" t="s">
        <v>26</v>
      </c>
      <c r="EO253" t="s">
        <v>3</v>
      </c>
      <c r="EQ253">
        <v>0</v>
      </c>
      <c r="ER253">
        <v>179.4</v>
      </c>
      <c r="ES253">
        <v>0</v>
      </c>
      <c r="ET253">
        <v>179.4</v>
      </c>
      <c r="EU253">
        <v>106.2</v>
      </c>
      <c r="EV253">
        <v>0</v>
      </c>
      <c r="EW253">
        <v>0</v>
      </c>
      <c r="EX253">
        <v>0</v>
      </c>
      <c r="EY253">
        <v>0</v>
      </c>
      <c r="FQ253">
        <v>0</v>
      </c>
      <c r="FR253">
        <f t="shared" si="206"/>
        <v>0</v>
      </c>
      <c r="FS253">
        <v>0</v>
      </c>
      <c r="FX253">
        <v>0</v>
      </c>
      <c r="FY253">
        <v>0</v>
      </c>
      <c r="GA253" t="s">
        <v>3</v>
      </c>
      <c r="GD253">
        <v>1</v>
      </c>
      <c r="GF253">
        <v>1779235029</v>
      </c>
      <c r="GG253">
        <v>2</v>
      </c>
      <c r="GH253">
        <v>1</v>
      </c>
      <c r="GI253">
        <v>-2</v>
      </c>
      <c r="GJ253">
        <v>0</v>
      </c>
      <c r="GK253">
        <v>0</v>
      </c>
      <c r="GL253">
        <f t="shared" si="207"/>
        <v>0</v>
      </c>
      <c r="GM253">
        <f>ROUND(O253+X253+Y253,2)+GX253</f>
        <v>12.24</v>
      </c>
      <c r="GN253">
        <f>IF(OR(BI253=0,BI253=1),ROUND(O253+X253+Y253,2),0)</f>
        <v>0</v>
      </c>
      <c r="GO253">
        <f>IF(BI253=2,ROUND(O253+X253+Y253,2),0)</f>
        <v>0</v>
      </c>
      <c r="GP253">
        <f>IF(BI253=4,ROUND(O253+X253+Y253,2)+GX253,0)</f>
        <v>12.24</v>
      </c>
      <c r="GR253">
        <v>0</v>
      </c>
      <c r="GS253">
        <v>3</v>
      </c>
      <c r="GT253">
        <v>0</v>
      </c>
      <c r="GU253" t="s">
        <v>3</v>
      </c>
      <c r="GV253">
        <f t="shared" si="208"/>
        <v>0</v>
      </c>
      <c r="GW253">
        <v>1</v>
      </c>
      <c r="GX253">
        <f t="shared" si="209"/>
        <v>0</v>
      </c>
      <c r="HA253">
        <v>0</v>
      </c>
      <c r="HB253">
        <v>0</v>
      </c>
      <c r="HC253">
        <f t="shared" si="210"/>
        <v>0</v>
      </c>
      <c r="HE253" t="s">
        <v>3</v>
      </c>
      <c r="HF253" t="s">
        <v>3</v>
      </c>
      <c r="IK253">
        <v>0</v>
      </c>
    </row>
    <row r="254" spans="1:245" x14ac:dyDescent="0.2">
      <c r="A254">
        <v>17</v>
      </c>
      <c r="B254">
        <v>1</v>
      </c>
      <c r="C254">
        <f>ROW(SmtRes!A78)</f>
        <v>78</v>
      </c>
      <c r="D254">
        <f>ROW(EtalonRes!A75)</f>
        <v>75</v>
      </c>
      <c r="E254" t="s">
        <v>236</v>
      </c>
      <c r="F254" t="s">
        <v>48</v>
      </c>
      <c r="G254" t="s">
        <v>49</v>
      </c>
      <c r="H254" t="s">
        <v>30</v>
      </c>
      <c r="I254">
        <f>ROUND(I36,9)</f>
        <v>6.8250000000000005E-2</v>
      </c>
      <c r="J254">
        <v>0</v>
      </c>
      <c r="O254">
        <f t="shared" si="182"/>
        <v>32.299999999999997</v>
      </c>
      <c r="P254">
        <f t="shared" si="183"/>
        <v>0</v>
      </c>
      <c r="Q254">
        <f t="shared" si="184"/>
        <v>32.299999999999997</v>
      </c>
      <c r="R254">
        <f t="shared" si="185"/>
        <v>19.149999999999999</v>
      </c>
      <c r="S254">
        <f t="shared" si="186"/>
        <v>0</v>
      </c>
      <c r="T254">
        <f t="shared" si="187"/>
        <v>0</v>
      </c>
      <c r="U254">
        <f t="shared" si="188"/>
        <v>0</v>
      </c>
      <c r="V254">
        <f t="shared" si="189"/>
        <v>0</v>
      </c>
      <c r="W254">
        <f t="shared" si="190"/>
        <v>0</v>
      </c>
      <c r="X254">
        <f t="shared" si="191"/>
        <v>0</v>
      </c>
      <c r="Y254">
        <f t="shared" si="191"/>
        <v>0</v>
      </c>
      <c r="AA254">
        <v>38214492</v>
      </c>
      <c r="AB254">
        <f t="shared" si="192"/>
        <v>473.28</v>
      </c>
      <c r="AC254">
        <f>ROUND(((ES254*16)),6)</f>
        <v>0</v>
      </c>
      <c r="AD254">
        <f>ROUND(((((ET254*16))-((EU254*16)))+AE254),6)</f>
        <v>473.28</v>
      </c>
      <c r="AE254">
        <f>ROUND(((EU254*16)),6)</f>
        <v>280.64</v>
      </c>
      <c r="AF254">
        <f>ROUND(((EV254*16)),6)</f>
        <v>0</v>
      </c>
      <c r="AG254">
        <f t="shared" si="194"/>
        <v>0</v>
      </c>
      <c r="AH254">
        <f>((EW254*16))</f>
        <v>0</v>
      </c>
      <c r="AI254">
        <f>((EX254*16))</f>
        <v>0</v>
      </c>
      <c r="AJ254">
        <f t="shared" si="196"/>
        <v>0</v>
      </c>
      <c r="AK254">
        <v>29.58</v>
      </c>
      <c r="AL254">
        <v>0</v>
      </c>
      <c r="AM254">
        <v>29.58</v>
      </c>
      <c r="AN254">
        <v>17.54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1</v>
      </c>
      <c r="AW254">
        <v>1</v>
      </c>
      <c r="AZ254">
        <v>1</v>
      </c>
      <c r="BA254">
        <v>1</v>
      </c>
      <c r="BB254">
        <v>1</v>
      </c>
      <c r="BC254">
        <v>1</v>
      </c>
      <c r="BD254" t="s">
        <v>3</v>
      </c>
      <c r="BE254" t="s">
        <v>3</v>
      </c>
      <c r="BF254" t="s">
        <v>3</v>
      </c>
      <c r="BG254" t="s">
        <v>3</v>
      </c>
      <c r="BH254">
        <v>0</v>
      </c>
      <c r="BI254">
        <v>4</v>
      </c>
      <c r="BJ254" t="s">
        <v>50</v>
      </c>
      <c r="BM254">
        <v>1</v>
      </c>
      <c r="BN254">
        <v>0</v>
      </c>
      <c r="BO254" t="s">
        <v>3</v>
      </c>
      <c r="BP254">
        <v>0</v>
      </c>
      <c r="BQ254">
        <v>1</v>
      </c>
      <c r="BR254">
        <v>0</v>
      </c>
      <c r="BS254">
        <v>1</v>
      </c>
      <c r="BT254">
        <v>1</v>
      </c>
      <c r="BU254">
        <v>1</v>
      </c>
      <c r="BV254">
        <v>1</v>
      </c>
      <c r="BW254">
        <v>1</v>
      </c>
      <c r="BX254">
        <v>1</v>
      </c>
      <c r="BY254" t="s">
        <v>3</v>
      </c>
      <c r="BZ254">
        <v>0</v>
      </c>
      <c r="CA254">
        <v>0</v>
      </c>
      <c r="CE254">
        <v>0</v>
      </c>
      <c r="CF254">
        <v>0</v>
      </c>
      <c r="CG254">
        <v>0</v>
      </c>
      <c r="CM254">
        <v>0</v>
      </c>
      <c r="CN254" t="s">
        <v>3</v>
      </c>
      <c r="CO254">
        <v>0</v>
      </c>
      <c r="CP254">
        <f t="shared" si="197"/>
        <v>32.299999999999997</v>
      </c>
      <c r="CQ254">
        <f t="shared" si="198"/>
        <v>0</v>
      </c>
      <c r="CR254">
        <f>(((((ET254*16))*BB254-((EU254*16))*BS254)+AE254*BS254)*AV254)</f>
        <v>473.28</v>
      </c>
      <c r="CS254">
        <f t="shared" si="199"/>
        <v>280.64</v>
      </c>
      <c r="CT254">
        <f t="shared" si="200"/>
        <v>0</v>
      </c>
      <c r="CU254">
        <f t="shared" si="201"/>
        <v>0</v>
      </c>
      <c r="CV254">
        <f t="shared" si="202"/>
        <v>0</v>
      </c>
      <c r="CW254">
        <f t="shared" si="203"/>
        <v>0</v>
      </c>
      <c r="CX254">
        <f t="shared" si="203"/>
        <v>0</v>
      </c>
      <c r="CY254">
        <f t="shared" si="204"/>
        <v>0</v>
      </c>
      <c r="CZ254">
        <f t="shared" si="205"/>
        <v>0</v>
      </c>
      <c r="DC254" t="s">
        <v>3</v>
      </c>
      <c r="DD254" t="s">
        <v>201</v>
      </c>
      <c r="DE254" t="s">
        <v>201</v>
      </c>
      <c r="DF254" t="s">
        <v>201</v>
      </c>
      <c r="DG254" t="s">
        <v>201</v>
      </c>
      <c r="DH254" t="s">
        <v>3</v>
      </c>
      <c r="DI254" t="s">
        <v>201</v>
      </c>
      <c r="DJ254" t="s">
        <v>201</v>
      </c>
      <c r="DK254" t="s">
        <v>3</v>
      </c>
      <c r="DL254" t="s">
        <v>3</v>
      </c>
      <c r="DM254" t="s">
        <v>3</v>
      </c>
      <c r="DN254">
        <v>0</v>
      </c>
      <c r="DO254">
        <v>0</v>
      </c>
      <c r="DP254">
        <v>1</v>
      </c>
      <c r="DQ254">
        <v>1</v>
      </c>
      <c r="DU254">
        <v>1009</v>
      </c>
      <c r="DV254" t="s">
        <v>30</v>
      </c>
      <c r="DW254" t="s">
        <v>30</v>
      </c>
      <c r="DX254">
        <v>1000</v>
      </c>
      <c r="EE254">
        <v>38628633</v>
      </c>
      <c r="EF254">
        <v>1</v>
      </c>
      <c r="EG254" t="s">
        <v>24</v>
      </c>
      <c r="EH254">
        <v>0</v>
      </c>
      <c r="EI254" t="s">
        <v>3</v>
      </c>
      <c r="EJ254">
        <v>4</v>
      </c>
      <c r="EK254">
        <v>1</v>
      </c>
      <c r="EL254" t="s">
        <v>42</v>
      </c>
      <c r="EM254" t="s">
        <v>26</v>
      </c>
      <c r="EO254" t="s">
        <v>3</v>
      </c>
      <c r="EQ254">
        <v>0</v>
      </c>
      <c r="ER254">
        <v>29.58</v>
      </c>
      <c r="ES254">
        <v>0</v>
      </c>
      <c r="ET254">
        <v>29.58</v>
      </c>
      <c r="EU254">
        <v>17.54</v>
      </c>
      <c r="EV254">
        <v>0</v>
      </c>
      <c r="EW254">
        <v>0</v>
      </c>
      <c r="EX254">
        <v>0</v>
      </c>
      <c r="EY254">
        <v>0</v>
      </c>
      <c r="FQ254">
        <v>0</v>
      </c>
      <c r="FR254">
        <f t="shared" si="206"/>
        <v>0</v>
      </c>
      <c r="FS254">
        <v>0</v>
      </c>
      <c r="FX254">
        <v>0</v>
      </c>
      <c r="FY254">
        <v>0</v>
      </c>
      <c r="GA254" t="s">
        <v>3</v>
      </c>
      <c r="GD254">
        <v>1</v>
      </c>
      <c r="GF254">
        <v>-576512497</v>
      </c>
      <c r="GG254">
        <v>2</v>
      </c>
      <c r="GH254">
        <v>1</v>
      </c>
      <c r="GI254">
        <v>-2</v>
      </c>
      <c r="GJ254">
        <v>0</v>
      </c>
      <c r="GK254">
        <v>0</v>
      </c>
      <c r="GL254">
        <f t="shared" si="207"/>
        <v>0</v>
      </c>
      <c r="GM254">
        <f>ROUND(O254+X254+Y254,2)+GX254</f>
        <v>32.299999999999997</v>
      </c>
      <c r="GN254">
        <f>IF(OR(BI254=0,BI254=1),ROUND(O254+X254+Y254,2),0)</f>
        <v>0</v>
      </c>
      <c r="GO254">
        <f>IF(BI254=2,ROUND(O254+X254+Y254,2),0)</f>
        <v>0</v>
      </c>
      <c r="GP254">
        <f>IF(BI254=4,ROUND(O254+X254+Y254,2)+GX254,0)</f>
        <v>32.299999999999997</v>
      </c>
      <c r="GR254">
        <v>0</v>
      </c>
      <c r="GS254">
        <v>3</v>
      </c>
      <c r="GT254">
        <v>0</v>
      </c>
      <c r="GU254" t="s">
        <v>3</v>
      </c>
      <c r="GV254">
        <f t="shared" si="208"/>
        <v>0</v>
      </c>
      <c r="GW254">
        <v>1</v>
      </c>
      <c r="GX254">
        <f t="shared" si="209"/>
        <v>0</v>
      </c>
      <c r="HA254">
        <v>0</v>
      </c>
      <c r="HB254">
        <v>0</v>
      </c>
      <c r="HC254">
        <f t="shared" si="210"/>
        <v>0</v>
      </c>
      <c r="HE254" t="s">
        <v>3</v>
      </c>
      <c r="HF254" t="s">
        <v>3</v>
      </c>
      <c r="IK254">
        <v>0</v>
      </c>
    </row>
    <row r="255" spans="1:245" x14ac:dyDescent="0.2">
      <c r="A255">
        <v>17</v>
      </c>
      <c r="B255">
        <v>1</v>
      </c>
      <c r="E255" t="s">
        <v>237</v>
      </c>
      <c r="F255" t="s">
        <v>53</v>
      </c>
      <c r="G255" t="s">
        <v>54</v>
      </c>
      <c r="H255" t="s">
        <v>30</v>
      </c>
      <c r="I255">
        <v>6.8250000000000005E-2</v>
      </c>
      <c r="J255">
        <v>0</v>
      </c>
      <c r="O255">
        <f t="shared" si="182"/>
        <v>13.51</v>
      </c>
      <c r="P255">
        <f t="shared" si="183"/>
        <v>13.51</v>
      </c>
      <c r="Q255">
        <f t="shared" si="184"/>
        <v>0</v>
      </c>
      <c r="R255">
        <f t="shared" si="185"/>
        <v>0</v>
      </c>
      <c r="S255">
        <f t="shared" si="186"/>
        <v>0</v>
      </c>
      <c r="T255">
        <f t="shared" si="187"/>
        <v>0</v>
      </c>
      <c r="U255">
        <f t="shared" si="188"/>
        <v>0</v>
      </c>
      <c r="V255">
        <f t="shared" si="189"/>
        <v>0</v>
      </c>
      <c r="W255">
        <f t="shared" si="190"/>
        <v>0</v>
      </c>
      <c r="X255">
        <f t="shared" si="191"/>
        <v>0</v>
      </c>
      <c r="Y255">
        <f t="shared" si="191"/>
        <v>0</v>
      </c>
      <c r="AA255">
        <v>38214492</v>
      </c>
      <c r="AB255">
        <f t="shared" si="192"/>
        <v>197.96</v>
      </c>
      <c r="AC255">
        <f>ROUND((ES255),6)</f>
        <v>197.96</v>
      </c>
      <c r="AD255">
        <f>ROUND((((ET255)-(EU255))+AE255),6)</f>
        <v>0</v>
      </c>
      <c r="AE255">
        <f>ROUND((EU255),6)</f>
        <v>0</v>
      </c>
      <c r="AF255">
        <f>ROUND((EV255),6)</f>
        <v>0</v>
      </c>
      <c r="AG255">
        <f t="shared" si="194"/>
        <v>0</v>
      </c>
      <c r="AH255">
        <f>(EW255)</f>
        <v>0</v>
      </c>
      <c r="AI255">
        <f>(EX255)</f>
        <v>0</v>
      </c>
      <c r="AJ255">
        <f t="shared" si="196"/>
        <v>0</v>
      </c>
      <c r="AK255">
        <v>197.96</v>
      </c>
      <c r="AL255">
        <v>197.96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70</v>
      </c>
      <c r="AU255">
        <v>10</v>
      </c>
      <c r="AV255">
        <v>1</v>
      </c>
      <c r="AW255">
        <v>1</v>
      </c>
      <c r="AZ255">
        <v>1</v>
      </c>
      <c r="BA255">
        <v>1</v>
      </c>
      <c r="BB255">
        <v>1</v>
      </c>
      <c r="BC255">
        <v>1</v>
      </c>
      <c r="BD255" t="s">
        <v>3</v>
      </c>
      <c r="BE255" t="s">
        <v>3</v>
      </c>
      <c r="BF255" t="s">
        <v>3</v>
      </c>
      <c r="BG255" t="s">
        <v>3</v>
      </c>
      <c r="BH255">
        <v>3</v>
      </c>
      <c r="BI255">
        <v>4</v>
      </c>
      <c r="BJ255" t="s">
        <v>55</v>
      </c>
      <c r="BM255">
        <v>0</v>
      </c>
      <c r="BN255">
        <v>0</v>
      </c>
      <c r="BO255" t="s">
        <v>3</v>
      </c>
      <c r="BP255">
        <v>0</v>
      </c>
      <c r="BQ255">
        <v>1</v>
      </c>
      <c r="BR255">
        <v>0</v>
      </c>
      <c r="BS255">
        <v>1</v>
      </c>
      <c r="BT255">
        <v>1</v>
      </c>
      <c r="BU255">
        <v>1</v>
      </c>
      <c r="BV255">
        <v>1</v>
      </c>
      <c r="BW255">
        <v>1</v>
      </c>
      <c r="BX255">
        <v>1</v>
      </c>
      <c r="BY255" t="s">
        <v>3</v>
      </c>
      <c r="BZ255">
        <v>70</v>
      </c>
      <c r="CA255">
        <v>10</v>
      </c>
      <c r="CE255">
        <v>0</v>
      </c>
      <c r="CF255">
        <v>0</v>
      </c>
      <c r="CG255">
        <v>0</v>
      </c>
      <c r="CM255">
        <v>0</v>
      </c>
      <c r="CN255" t="s">
        <v>3</v>
      </c>
      <c r="CO255">
        <v>0</v>
      </c>
      <c r="CP255">
        <f t="shared" si="197"/>
        <v>13.51</v>
      </c>
      <c r="CQ255">
        <f t="shared" si="198"/>
        <v>197.96</v>
      </c>
      <c r="CR255">
        <f>((((ET255)*BB255-(EU255)*BS255)+AE255*BS255)*AV255)</f>
        <v>0</v>
      </c>
      <c r="CS255">
        <f t="shared" si="199"/>
        <v>0</v>
      </c>
      <c r="CT255">
        <f t="shared" si="200"/>
        <v>0</v>
      </c>
      <c r="CU255">
        <f t="shared" si="201"/>
        <v>0</v>
      </c>
      <c r="CV255">
        <f t="shared" si="202"/>
        <v>0</v>
      </c>
      <c r="CW255">
        <f t="shared" si="203"/>
        <v>0</v>
      </c>
      <c r="CX255">
        <f t="shared" si="203"/>
        <v>0</v>
      </c>
      <c r="CY255">
        <f t="shared" si="204"/>
        <v>0</v>
      </c>
      <c r="CZ255">
        <f t="shared" si="205"/>
        <v>0</v>
      </c>
      <c r="DC255" t="s">
        <v>3</v>
      </c>
      <c r="DD255" t="s">
        <v>3</v>
      </c>
      <c r="DE255" t="s">
        <v>3</v>
      </c>
      <c r="DF255" t="s">
        <v>3</v>
      </c>
      <c r="DG255" t="s">
        <v>3</v>
      </c>
      <c r="DH255" t="s">
        <v>3</v>
      </c>
      <c r="DI255" t="s">
        <v>3</v>
      </c>
      <c r="DJ255" t="s">
        <v>3</v>
      </c>
      <c r="DK255" t="s">
        <v>3</v>
      </c>
      <c r="DL255" t="s">
        <v>3</v>
      </c>
      <c r="DM255" t="s">
        <v>3</v>
      </c>
      <c r="DN255">
        <v>0</v>
      </c>
      <c r="DO255">
        <v>0</v>
      </c>
      <c r="DP255">
        <v>1</v>
      </c>
      <c r="DQ255">
        <v>1</v>
      </c>
      <c r="DU255">
        <v>1009</v>
      </c>
      <c r="DV255" t="s">
        <v>30</v>
      </c>
      <c r="DW255" t="s">
        <v>30</v>
      </c>
      <c r="DX255">
        <v>1000</v>
      </c>
      <c r="EE255">
        <v>38628631</v>
      </c>
      <c r="EF255">
        <v>1</v>
      </c>
      <c r="EG255" t="s">
        <v>24</v>
      </c>
      <c r="EH255">
        <v>0</v>
      </c>
      <c r="EI255" t="s">
        <v>3</v>
      </c>
      <c r="EJ255">
        <v>4</v>
      </c>
      <c r="EK255">
        <v>0</v>
      </c>
      <c r="EL255" t="s">
        <v>25</v>
      </c>
      <c r="EM255" t="s">
        <v>26</v>
      </c>
      <c r="EO255" t="s">
        <v>3</v>
      </c>
      <c r="EQ255">
        <v>0</v>
      </c>
      <c r="ER255">
        <v>197.96</v>
      </c>
      <c r="ES255">
        <v>197.96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FQ255">
        <v>0</v>
      </c>
      <c r="FR255">
        <f t="shared" si="206"/>
        <v>0</v>
      </c>
      <c r="FS255">
        <v>0</v>
      </c>
      <c r="FX255">
        <v>70</v>
      </c>
      <c r="FY255">
        <v>10</v>
      </c>
      <c r="GA255" t="s">
        <v>3</v>
      </c>
      <c r="GD255">
        <v>0</v>
      </c>
      <c r="GF255">
        <v>-1219268023</v>
      </c>
      <c r="GG255">
        <v>2</v>
      </c>
      <c r="GH255">
        <v>1</v>
      </c>
      <c r="GI255">
        <v>-2</v>
      </c>
      <c r="GJ255">
        <v>0</v>
      </c>
      <c r="GK255">
        <f>ROUND(R255*(R12)/100,2)</f>
        <v>0</v>
      </c>
      <c r="GL255">
        <f t="shared" si="207"/>
        <v>0</v>
      </c>
      <c r="GM255">
        <f>ROUND(O255+X255+Y255+GK255,2)+GX255</f>
        <v>13.51</v>
      </c>
      <c r="GN255">
        <f>IF(OR(BI255=0,BI255=1),ROUND(O255+X255+Y255+GK255,2),0)</f>
        <v>0</v>
      </c>
      <c r="GO255">
        <f>IF(BI255=2,ROUND(O255+X255+Y255+GK255,2),0)</f>
        <v>0</v>
      </c>
      <c r="GP255">
        <f>IF(BI255=4,ROUND(O255+X255+Y255+GK255,2)+GX255,0)</f>
        <v>13.51</v>
      </c>
      <c r="GR255">
        <v>0</v>
      </c>
      <c r="GS255">
        <v>3</v>
      </c>
      <c r="GT255">
        <v>0</v>
      </c>
      <c r="GU255" t="s">
        <v>3</v>
      </c>
      <c r="GV255">
        <f t="shared" si="208"/>
        <v>0</v>
      </c>
      <c r="GW255">
        <v>1</v>
      </c>
      <c r="GX255">
        <f t="shared" si="209"/>
        <v>0</v>
      </c>
      <c r="HA255">
        <v>0</v>
      </c>
      <c r="HB255">
        <v>0</v>
      </c>
      <c r="HC255">
        <f t="shared" si="210"/>
        <v>0</v>
      </c>
      <c r="HE255" t="s">
        <v>3</v>
      </c>
      <c r="HF255" t="s">
        <v>3</v>
      </c>
      <c r="IK255">
        <v>0</v>
      </c>
    </row>
    <row r="257" spans="1:206" x14ac:dyDescent="0.2">
      <c r="A257" s="2">
        <v>51</v>
      </c>
      <c r="B257" s="2">
        <f>B246</f>
        <v>1</v>
      </c>
      <c r="C257" s="2">
        <f>A246</f>
        <v>5</v>
      </c>
      <c r="D257" s="2">
        <f>ROW(A246)</f>
        <v>246</v>
      </c>
      <c r="E257" s="2"/>
      <c r="F257" s="2" t="str">
        <f>IF(F246&lt;&gt;"",F246,"")</f>
        <v>Новый подраздел</v>
      </c>
      <c r="G257" s="2" t="str">
        <f>IF(G246&lt;&gt;"",G246,"")</f>
        <v>Демонтаж</v>
      </c>
      <c r="H257" s="2">
        <v>0</v>
      </c>
      <c r="I257" s="2"/>
      <c r="J257" s="2"/>
      <c r="K257" s="2"/>
      <c r="L257" s="2"/>
      <c r="M257" s="2"/>
      <c r="N257" s="2"/>
      <c r="O257" s="2">
        <f t="shared" ref="O257:T257" si="211">ROUND(AB257,2)</f>
        <v>346.54</v>
      </c>
      <c r="P257" s="2">
        <f t="shared" si="211"/>
        <v>13.51</v>
      </c>
      <c r="Q257" s="2">
        <f t="shared" si="211"/>
        <v>44.55</v>
      </c>
      <c r="R257" s="2">
        <f t="shared" si="211"/>
        <v>26.4</v>
      </c>
      <c r="S257" s="2">
        <f t="shared" si="211"/>
        <v>288.48</v>
      </c>
      <c r="T257" s="2">
        <f t="shared" si="211"/>
        <v>0</v>
      </c>
      <c r="U257" s="2">
        <f>AH257</f>
        <v>1.6603649999999999</v>
      </c>
      <c r="V257" s="2">
        <f>AI257</f>
        <v>0</v>
      </c>
      <c r="W257" s="2">
        <f>ROUND(AJ257,2)</f>
        <v>0</v>
      </c>
      <c r="X257" s="2">
        <f>ROUND(AK257,2)</f>
        <v>201.94</v>
      </c>
      <c r="Y257" s="2">
        <f>ROUND(AL257,2)</f>
        <v>28.85</v>
      </c>
      <c r="Z257" s="2"/>
      <c r="AA257" s="2"/>
      <c r="AB257" s="2">
        <f>ROUND(SUMIF(AA250:AA255,"=38214492",O250:O255),2)</f>
        <v>346.54</v>
      </c>
      <c r="AC257" s="2">
        <f>ROUND(SUMIF(AA250:AA255,"=38214492",P250:P255),2)</f>
        <v>13.51</v>
      </c>
      <c r="AD257" s="2">
        <f>ROUND(SUMIF(AA250:AA255,"=38214492",Q250:Q255),2)</f>
        <v>44.55</v>
      </c>
      <c r="AE257" s="2">
        <f>ROUND(SUMIF(AA250:AA255,"=38214492",R250:R255),2)</f>
        <v>26.4</v>
      </c>
      <c r="AF257" s="2">
        <f>ROUND(SUMIF(AA250:AA255,"=38214492",S250:S255),2)</f>
        <v>288.48</v>
      </c>
      <c r="AG257" s="2">
        <f>ROUND(SUMIF(AA250:AA255,"=38214492",T250:T255),2)</f>
        <v>0</v>
      </c>
      <c r="AH257" s="2">
        <f>SUMIF(AA250:AA255,"=38214492",U250:U255)</f>
        <v>1.6603649999999999</v>
      </c>
      <c r="AI257" s="2">
        <f>SUMIF(AA250:AA255,"=38214492",V250:V255)</f>
        <v>0</v>
      </c>
      <c r="AJ257" s="2">
        <f>ROUND(SUMIF(AA250:AA255,"=38214492",W250:W255),2)</f>
        <v>0</v>
      </c>
      <c r="AK257" s="2">
        <f>ROUND(SUMIF(AA250:AA255,"=38214492",X250:X255),2)</f>
        <v>201.94</v>
      </c>
      <c r="AL257" s="2">
        <f>ROUND(SUMIF(AA250:AA255,"=38214492",Y250:Y255),2)</f>
        <v>28.85</v>
      </c>
      <c r="AM257" s="2"/>
      <c r="AN257" s="2"/>
      <c r="AO257" s="2">
        <f t="shared" ref="AO257:BD257" si="212">ROUND(BX257,2)</f>
        <v>0</v>
      </c>
      <c r="AP257" s="2">
        <f t="shared" si="212"/>
        <v>0</v>
      </c>
      <c r="AQ257" s="2">
        <f t="shared" si="212"/>
        <v>0</v>
      </c>
      <c r="AR257" s="2">
        <f t="shared" si="212"/>
        <v>577.33000000000004</v>
      </c>
      <c r="AS257" s="2">
        <f t="shared" si="212"/>
        <v>0</v>
      </c>
      <c r="AT257" s="2">
        <f t="shared" si="212"/>
        <v>0</v>
      </c>
      <c r="AU257" s="2">
        <f t="shared" si="212"/>
        <v>577.33000000000004</v>
      </c>
      <c r="AV257" s="2">
        <f t="shared" si="212"/>
        <v>13.51</v>
      </c>
      <c r="AW257" s="2">
        <f t="shared" si="212"/>
        <v>13.51</v>
      </c>
      <c r="AX257" s="2">
        <f t="shared" si="212"/>
        <v>0</v>
      </c>
      <c r="AY257" s="2">
        <f t="shared" si="212"/>
        <v>13.51</v>
      </c>
      <c r="AZ257" s="2">
        <f t="shared" si="212"/>
        <v>0</v>
      </c>
      <c r="BA257" s="2">
        <f t="shared" si="212"/>
        <v>0</v>
      </c>
      <c r="BB257" s="2">
        <f t="shared" si="212"/>
        <v>0</v>
      </c>
      <c r="BC257" s="2">
        <f t="shared" si="212"/>
        <v>0</v>
      </c>
      <c r="BD257" s="2">
        <f t="shared" si="212"/>
        <v>0</v>
      </c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>
        <f>ROUND(SUMIF(AA250:AA255,"=38214492",FQ250:FQ255),2)</f>
        <v>0</v>
      </c>
      <c r="BY257" s="2">
        <f>ROUND(SUMIF(AA250:AA255,"=38214492",FR250:FR255),2)</f>
        <v>0</v>
      </c>
      <c r="BZ257" s="2">
        <f>ROUND(SUMIF(AA250:AA255,"=38214492",GL250:GL255),2)</f>
        <v>0</v>
      </c>
      <c r="CA257" s="2">
        <f>ROUND(SUMIF(AA250:AA255,"=38214492",GM250:GM255),2)</f>
        <v>577.33000000000004</v>
      </c>
      <c r="CB257" s="2">
        <f>ROUND(SUMIF(AA250:AA255,"=38214492",GN250:GN255),2)</f>
        <v>0</v>
      </c>
      <c r="CC257" s="2">
        <f>ROUND(SUMIF(AA250:AA255,"=38214492",GO250:GO255),2)</f>
        <v>0</v>
      </c>
      <c r="CD257" s="2">
        <f>ROUND(SUMIF(AA250:AA255,"=38214492",GP250:GP255),2)</f>
        <v>577.33000000000004</v>
      </c>
      <c r="CE257" s="2">
        <f>AC257-BX257</f>
        <v>13.51</v>
      </c>
      <c r="CF257" s="2">
        <f>AC257-BY257</f>
        <v>13.51</v>
      </c>
      <c r="CG257" s="2">
        <f>BX257-BZ257</f>
        <v>0</v>
      </c>
      <c r="CH257" s="2">
        <f>AC257-BX257-BY257+BZ257</f>
        <v>13.51</v>
      </c>
      <c r="CI257" s="2">
        <f>BY257-BZ257</f>
        <v>0</v>
      </c>
      <c r="CJ257" s="2">
        <f>ROUND(SUMIF(AA250:AA255,"=38214492",GX250:GX255),2)</f>
        <v>0</v>
      </c>
      <c r="CK257" s="2">
        <f>ROUND(SUMIF(AA250:AA255,"=38214492",GY250:GY255),2)</f>
        <v>0</v>
      </c>
      <c r="CL257" s="2">
        <f>ROUND(SUMIF(AA250:AA255,"=38214492",GZ250:GZ255),2)</f>
        <v>0</v>
      </c>
      <c r="CM257" s="2">
        <f>ROUND(SUMIF(AA250:AA255,"=38214492",HD250:HD255),2)</f>
        <v>0</v>
      </c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  <c r="FU257" s="3"/>
      <c r="FV257" s="3"/>
      <c r="FW257" s="3"/>
      <c r="FX257" s="3"/>
      <c r="FY257" s="3"/>
      <c r="FZ257" s="3"/>
      <c r="GA257" s="3"/>
      <c r="GB257" s="3"/>
      <c r="GC257" s="3"/>
      <c r="GD257" s="3"/>
      <c r="GE257" s="3"/>
      <c r="GF257" s="3"/>
      <c r="GG257" s="3"/>
      <c r="GH257" s="3"/>
      <c r="GI257" s="3"/>
      <c r="GJ257" s="3"/>
      <c r="GK257" s="3"/>
      <c r="GL257" s="3"/>
      <c r="GM257" s="3"/>
      <c r="GN257" s="3"/>
      <c r="GO257" s="3"/>
      <c r="GP257" s="3"/>
      <c r="GQ257" s="3"/>
      <c r="GR257" s="3"/>
      <c r="GS257" s="3"/>
      <c r="GT257" s="3"/>
      <c r="GU257" s="3"/>
      <c r="GV257" s="3"/>
      <c r="GW257" s="3"/>
      <c r="GX257" s="3">
        <v>0</v>
      </c>
    </row>
    <row r="259" spans="1:206" x14ac:dyDescent="0.2">
      <c r="A259" s="4">
        <v>50</v>
      </c>
      <c r="B259" s="4">
        <v>0</v>
      </c>
      <c r="C259" s="4">
        <v>0</v>
      </c>
      <c r="D259" s="4">
        <v>1</v>
      </c>
      <c r="E259" s="4">
        <v>201</v>
      </c>
      <c r="F259" s="4">
        <f>ROUND(Source!O257,O259)</f>
        <v>346.54</v>
      </c>
      <c r="G259" s="4" t="s">
        <v>56</v>
      </c>
      <c r="H259" s="4" t="s">
        <v>57</v>
      </c>
      <c r="I259" s="4"/>
      <c r="J259" s="4"/>
      <c r="K259" s="4">
        <v>201</v>
      </c>
      <c r="L259" s="4">
        <v>1</v>
      </c>
      <c r="M259" s="4">
        <v>3</v>
      </c>
      <c r="N259" s="4" t="s">
        <v>3</v>
      </c>
      <c r="O259" s="4">
        <v>2</v>
      </c>
      <c r="P259" s="4"/>
      <c r="Q259" s="4"/>
      <c r="R259" s="4"/>
      <c r="S259" s="4"/>
      <c r="T259" s="4"/>
      <c r="U259" s="4"/>
      <c r="V259" s="4"/>
      <c r="W259" s="4"/>
    </row>
    <row r="260" spans="1:206" x14ac:dyDescent="0.2">
      <c r="A260" s="4">
        <v>50</v>
      </c>
      <c r="B260" s="4">
        <v>0</v>
      </c>
      <c r="C260" s="4">
        <v>0</v>
      </c>
      <c r="D260" s="4">
        <v>1</v>
      </c>
      <c r="E260" s="4">
        <v>202</v>
      </c>
      <c r="F260" s="4">
        <f>ROUND(Source!P257,O260)</f>
        <v>13.51</v>
      </c>
      <c r="G260" s="4" t="s">
        <v>58</v>
      </c>
      <c r="H260" s="4" t="s">
        <v>59</v>
      </c>
      <c r="I260" s="4"/>
      <c r="J260" s="4"/>
      <c r="K260" s="4">
        <v>202</v>
      </c>
      <c r="L260" s="4">
        <v>2</v>
      </c>
      <c r="M260" s="4">
        <v>3</v>
      </c>
      <c r="N260" s="4" t="s">
        <v>3</v>
      </c>
      <c r="O260" s="4">
        <v>2</v>
      </c>
      <c r="P260" s="4"/>
      <c r="Q260" s="4"/>
      <c r="R260" s="4"/>
      <c r="S260" s="4"/>
      <c r="T260" s="4"/>
      <c r="U260" s="4"/>
      <c r="V260" s="4"/>
      <c r="W260" s="4"/>
    </row>
    <row r="261" spans="1:206" x14ac:dyDescent="0.2">
      <c r="A261" s="4">
        <v>50</v>
      </c>
      <c r="B261" s="4">
        <v>0</v>
      </c>
      <c r="C261" s="4">
        <v>0</v>
      </c>
      <c r="D261" s="4">
        <v>1</v>
      </c>
      <c r="E261" s="4">
        <v>222</v>
      </c>
      <c r="F261" s="4">
        <f>ROUND(Source!AO257,O261)</f>
        <v>0</v>
      </c>
      <c r="G261" s="4" t="s">
        <v>60</v>
      </c>
      <c r="H261" s="4" t="s">
        <v>61</v>
      </c>
      <c r="I261" s="4"/>
      <c r="J261" s="4"/>
      <c r="K261" s="4">
        <v>222</v>
      </c>
      <c r="L261" s="4">
        <v>3</v>
      </c>
      <c r="M261" s="4">
        <v>3</v>
      </c>
      <c r="N261" s="4" t="s">
        <v>3</v>
      </c>
      <c r="O261" s="4">
        <v>2</v>
      </c>
      <c r="P261" s="4"/>
      <c r="Q261" s="4"/>
      <c r="R261" s="4"/>
      <c r="S261" s="4"/>
      <c r="T261" s="4"/>
      <c r="U261" s="4"/>
      <c r="V261" s="4"/>
      <c r="W261" s="4"/>
    </row>
    <row r="262" spans="1:206" x14ac:dyDescent="0.2">
      <c r="A262" s="4">
        <v>50</v>
      </c>
      <c r="B262" s="4">
        <v>0</v>
      </c>
      <c r="C262" s="4">
        <v>0</v>
      </c>
      <c r="D262" s="4">
        <v>1</v>
      </c>
      <c r="E262" s="4">
        <v>225</v>
      </c>
      <c r="F262" s="4">
        <f>ROUND(Source!AV257,O262)</f>
        <v>13.51</v>
      </c>
      <c r="G262" s="4" t="s">
        <v>62</v>
      </c>
      <c r="H262" s="4" t="s">
        <v>63</v>
      </c>
      <c r="I262" s="4"/>
      <c r="J262" s="4"/>
      <c r="K262" s="4">
        <v>225</v>
      </c>
      <c r="L262" s="4">
        <v>4</v>
      </c>
      <c r="M262" s="4">
        <v>3</v>
      </c>
      <c r="N262" s="4" t="s">
        <v>3</v>
      </c>
      <c r="O262" s="4">
        <v>2</v>
      </c>
      <c r="P262" s="4"/>
      <c r="Q262" s="4"/>
      <c r="R262" s="4"/>
      <c r="S262" s="4"/>
      <c r="T262" s="4"/>
      <c r="U262" s="4"/>
      <c r="V262" s="4"/>
      <c r="W262" s="4"/>
    </row>
    <row r="263" spans="1:206" x14ac:dyDescent="0.2">
      <c r="A263" s="4">
        <v>50</v>
      </c>
      <c r="B263" s="4">
        <v>0</v>
      </c>
      <c r="C263" s="4">
        <v>0</v>
      </c>
      <c r="D263" s="4">
        <v>1</v>
      </c>
      <c r="E263" s="4">
        <v>226</v>
      </c>
      <c r="F263" s="4">
        <f>ROUND(Source!AW257,O263)</f>
        <v>13.51</v>
      </c>
      <c r="G263" s="4" t="s">
        <v>64</v>
      </c>
      <c r="H263" s="4" t="s">
        <v>65</v>
      </c>
      <c r="I263" s="4"/>
      <c r="J263" s="4"/>
      <c r="K263" s="4">
        <v>226</v>
      </c>
      <c r="L263" s="4">
        <v>5</v>
      </c>
      <c r="M263" s="4">
        <v>3</v>
      </c>
      <c r="N263" s="4" t="s">
        <v>3</v>
      </c>
      <c r="O263" s="4">
        <v>2</v>
      </c>
      <c r="P263" s="4"/>
      <c r="Q263" s="4"/>
      <c r="R263" s="4"/>
      <c r="S263" s="4"/>
      <c r="T263" s="4"/>
      <c r="U263" s="4"/>
      <c r="V263" s="4"/>
      <c r="W263" s="4"/>
    </row>
    <row r="264" spans="1:206" x14ac:dyDescent="0.2">
      <c r="A264" s="4">
        <v>50</v>
      </c>
      <c r="B264" s="4">
        <v>0</v>
      </c>
      <c r="C264" s="4">
        <v>0</v>
      </c>
      <c r="D264" s="4">
        <v>1</v>
      </c>
      <c r="E264" s="4">
        <v>227</v>
      </c>
      <c r="F264" s="4">
        <f>ROUND(Source!AX257,O264)</f>
        <v>0</v>
      </c>
      <c r="G264" s="4" t="s">
        <v>66</v>
      </c>
      <c r="H264" s="4" t="s">
        <v>67</v>
      </c>
      <c r="I264" s="4"/>
      <c r="J264" s="4"/>
      <c r="K264" s="4">
        <v>227</v>
      </c>
      <c r="L264" s="4">
        <v>6</v>
      </c>
      <c r="M264" s="4">
        <v>3</v>
      </c>
      <c r="N264" s="4" t="s">
        <v>3</v>
      </c>
      <c r="O264" s="4">
        <v>2</v>
      </c>
      <c r="P264" s="4"/>
      <c r="Q264" s="4"/>
      <c r="R264" s="4"/>
      <c r="S264" s="4"/>
      <c r="T264" s="4"/>
      <c r="U264" s="4"/>
      <c r="V264" s="4"/>
      <c r="W264" s="4"/>
    </row>
    <row r="265" spans="1:206" x14ac:dyDescent="0.2">
      <c r="A265" s="4">
        <v>50</v>
      </c>
      <c r="B265" s="4">
        <v>0</v>
      </c>
      <c r="C265" s="4">
        <v>0</v>
      </c>
      <c r="D265" s="4">
        <v>1</v>
      </c>
      <c r="E265" s="4">
        <v>228</v>
      </c>
      <c r="F265" s="4">
        <f>ROUND(Source!AY257,O265)</f>
        <v>13.51</v>
      </c>
      <c r="G265" s="4" t="s">
        <v>68</v>
      </c>
      <c r="H265" s="4" t="s">
        <v>69</v>
      </c>
      <c r="I265" s="4"/>
      <c r="J265" s="4"/>
      <c r="K265" s="4">
        <v>228</v>
      </c>
      <c r="L265" s="4">
        <v>7</v>
      </c>
      <c r="M265" s="4">
        <v>3</v>
      </c>
      <c r="N265" s="4" t="s">
        <v>3</v>
      </c>
      <c r="O265" s="4">
        <v>2</v>
      </c>
      <c r="P265" s="4"/>
      <c r="Q265" s="4"/>
      <c r="R265" s="4"/>
      <c r="S265" s="4"/>
      <c r="T265" s="4"/>
      <c r="U265" s="4"/>
      <c r="V265" s="4"/>
      <c r="W265" s="4"/>
    </row>
    <row r="266" spans="1:206" x14ac:dyDescent="0.2">
      <c r="A266" s="4">
        <v>50</v>
      </c>
      <c r="B266" s="4">
        <v>0</v>
      </c>
      <c r="C266" s="4">
        <v>0</v>
      </c>
      <c r="D266" s="4">
        <v>1</v>
      </c>
      <c r="E266" s="4">
        <v>216</v>
      </c>
      <c r="F266" s="4">
        <f>ROUND(Source!AP257,O266)</f>
        <v>0</v>
      </c>
      <c r="G266" s="4" t="s">
        <v>70</v>
      </c>
      <c r="H266" s="4" t="s">
        <v>71</v>
      </c>
      <c r="I266" s="4"/>
      <c r="J266" s="4"/>
      <c r="K266" s="4">
        <v>216</v>
      </c>
      <c r="L266" s="4">
        <v>8</v>
      </c>
      <c r="M266" s="4">
        <v>3</v>
      </c>
      <c r="N266" s="4" t="s">
        <v>3</v>
      </c>
      <c r="O266" s="4">
        <v>2</v>
      </c>
      <c r="P266" s="4"/>
      <c r="Q266" s="4"/>
      <c r="R266" s="4"/>
      <c r="S266" s="4"/>
      <c r="T266" s="4"/>
      <c r="U266" s="4"/>
      <c r="V266" s="4"/>
      <c r="W266" s="4"/>
    </row>
    <row r="267" spans="1:206" x14ac:dyDescent="0.2">
      <c r="A267" s="4">
        <v>50</v>
      </c>
      <c r="B267" s="4">
        <v>0</v>
      </c>
      <c r="C267" s="4">
        <v>0</v>
      </c>
      <c r="D267" s="4">
        <v>1</v>
      </c>
      <c r="E267" s="4">
        <v>223</v>
      </c>
      <c r="F267" s="4">
        <f>ROUND(Source!AQ257,O267)</f>
        <v>0</v>
      </c>
      <c r="G267" s="4" t="s">
        <v>72</v>
      </c>
      <c r="H267" s="4" t="s">
        <v>73</v>
      </c>
      <c r="I267" s="4"/>
      <c r="J267" s="4"/>
      <c r="K267" s="4">
        <v>223</v>
      </c>
      <c r="L267" s="4">
        <v>9</v>
      </c>
      <c r="M267" s="4">
        <v>3</v>
      </c>
      <c r="N267" s="4" t="s">
        <v>3</v>
      </c>
      <c r="O267" s="4">
        <v>2</v>
      </c>
      <c r="P267" s="4"/>
      <c r="Q267" s="4"/>
      <c r="R267" s="4"/>
      <c r="S267" s="4"/>
      <c r="T267" s="4"/>
      <c r="U267" s="4"/>
      <c r="V267" s="4"/>
      <c r="W267" s="4"/>
    </row>
    <row r="268" spans="1:206" x14ac:dyDescent="0.2">
      <c r="A268" s="4">
        <v>50</v>
      </c>
      <c r="B268" s="4">
        <v>0</v>
      </c>
      <c r="C268" s="4">
        <v>0</v>
      </c>
      <c r="D268" s="4">
        <v>1</v>
      </c>
      <c r="E268" s="4">
        <v>229</v>
      </c>
      <c r="F268" s="4">
        <f>ROUND(Source!AZ257,O268)</f>
        <v>0</v>
      </c>
      <c r="G268" s="4" t="s">
        <v>74</v>
      </c>
      <c r="H268" s="4" t="s">
        <v>75</v>
      </c>
      <c r="I268" s="4"/>
      <c r="J268" s="4"/>
      <c r="K268" s="4">
        <v>229</v>
      </c>
      <c r="L268" s="4">
        <v>10</v>
      </c>
      <c r="M268" s="4">
        <v>3</v>
      </c>
      <c r="N268" s="4" t="s">
        <v>3</v>
      </c>
      <c r="O268" s="4">
        <v>2</v>
      </c>
      <c r="P268" s="4"/>
      <c r="Q268" s="4"/>
      <c r="R268" s="4"/>
      <c r="S268" s="4"/>
      <c r="T268" s="4"/>
      <c r="U268" s="4"/>
      <c r="V268" s="4"/>
      <c r="W268" s="4"/>
    </row>
    <row r="269" spans="1:206" x14ac:dyDescent="0.2">
      <c r="A269" s="4">
        <v>50</v>
      </c>
      <c r="B269" s="4">
        <v>0</v>
      </c>
      <c r="C269" s="4">
        <v>0</v>
      </c>
      <c r="D269" s="4">
        <v>1</v>
      </c>
      <c r="E269" s="4">
        <v>203</v>
      </c>
      <c r="F269" s="4">
        <f>ROUND(Source!Q257,O269)</f>
        <v>44.55</v>
      </c>
      <c r="G269" s="4" t="s">
        <v>76</v>
      </c>
      <c r="H269" s="4" t="s">
        <v>77</v>
      </c>
      <c r="I269" s="4"/>
      <c r="J269" s="4"/>
      <c r="K269" s="4">
        <v>203</v>
      </c>
      <c r="L269" s="4">
        <v>11</v>
      </c>
      <c r="M269" s="4">
        <v>3</v>
      </c>
      <c r="N269" s="4" t="s">
        <v>3</v>
      </c>
      <c r="O269" s="4">
        <v>2</v>
      </c>
      <c r="P269" s="4"/>
      <c r="Q269" s="4"/>
      <c r="R269" s="4"/>
      <c r="S269" s="4"/>
      <c r="T269" s="4"/>
      <c r="U269" s="4"/>
      <c r="V269" s="4"/>
      <c r="W269" s="4"/>
    </row>
    <row r="270" spans="1:206" x14ac:dyDescent="0.2">
      <c r="A270" s="4">
        <v>50</v>
      </c>
      <c r="B270" s="4">
        <v>0</v>
      </c>
      <c r="C270" s="4">
        <v>0</v>
      </c>
      <c r="D270" s="4">
        <v>1</v>
      </c>
      <c r="E270" s="4">
        <v>231</v>
      </c>
      <c r="F270" s="4">
        <f>ROUND(Source!BB257,O270)</f>
        <v>0</v>
      </c>
      <c r="G270" s="4" t="s">
        <v>78</v>
      </c>
      <c r="H270" s="4" t="s">
        <v>79</v>
      </c>
      <c r="I270" s="4"/>
      <c r="J270" s="4"/>
      <c r="K270" s="4">
        <v>231</v>
      </c>
      <c r="L270" s="4">
        <v>12</v>
      </c>
      <c r="M270" s="4">
        <v>3</v>
      </c>
      <c r="N270" s="4" t="s">
        <v>3</v>
      </c>
      <c r="O270" s="4">
        <v>2</v>
      </c>
      <c r="P270" s="4"/>
      <c r="Q270" s="4"/>
      <c r="R270" s="4"/>
      <c r="S270" s="4"/>
      <c r="T270" s="4"/>
      <c r="U270" s="4"/>
      <c r="V270" s="4"/>
      <c r="W270" s="4"/>
    </row>
    <row r="271" spans="1:206" x14ac:dyDescent="0.2">
      <c r="A271" s="4">
        <v>50</v>
      </c>
      <c r="B271" s="4">
        <v>0</v>
      </c>
      <c r="C271" s="4">
        <v>0</v>
      </c>
      <c r="D271" s="4">
        <v>1</v>
      </c>
      <c r="E271" s="4">
        <v>204</v>
      </c>
      <c r="F271" s="4">
        <f>ROUND(Source!R257,O271)</f>
        <v>26.4</v>
      </c>
      <c r="G271" s="4" t="s">
        <v>80</v>
      </c>
      <c r="H271" s="4" t="s">
        <v>81</v>
      </c>
      <c r="I271" s="4"/>
      <c r="J271" s="4"/>
      <c r="K271" s="4">
        <v>204</v>
      </c>
      <c r="L271" s="4">
        <v>13</v>
      </c>
      <c r="M271" s="4">
        <v>3</v>
      </c>
      <c r="N271" s="4" t="s">
        <v>3</v>
      </c>
      <c r="O271" s="4">
        <v>2</v>
      </c>
      <c r="P271" s="4"/>
      <c r="Q271" s="4"/>
      <c r="R271" s="4"/>
      <c r="S271" s="4"/>
      <c r="T271" s="4"/>
      <c r="U271" s="4"/>
      <c r="V271" s="4"/>
      <c r="W271" s="4"/>
    </row>
    <row r="272" spans="1:206" x14ac:dyDescent="0.2">
      <c r="A272" s="4">
        <v>50</v>
      </c>
      <c r="B272" s="4">
        <v>0</v>
      </c>
      <c r="C272" s="4">
        <v>0</v>
      </c>
      <c r="D272" s="4">
        <v>1</v>
      </c>
      <c r="E272" s="4">
        <v>205</v>
      </c>
      <c r="F272" s="4">
        <f>ROUND(Source!S257,O272)</f>
        <v>288.48</v>
      </c>
      <c r="G272" s="4" t="s">
        <v>82</v>
      </c>
      <c r="H272" s="4" t="s">
        <v>83</v>
      </c>
      <c r="I272" s="4"/>
      <c r="J272" s="4"/>
      <c r="K272" s="4">
        <v>205</v>
      </c>
      <c r="L272" s="4">
        <v>14</v>
      </c>
      <c r="M272" s="4">
        <v>3</v>
      </c>
      <c r="N272" s="4" t="s">
        <v>3</v>
      </c>
      <c r="O272" s="4">
        <v>2</v>
      </c>
      <c r="P272" s="4"/>
      <c r="Q272" s="4"/>
      <c r="R272" s="4"/>
      <c r="S272" s="4"/>
      <c r="T272" s="4"/>
      <c r="U272" s="4"/>
      <c r="V272" s="4"/>
      <c r="W272" s="4"/>
    </row>
    <row r="273" spans="1:88" x14ac:dyDescent="0.2">
      <c r="A273" s="4">
        <v>50</v>
      </c>
      <c r="B273" s="4">
        <v>0</v>
      </c>
      <c r="C273" s="4">
        <v>0</v>
      </c>
      <c r="D273" s="4">
        <v>1</v>
      </c>
      <c r="E273" s="4">
        <v>232</v>
      </c>
      <c r="F273" s="4">
        <f>ROUND(Source!BC257,O273)</f>
        <v>0</v>
      </c>
      <c r="G273" s="4" t="s">
        <v>84</v>
      </c>
      <c r="H273" s="4" t="s">
        <v>85</v>
      </c>
      <c r="I273" s="4"/>
      <c r="J273" s="4"/>
      <c r="K273" s="4">
        <v>232</v>
      </c>
      <c r="L273" s="4">
        <v>15</v>
      </c>
      <c r="M273" s="4">
        <v>3</v>
      </c>
      <c r="N273" s="4" t="s">
        <v>3</v>
      </c>
      <c r="O273" s="4">
        <v>2</v>
      </c>
      <c r="P273" s="4"/>
      <c r="Q273" s="4"/>
      <c r="R273" s="4"/>
      <c r="S273" s="4"/>
      <c r="T273" s="4"/>
      <c r="U273" s="4"/>
      <c r="V273" s="4"/>
      <c r="W273" s="4"/>
    </row>
    <row r="274" spans="1:88" x14ac:dyDescent="0.2">
      <c r="A274" s="4">
        <v>50</v>
      </c>
      <c r="B274" s="4">
        <v>0</v>
      </c>
      <c r="C274" s="4">
        <v>0</v>
      </c>
      <c r="D274" s="4">
        <v>1</v>
      </c>
      <c r="E274" s="4">
        <v>214</v>
      </c>
      <c r="F274" s="4">
        <f>ROUND(Source!AS257,O274)</f>
        <v>0</v>
      </c>
      <c r="G274" s="4" t="s">
        <v>86</v>
      </c>
      <c r="H274" s="4" t="s">
        <v>87</v>
      </c>
      <c r="I274" s="4"/>
      <c r="J274" s="4"/>
      <c r="K274" s="4">
        <v>214</v>
      </c>
      <c r="L274" s="4">
        <v>16</v>
      </c>
      <c r="M274" s="4">
        <v>3</v>
      </c>
      <c r="N274" s="4" t="s">
        <v>3</v>
      </c>
      <c r="O274" s="4">
        <v>2</v>
      </c>
      <c r="P274" s="4"/>
      <c r="Q274" s="4"/>
      <c r="R274" s="4"/>
      <c r="S274" s="4"/>
      <c r="T274" s="4"/>
      <c r="U274" s="4"/>
      <c r="V274" s="4"/>
      <c r="W274" s="4"/>
    </row>
    <row r="275" spans="1:88" x14ac:dyDescent="0.2">
      <c r="A275" s="4">
        <v>50</v>
      </c>
      <c r="B275" s="4">
        <v>0</v>
      </c>
      <c r="C275" s="4">
        <v>0</v>
      </c>
      <c r="D275" s="4">
        <v>1</v>
      </c>
      <c r="E275" s="4">
        <v>215</v>
      </c>
      <c r="F275" s="4">
        <f>ROUND(Source!AT257,O275)</f>
        <v>0</v>
      </c>
      <c r="G275" s="4" t="s">
        <v>88</v>
      </c>
      <c r="H275" s="4" t="s">
        <v>89</v>
      </c>
      <c r="I275" s="4"/>
      <c r="J275" s="4"/>
      <c r="K275" s="4">
        <v>215</v>
      </c>
      <c r="L275" s="4">
        <v>17</v>
      </c>
      <c r="M275" s="4">
        <v>3</v>
      </c>
      <c r="N275" s="4" t="s">
        <v>3</v>
      </c>
      <c r="O275" s="4">
        <v>2</v>
      </c>
      <c r="P275" s="4"/>
      <c r="Q275" s="4"/>
      <c r="R275" s="4"/>
      <c r="S275" s="4"/>
      <c r="T275" s="4"/>
      <c r="U275" s="4"/>
      <c r="V275" s="4"/>
      <c r="W275" s="4"/>
    </row>
    <row r="276" spans="1:88" x14ac:dyDescent="0.2">
      <c r="A276" s="4">
        <v>50</v>
      </c>
      <c r="B276" s="4">
        <v>0</v>
      </c>
      <c r="C276" s="4">
        <v>0</v>
      </c>
      <c r="D276" s="4">
        <v>1</v>
      </c>
      <c r="E276" s="4">
        <v>217</v>
      </c>
      <c r="F276" s="4">
        <f>ROUND(Source!AU257,O276)</f>
        <v>577.33000000000004</v>
      </c>
      <c r="G276" s="4" t="s">
        <v>90</v>
      </c>
      <c r="H276" s="4" t="s">
        <v>91</v>
      </c>
      <c r="I276" s="4"/>
      <c r="J276" s="4"/>
      <c r="K276" s="4">
        <v>217</v>
      </c>
      <c r="L276" s="4">
        <v>18</v>
      </c>
      <c r="M276" s="4">
        <v>3</v>
      </c>
      <c r="N276" s="4" t="s">
        <v>3</v>
      </c>
      <c r="O276" s="4">
        <v>2</v>
      </c>
      <c r="P276" s="4"/>
      <c r="Q276" s="4"/>
      <c r="R276" s="4"/>
      <c r="S276" s="4"/>
      <c r="T276" s="4"/>
      <c r="U276" s="4"/>
      <c r="V276" s="4"/>
      <c r="W276" s="4"/>
    </row>
    <row r="277" spans="1:88" x14ac:dyDescent="0.2">
      <c r="A277" s="4">
        <v>50</v>
      </c>
      <c r="B277" s="4">
        <v>0</v>
      </c>
      <c r="C277" s="4">
        <v>0</v>
      </c>
      <c r="D277" s="4">
        <v>1</v>
      </c>
      <c r="E277" s="4">
        <v>230</v>
      </c>
      <c r="F277" s="4">
        <f>ROUND(Source!BA257,O277)</f>
        <v>0</v>
      </c>
      <c r="G277" s="4" t="s">
        <v>92</v>
      </c>
      <c r="H277" s="4" t="s">
        <v>93</v>
      </c>
      <c r="I277" s="4"/>
      <c r="J277" s="4"/>
      <c r="K277" s="4">
        <v>230</v>
      </c>
      <c r="L277" s="4">
        <v>19</v>
      </c>
      <c r="M277" s="4">
        <v>3</v>
      </c>
      <c r="N277" s="4" t="s">
        <v>3</v>
      </c>
      <c r="O277" s="4">
        <v>2</v>
      </c>
      <c r="P277" s="4"/>
      <c r="Q277" s="4"/>
      <c r="R277" s="4"/>
      <c r="S277" s="4"/>
      <c r="T277" s="4"/>
      <c r="U277" s="4"/>
      <c r="V277" s="4"/>
      <c r="W277" s="4"/>
    </row>
    <row r="278" spans="1:88" x14ac:dyDescent="0.2">
      <c r="A278" s="4">
        <v>50</v>
      </c>
      <c r="B278" s="4">
        <v>0</v>
      </c>
      <c r="C278" s="4">
        <v>0</v>
      </c>
      <c r="D278" s="4">
        <v>1</v>
      </c>
      <c r="E278" s="4">
        <v>206</v>
      </c>
      <c r="F278" s="4">
        <f>ROUND(Source!T257,O278)</f>
        <v>0</v>
      </c>
      <c r="G278" s="4" t="s">
        <v>94</v>
      </c>
      <c r="H278" s="4" t="s">
        <v>95</v>
      </c>
      <c r="I278" s="4"/>
      <c r="J278" s="4"/>
      <c r="K278" s="4">
        <v>206</v>
      </c>
      <c r="L278" s="4">
        <v>20</v>
      </c>
      <c r="M278" s="4">
        <v>3</v>
      </c>
      <c r="N278" s="4" t="s">
        <v>3</v>
      </c>
      <c r="O278" s="4">
        <v>2</v>
      </c>
      <c r="P278" s="4"/>
      <c r="Q278" s="4"/>
      <c r="R278" s="4"/>
      <c r="S278" s="4"/>
      <c r="T278" s="4"/>
      <c r="U278" s="4"/>
      <c r="V278" s="4"/>
      <c r="W278" s="4"/>
    </row>
    <row r="279" spans="1:88" x14ac:dyDescent="0.2">
      <c r="A279" s="4">
        <v>50</v>
      </c>
      <c r="B279" s="4">
        <v>0</v>
      </c>
      <c r="C279" s="4">
        <v>0</v>
      </c>
      <c r="D279" s="4">
        <v>1</v>
      </c>
      <c r="E279" s="4">
        <v>207</v>
      </c>
      <c r="F279" s="4">
        <f>Source!U257</f>
        <v>1.6603649999999999</v>
      </c>
      <c r="G279" s="4" t="s">
        <v>96</v>
      </c>
      <c r="H279" s="4" t="s">
        <v>97</v>
      </c>
      <c r="I279" s="4"/>
      <c r="J279" s="4"/>
      <c r="K279" s="4">
        <v>207</v>
      </c>
      <c r="L279" s="4">
        <v>21</v>
      </c>
      <c r="M279" s="4">
        <v>3</v>
      </c>
      <c r="N279" s="4" t="s">
        <v>3</v>
      </c>
      <c r="O279" s="4">
        <v>-1</v>
      </c>
      <c r="P279" s="4"/>
      <c r="Q279" s="4"/>
      <c r="R279" s="4"/>
      <c r="S279" s="4"/>
      <c r="T279" s="4"/>
      <c r="U279" s="4"/>
      <c r="V279" s="4"/>
      <c r="W279" s="4"/>
    </row>
    <row r="280" spans="1:88" x14ac:dyDescent="0.2">
      <c r="A280" s="4">
        <v>50</v>
      </c>
      <c r="B280" s="4">
        <v>0</v>
      </c>
      <c r="C280" s="4">
        <v>0</v>
      </c>
      <c r="D280" s="4">
        <v>1</v>
      </c>
      <c r="E280" s="4">
        <v>208</v>
      </c>
      <c r="F280" s="4">
        <f>Source!V257</f>
        <v>0</v>
      </c>
      <c r="G280" s="4" t="s">
        <v>98</v>
      </c>
      <c r="H280" s="4" t="s">
        <v>99</v>
      </c>
      <c r="I280" s="4"/>
      <c r="J280" s="4"/>
      <c r="K280" s="4">
        <v>208</v>
      </c>
      <c r="L280" s="4">
        <v>22</v>
      </c>
      <c r="M280" s="4">
        <v>3</v>
      </c>
      <c r="N280" s="4" t="s">
        <v>3</v>
      </c>
      <c r="O280" s="4">
        <v>-1</v>
      </c>
      <c r="P280" s="4"/>
      <c r="Q280" s="4"/>
      <c r="R280" s="4"/>
      <c r="S280" s="4"/>
      <c r="T280" s="4"/>
      <c r="U280" s="4"/>
      <c r="V280" s="4"/>
      <c r="W280" s="4"/>
    </row>
    <row r="281" spans="1:88" x14ac:dyDescent="0.2">
      <c r="A281" s="4">
        <v>50</v>
      </c>
      <c r="B281" s="4">
        <v>0</v>
      </c>
      <c r="C281" s="4">
        <v>0</v>
      </c>
      <c r="D281" s="4">
        <v>1</v>
      </c>
      <c r="E281" s="4">
        <v>209</v>
      </c>
      <c r="F281" s="4">
        <f>ROUND(Source!W257,O281)</f>
        <v>0</v>
      </c>
      <c r="G281" s="4" t="s">
        <v>100</v>
      </c>
      <c r="H281" s="4" t="s">
        <v>101</v>
      </c>
      <c r="I281" s="4"/>
      <c r="J281" s="4"/>
      <c r="K281" s="4">
        <v>209</v>
      </c>
      <c r="L281" s="4">
        <v>23</v>
      </c>
      <c r="M281" s="4">
        <v>3</v>
      </c>
      <c r="N281" s="4" t="s">
        <v>3</v>
      </c>
      <c r="O281" s="4">
        <v>2</v>
      </c>
      <c r="P281" s="4"/>
      <c r="Q281" s="4"/>
      <c r="R281" s="4"/>
      <c r="S281" s="4"/>
      <c r="T281" s="4"/>
      <c r="U281" s="4"/>
      <c r="V281" s="4"/>
      <c r="W281" s="4"/>
    </row>
    <row r="282" spans="1:88" x14ac:dyDescent="0.2">
      <c r="A282" s="4">
        <v>50</v>
      </c>
      <c r="B282" s="4">
        <v>0</v>
      </c>
      <c r="C282" s="4">
        <v>0</v>
      </c>
      <c r="D282" s="4">
        <v>1</v>
      </c>
      <c r="E282" s="4">
        <v>233</v>
      </c>
      <c r="F282" s="4">
        <f>ROUND(Source!BD257,O282)</f>
        <v>0</v>
      </c>
      <c r="G282" s="4" t="s">
        <v>102</v>
      </c>
      <c r="H282" s="4" t="s">
        <v>103</v>
      </c>
      <c r="I282" s="4"/>
      <c r="J282" s="4"/>
      <c r="K282" s="4">
        <v>233</v>
      </c>
      <c r="L282" s="4">
        <v>24</v>
      </c>
      <c r="M282" s="4">
        <v>3</v>
      </c>
      <c r="N282" s="4" t="s">
        <v>3</v>
      </c>
      <c r="O282" s="4">
        <v>2</v>
      </c>
      <c r="P282" s="4"/>
      <c r="Q282" s="4"/>
      <c r="R282" s="4"/>
      <c r="S282" s="4"/>
      <c r="T282" s="4"/>
      <c r="U282" s="4"/>
      <c r="V282" s="4"/>
      <c r="W282" s="4"/>
    </row>
    <row r="283" spans="1:88" x14ac:dyDescent="0.2">
      <c r="A283" s="4">
        <v>50</v>
      </c>
      <c r="B283" s="4">
        <v>0</v>
      </c>
      <c r="C283" s="4">
        <v>0</v>
      </c>
      <c r="D283" s="4">
        <v>1</v>
      </c>
      <c r="E283" s="4">
        <v>210</v>
      </c>
      <c r="F283" s="4">
        <f>ROUND(Source!X257,O283)</f>
        <v>201.94</v>
      </c>
      <c r="G283" s="4" t="s">
        <v>104</v>
      </c>
      <c r="H283" s="4" t="s">
        <v>105</v>
      </c>
      <c r="I283" s="4"/>
      <c r="J283" s="4"/>
      <c r="K283" s="4">
        <v>210</v>
      </c>
      <c r="L283" s="4">
        <v>25</v>
      </c>
      <c r="M283" s="4">
        <v>3</v>
      </c>
      <c r="N283" s="4" t="s">
        <v>3</v>
      </c>
      <c r="O283" s="4">
        <v>2</v>
      </c>
      <c r="P283" s="4"/>
      <c r="Q283" s="4"/>
      <c r="R283" s="4"/>
      <c r="S283" s="4"/>
      <c r="T283" s="4"/>
      <c r="U283" s="4"/>
      <c r="V283" s="4"/>
      <c r="W283" s="4"/>
    </row>
    <row r="284" spans="1:88" x14ac:dyDescent="0.2">
      <c r="A284" s="4">
        <v>50</v>
      </c>
      <c r="B284" s="4">
        <v>0</v>
      </c>
      <c r="C284" s="4">
        <v>0</v>
      </c>
      <c r="D284" s="4">
        <v>1</v>
      </c>
      <c r="E284" s="4">
        <v>211</v>
      </c>
      <c r="F284" s="4">
        <f>ROUND(Source!Y257,O284)</f>
        <v>28.85</v>
      </c>
      <c r="G284" s="4" t="s">
        <v>106</v>
      </c>
      <c r="H284" s="4" t="s">
        <v>107</v>
      </c>
      <c r="I284" s="4"/>
      <c r="J284" s="4"/>
      <c r="K284" s="4">
        <v>211</v>
      </c>
      <c r="L284" s="4">
        <v>26</v>
      </c>
      <c r="M284" s="4">
        <v>3</v>
      </c>
      <c r="N284" s="4" t="s">
        <v>3</v>
      </c>
      <c r="O284" s="4">
        <v>2</v>
      </c>
      <c r="P284" s="4"/>
      <c r="Q284" s="4"/>
      <c r="R284" s="4"/>
      <c r="S284" s="4"/>
      <c r="T284" s="4"/>
      <c r="U284" s="4"/>
      <c r="V284" s="4"/>
      <c r="W284" s="4"/>
    </row>
    <row r="285" spans="1:88" x14ac:dyDescent="0.2">
      <c r="A285" s="4">
        <v>50</v>
      </c>
      <c r="B285" s="4">
        <v>0</v>
      </c>
      <c r="C285" s="4">
        <v>0</v>
      </c>
      <c r="D285" s="4">
        <v>1</v>
      </c>
      <c r="E285" s="4">
        <v>224</v>
      </c>
      <c r="F285" s="4">
        <f>ROUND(Source!AR257,O285)</f>
        <v>577.33000000000004</v>
      </c>
      <c r="G285" s="4" t="s">
        <v>108</v>
      </c>
      <c r="H285" s="4" t="s">
        <v>109</v>
      </c>
      <c r="I285" s="4"/>
      <c r="J285" s="4"/>
      <c r="K285" s="4">
        <v>224</v>
      </c>
      <c r="L285" s="4">
        <v>27</v>
      </c>
      <c r="M285" s="4">
        <v>3</v>
      </c>
      <c r="N285" s="4" t="s">
        <v>3</v>
      </c>
      <c r="O285" s="4">
        <v>2</v>
      </c>
      <c r="P285" s="4"/>
      <c r="Q285" s="4"/>
      <c r="R285" s="4"/>
      <c r="S285" s="4"/>
      <c r="T285" s="4"/>
      <c r="U285" s="4"/>
      <c r="V285" s="4"/>
      <c r="W285" s="4"/>
    </row>
    <row r="287" spans="1:88" x14ac:dyDescent="0.2">
      <c r="A287" s="1">
        <v>5</v>
      </c>
      <c r="B287" s="1">
        <v>1</v>
      </c>
      <c r="C287" s="1"/>
      <c r="D287" s="1">
        <f>ROW(A299)</f>
        <v>299</v>
      </c>
      <c r="E287" s="1"/>
      <c r="F287" s="1" t="s">
        <v>17</v>
      </c>
      <c r="G287" s="1" t="s">
        <v>110</v>
      </c>
      <c r="H287" s="1" t="s">
        <v>3</v>
      </c>
      <c r="I287" s="1">
        <v>0</v>
      </c>
      <c r="J287" s="1"/>
      <c r="K287" s="1">
        <v>0</v>
      </c>
      <c r="L287" s="1"/>
      <c r="M287" s="1"/>
      <c r="N287" s="1"/>
      <c r="O287" s="1"/>
      <c r="P287" s="1"/>
      <c r="Q287" s="1"/>
      <c r="R287" s="1"/>
      <c r="S287" s="1"/>
      <c r="T287" s="1"/>
      <c r="U287" s="1" t="s">
        <v>3</v>
      </c>
      <c r="V287" s="1">
        <v>0</v>
      </c>
      <c r="W287" s="1"/>
      <c r="X287" s="1"/>
      <c r="Y287" s="1"/>
      <c r="Z287" s="1"/>
      <c r="AA287" s="1"/>
      <c r="AB287" s="1" t="s">
        <v>3</v>
      </c>
      <c r="AC287" s="1" t="s">
        <v>3</v>
      </c>
      <c r="AD287" s="1" t="s">
        <v>3</v>
      </c>
      <c r="AE287" s="1" t="s">
        <v>3</v>
      </c>
      <c r="AF287" s="1" t="s">
        <v>3</v>
      </c>
      <c r="AG287" s="1" t="s">
        <v>3</v>
      </c>
      <c r="AH287" s="1"/>
      <c r="AI287" s="1"/>
      <c r="AJ287" s="1"/>
      <c r="AK287" s="1"/>
      <c r="AL287" s="1"/>
      <c r="AM287" s="1"/>
      <c r="AN287" s="1"/>
      <c r="AO287" s="1"/>
      <c r="AP287" s="1" t="s">
        <v>3</v>
      </c>
      <c r="AQ287" s="1" t="s">
        <v>3</v>
      </c>
      <c r="AR287" s="1" t="s">
        <v>3</v>
      </c>
      <c r="AS287" s="1"/>
      <c r="AT287" s="1"/>
      <c r="AU287" s="1"/>
      <c r="AV287" s="1"/>
      <c r="AW287" s="1"/>
      <c r="AX287" s="1"/>
      <c r="AY287" s="1"/>
      <c r="AZ287" s="1" t="s">
        <v>3</v>
      </c>
      <c r="BA287" s="1"/>
      <c r="BB287" s="1" t="s">
        <v>3</v>
      </c>
      <c r="BC287" s="1" t="s">
        <v>3</v>
      </c>
      <c r="BD287" s="1" t="s">
        <v>3</v>
      </c>
      <c r="BE287" s="1" t="s">
        <v>3</v>
      </c>
      <c r="BF287" s="1" t="s">
        <v>3</v>
      </c>
      <c r="BG287" s="1" t="s">
        <v>3</v>
      </c>
      <c r="BH287" s="1" t="s">
        <v>3</v>
      </c>
      <c r="BI287" s="1" t="s">
        <v>3</v>
      </c>
      <c r="BJ287" s="1" t="s">
        <v>3</v>
      </c>
      <c r="BK287" s="1" t="s">
        <v>3</v>
      </c>
      <c r="BL287" s="1" t="s">
        <v>3</v>
      </c>
      <c r="BM287" s="1" t="s">
        <v>3</v>
      </c>
      <c r="BN287" s="1" t="s">
        <v>3</v>
      </c>
      <c r="BO287" s="1" t="s">
        <v>3</v>
      </c>
      <c r="BP287" s="1" t="s">
        <v>3</v>
      </c>
      <c r="BQ287" s="1"/>
      <c r="BR287" s="1"/>
      <c r="BS287" s="1"/>
      <c r="BT287" s="1"/>
      <c r="BU287" s="1"/>
      <c r="BV287" s="1"/>
      <c r="BW287" s="1"/>
      <c r="BX287" s="1">
        <v>0</v>
      </c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>
        <v>0</v>
      </c>
    </row>
    <row r="289" spans="1:245" x14ac:dyDescent="0.2">
      <c r="A289" s="2">
        <v>52</v>
      </c>
      <c r="B289" s="2">
        <f t="shared" ref="B289:G289" si="213">B299</f>
        <v>1</v>
      </c>
      <c r="C289" s="2">
        <f t="shared" si="213"/>
        <v>5</v>
      </c>
      <c r="D289" s="2">
        <f t="shared" si="213"/>
        <v>287</v>
      </c>
      <c r="E289" s="2">
        <f t="shared" si="213"/>
        <v>0</v>
      </c>
      <c r="F289" s="2" t="str">
        <f t="shared" si="213"/>
        <v>Новый подраздел</v>
      </c>
      <c r="G289" s="2" t="str">
        <f t="shared" si="213"/>
        <v>Установка оборудования для выгула собак</v>
      </c>
      <c r="H289" s="2"/>
      <c r="I289" s="2"/>
      <c r="J289" s="2"/>
      <c r="K289" s="2"/>
      <c r="L289" s="2"/>
      <c r="M289" s="2"/>
      <c r="N289" s="2"/>
      <c r="O289" s="2">
        <f t="shared" ref="O289:AT289" si="214">O299</f>
        <v>116052.24</v>
      </c>
      <c r="P289" s="2">
        <f t="shared" si="214"/>
        <v>111650.58</v>
      </c>
      <c r="Q289" s="2">
        <f t="shared" si="214"/>
        <v>117.84</v>
      </c>
      <c r="R289" s="2">
        <f t="shared" si="214"/>
        <v>4.9000000000000004</v>
      </c>
      <c r="S289" s="2">
        <f t="shared" si="214"/>
        <v>4283.82</v>
      </c>
      <c r="T289" s="2">
        <f t="shared" si="214"/>
        <v>0</v>
      </c>
      <c r="U289" s="2">
        <f t="shared" si="214"/>
        <v>17.48</v>
      </c>
      <c r="V289" s="2">
        <f t="shared" si="214"/>
        <v>0</v>
      </c>
      <c r="W289" s="2">
        <f t="shared" si="214"/>
        <v>0</v>
      </c>
      <c r="X289" s="2">
        <f t="shared" si="214"/>
        <v>2998.67</v>
      </c>
      <c r="Y289" s="2">
        <f t="shared" si="214"/>
        <v>428.38</v>
      </c>
      <c r="Z289" s="2">
        <f t="shared" si="214"/>
        <v>0</v>
      </c>
      <c r="AA289" s="2">
        <f t="shared" si="214"/>
        <v>0</v>
      </c>
      <c r="AB289" s="2">
        <f t="shared" si="214"/>
        <v>116052.24</v>
      </c>
      <c r="AC289" s="2">
        <f t="shared" si="214"/>
        <v>111650.58</v>
      </c>
      <c r="AD289" s="2">
        <f t="shared" si="214"/>
        <v>117.84</v>
      </c>
      <c r="AE289" s="2">
        <f t="shared" si="214"/>
        <v>4.9000000000000004</v>
      </c>
      <c r="AF289" s="2">
        <f t="shared" si="214"/>
        <v>4283.82</v>
      </c>
      <c r="AG289" s="2">
        <f t="shared" si="214"/>
        <v>0</v>
      </c>
      <c r="AH289" s="2">
        <f t="shared" si="214"/>
        <v>17.48</v>
      </c>
      <c r="AI289" s="2">
        <f t="shared" si="214"/>
        <v>0</v>
      </c>
      <c r="AJ289" s="2">
        <f t="shared" si="214"/>
        <v>0</v>
      </c>
      <c r="AK289" s="2">
        <f t="shared" si="214"/>
        <v>2998.67</v>
      </c>
      <c r="AL289" s="2">
        <f t="shared" si="214"/>
        <v>428.38</v>
      </c>
      <c r="AM289" s="2">
        <f t="shared" si="214"/>
        <v>0</v>
      </c>
      <c r="AN289" s="2">
        <f t="shared" si="214"/>
        <v>0</v>
      </c>
      <c r="AO289" s="2">
        <f t="shared" si="214"/>
        <v>0</v>
      </c>
      <c r="AP289" s="2">
        <f t="shared" si="214"/>
        <v>0</v>
      </c>
      <c r="AQ289" s="2">
        <f t="shared" si="214"/>
        <v>0</v>
      </c>
      <c r="AR289" s="2">
        <f t="shared" si="214"/>
        <v>119484.58</v>
      </c>
      <c r="AS289" s="2">
        <f t="shared" si="214"/>
        <v>111650.58</v>
      </c>
      <c r="AT289" s="2">
        <f t="shared" si="214"/>
        <v>0</v>
      </c>
      <c r="AU289" s="2">
        <f t="shared" ref="AU289:BZ289" si="215">AU299</f>
        <v>7834</v>
      </c>
      <c r="AV289" s="2">
        <f t="shared" si="215"/>
        <v>111650.58</v>
      </c>
      <c r="AW289" s="2">
        <f t="shared" si="215"/>
        <v>111650.58</v>
      </c>
      <c r="AX289" s="2">
        <f t="shared" si="215"/>
        <v>0</v>
      </c>
      <c r="AY289" s="2">
        <f t="shared" si="215"/>
        <v>111650.58</v>
      </c>
      <c r="AZ289" s="2">
        <f t="shared" si="215"/>
        <v>0</v>
      </c>
      <c r="BA289" s="2">
        <f t="shared" si="215"/>
        <v>0</v>
      </c>
      <c r="BB289" s="2">
        <f t="shared" si="215"/>
        <v>0</v>
      </c>
      <c r="BC289" s="2">
        <f t="shared" si="215"/>
        <v>0</v>
      </c>
      <c r="BD289" s="2">
        <f t="shared" si="215"/>
        <v>0</v>
      </c>
      <c r="BE289" s="2">
        <f t="shared" si="215"/>
        <v>0</v>
      </c>
      <c r="BF289" s="2">
        <f t="shared" si="215"/>
        <v>0</v>
      </c>
      <c r="BG289" s="2">
        <f t="shared" si="215"/>
        <v>0</v>
      </c>
      <c r="BH289" s="2">
        <f t="shared" si="215"/>
        <v>0</v>
      </c>
      <c r="BI289" s="2">
        <f t="shared" si="215"/>
        <v>0</v>
      </c>
      <c r="BJ289" s="2">
        <f t="shared" si="215"/>
        <v>0</v>
      </c>
      <c r="BK289" s="2">
        <f t="shared" si="215"/>
        <v>0</v>
      </c>
      <c r="BL289" s="2">
        <f t="shared" si="215"/>
        <v>0</v>
      </c>
      <c r="BM289" s="2">
        <f t="shared" si="215"/>
        <v>0</v>
      </c>
      <c r="BN289" s="2">
        <f t="shared" si="215"/>
        <v>0</v>
      </c>
      <c r="BO289" s="2">
        <f t="shared" si="215"/>
        <v>0</v>
      </c>
      <c r="BP289" s="2">
        <f t="shared" si="215"/>
        <v>0</v>
      </c>
      <c r="BQ289" s="2">
        <f t="shared" si="215"/>
        <v>0</v>
      </c>
      <c r="BR289" s="2">
        <f t="shared" si="215"/>
        <v>0</v>
      </c>
      <c r="BS289" s="2">
        <f t="shared" si="215"/>
        <v>0</v>
      </c>
      <c r="BT289" s="2">
        <f t="shared" si="215"/>
        <v>0</v>
      </c>
      <c r="BU289" s="2">
        <f t="shared" si="215"/>
        <v>0</v>
      </c>
      <c r="BV289" s="2">
        <f t="shared" si="215"/>
        <v>0</v>
      </c>
      <c r="BW289" s="2">
        <f t="shared" si="215"/>
        <v>0</v>
      </c>
      <c r="BX289" s="2">
        <f t="shared" si="215"/>
        <v>0</v>
      </c>
      <c r="BY289" s="2">
        <f t="shared" si="215"/>
        <v>0</v>
      </c>
      <c r="BZ289" s="2">
        <f t="shared" si="215"/>
        <v>0</v>
      </c>
      <c r="CA289" s="2">
        <f t="shared" ref="CA289:DF289" si="216">CA299</f>
        <v>119484.58</v>
      </c>
      <c r="CB289" s="2">
        <f t="shared" si="216"/>
        <v>111650.58</v>
      </c>
      <c r="CC289" s="2">
        <f t="shared" si="216"/>
        <v>0</v>
      </c>
      <c r="CD289" s="2">
        <f t="shared" si="216"/>
        <v>7834</v>
      </c>
      <c r="CE289" s="2">
        <f t="shared" si="216"/>
        <v>111650.58</v>
      </c>
      <c r="CF289" s="2">
        <f t="shared" si="216"/>
        <v>111650.58</v>
      </c>
      <c r="CG289" s="2">
        <f t="shared" si="216"/>
        <v>0</v>
      </c>
      <c r="CH289" s="2">
        <f t="shared" si="216"/>
        <v>111650.58</v>
      </c>
      <c r="CI289" s="2">
        <f t="shared" si="216"/>
        <v>0</v>
      </c>
      <c r="CJ289" s="2">
        <f t="shared" si="216"/>
        <v>0</v>
      </c>
      <c r="CK289" s="2">
        <f t="shared" si="216"/>
        <v>0</v>
      </c>
      <c r="CL289" s="2">
        <f t="shared" si="216"/>
        <v>0</v>
      </c>
      <c r="CM289" s="2">
        <f t="shared" si="216"/>
        <v>0</v>
      </c>
      <c r="CN289" s="2">
        <f t="shared" si="216"/>
        <v>0</v>
      </c>
      <c r="CO289" s="2">
        <f t="shared" si="216"/>
        <v>0</v>
      </c>
      <c r="CP289" s="2">
        <f t="shared" si="216"/>
        <v>0</v>
      </c>
      <c r="CQ289" s="2">
        <f t="shared" si="216"/>
        <v>0</v>
      </c>
      <c r="CR289" s="2">
        <f t="shared" si="216"/>
        <v>0</v>
      </c>
      <c r="CS289" s="2">
        <f t="shared" si="216"/>
        <v>0</v>
      </c>
      <c r="CT289" s="2">
        <f t="shared" si="216"/>
        <v>0</v>
      </c>
      <c r="CU289" s="2">
        <f t="shared" si="216"/>
        <v>0</v>
      </c>
      <c r="CV289" s="2">
        <f t="shared" si="216"/>
        <v>0</v>
      </c>
      <c r="CW289" s="2">
        <f t="shared" si="216"/>
        <v>0</v>
      </c>
      <c r="CX289" s="2">
        <f t="shared" si="216"/>
        <v>0</v>
      </c>
      <c r="CY289" s="2">
        <f t="shared" si="216"/>
        <v>0</v>
      </c>
      <c r="CZ289" s="2">
        <f t="shared" si="216"/>
        <v>0</v>
      </c>
      <c r="DA289" s="2">
        <f t="shared" si="216"/>
        <v>0</v>
      </c>
      <c r="DB289" s="2">
        <f t="shared" si="216"/>
        <v>0</v>
      </c>
      <c r="DC289" s="2">
        <f t="shared" si="216"/>
        <v>0</v>
      </c>
      <c r="DD289" s="2">
        <f t="shared" si="216"/>
        <v>0</v>
      </c>
      <c r="DE289" s="2">
        <f t="shared" si="216"/>
        <v>0</v>
      </c>
      <c r="DF289" s="2">
        <f t="shared" si="216"/>
        <v>0</v>
      </c>
      <c r="DG289" s="3">
        <f t="shared" ref="DG289:EL289" si="217">DG299</f>
        <v>0</v>
      </c>
      <c r="DH289" s="3">
        <f t="shared" si="217"/>
        <v>0</v>
      </c>
      <c r="DI289" s="3">
        <f t="shared" si="217"/>
        <v>0</v>
      </c>
      <c r="DJ289" s="3">
        <f t="shared" si="217"/>
        <v>0</v>
      </c>
      <c r="DK289" s="3">
        <f t="shared" si="217"/>
        <v>0</v>
      </c>
      <c r="DL289" s="3">
        <f t="shared" si="217"/>
        <v>0</v>
      </c>
      <c r="DM289" s="3">
        <f t="shared" si="217"/>
        <v>0</v>
      </c>
      <c r="DN289" s="3">
        <f t="shared" si="217"/>
        <v>0</v>
      </c>
      <c r="DO289" s="3">
        <f t="shared" si="217"/>
        <v>0</v>
      </c>
      <c r="DP289" s="3">
        <f t="shared" si="217"/>
        <v>0</v>
      </c>
      <c r="DQ289" s="3">
        <f t="shared" si="217"/>
        <v>0</v>
      </c>
      <c r="DR289" s="3">
        <f t="shared" si="217"/>
        <v>0</v>
      </c>
      <c r="DS289" s="3">
        <f t="shared" si="217"/>
        <v>0</v>
      </c>
      <c r="DT289" s="3">
        <f t="shared" si="217"/>
        <v>0</v>
      </c>
      <c r="DU289" s="3">
        <f t="shared" si="217"/>
        <v>0</v>
      </c>
      <c r="DV289" s="3">
        <f t="shared" si="217"/>
        <v>0</v>
      </c>
      <c r="DW289" s="3">
        <f t="shared" si="217"/>
        <v>0</v>
      </c>
      <c r="DX289" s="3">
        <f t="shared" si="217"/>
        <v>0</v>
      </c>
      <c r="DY289" s="3">
        <f t="shared" si="217"/>
        <v>0</v>
      </c>
      <c r="DZ289" s="3">
        <f t="shared" si="217"/>
        <v>0</v>
      </c>
      <c r="EA289" s="3">
        <f t="shared" si="217"/>
        <v>0</v>
      </c>
      <c r="EB289" s="3">
        <f t="shared" si="217"/>
        <v>0</v>
      </c>
      <c r="EC289" s="3">
        <f t="shared" si="217"/>
        <v>0</v>
      </c>
      <c r="ED289" s="3">
        <f t="shared" si="217"/>
        <v>0</v>
      </c>
      <c r="EE289" s="3">
        <f t="shared" si="217"/>
        <v>0</v>
      </c>
      <c r="EF289" s="3">
        <f t="shared" si="217"/>
        <v>0</v>
      </c>
      <c r="EG289" s="3">
        <f t="shared" si="217"/>
        <v>0</v>
      </c>
      <c r="EH289" s="3">
        <f t="shared" si="217"/>
        <v>0</v>
      </c>
      <c r="EI289" s="3">
        <f t="shared" si="217"/>
        <v>0</v>
      </c>
      <c r="EJ289" s="3">
        <f t="shared" si="217"/>
        <v>0</v>
      </c>
      <c r="EK289" s="3">
        <f t="shared" si="217"/>
        <v>0</v>
      </c>
      <c r="EL289" s="3">
        <f t="shared" si="217"/>
        <v>0</v>
      </c>
      <c r="EM289" s="3">
        <f t="shared" ref="EM289:FR289" si="218">EM299</f>
        <v>0</v>
      </c>
      <c r="EN289" s="3">
        <f t="shared" si="218"/>
        <v>0</v>
      </c>
      <c r="EO289" s="3">
        <f t="shared" si="218"/>
        <v>0</v>
      </c>
      <c r="EP289" s="3">
        <f t="shared" si="218"/>
        <v>0</v>
      </c>
      <c r="EQ289" s="3">
        <f t="shared" si="218"/>
        <v>0</v>
      </c>
      <c r="ER289" s="3">
        <f t="shared" si="218"/>
        <v>0</v>
      </c>
      <c r="ES289" s="3">
        <f t="shared" si="218"/>
        <v>0</v>
      </c>
      <c r="ET289" s="3">
        <f t="shared" si="218"/>
        <v>0</v>
      </c>
      <c r="EU289" s="3">
        <f t="shared" si="218"/>
        <v>0</v>
      </c>
      <c r="EV289" s="3">
        <f t="shared" si="218"/>
        <v>0</v>
      </c>
      <c r="EW289" s="3">
        <f t="shared" si="218"/>
        <v>0</v>
      </c>
      <c r="EX289" s="3">
        <f t="shared" si="218"/>
        <v>0</v>
      </c>
      <c r="EY289" s="3">
        <f t="shared" si="218"/>
        <v>0</v>
      </c>
      <c r="EZ289" s="3">
        <f t="shared" si="218"/>
        <v>0</v>
      </c>
      <c r="FA289" s="3">
        <f t="shared" si="218"/>
        <v>0</v>
      </c>
      <c r="FB289" s="3">
        <f t="shared" si="218"/>
        <v>0</v>
      </c>
      <c r="FC289" s="3">
        <f t="shared" si="218"/>
        <v>0</v>
      </c>
      <c r="FD289" s="3">
        <f t="shared" si="218"/>
        <v>0</v>
      </c>
      <c r="FE289" s="3">
        <f t="shared" si="218"/>
        <v>0</v>
      </c>
      <c r="FF289" s="3">
        <f t="shared" si="218"/>
        <v>0</v>
      </c>
      <c r="FG289" s="3">
        <f t="shared" si="218"/>
        <v>0</v>
      </c>
      <c r="FH289" s="3">
        <f t="shared" si="218"/>
        <v>0</v>
      </c>
      <c r="FI289" s="3">
        <f t="shared" si="218"/>
        <v>0</v>
      </c>
      <c r="FJ289" s="3">
        <f t="shared" si="218"/>
        <v>0</v>
      </c>
      <c r="FK289" s="3">
        <f t="shared" si="218"/>
        <v>0</v>
      </c>
      <c r="FL289" s="3">
        <f t="shared" si="218"/>
        <v>0</v>
      </c>
      <c r="FM289" s="3">
        <f t="shared" si="218"/>
        <v>0</v>
      </c>
      <c r="FN289" s="3">
        <f t="shared" si="218"/>
        <v>0</v>
      </c>
      <c r="FO289" s="3">
        <f t="shared" si="218"/>
        <v>0</v>
      </c>
      <c r="FP289" s="3">
        <f t="shared" si="218"/>
        <v>0</v>
      </c>
      <c r="FQ289" s="3">
        <f t="shared" si="218"/>
        <v>0</v>
      </c>
      <c r="FR289" s="3">
        <f t="shared" si="218"/>
        <v>0</v>
      </c>
      <c r="FS289" s="3">
        <f t="shared" ref="FS289:GX289" si="219">FS299</f>
        <v>0</v>
      </c>
      <c r="FT289" s="3">
        <f t="shared" si="219"/>
        <v>0</v>
      </c>
      <c r="FU289" s="3">
        <f t="shared" si="219"/>
        <v>0</v>
      </c>
      <c r="FV289" s="3">
        <f t="shared" si="219"/>
        <v>0</v>
      </c>
      <c r="FW289" s="3">
        <f t="shared" si="219"/>
        <v>0</v>
      </c>
      <c r="FX289" s="3">
        <f t="shared" si="219"/>
        <v>0</v>
      </c>
      <c r="FY289" s="3">
        <f t="shared" si="219"/>
        <v>0</v>
      </c>
      <c r="FZ289" s="3">
        <f t="shared" si="219"/>
        <v>0</v>
      </c>
      <c r="GA289" s="3">
        <f t="shared" si="219"/>
        <v>0</v>
      </c>
      <c r="GB289" s="3">
        <f t="shared" si="219"/>
        <v>0</v>
      </c>
      <c r="GC289" s="3">
        <f t="shared" si="219"/>
        <v>0</v>
      </c>
      <c r="GD289" s="3">
        <f t="shared" si="219"/>
        <v>0</v>
      </c>
      <c r="GE289" s="3">
        <f t="shared" si="219"/>
        <v>0</v>
      </c>
      <c r="GF289" s="3">
        <f t="shared" si="219"/>
        <v>0</v>
      </c>
      <c r="GG289" s="3">
        <f t="shared" si="219"/>
        <v>0</v>
      </c>
      <c r="GH289" s="3">
        <f t="shared" si="219"/>
        <v>0</v>
      </c>
      <c r="GI289" s="3">
        <f t="shared" si="219"/>
        <v>0</v>
      </c>
      <c r="GJ289" s="3">
        <f t="shared" si="219"/>
        <v>0</v>
      </c>
      <c r="GK289" s="3">
        <f t="shared" si="219"/>
        <v>0</v>
      </c>
      <c r="GL289" s="3">
        <f t="shared" si="219"/>
        <v>0</v>
      </c>
      <c r="GM289" s="3">
        <f t="shared" si="219"/>
        <v>0</v>
      </c>
      <c r="GN289" s="3">
        <f t="shared" si="219"/>
        <v>0</v>
      </c>
      <c r="GO289" s="3">
        <f t="shared" si="219"/>
        <v>0</v>
      </c>
      <c r="GP289" s="3">
        <f t="shared" si="219"/>
        <v>0</v>
      </c>
      <c r="GQ289" s="3">
        <f t="shared" si="219"/>
        <v>0</v>
      </c>
      <c r="GR289" s="3">
        <f t="shared" si="219"/>
        <v>0</v>
      </c>
      <c r="GS289" s="3">
        <f t="shared" si="219"/>
        <v>0</v>
      </c>
      <c r="GT289" s="3">
        <f t="shared" si="219"/>
        <v>0</v>
      </c>
      <c r="GU289" s="3">
        <f t="shared" si="219"/>
        <v>0</v>
      </c>
      <c r="GV289" s="3">
        <f t="shared" si="219"/>
        <v>0</v>
      </c>
      <c r="GW289" s="3">
        <f t="shared" si="219"/>
        <v>0</v>
      </c>
      <c r="GX289" s="3">
        <f t="shared" si="219"/>
        <v>0</v>
      </c>
    </row>
    <row r="291" spans="1:245" x14ac:dyDescent="0.2">
      <c r="A291">
        <v>17</v>
      </c>
      <c r="B291">
        <v>1</v>
      </c>
      <c r="C291">
        <f>ROW(SmtRes!A83)</f>
        <v>83</v>
      </c>
      <c r="D291">
        <f>ROW(EtalonRes!A80)</f>
        <v>80</v>
      </c>
      <c r="E291" t="s">
        <v>238</v>
      </c>
      <c r="F291" t="s">
        <v>112</v>
      </c>
      <c r="G291" t="s">
        <v>239</v>
      </c>
      <c r="H291" t="s">
        <v>30</v>
      </c>
      <c r="I291">
        <v>0.2</v>
      </c>
      <c r="J291">
        <v>0</v>
      </c>
      <c r="O291">
        <f t="shared" ref="O291:O297" si="220">ROUND(CP291,2)</f>
        <v>4401.66</v>
      </c>
      <c r="P291">
        <f t="shared" ref="P291:P297" si="221">ROUND(CQ291*I291,2)</f>
        <v>0</v>
      </c>
      <c r="Q291">
        <f t="shared" ref="Q291:Q297" si="222">ROUND(CR291*I291,2)</f>
        <v>117.84</v>
      </c>
      <c r="R291">
        <f t="shared" ref="R291:R297" si="223">ROUND(CS291*I291,2)</f>
        <v>4.9000000000000004</v>
      </c>
      <c r="S291">
        <f t="shared" ref="S291:S297" si="224">ROUND(CT291*I291,2)</f>
        <v>4283.82</v>
      </c>
      <c r="T291">
        <f t="shared" ref="T291:T297" si="225">ROUND(CU291*I291,2)</f>
        <v>0</v>
      </c>
      <c r="U291">
        <f t="shared" ref="U291:U297" si="226">CV291*I291</f>
        <v>17.48</v>
      </c>
      <c r="V291">
        <f t="shared" ref="V291:V297" si="227">CW291*I291</f>
        <v>0</v>
      </c>
      <c r="W291">
        <f t="shared" ref="W291:W297" si="228">ROUND(CX291*I291,2)</f>
        <v>0</v>
      </c>
      <c r="X291">
        <f t="shared" ref="X291:Y297" si="229">ROUND(CY291,2)</f>
        <v>2998.67</v>
      </c>
      <c r="Y291">
        <f t="shared" si="229"/>
        <v>428.38</v>
      </c>
      <c r="AA291">
        <v>38214492</v>
      </c>
      <c r="AB291">
        <f t="shared" ref="AB291:AB297" si="230">ROUND((AC291+AD291+AF291),6)</f>
        <v>22008.31</v>
      </c>
      <c r="AC291">
        <f>ROUND(((ES291*0)),6)</f>
        <v>0</v>
      </c>
      <c r="AD291">
        <f t="shared" ref="AD291:AD297" si="231">ROUND((((ET291)-(EU291))+AE291),6)</f>
        <v>589.19000000000005</v>
      </c>
      <c r="AE291">
        <f t="shared" ref="AE291:AF297" si="232">ROUND((EU291),6)</f>
        <v>24.51</v>
      </c>
      <c r="AF291">
        <f t="shared" si="232"/>
        <v>21419.119999999999</v>
      </c>
      <c r="AG291">
        <f t="shared" ref="AG291:AG297" si="233">ROUND((AP291),6)</f>
        <v>0</v>
      </c>
      <c r="AH291">
        <f t="shared" ref="AH291:AI297" si="234">(EW291)</f>
        <v>87.4</v>
      </c>
      <c r="AI291">
        <f t="shared" si="234"/>
        <v>0</v>
      </c>
      <c r="AJ291">
        <f t="shared" ref="AJ291:AJ297" si="235">(AS291)</f>
        <v>0</v>
      </c>
      <c r="AK291">
        <v>97500</v>
      </c>
      <c r="AL291">
        <v>75491.69</v>
      </c>
      <c r="AM291">
        <v>589.19000000000005</v>
      </c>
      <c r="AN291">
        <v>24.51</v>
      </c>
      <c r="AO291">
        <v>21419.119999999999</v>
      </c>
      <c r="AP291">
        <v>0</v>
      </c>
      <c r="AQ291">
        <v>87.4</v>
      </c>
      <c r="AR291">
        <v>0</v>
      </c>
      <c r="AS291">
        <v>0</v>
      </c>
      <c r="AT291">
        <v>70</v>
      </c>
      <c r="AU291">
        <v>10</v>
      </c>
      <c r="AV291">
        <v>1</v>
      </c>
      <c r="AW291">
        <v>1</v>
      </c>
      <c r="AZ291">
        <v>1</v>
      </c>
      <c r="BA291">
        <v>1</v>
      </c>
      <c r="BB291">
        <v>1</v>
      </c>
      <c r="BC291">
        <v>1</v>
      </c>
      <c r="BD291" t="s">
        <v>3</v>
      </c>
      <c r="BE291" t="s">
        <v>3</v>
      </c>
      <c r="BF291" t="s">
        <v>3</v>
      </c>
      <c r="BG291" t="s">
        <v>3</v>
      </c>
      <c r="BH291">
        <v>0</v>
      </c>
      <c r="BI291">
        <v>4</v>
      </c>
      <c r="BJ291" t="s">
        <v>114</v>
      </c>
      <c r="BM291">
        <v>0</v>
      </c>
      <c r="BN291">
        <v>0</v>
      </c>
      <c r="BO291" t="s">
        <v>3</v>
      </c>
      <c r="BP291">
        <v>0</v>
      </c>
      <c r="BQ291">
        <v>1</v>
      </c>
      <c r="BR291">
        <v>0</v>
      </c>
      <c r="BS291">
        <v>1</v>
      </c>
      <c r="BT291">
        <v>1</v>
      </c>
      <c r="BU291">
        <v>1</v>
      </c>
      <c r="BV291">
        <v>1</v>
      </c>
      <c r="BW291">
        <v>1</v>
      </c>
      <c r="BX291">
        <v>1</v>
      </c>
      <c r="BY291" t="s">
        <v>3</v>
      </c>
      <c r="BZ291">
        <v>70</v>
      </c>
      <c r="CA291">
        <v>10</v>
      </c>
      <c r="CE291">
        <v>0</v>
      </c>
      <c r="CF291">
        <v>0</v>
      </c>
      <c r="CG291">
        <v>0</v>
      </c>
      <c r="CM291">
        <v>0</v>
      </c>
      <c r="CN291" t="s">
        <v>3</v>
      </c>
      <c r="CO291">
        <v>0</v>
      </c>
      <c r="CP291">
        <f t="shared" ref="CP291:CP297" si="236">(P291+Q291+S291)</f>
        <v>4401.66</v>
      </c>
      <c r="CQ291">
        <f t="shared" ref="CQ291:CQ297" si="237">(AC291*BC291*AW291)</f>
        <v>0</v>
      </c>
      <c r="CR291">
        <f t="shared" ref="CR291:CR297" si="238">((((ET291)*BB291-(EU291)*BS291)+AE291*BS291)*AV291)</f>
        <v>589.19000000000005</v>
      </c>
      <c r="CS291">
        <f t="shared" ref="CS291:CS297" si="239">(AE291*BS291*AV291)</f>
        <v>24.51</v>
      </c>
      <c r="CT291">
        <f t="shared" ref="CT291:CT297" si="240">(AF291*BA291*AV291)</f>
        <v>21419.119999999999</v>
      </c>
      <c r="CU291">
        <f t="shared" ref="CU291:CU297" si="241">AG291</f>
        <v>0</v>
      </c>
      <c r="CV291">
        <f t="shared" ref="CV291:CV297" si="242">(AH291*AV291)</f>
        <v>87.4</v>
      </c>
      <c r="CW291">
        <f t="shared" ref="CW291:CX297" si="243">AI291</f>
        <v>0</v>
      </c>
      <c r="CX291">
        <f t="shared" si="243"/>
        <v>0</v>
      </c>
      <c r="CY291">
        <f t="shared" ref="CY291:CY297" si="244">((S291*BZ291)/100)</f>
        <v>2998.6739999999995</v>
      </c>
      <c r="CZ291">
        <f t="shared" ref="CZ291:CZ297" si="245">((S291*CA291)/100)</f>
        <v>428.38199999999995</v>
      </c>
      <c r="DC291" t="s">
        <v>3</v>
      </c>
      <c r="DD291" t="s">
        <v>32</v>
      </c>
      <c r="DE291" t="s">
        <v>3</v>
      </c>
      <c r="DF291" t="s">
        <v>3</v>
      </c>
      <c r="DG291" t="s">
        <v>3</v>
      </c>
      <c r="DH291" t="s">
        <v>3</v>
      </c>
      <c r="DI291" t="s">
        <v>3</v>
      </c>
      <c r="DJ291" t="s">
        <v>3</v>
      </c>
      <c r="DK291" t="s">
        <v>3</v>
      </c>
      <c r="DL291" t="s">
        <v>3</v>
      </c>
      <c r="DM291" t="s">
        <v>3</v>
      </c>
      <c r="DN291">
        <v>0</v>
      </c>
      <c r="DO291">
        <v>0</v>
      </c>
      <c r="DP291">
        <v>1</v>
      </c>
      <c r="DQ291">
        <v>1</v>
      </c>
      <c r="DU291">
        <v>1009</v>
      </c>
      <c r="DV291" t="s">
        <v>30</v>
      </c>
      <c r="DW291" t="s">
        <v>30</v>
      </c>
      <c r="DX291">
        <v>1000</v>
      </c>
      <c r="EE291">
        <v>38628631</v>
      </c>
      <c r="EF291">
        <v>1</v>
      </c>
      <c r="EG291" t="s">
        <v>24</v>
      </c>
      <c r="EH291">
        <v>0</v>
      </c>
      <c r="EI291" t="s">
        <v>3</v>
      </c>
      <c r="EJ291">
        <v>4</v>
      </c>
      <c r="EK291">
        <v>0</v>
      </c>
      <c r="EL291" t="s">
        <v>25</v>
      </c>
      <c r="EM291" t="s">
        <v>26</v>
      </c>
      <c r="EO291" t="s">
        <v>3</v>
      </c>
      <c r="EQ291">
        <v>0</v>
      </c>
      <c r="ER291">
        <v>97500</v>
      </c>
      <c r="ES291">
        <v>75491.69</v>
      </c>
      <c r="ET291">
        <v>589.19000000000005</v>
      </c>
      <c r="EU291">
        <v>24.51</v>
      </c>
      <c r="EV291">
        <v>21419.119999999999</v>
      </c>
      <c r="EW291">
        <v>87.4</v>
      </c>
      <c r="EX291">
        <v>0</v>
      </c>
      <c r="EY291">
        <v>0</v>
      </c>
      <c r="FQ291">
        <v>0</v>
      </c>
      <c r="FR291">
        <f t="shared" ref="FR291:FR297" si="246">ROUND(IF(AND(BH291=3,BI291=3),P291,0),2)</f>
        <v>0</v>
      </c>
      <c r="FS291">
        <v>0</v>
      </c>
      <c r="FX291">
        <v>70</v>
      </c>
      <c r="FY291">
        <v>10</v>
      </c>
      <c r="GA291" t="s">
        <v>3</v>
      </c>
      <c r="GD291">
        <v>0</v>
      </c>
      <c r="GF291">
        <v>-1767418442</v>
      </c>
      <c r="GG291">
        <v>2</v>
      </c>
      <c r="GH291">
        <v>1</v>
      </c>
      <c r="GI291">
        <v>-2</v>
      </c>
      <c r="GJ291">
        <v>0</v>
      </c>
      <c r="GK291">
        <f>ROUND(R291*(R12)/100,2)</f>
        <v>5.29</v>
      </c>
      <c r="GL291">
        <f t="shared" ref="GL291:GL297" si="247">ROUND(IF(AND(BH291=3,BI291=3,FS291&lt;&gt;0),P291,0),2)</f>
        <v>0</v>
      </c>
      <c r="GM291">
        <f t="shared" ref="GM291:GM297" si="248">ROUND(O291+X291+Y291+GK291,2)+GX291</f>
        <v>7834</v>
      </c>
      <c r="GN291">
        <f t="shared" ref="GN291:GN297" si="249">IF(OR(BI291=0,BI291=1),ROUND(O291+X291+Y291+GK291,2),0)</f>
        <v>0</v>
      </c>
      <c r="GO291">
        <f t="shared" ref="GO291:GO297" si="250">IF(BI291=2,ROUND(O291+X291+Y291+GK291,2),0)</f>
        <v>0</v>
      </c>
      <c r="GP291">
        <f t="shared" ref="GP291:GP297" si="251">IF(BI291=4,ROUND(O291+X291+Y291+GK291,2)+GX291,0)</f>
        <v>7834</v>
      </c>
      <c r="GR291">
        <v>0</v>
      </c>
      <c r="GS291">
        <v>3</v>
      </c>
      <c r="GT291">
        <v>0</v>
      </c>
      <c r="GU291" t="s">
        <v>3</v>
      </c>
      <c r="GV291">
        <f t="shared" ref="GV291:GV297" si="252">ROUND((GT291),6)</f>
        <v>0</v>
      </c>
      <c r="GW291">
        <v>1</v>
      </c>
      <c r="GX291">
        <f t="shared" ref="GX291:GX297" si="253">ROUND(HC291*I291,2)</f>
        <v>0</v>
      </c>
      <c r="HA291">
        <v>0</v>
      </c>
      <c r="HB291">
        <v>0</v>
      </c>
      <c r="HC291">
        <f t="shared" ref="HC291:HC297" si="254">GV291*GW291</f>
        <v>0</v>
      </c>
      <c r="HE291" t="s">
        <v>3</v>
      </c>
      <c r="HF291" t="s">
        <v>3</v>
      </c>
      <c r="IK291">
        <v>0</v>
      </c>
    </row>
    <row r="292" spans="1:245" x14ac:dyDescent="0.2">
      <c r="A292">
        <v>17</v>
      </c>
      <c r="B292">
        <v>1</v>
      </c>
      <c r="E292" t="s">
        <v>240</v>
      </c>
      <c r="F292" t="s">
        <v>129</v>
      </c>
      <c r="G292" t="s">
        <v>151</v>
      </c>
      <c r="H292" t="s">
        <v>123</v>
      </c>
      <c r="I292">
        <v>1</v>
      </c>
      <c r="J292">
        <v>0</v>
      </c>
      <c r="O292">
        <f t="shared" si="220"/>
        <v>29364.73</v>
      </c>
      <c r="P292">
        <f t="shared" si="221"/>
        <v>29364.73</v>
      </c>
      <c r="Q292">
        <f t="shared" si="222"/>
        <v>0</v>
      </c>
      <c r="R292">
        <f t="shared" si="223"/>
        <v>0</v>
      </c>
      <c r="S292">
        <f t="shared" si="224"/>
        <v>0</v>
      </c>
      <c r="T292">
        <f t="shared" si="225"/>
        <v>0</v>
      </c>
      <c r="U292">
        <f t="shared" si="226"/>
        <v>0</v>
      </c>
      <c r="V292">
        <f t="shared" si="227"/>
        <v>0</v>
      </c>
      <c r="W292">
        <f t="shared" si="228"/>
        <v>0</v>
      </c>
      <c r="X292">
        <f t="shared" si="229"/>
        <v>0</v>
      </c>
      <c r="Y292">
        <f t="shared" si="229"/>
        <v>0</v>
      </c>
      <c r="AA292">
        <v>38214492</v>
      </c>
      <c r="AB292">
        <f t="shared" si="230"/>
        <v>29364.73</v>
      </c>
      <c r="AC292">
        <f t="shared" ref="AC292:AC297" si="255">ROUND((ES292),6)</f>
        <v>29364.73</v>
      </c>
      <c r="AD292">
        <f t="shared" si="231"/>
        <v>0</v>
      </c>
      <c r="AE292">
        <f t="shared" si="232"/>
        <v>0</v>
      </c>
      <c r="AF292">
        <f t="shared" si="232"/>
        <v>0</v>
      </c>
      <c r="AG292">
        <f t="shared" si="233"/>
        <v>0</v>
      </c>
      <c r="AH292">
        <f t="shared" si="234"/>
        <v>0</v>
      </c>
      <c r="AI292">
        <f t="shared" si="234"/>
        <v>0</v>
      </c>
      <c r="AJ292">
        <f t="shared" si="235"/>
        <v>0</v>
      </c>
      <c r="AK292">
        <v>29364.73</v>
      </c>
      <c r="AL292">
        <v>29364.73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1</v>
      </c>
      <c r="AW292">
        <v>1</v>
      </c>
      <c r="AZ292">
        <v>1</v>
      </c>
      <c r="BA292">
        <v>1</v>
      </c>
      <c r="BB292">
        <v>1</v>
      </c>
      <c r="BC292">
        <v>1</v>
      </c>
      <c r="BD292" t="s">
        <v>3</v>
      </c>
      <c r="BE292" t="s">
        <v>3</v>
      </c>
      <c r="BF292" t="s">
        <v>3</v>
      </c>
      <c r="BG292" t="s">
        <v>3</v>
      </c>
      <c r="BH292">
        <v>3</v>
      </c>
      <c r="BI292">
        <v>1</v>
      </c>
      <c r="BJ292" t="s">
        <v>3</v>
      </c>
      <c r="BM292">
        <v>6001</v>
      </c>
      <c r="BN292">
        <v>0</v>
      </c>
      <c r="BO292" t="s">
        <v>3</v>
      </c>
      <c r="BP292">
        <v>0</v>
      </c>
      <c r="BQ292">
        <v>0</v>
      </c>
      <c r="BR292">
        <v>0</v>
      </c>
      <c r="BS292">
        <v>1</v>
      </c>
      <c r="BT292">
        <v>1</v>
      </c>
      <c r="BU292">
        <v>1</v>
      </c>
      <c r="BV292">
        <v>1</v>
      </c>
      <c r="BW292">
        <v>1</v>
      </c>
      <c r="BX292">
        <v>1</v>
      </c>
      <c r="BY292" t="s">
        <v>3</v>
      </c>
      <c r="BZ292">
        <v>0</v>
      </c>
      <c r="CA292">
        <v>0</v>
      </c>
      <c r="CE292">
        <v>0</v>
      </c>
      <c r="CF292">
        <v>0</v>
      </c>
      <c r="CG292">
        <v>0</v>
      </c>
      <c r="CM292">
        <v>0</v>
      </c>
      <c r="CN292" t="s">
        <v>3</v>
      </c>
      <c r="CO292">
        <v>0</v>
      </c>
      <c r="CP292">
        <f t="shared" si="236"/>
        <v>29364.73</v>
      </c>
      <c r="CQ292">
        <f t="shared" si="237"/>
        <v>29364.73</v>
      </c>
      <c r="CR292">
        <f t="shared" si="238"/>
        <v>0</v>
      </c>
      <c r="CS292">
        <f t="shared" si="239"/>
        <v>0</v>
      </c>
      <c r="CT292">
        <f t="shared" si="240"/>
        <v>0</v>
      </c>
      <c r="CU292">
        <f t="shared" si="241"/>
        <v>0</v>
      </c>
      <c r="CV292">
        <f t="shared" si="242"/>
        <v>0</v>
      </c>
      <c r="CW292">
        <f t="shared" si="243"/>
        <v>0</v>
      </c>
      <c r="CX292">
        <f t="shared" si="243"/>
        <v>0</v>
      </c>
      <c r="CY292">
        <f t="shared" si="244"/>
        <v>0</v>
      </c>
      <c r="CZ292">
        <f t="shared" si="245"/>
        <v>0</v>
      </c>
      <c r="DC292" t="s">
        <v>3</v>
      </c>
      <c r="DD292" t="s">
        <v>3</v>
      </c>
      <c r="DE292" t="s">
        <v>3</v>
      </c>
      <c r="DF292" t="s">
        <v>3</v>
      </c>
      <c r="DG292" t="s">
        <v>3</v>
      </c>
      <c r="DH292" t="s">
        <v>3</v>
      </c>
      <c r="DI292" t="s">
        <v>3</v>
      </c>
      <c r="DJ292" t="s">
        <v>3</v>
      </c>
      <c r="DK292" t="s">
        <v>3</v>
      </c>
      <c r="DL292" t="s">
        <v>3</v>
      </c>
      <c r="DM292" t="s">
        <v>3</v>
      </c>
      <c r="DN292">
        <v>0</v>
      </c>
      <c r="DO292">
        <v>0</v>
      </c>
      <c r="DP292">
        <v>1</v>
      </c>
      <c r="DQ292">
        <v>1</v>
      </c>
      <c r="DU292">
        <v>1010</v>
      </c>
      <c r="DV292" t="s">
        <v>123</v>
      </c>
      <c r="DW292" t="s">
        <v>123</v>
      </c>
      <c r="DX292">
        <v>1</v>
      </c>
      <c r="EE292">
        <v>38661473</v>
      </c>
      <c r="EF292">
        <v>0</v>
      </c>
      <c r="EG292" t="s">
        <v>130</v>
      </c>
      <c r="EH292">
        <v>0</v>
      </c>
      <c r="EI292" t="s">
        <v>3</v>
      </c>
      <c r="EJ292">
        <v>1</v>
      </c>
      <c r="EK292">
        <v>6001</v>
      </c>
      <c r="EL292" t="s">
        <v>131</v>
      </c>
      <c r="EM292" t="s">
        <v>130</v>
      </c>
      <c r="EO292" t="s">
        <v>3</v>
      </c>
      <c r="EQ292">
        <v>0</v>
      </c>
      <c r="ER292">
        <v>29364.73</v>
      </c>
      <c r="ES292">
        <v>29364.73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5</v>
      </c>
      <c r="FC292">
        <v>1</v>
      </c>
      <c r="FD292">
        <v>18</v>
      </c>
      <c r="FF292">
        <v>35237.67</v>
      </c>
      <c r="FQ292">
        <v>0</v>
      </c>
      <c r="FR292">
        <f t="shared" si="246"/>
        <v>0</v>
      </c>
      <c r="FS292">
        <v>0</v>
      </c>
      <c r="FX292">
        <v>0</v>
      </c>
      <c r="FY292">
        <v>0</v>
      </c>
      <c r="GA292" t="s">
        <v>152</v>
      </c>
      <c r="GD292">
        <v>0</v>
      </c>
      <c r="GF292">
        <v>-295362686</v>
      </c>
      <c r="GG292">
        <v>2</v>
      </c>
      <c r="GH292">
        <v>3</v>
      </c>
      <c r="GI292">
        <v>-2</v>
      </c>
      <c r="GJ292">
        <v>0</v>
      </c>
      <c r="GK292">
        <f>ROUND(R292*(R12)/100,2)</f>
        <v>0</v>
      </c>
      <c r="GL292">
        <f t="shared" si="247"/>
        <v>0</v>
      </c>
      <c r="GM292">
        <f t="shared" si="248"/>
        <v>29364.73</v>
      </c>
      <c r="GN292">
        <f t="shared" si="249"/>
        <v>29364.73</v>
      </c>
      <c r="GO292">
        <f t="shared" si="250"/>
        <v>0</v>
      </c>
      <c r="GP292">
        <f t="shared" si="251"/>
        <v>0</v>
      </c>
      <c r="GR292">
        <v>1</v>
      </c>
      <c r="GS292">
        <v>1</v>
      </c>
      <c r="GT292">
        <v>0</v>
      </c>
      <c r="GU292" t="s">
        <v>3</v>
      </c>
      <c r="GV292">
        <f t="shared" si="252"/>
        <v>0</v>
      </c>
      <c r="GW292">
        <v>1</v>
      </c>
      <c r="GX292">
        <f t="shared" si="253"/>
        <v>0</v>
      </c>
      <c r="HA292">
        <v>0</v>
      </c>
      <c r="HB292">
        <v>0</v>
      </c>
      <c r="HC292">
        <f t="shared" si="254"/>
        <v>0</v>
      </c>
      <c r="HE292" t="s">
        <v>153</v>
      </c>
      <c r="HF292" t="s">
        <v>153</v>
      </c>
      <c r="IK292">
        <v>0</v>
      </c>
    </row>
    <row r="293" spans="1:245" x14ac:dyDescent="0.2">
      <c r="A293">
        <v>17</v>
      </c>
      <c r="B293">
        <v>1</v>
      </c>
      <c r="E293" t="s">
        <v>241</v>
      </c>
      <c r="F293" t="s">
        <v>129</v>
      </c>
      <c r="G293" t="s">
        <v>155</v>
      </c>
      <c r="H293" t="s">
        <v>123</v>
      </c>
      <c r="I293">
        <v>1</v>
      </c>
      <c r="J293">
        <v>0</v>
      </c>
      <c r="O293">
        <f t="shared" si="220"/>
        <v>18699.73</v>
      </c>
      <c r="P293">
        <f t="shared" si="221"/>
        <v>18699.73</v>
      </c>
      <c r="Q293">
        <f t="shared" si="222"/>
        <v>0</v>
      </c>
      <c r="R293">
        <f t="shared" si="223"/>
        <v>0</v>
      </c>
      <c r="S293">
        <f t="shared" si="224"/>
        <v>0</v>
      </c>
      <c r="T293">
        <f t="shared" si="225"/>
        <v>0</v>
      </c>
      <c r="U293">
        <f t="shared" si="226"/>
        <v>0</v>
      </c>
      <c r="V293">
        <f t="shared" si="227"/>
        <v>0</v>
      </c>
      <c r="W293">
        <f t="shared" si="228"/>
        <v>0</v>
      </c>
      <c r="X293">
        <f t="shared" si="229"/>
        <v>0</v>
      </c>
      <c r="Y293">
        <f t="shared" si="229"/>
        <v>0</v>
      </c>
      <c r="AA293">
        <v>38214492</v>
      </c>
      <c r="AB293">
        <f t="shared" si="230"/>
        <v>18699.73</v>
      </c>
      <c r="AC293">
        <f t="shared" si="255"/>
        <v>18699.73</v>
      </c>
      <c r="AD293">
        <f t="shared" si="231"/>
        <v>0</v>
      </c>
      <c r="AE293">
        <f t="shared" si="232"/>
        <v>0</v>
      </c>
      <c r="AF293">
        <f t="shared" si="232"/>
        <v>0</v>
      </c>
      <c r="AG293">
        <f t="shared" si="233"/>
        <v>0</v>
      </c>
      <c r="AH293">
        <f t="shared" si="234"/>
        <v>0</v>
      </c>
      <c r="AI293">
        <f t="shared" si="234"/>
        <v>0</v>
      </c>
      <c r="AJ293">
        <f t="shared" si="235"/>
        <v>0</v>
      </c>
      <c r="AK293">
        <v>18699.73</v>
      </c>
      <c r="AL293">
        <v>18699.73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1</v>
      </c>
      <c r="AW293">
        <v>1</v>
      </c>
      <c r="AZ293">
        <v>1</v>
      </c>
      <c r="BA293">
        <v>1</v>
      </c>
      <c r="BB293">
        <v>1</v>
      </c>
      <c r="BC293">
        <v>1</v>
      </c>
      <c r="BD293" t="s">
        <v>3</v>
      </c>
      <c r="BE293" t="s">
        <v>3</v>
      </c>
      <c r="BF293" t="s">
        <v>3</v>
      </c>
      <c r="BG293" t="s">
        <v>3</v>
      </c>
      <c r="BH293">
        <v>3</v>
      </c>
      <c r="BI293">
        <v>1</v>
      </c>
      <c r="BJ293" t="s">
        <v>3</v>
      </c>
      <c r="BM293">
        <v>6001</v>
      </c>
      <c r="BN293">
        <v>0</v>
      </c>
      <c r="BO293" t="s">
        <v>3</v>
      </c>
      <c r="BP293">
        <v>0</v>
      </c>
      <c r="BQ293">
        <v>0</v>
      </c>
      <c r="BR293">
        <v>0</v>
      </c>
      <c r="BS293">
        <v>1</v>
      </c>
      <c r="BT293">
        <v>1</v>
      </c>
      <c r="BU293">
        <v>1</v>
      </c>
      <c r="BV293">
        <v>1</v>
      </c>
      <c r="BW293">
        <v>1</v>
      </c>
      <c r="BX293">
        <v>1</v>
      </c>
      <c r="BY293" t="s">
        <v>3</v>
      </c>
      <c r="BZ293">
        <v>0</v>
      </c>
      <c r="CA293">
        <v>0</v>
      </c>
      <c r="CE293">
        <v>0</v>
      </c>
      <c r="CF293">
        <v>0</v>
      </c>
      <c r="CG293">
        <v>0</v>
      </c>
      <c r="CM293">
        <v>0</v>
      </c>
      <c r="CN293" t="s">
        <v>3</v>
      </c>
      <c r="CO293">
        <v>0</v>
      </c>
      <c r="CP293">
        <f t="shared" si="236"/>
        <v>18699.73</v>
      </c>
      <c r="CQ293">
        <f t="shared" si="237"/>
        <v>18699.73</v>
      </c>
      <c r="CR293">
        <f t="shared" si="238"/>
        <v>0</v>
      </c>
      <c r="CS293">
        <f t="shared" si="239"/>
        <v>0</v>
      </c>
      <c r="CT293">
        <f t="shared" si="240"/>
        <v>0</v>
      </c>
      <c r="CU293">
        <f t="shared" si="241"/>
        <v>0</v>
      </c>
      <c r="CV293">
        <f t="shared" si="242"/>
        <v>0</v>
      </c>
      <c r="CW293">
        <f t="shared" si="243"/>
        <v>0</v>
      </c>
      <c r="CX293">
        <f t="shared" si="243"/>
        <v>0</v>
      </c>
      <c r="CY293">
        <f t="shared" si="244"/>
        <v>0</v>
      </c>
      <c r="CZ293">
        <f t="shared" si="245"/>
        <v>0</v>
      </c>
      <c r="DC293" t="s">
        <v>3</v>
      </c>
      <c r="DD293" t="s">
        <v>3</v>
      </c>
      <c r="DE293" t="s">
        <v>3</v>
      </c>
      <c r="DF293" t="s">
        <v>3</v>
      </c>
      <c r="DG293" t="s">
        <v>3</v>
      </c>
      <c r="DH293" t="s">
        <v>3</v>
      </c>
      <c r="DI293" t="s">
        <v>3</v>
      </c>
      <c r="DJ293" t="s">
        <v>3</v>
      </c>
      <c r="DK293" t="s">
        <v>3</v>
      </c>
      <c r="DL293" t="s">
        <v>3</v>
      </c>
      <c r="DM293" t="s">
        <v>3</v>
      </c>
      <c r="DN293">
        <v>0</v>
      </c>
      <c r="DO293">
        <v>0</v>
      </c>
      <c r="DP293">
        <v>1</v>
      </c>
      <c r="DQ293">
        <v>1</v>
      </c>
      <c r="DU293">
        <v>1010</v>
      </c>
      <c r="DV293" t="s">
        <v>123</v>
      </c>
      <c r="DW293" t="s">
        <v>123</v>
      </c>
      <c r="DX293">
        <v>1</v>
      </c>
      <c r="EE293">
        <v>38661473</v>
      </c>
      <c r="EF293">
        <v>0</v>
      </c>
      <c r="EG293" t="s">
        <v>130</v>
      </c>
      <c r="EH293">
        <v>0</v>
      </c>
      <c r="EI293" t="s">
        <v>3</v>
      </c>
      <c r="EJ293">
        <v>1</v>
      </c>
      <c r="EK293">
        <v>6001</v>
      </c>
      <c r="EL293" t="s">
        <v>131</v>
      </c>
      <c r="EM293" t="s">
        <v>130</v>
      </c>
      <c r="EO293" t="s">
        <v>3</v>
      </c>
      <c r="EQ293">
        <v>0</v>
      </c>
      <c r="ER293">
        <v>18699.73</v>
      </c>
      <c r="ES293">
        <v>18699.73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5</v>
      </c>
      <c r="FC293">
        <v>1</v>
      </c>
      <c r="FD293">
        <v>18</v>
      </c>
      <c r="FF293">
        <v>22439.67</v>
      </c>
      <c r="FQ293">
        <v>0</v>
      </c>
      <c r="FR293">
        <f t="shared" si="246"/>
        <v>0</v>
      </c>
      <c r="FS293">
        <v>0</v>
      </c>
      <c r="FX293">
        <v>0</v>
      </c>
      <c r="FY293">
        <v>0</v>
      </c>
      <c r="GA293" t="s">
        <v>156</v>
      </c>
      <c r="GD293">
        <v>0</v>
      </c>
      <c r="GF293">
        <v>918400748</v>
      </c>
      <c r="GG293">
        <v>2</v>
      </c>
      <c r="GH293">
        <v>3</v>
      </c>
      <c r="GI293">
        <v>-2</v>
      </c>
      <c r="GJ293">
        <v>0</v>
      </c>
      <c r="GK293">
        <f>ROUND(R293*(R12)/100,2)</f>
        <v>0</v>
      </c>
      <c r="GL293">
        <f t="shared" si="247"/>
        <v>0</v>
      </c>
      <c r="GM293">
        <f t="shared" si="248"/>
        <v>18699.73</v>
      </c>
      <c r="GN293">
        <f t="shared" si="249"/>
        <v>18699.73</v>
      </c>
      <c r="GO293">
        <f t="shared" si="250"/>
        <v>0</v>
      </c>
      <c r="GP293">
        <f t="shared" si="251"/>
        <v>0</v>
      </c>
      <c r="GR293">
        <v>1</v>
      </c>
      <c r="GS293">
        <v>1</v>
      </c>
      <c r="GT293">
        <v>0</v>
      </c>
      <c r="GU293" t="s">
        <v>3</v>
      </c>
      <c r="GV293">
        <f t="shared" si="252"/>
        <v>0</v>
      </c>
      <c r="GW293">
        <v>1</v>
      </c>
      <c r="GX293">
        <f t="shared" si="253"/>
        <v>0</v>
      </c>
      <c r="HA293">
        <v>0</v>
      </c>
      <c r="HB293">
        <v>0</v>
      </c>
      <c r="HC293">
        <f t="shared" si="254"/>
        <v>0</v>
      </c>
      <c r="HE293" t="s">
        <v>153</v>
      </c>
      <c r="HF293" t="s">
        <v>153</v>
      </c>
      <c r="IK293">
        <v>0</v>
      </c>
    </row>
    <row r="294" spans="1:245" x14ac:dyDescent="0.2">
      <c r="A294">
        <v>17</v>
      </c>
      <c r="B294">
        <v>1</v>
      </c>
      <c r="E294" t="s">
        <v>242</v>
      </c>
      <c r="F294" t="s">
        <v>129</v>
      </c>
      <c r="G294" t="s">
        <v>158</v>
      </c>
      <c r="H294" t="s">
        <v>123</v>
      </c>
      <c r="I294">
        <v>1</v>
      </c>
      <c r="J294">
        <v>0</v>
      </c>
      <c r="O294">
        <f t="shared" si="220"/>
        <v>17050</v>
      </c>
      <c r="P294">
        <f t="shared" si="221"/>
        <v>17050</v>
      </c>
      <c r="Q294">
        <f t="shared" si="222"/>
        <v>0</v>
      </c>
      <c r="R294">
        <f t="shared" si="223"/>
        <v>0</v>
      </c>
      <c r="S294">
        <f t="shared" si="224"/>
        <v>0</v>
      </c>
      <c r="T294">
        <f t="shared" si="225"/>
        <v>0</v>
      </c>
      <c r="U294">
        <f t="shared" si="226"/>
        <v>0</v>
      </c>
      <c r="V294">
        <f t="shared" si="227"/>
        <v>0</v>
      </c>
      <c r="W294">
        <f t="shared" si="228"/>
        <v>0</v>
      </c>
      <c r="X294">
        <f t="shared" si="229"/>
        <v>0</v>
      </c>
      <c r="Y294">
        <f t="shared" si="229"/>
        <v>0</v>
      </c>
      <c r="AA294">
        <v>38214492</v>
      </c>
      <c r="AB294">
        <f t="shared" si="230"/>
        <v>17050</v>
      </c>
      <c r="AC294">
        <f t="shared" si="255"/>
        <v>17050</v>
      </c>
      <c r="AD294">
        <f t="shared" si="231"/>
        <v>0</v>
      </c>
      <c r="AE294">
        <f t="shared" si="232"/>
        <v>0</v>
      </c>
      <c r="AF294">
        <f t="shared" si="232"/>
        <v>0</v>
      </c>
      <c r="AG294">
        <f t="shared" si="233"/>
        <v>0</v>
      </c>
      <c r="AH294">
        <f t="shared" si="234"/>
        <v>0</v>
      </c>
      <c r="AI294">
        <f t="shared" si="234"/>
        <v>0</v>
      </c>
      <c r="AJ294">
        <f t="shared" si="235"/>
        <v>0</v>
      </c>
      <c r="AK294">
        <v>17050</v>
      </c>
      <c r="AL294">
        <v>17050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1</v>
      </c>
      <c r="AW294">
        <v>1</v>
      </c>
      <c r="AZ294">
        <v>1</v>
      </c>
      <c r="BA294">
        <v>1</v>
      </c>
      <c r="BB294">
        <v>1</v>
      </c>
      <c r="BC294">
        <v>1</v>
      </c>
      <c r="BD294" t="s">
        <v>3</v>
      </c>
      <c r="BE294" t="s">
        <v>3</v>
      </c>
      <c r="BF294" t="s">
        <v>3</v>
      </c>
      <c r="BG294" t="s">
        <v>3</v>
      </c>
      <c r="BH294">
        <v>3</v>
      </c>
      <c r="BI294">
        <v>1</v>
      </c>
      <c r="BJ294" t="s">
        <v>3</v>
      </c>
      <c r="BM294">
        <v>6001</v>
      </c>
      <c r="BN294">
        <v>0</v>
      </c>
      <c r="BO294" t="s">
        <v>3</v>
      </c>
      <c r="BP294">
        <v>0</v>
      </c>
      <c r="BQ294">
        <v>0</v>
      </c>
      <c r="BR294">
        <v>0</v>
      </c>
      <c r="BS294">
        <v>1</v>
      </c>
      <c r="BT294">
        <v>1</v>
      </c>
      <c r="BU294">
        <v>1</v>
      </c>
      <c r="BV294">
        <v>1</v>
      </c>
      <c r="BW294">
        <v>1</v>
      </c>
      <c r="BX294">
        <v>1</v>
      </c>
      <c r="BY294" t="s">
        <v>3</v>
      </c>
      <c r="BZ294">
        <v>0</v>
      </c>
      <c r="CA294">
        <v>0</v>
      </c>
      <c r="CE294">
        <v>0</v>
      </c>
      <c r="CF294">
        <v>0</v>
      </c>
      <c r="CG294">
        <v>0</v>
      </c>
      <c r="CM294">
        <v>0</v>
      </c>
      <c r="CN294" t="s">
        <v>3</v>
      </c>
      <c r="CO294">
        <v>0</v>
      </c>
      <c r="CP294">
        <f t="shared" si="236"/>
        <v>17050</v>
      </c>
      <c r="CQ294">
        <f t="shared" si="237"/>
        <v>17050</v>
      </c>
      <c r="CR294">
        <f t="shared" si="238"/>
        <v>0</v>
      </c>
      <c r="CS294">
        <f t="shared" si="239"/>
        <v>0</v>
      </c>
      <c r="CT294">
        <f t="shared" si="240"/>
        <v>0</v>
      </c>
      <c r="CU294">
        <f t="shared" si="241"/>
        <v>0</v>
      </c>
      <c r="CV294">
        <f t="shared" si="242"/>
        <v>0</v>
      </c>
      <c r="CW294">
        <f t="shared" si="243"/>
        <v>0</v>
      </c>
      <c r="CX294">
        <f t="shared" si="243"/>
        <v>0</v>
      </c>
      <c r="CY294">
        <f t="shared" si="244"/>
        <v>0</v>
      </c>
      <c r="CZ294">
        <f t="shared" si="245"/>
        <v>0</v>
      </c>
      <c r="DC294" t="s">
        <v>3</v>
      </c>
      <c r="DD294" t="s">
        <v>3</v>
      </c>
      <c r="DE294" t="s">
        <v>3</v>
      </c>
      <c r="DF294" t="s">
        <v>3</v>
      </c>
      <c r="DG294" t="s">
        <v>3</v>
      </c>
      <c r="DH294" t="s">
        <v>3</v>
      </c>
      <c r="DI294" t="s">
        <v>3</v>
      </c>
      <c r="DJ294" t="s">
        <v>3</v>
      </c>
      <c r="DK294" t="s">
        <v>3</v>
      </c>
      <c r="DL294" t="s">
        <v>3</v>
      </c>
      <c r="DM294" t="s">
        <v>3</v>
      </c>
      <c r="DN294">
        <v>0</v>
      </c>
      <c r="DO294">
        <v>0</v>
      </c>
      <c r="DP294">
        <v>1</v>
      </c>
      <c r="DQ294">
        <v>1</v>
      </c>
      <c r="DU294">
        <v>1010</v>
      </c>
      <c r="DV294" t="s">
        <v>123</v>
      </c>
      <c r="DW294" t="s">
        <v>123</v>
      </c>
      <c r="DX294">
        <v>1</v>
      </c>
      <c r="EE294">
        <v>38661473</v>
      </c>
      <c r="EF294">
        <v>0</v>
      </c>
      <c r="EG294" t="s">
        <v>130</v>
      </c>
      <c r="EH294">
        <v>0</v>
      </c>
      <c r="EI294" t="s">
        <v>3</v>
      </c>
      <c r="EJ294">
        <v>1</v>
      </c>
      <c r="EK294">
        <v>6001</v>
      </c>
      <c r="EL294" t="s">
        <v>131</v>
      </c>
      <c r="EM294" t="s">
        <v>130</v>
      </c>
      <c r="EO294" t="s">
        <v>3</v>
      </c>
      <c r="EQ294">
        <v>0</v>
      </c>
      <c r="ER294">
        <v>17050</v>
      </c>
      <c r="ES294">
        <v>17050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5</v>
      </c>
      <c r="FC294">
        <v>1</v>
      </c>
      <c r="FD294">
        <v>18</v>
      </c>
      <c r="FF294">
        <v>20460</v>
      </c>
      <c r="FQ294">
        <v>0</v>
      </c>
      <c r="FR294">
        <f t="shared" si="246"/>
        <v>0</v>
      </c>
      <c r="FS294">
        <v>0</v>
      </c>
      <c r="FX294">
        <v>0</v>
      </c>
      <c r="FY294">
        <v>0</v>
      </c>
      <c r="GA294" t="s">
        <v>159</v>
      </c>
      <c r="GD294">
        <v>0</v>
      </c>
      <c r="GF294">
        <v>557786794</v>
      </c>
      <c r="GG294">
        <v>2</v>
      </c>
      <c r="GH294">
        <v>3</v>
      </c>
      <c r="GI294">
        <v>-2</v>
      </c>
      <c r="GJ294">
        <v>0</v>
      </c>
      <c r="GK294">
        <f>ROUND(R294*(R12)/100,2)</f>
        <v>0</v>
      </c>
      <c r="GL294">
        <f t="shared" si="247"/>
        <v>0</v>
      </c>
      <c r="GM294">
        <f t="shared" si="248"/>
        <v>17050</v>
      </c>
      <c r="GN294">
        <f t="shared" si="249"/>
        <v>17050</v>
      </c>
      <c r="GO294">
        <f t="shared" si="250"/>
        <v>0</v>
      </c>
      <c r="GP294">
        <f t="shared" si="251"/>
        <v>0</v>
      </c>
      <c r="GR294">
        <v>1</v>
      </c>
      <c r="GS294">
        <v>1</v>
      </c>
      <c r="GT294">
        <v>0</v>
      </c>
      <c r="GU294" t="s">
        <v>3</v>
      </c>
      <c r="GV294">
        <f t="shared" si="252"/>
        <v>0</v>
      </c>
      <c r="GW294">
        <v>1</v>
      </c>
      <c r="GX294">
        <f t="shared" si="253"/>
        <v>0</v>
      </c>
      <c r="HA294">
        <v>0</v>
      </c>
      <c r="HB294">
        <v>0</v>
      </c>
      <c r="HC294">
        <f t="shared" si="254"/>
        <v>0</v>
      </c>
      <c r="HE294" t="s">
        <v>153</v>
      </c>
      <c r="HF294" t="s">
        <v>153</v>
      </c>
      <c r="IK294">
        <v>0</v>
      </c>
    </row>
    <row r="295" spans="1:245" x14ac:dyDescent="0.2">
      <c r="A295">
        <v>17</v>
      </c>
      <c r="B295">
        <v>1</v>
      </c>
      <c r="E295" t="s">
        <v>243</v>
      </c>
      <c r="F295" t="s">
        <v>129</v>
      </c>
      <c r="G295" t="s">
        <v>161</v>
      </c>
      <c r="H295" t="s">
        <v>123</v>
      </c>
      <c r="I295">
        <v>1</v>
      </c>
      <c r="J295">
        <v>0</v>
      </c>
      <c r="O295">
        <f t="shared" si="220"/>
        <v>17277.78</v>
      </c>
      <c r="P295">
        <f t="shared" si="221"/>
        <v>17277.78</v>
      </c>
      <c r="Q295">
        <f t="shared" si="222"/>
        <v>0</v>
      </c>
      <c r="R295">
        <f t="shared" si="223"/>
        <v>0</v>
      </c>
      <c r="S295">
        <f t="shared" si="224"/>
        <v>0</v>
      </c>
      <c r="T295">
        <f t="shared" si="225"/>
        <v>0</v>
      </c>
      <c r="U295">
        <f t="shared" si="226"/>
        <v>0</v>
      </c>
      <c r="V295">
        <f t="shared" si="227"/>
        <v>0</v>
      </c>
      <c r="W295">
        <f t="shared" si="228"/>
        <v>0</v>
      </c>
      <c r="X295">
        <f t="shared" si="229"/>
        <v>0</v>
      </c>
      <c r="Y295">
        <f t="shared" si="229"/>
        <v>0</v>
      </c>
      <c r="AA295">
        <v>38214492</v>
      </c>
      <c r="AB295">
        <f t="shared" si="230"/>
        <v>17277.78</v>
      </c>
      <c r="AC295">
        <f t="shared" si="255"/>
        <v>17277.78</v>
      </c>
      <c r="AD295">
        <f t="shared" si="231"/>
        <v>0</v>
      </c>
      <c r="AE295">
        <f t="shared" si="232"/>
        <v>0</v>
      </c>
      <c r="AF295">
        <f t="shared" si="232"/>
        <v>0</v>
      </c>
      <c r="AG295">
        <f t="shared" si="233"/>
        <v>0</v>
      </c>
      <c r="AH295">
        <f t="shared" si="234"/>
        <v>0</v>
      </c>
      <c r="AI295">
        <f t="shared" si="234"/>
        <v>0</v>
      </c>
      <c r="AJ295">
        <f t="shared" si="235"/>
        <v>0</v>
      </c>
      <c r="AK295">
        <v>17277.78</v>
      </c>
      <c r="AL295">
        <v>17277.78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1</v>
      </c>
      <c r="AW295">
        <v>1</v>
      </c>
      <c r="AZ295">
        <v>1</v>
      </c>
      <c r="BA295">
        <v>1</v>
      </c>
      <c r="BB295">
        <v>1</v>
      </c>
      <c r="BC295">
        <v>1</v>
      </c>
      <c r="BD295" t="s">
        <v>3</v>
      </c>
      <c r="BE295" t="s">
        <v>3</v>
      </c>
      <c r="BF295" t="s">
        <v>3</v>
      </c>
      <c r="BG295" t="s">
        <v>3</v>
      </c>
      <c r="BH295">
        <v>3</v>
      </c>
      <c r="BI295">
        <v>1</v>
      </c>
      <c r="BJ295" t="s">
        <v>3</v>
      </c>
      <c r="BM295">
        <v>6001</v>
      </c>
      <c r="BN295">
        <v>0</v>
      </c>
      <c r="BO295" t="s">
        <v>3</v>
      </c>
      <c r="BP295">
        <v>0</v>
      </c>
      <c r="BQ295">
        <v>0</v>
      </c>
      <c r="BR295">
        <v>0</v>
      </c>
      <c r="BS295">
        <v>1</v>
      </c>
      <c r="BT295">
        <v>1</v>
      </c>
      <c r="BU295">
        <v>1</v>
      </c>
      <c r="BV295">
        <v>1</v>
      </c>
      <c r="BW295">
        <v>1</v>
      </c>
      <c r="BX295">
        <v>1</v>
      </c>
      <c r="BY295" t="s">
        <v>3</v>
      </c>
      <c r="BZ295">
        <v>0</v>
      </c>
      <c r="CA295">
        <v>0</v>
      </c>
      <c r="CE295">
        <v>0</v>
      </c>
      <c r="CF295">
        <v>0</v>
      </c>
      <c r="CG295">
        <v>0</v>
      </c>
      <c r="CM295">
        <v>0</v>
      </c>
      <c r="CN295" t="s">
        <v>3</v>
      </c>
      <c r="CO295">
        <v>0</v>
      </c>
      <c r="CP295">
        <f t="shared" si="236"/>
        <v>17277.78</v>
      </c>
      <c r="CQ295">
        <f t="shared" si="237"/>
        <v>17277.78</v>
      </c>
      <c r="CR295">
        <f t="shared" si="238"/>
        <v>0</v>
      </c>
      <c r="CS295">
        <f t="shared" si="239"/>
        <v>0</v>
      </c>
      <c r="CT295">
        <f t="shared" si="240"/>
        <v>0</v>
      </c>
      <c r="CU295">
        <f t="shared" si="241"/>
        <v>0</v>
      </c>
      <c r="CV295">
        <f t="shared" si="242"/>
        <v>0</v>
      </c>
      <c r="CW295">
        <f t="shared" si="243"/>
        <v>0</v>
      </c>
      <c r="CX295">
        <f t="shared" si="243"/>
        <v>0</v>
      </c>
      <c r="CY295">
        <f t="shared" si="244"/>
        <v>0</v>
      </c>
      <c r="CZ295">
        <f t="shared" si="245"/>
        <v>0</v>
      </c>
      <c r="DC295" t="s">
        <v>3</v>
      </c>
      <c r="DD295" t="s">
        <v>3</v>
      </c>
      <c r="DE295" t="s">
        <v>3</v>
      </c>
      <c r="DF295" t="s">
        <v>3</v>
      </c>
      <c r="DG295" t="s">
        <v>3</v>
      </c>
      <c r="DH295" t="s">
        <v>3</v>
      </c>
      <c r="DI295" t="s">
        <v>3</v>
      </c>
      <c r="DJ295" t="s">
        <v>3</v>
      </c>
      <c r="DK295" t="s">
        <v>3</v>
      </c>
      <c r="DL295" t="s">
        <v>3</v>
      </c>
      <c r="DM295" t="s">
        <v>3</v>
      </c>
      <c r="DN295">
        <v>0</v>
      </c>
      <c r="DO295">
        <v>0</v>
      </c>
      <c r="DP295">
        <v>1</v>
      </c>
      <c r="DQ295">
        <v>1</v>
      </c>
      <c r="DU295">
        <v>1010</v>
      </c>
      <c r="DV295" t="s">
        <v>123</v>
      </c>
      <c r="DW295" t="s">
        <v>123</v>
      </c>
      <c r="DX295">
        <v>1</v>
      </c>
      <c r="EE295">
        <v>38661473</v>
      </c>
      <c r="EF295">
        <v>0</v>
      </c>
      <c r="EG295" t="s">
        <v>130</v>
      </c>
      <c r="EH295">
        <v>0</v>
      </c>
      <c r="EI295" t="s">
        <v>3</v>
      </c>
      <c r="EJ295">
        <v>1</v>
      </c>
      <c r="EK295">
        <v>6001</v>
      </c>
      <c r="EL295" t="s">
        <v>131</v>
      </c>
      <c r="EM295" t="s">
        <v>130</v>
      </c>
      <c r="EO295" t="s">
        <v>3</v>
      </c>
      <c r="EQ295">
        <v>0</v>
      </c>
      <c r="ER295">
        <v>17277.78</v>
      </c>
      <c r="ES295">
        <v>17277.78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5</v>
      </c>
      <c r="FC295">
        <v>1</v>
      </c>
      <c r="FD295">
        <v>18</v>
      </c>
      <c r="FF295">
        <v>20733.330000000002</v>
      </c>
      <c r="FQ295">
        <v>0</v>
      </c>
      <c r="FR295">
        <f t="shared" si="246"/>
        <v>0</v>
      </c>
      <c r="FS295">
        <v>0</v>
      </c>
      <c r="FX295">
        <v>0</v>
      </c>
      <c r="FY295">
        <v>0</v>
      </c>
      <c r="GA295" t="s">
        <v>162</v>
      </c>
      <c r="GD295">
        <v>0</v>
      </c>
      <c r="GF295">
        <v>942564012</v>
      </c>
      <c r="GG295">
        <v>2</v>
      </c>
      <c r="GH295">
        <v>3</v>
      </c>
      <c r="GI295">
        <v>-2</v>
      </c>
      <c r="GJ295">
        <v>0</v>
      </c>
      <c r="GK295">
        <f>ROUND(R295*(R12)/100,2)</f>
        <v>0</v>
      </c>
      <c r="GL295">
        <f t="shared" si="247"/>
        <v>0</v>
      </c>
      <c r="GM295">
        <f t="shared" si="248"/>
        <v>17277.78</v>
      </c>
      <c r="GN295">
        <f t="shared" si="249"/>
        <v>17277.78</v>
      </c>
      <c r="GO295">
        <f t="shared" si="250"/>
        <v>0</v>
      </c>
      <c r="GP295">
        <f t="shared" si="251"/>
        <v>0</v>
      </c>
      <c r="GR295">
        <v>1</v>
      </c>
      <c r="GS295">
        <v>1</v>
      </c>
      <c r="GT295">
        <v>0</v>
      </c>
      <c r="GU295" t="s">
        <v>3</v>
      </c>
      <c r="GV295">
        <f t="shared" si="252"/>
        <v>0</v>
      </c>
      <c r="GW295">
        <v>1</v>
      </c>
      <c r="GX295">
        <f t="shared" si="253"/>
        <v>0</v>
      </c>
      <c r="HA295">
        <v>0</v>
      </c>
      <c r="HB295">
        <v>0</v>
      </c>
      <c r="HC295">
        <f t="shared" si="254"/>
        <v>0</v>
      </c>
      <c r="HE295" t="s">
        <v>153</v>
      </c>
      <c r="HF295" t="s">
        <v>153</v>
      </c>
      <c r="IK295">
        <v>0</v>
      </c>
    </row>
    <row r="296" spans="1:245" x14ac:dyDescent="0.2">
      <c r="A296">
        <v>17</v>
      </c>
      <c r="B296">
        <v>1</v>
      </c>
      <c r="E296" t="s">
        <v>244</v>
      </c>
      <c r="F296" t="s">
        <v>129</v>
      </c>
      <c r="G296" t="s">
        <v>164</v>
      </c>
      <c r="H296" t="s">
        <v>123</v>
      </c>
      <c r="I296">
        <v>1</v>
      </c>
      <c r="J296">
        <v>0</v>
      </c>
      <c r="O296">
        <f t="shared" si="220"/>
        <v>19411.11</v>
      </c>
      <c r="P296">
        <f t="shared" si="221"/>
        <v>19411.11</v>
      </c>
      <c r="Q296">
        <f t="shared" si="222"/>
        <v>0</v>
      </c>
      <c r="R296">
        <f t="shared" si="223"/>
        <v>0</v>
      </c>
      <c r="S296">
        <f t="shared" si="224"/>
        <v>0</v>
      </c>
      <c r="T296">
        <f t="shared" si="225"/>
        <v>0</v>
      </c>
      <c r="U296">
        <f t="shared" si="226"/>
        <v>0</v>
      </c>
      <c r="V296">
        <f t="shared" si="227"/>
        <v>0</v>
      </c>
      <c r="W296">
        <f t="shared" si="228"/>
        <v>0</v>
      </c>
      <c r="X296">
        <f t="shared" si="229"/>
        <v>0</v>
      </c>
      <c r="Y296">
        <f t="shared" si="229"/>
        <v>0</v>
      </c>
      <c r="AA296">
        <v>38214492</v>
      </c>
      <c r="AB296">
        <f t="shared" si="230"/>
        <v>19411.11</v>
      </c>
      <c r="AC296">
        <f t="shared" si="255"/>
        <v>19411.11</v>
      </c>
      <c r="AD296">
        <f t="shared" si="231"/>
        <v>0</v>
      </c>
      <c r="AE296">
        <f t="shared" si="232"/>
        <v>0</v>
      </c>
      <c r="AF296">
        <f t="shared" si="232"/>
        <v>0</v>
      </c>
      <c r="AG296">
        <f t="shared" si="233"/>
        <v>0</v>
      </c>
      <c r="AH296">
        <f t="shared" si="234"/>
        <v>0</v>
      </c>
      <c r="AI296">
        <f t="shared" si="234"/>
        <v>0</v>
      </c>
      <c r="AJ296">
        <f t="shared" si="235"/>
        <v>0</v>
      </c>
      <c r="AK296">
        <v>19411.11</v>
      </c>
      <c r="AL296">
        <v>19411.11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1</v>
      </c>
      <c r="AW296">
        <v>1</v>
      </c>
      <c r="AZ296">
        <v>1</v>
      </c>
      <c r="BA296">
        <v>1</v>
      </c>
      <c r="BB296">
        <v>1</v>
      </c>
      <c r="BC296">
        <v>1</v>
      </c>
      <c r="BD296" t="s">
        <v>3</v>
      </c>
      <c r="BE296" t="s">
        <v>3</v>
      </c>
      <c r="BF296" t="s">
        <v>3</v>
      </c>
      <c r="BG296" t="s">
        <v>3</v>
      </c>
      <c r="BH296">
        <v>3</v>
      </c>
      <c r="BI296">
        <v>1</v>
      </c>
      <c r="BJ296" t="s">
        <v>3</v>
      </c>
      <c r="BM296">
        <v>6001</v>
      </c>
      <c r="BN296">
        <v>0</v>
      </c>
      <c r="BO296" t="s">
        <v>3</v>
      </c>
      <c r="BP296">
        <v>0</v>
      </c>
      <c r="BQ296">
        <v>0</v>
      </c>
      <c r="BR296">
        <v>0</v>
      </c>
      <c r="BS296">
        <v>1</v>
      </c>
      <c r="BT296">
        <v>1</v>
      </c>
      <c r="BU296">
        <v>1</v>
      </c>
      <c r="BV296">
        <v>1</v>
      </c>
      <c r="BW296">
        <v>1</v>
      </c>
      <c r="BX296">
        <v>1</v>
      </c>
      <c r="BY296" t="s">
        <v>3</v>
      </c>
      <c r="BZ296">
        <v>0</v>
      </c>
      <c r="CA296">
        <v>0</v>
      </c>
      <c r="CE296">
        <v>0</v>
      </c>
      <c r="CF296">
        <v>0</v>
      </c>
      <c r="CG296">
        <v>0</v>
      </c>
      <c r="CM296">
        <v>0</v>
      </c>
      <c r="CN296" t="s">
        <v>3</v>
      </c>
      <c r="CO296">
        <v>0</v>
      </c>
      <c r="CP296">
        <f t="shared" si="236"/>
        <v>19411.11</v>
      </c>
      <c r="CQ296">
        <f t="shared" si="237"/>
        <v>19411.11</v>
      </c>
      <c r="CR296">
        <f t="shared" si="238"/>
        <v>0</v>
      </c>
      <c r="CS296">
        <f t="shared" si="239"/>
        <v>0</v>
      </c>
      <c r="CT296">
        <f t="shared" si="240"/>
        <v>0</v>
      </c>
      <c r="CU296">
        <f t="shared" si="241"/>
        <v>0</v>
      </c>
      <c r="CV296">
        <f t="shared" si="242"/>
        <v>0</v>
      </c>
      <c r="CW296">
        <f t="shared" si="243"/>
        <v>0</v>
      </c>
      <c r="CX296">
        <f t="shared" si="243"/>
        <v>0</v>
      </c>
      <c r="CY296">
        <f t="shared" si="244"/>
        <v>0</v>
      </c>
      <c r="CZ296">
        <f t="shared" si="245"/>
        <v>0</v>
      </c>
      <c r="DC296" t="s">
        <v>3</v>
      </c>
      <c r="DD296" t="s">
        <v>3</v>
      </c>
      <c r="DE296" t="s">
        <v>3</v>
      </c>
      <c r="DF296" t="s">
        <v>3</v>
      </c>
      <c r="DG296" t="s">
        <v>3</v>
      </c>
      <c r="DH296" t="s">
        <v>3</v>
      </c>
      <c r="DI296" t="s">
        <v>3</v>
      </c>
      <c r="DJ296" t="s">
        <v>3</v>
      </c>
      <c r="DK296" t="s">
        <v>3</v>
      </c>
      <c r="DL296" t="s">
        <v>3</v>
      </c>
      <c r="DM296" t="s">
        <v>3</v>
      </c>
      <c r="DN296">
        <v>0</v>
      </c>
      <c r="DO296">
        <v>0</v>
      </c>
      <c r="DP296">
        <v>1</v>
      </c>
      <c r="DQ296">
        <v>1</v>
      </c>
      <c r="DU296">
        <v>1010</v>
      </c>
      <c r="DV296" t="s">
        <v>123</v>
      </c>
      <c r="DW296" t="s">
        <v>123</v>
      </c>
      <c r="DX296">
        <v>1</v>
      </c>
      <c r="EE296">
        <v>38661473</v>
      </c>
      <c r="EF296">
        <v>0</v>
      </c>
      <c r="EG296" t="s">
        <v>130</v>
      </c>
      <c r="EH296">
        <v>0</v>
      </c>
      <c r="EI296" t="s">
        <v>3</v>
      </c>
      <c r="EJ296">
        <v>1</v>
      </c>
      <c r="EK296">
        <v>6001</v>
      </c>
      <c r="EL296" t="s">
        <v>131</v>
      </c>
      <c r="EM296" t="s">
        <v>130</v>
      </c>
      <c r="EO296" t="s">
        <v>3</v>
      </c>
      <c r="EQ296">
        <v>0</v>
      </c>
      <c r="ER296">
        <v>19411.11</v>
      </c>
      <c r="ES296">
        <v>19411.11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5</v>
      </c>
      <c r="FC296">
        <v>1</v>
      </c>
      <c r="FD296">
        <v>18</v>
      </c>
      <c r="FF296">
        <v>23293.33</v>
      </c>
      <c r="FQ296">
        <v>0</v>
      </c>
      <c r="FR296">
        <f t="shared" si="246"/>
        <v>0</v>
      </c>
      <c r="FS296">
        <v>0</v>
      </c>
      <c r="FX296">
        <v>0</v>
      </c>
      <c r="FY296">
        <v>0</v>
      </c>
      <c r="GA296" t="s">
        <v>165</v>
      </c>
      <c r="GD296">
        <v>0</v>
      </c>
      <c r="GF296">
        <v>846467407</v>
      </c>
      <c r="GG296">
        <v>2</v>
      </c>
      <c r="GH296">
        <v>3</v>
      </c>
      <c r="GI296">
        <v>-2</v>
      </c>
      <c r="GJ296">
        <v>0</v>
      </c>
      <c r="GK296">
        <f>ROUND(R296*(R12)/100,2)</f>
        <v>0</v>
      </c>
      <c r="GL296">
        <f t="shared" si="247"/>
        <v>0</v>
      </c>
      <c r="GM296">
        <f t="shared" si="248"/>
        <v>19411.11</v>
      </c>
      <c r="GN296">
        <f t="shared" si="249"/>
        <v>19411.11</v>
      </c>
      <c r="GO296">
        <f t="shared" si="250"/>
        <v>0</v>
      </c>
      <c r="GP296">
        <f t="shared" si="251"/>
        <v>0</v>
      </c>
      <c r="GR296">
        <v>1</v>
      </c>
      <c r="GS296">
        <v>1</v>
      </c>
      <c r="GT296">
        <v>0</v>
      </c>
      <c r="GU296" t="s">
        <v>3</v>
      </c>
      <c r="GV296">
        <f t="shared" si="252"/>
        <v>0</v>
      </c>
      <c r="GW296">
        <v>1</v>
      </c>
      <c r="GX296">
        <f t="shared" si="253"/>
        <v>0</v>
      </c>
      <c r="HA296">
        <v>0</v>
      </c>
      <c r="HB296">
        <v>0</v>
      </c>
      <c r="HC296">
        <f t="shared" si="254"/>
        <v>0</v>
      </c>
      <c r="HE296" t="s">
        <v>153</v>
      </c>
      <c r="HF296" t="s">
        <v>153</v>
      </c>
      <c r="IK296">
        <v>0</v>
      </c>
    </row>
    <row r="297" spans="1:245" x14ac:dyDescent="0.2">
      <c r="A297">
        <v>17</v>
      </c>
      <c r="B297">
        <v>1</v>
      </c>
      <c r="E297" t="s">
        <v>245</v>
      </c>
      <c r="F297" t="s">
        <v>129</v>
      </c>
      <c r="G297" t="s">
        <v>167</v>
      </c>
      <c r="H297" t="s">
        <v>123</v>
      </c>
      <c r="I297">
        <v>1</v>
      </c>
      <c r="J297">
        <v>0</v>
      </c>
      <c r="O297">
        <f t="shared" si="220"/>
        <v>9847.23</v>
      </c>
      <c r="P297">
        <f t="shared" si="221"/>
        <v>9847.23</v>
      </c>
      <c r="Q297">
        <f t="shared" si="222"/>
        <v>0</v>
      </c>
      <c r="R297">
        <f t="shared" si="223"/>
        <v>0</v>
      </c>
      <c r="S297">
        <f t="shared" si="224"/>
        <v>0</v>
      </c>
      <c r="T297">
        <f t="shared" si="225"/>
        <v>0</v>
      </c>
      <c r="U297">
        <f t="shared" si="226"/>
        <v>0</v>
      </c>
      <c r="V297">
        <f t="shared" si="227"/>
        <v>0</v>
      </c>
      <c r="W297">
        <f t="shared" si="228"/>
        <v>0</v>
      </c>
      <c r="X297">
        <f t="shared" si="229"/>
        <v>0</v>
      </c>
      <c r="Y297">
        <f t="shared" si="229"/>
        <v>0</v>
      </c>
      <c r="AA297">
        <v>38214492</v>
      </c>
      <c r="AB297">
        <f t="shared" si="230"/>
        <v>9847.23</v>
      </c>
      <c r="AC297">
        <f t="shared" si="255"/>
        <v>9847.23</v>
      </c>
      <c r="AD297">
        <f t="shared" si="231"/>
        <v>0</v>
      </c>
      <c r="AE297">
        <f t="shared" si="232"/>
        <v>0</v>
      </c>
      <c r="AF297">
        <f t="shared" si="232"/>
        <v>0</v>
      </c>
      <c r="AG297">
        <f t="shared" si="233"/>
        <v>0</v>
      </c>
      <c r="AH297">
        <f t="shared" si="234"/>
        <v>0</v>
      </c>
      <c r="AI297">
        <f t="shared" si="234"/>
        <v>0</v>
      </c>
      <c r="AJ297">
        <f t="shared" si="235"/>
        <v>0</v>
      </c>
      <c r="AK297">
        <v>9847.23</v>
      </c>
      <c r="AL297">
        <v>9847.23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1</v>
      </c>
      <c r="AW297">
        <v>1</v>
      </c>
      <c r="AZ297">
        <v>1</v>
      </c>
      <c r="BA297">
        <v>1</v>
      </c>
      <c r="BB297">
        <v>1</v>
      </c>
      <c r="BC297">
        <v>1</v>
      </c>
      <c r="BD297" t="s">
        <v>3</v>
      </c>
      <c r="BE297" t="s">
        <v>3</v>
      </c>
      <c r="BF297" t="s">
        <v>3</v>
      </c>
      <c r="BG297" t="s">
        <v>3</v>
      </c>
      <c r="BH297">
        <v>3</v>
      </c>
      <c r="BI297">
        <v>1</v>
      </c>
      <c r="BJ297" t="s">
        <v>3</v>
      </c>
      <c r="BM297">
        <v>6001</v>
      </c>
      <c r="BN297">
        <v>0</v>
      </c>
      <c r="BO297" t="s">
        <v>3</v>
      </c>
      <c r="BP297">
        <v>0</v>
      </c>
      <c r="BQ297">
        <v>0</v>
      </c>
      <c r="BR297">
        <v>0</v>
      </c>
      <c r="BS297">
        <v>1</v>
      </c>
      <c r="BT297">
        <v>1</v>
      </c>
      <c r="BU297">
        <v>1</v>
      </c>
      <c r="BV297">
        <v>1</v>
      </c>
      <c r="BW297">
        <v>1</v>
      </c>
      <c r="BX297">
        <v>1</v>
      </c>
      <c r="BY297" t="s">
        <v>3</v>
      </c>
      <c r="BZ297">
        <v>0</v>
      </c>
      <c r="CA297">
        <v>0</v>
      </c>
      <c r="CE297">
        <v>0</v>
      </c>
      <c r="CF297">
        <v>0</v>
      </c>
      <c r="CG297">
        <v>0</v>
      </c>
      <c r="CM297">
        <v>0</v>
      </c>
      <c r="CN297" t="s">
        <v>3</v>
      </c>
      <c r="CO297">
        <v>0</v>
      </c>
      <c r="CP297">
        <f t="shared" si="236"/>
        <v>9847.23</v>
      </c>
      <c r="CQ297">
        <f t="shared" si="237"/>
        <v>9847.23</v>
      </c>
      <c r="CR297">
        <f t="shared" si="238"/>
        <v>0</v>
      </c>
      <c r="CS297">
        <f t="shared" si="239"/>
        <v>0</v>
      </c>
      <c r="CT297">
        <f t="shared" si="240"/>
        <v>0</v>
      </c>
      <c r="CU297">
        <f t="shared" si="241"/>
        <v>0</v>
      </c>
      <c r="CV297">
        <f t="shared" si="242"/>
        <v>0</v>
      </c>
      <c r="CW297">
        <f t="shared" si="243"/>
        <v>0</v>
      </c>
      <c r="CX297">
        <f t="shared" si="243"/>
        <v>0</v>
      </c>
      <c r="CY297">
        <f t="shared" si="244"/>
        <v>0</v>
      </c>
      <c r="CZ297">
        <f t="shared" si="245"/>
        <v>0</v>
      </c>
      <c r="DC297" t="s">
        <v>3</v>
      </c>
      <c r="DD297" t="s">
        <v>3</v>
      </c>
      <c r="DE297" t="s">
        <v>3</v>
      </c>
      <c r="DF297" t="s">
        <v>3</v>
      </c>
      <c r="DG297" t="s">
        <v>3</v>
      </c>
      <c r="DH297" t="s">
        <v>3</v>
      </c>
      <c r="DI297" t="s">
        <v>3</v>
      </c>
      <c r="DJ297" t="s">
        <v>3</v>
      </c>
      <c r="DK297" t="s">
        <v>3</v>
      </c>
      <c r="DL297" t="s">
        <v>3</v>
      </c>
      <c r="DM297" t="s">
        <v>3</v>
      </c>
      <c r="DN297">
        <v>0</v>
      </c>
      <c r="DO297">
        <v>0</v>
      </c>
      <c r="DP297">
        <v>1</v>
      </c>
      <c r="DQ297">
        <v>1</v>
      </c>
      <c r="DU297">
        <v>1010</v>
      </c>
      <c r="DV297" t="s">
        <v>123</v>
      </c>
      <c r="DW297" t="s">
        <v>123</v>
      </c>
      <c r="DX297">
        <v>1</v>
      </c>
      <c r="EE297">
        <v>38661473</v>
      </c>
      <c r="EF297">
        <v>0</v>
      </c>
      <c r="EG297" t="s">
        <v>130</v>
      </c>
      <c r="EH297">
        <v>0</v>
      </c>
      <c r="EI297" t="s">
        <v>3</v>
      </c>
      <c r="EJ297">
        <v>1</v>
      </c>
      <c r="EK297">
        <v>6001</v>
      </c>
      <c r="EL297" t="s">
        <v>131</v>
      </c>
      <c r="EM297" t="s">
        <v>130</v>
      </c>
      <c r="EO297" t="s">
        <v>3</v>
      </c>
      <c r="EQ297">
        <v>0</v>
      </c>
      <c r="ER297">
        <v>9847.23</v>
      </c>
      <c r="ES297">
        <v>9847.23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5</v>
      </c>
      <c r="FC297">
        <v>1</v>
      </c>
      <c r="FD297">
        <v>18</v>
      </c>
      <c r="FF297">
        <v>11816.67</v>
      </c>
      <c r="FQ297">
        <v>0</v>
      </c>
      <c r="FR297">
        <f t="shared" si="246"/>
        <v>0</v>
      </c>
      <c r="FS297">
        <v>0</v>
      </c>
      <c r="FX297">
        <v>0</v>
      </c>
      <c r="FY297">
        <v>0</v>
      </c>
      <c r="GA297" t="s">
        <v>168</v>
      </c>
      <c r="GD297">
        <v>0</v>
      </c>
      <c r="GF297">
        <v>1342366151</v>
      </c>
      <c r="GG297">
        <v>2</v>
      </c>
      <c r="GH297">
        <v>3</v>
      </c>
      <c r="GI297">
        <v>-2</v>
      </c>
      <c r="GJ297">
        <v>0</v>
      </c>
      <c r="GK297">
        <f>ROUND(R297*(R12)/100,2)</f>
        <v>0</v>
      </c>
      <c r="GL297">
        <f t="shared" si="247"/>
        <v>0</v>
      </c>
      <c r="GM297">
        <f t="shared" si="248"/>
        <v>9847.23</v>
      </c>
      <c r="GN297">
        <f t="shared" si="249"/>
        <v>9847.23</v>
      </c>
      <c r="GO297">
        <f t="shared" si="250"/>
        <v>0</v>
      </c>
      <c r="GP297">
        <f t="shared" si="251"/>
        <v>0</v>
      </c>
      <c r="GR297">
        <v>1</v>
      </c>
      <c r="GS297">
        <v>1</v>
      </c>
      <c r="GT297">
        <v>0</v>
      </c>
      <c r="GU297" t="s">
        <v>3</v>
      </c>
      <c r="GV297">
        <f t="shared" si="252"/>
        <v>0</v>
      </c>
      <c r="GW297">
        <v>1</v>
      </c>
      <c r="GX297">
        <f t="shared" si="253"/>
        <v>0</v>
      </c>
      <c r="HA297">
        <v>0</v>
      </c>
      <c r="HB297">
        <v>0</v>
      </c>
      <c r="HC297">
        <f t="shared" si="254"/>
        <v>0</v>
      </c>
      <c r="HE297" t="s">
        <v>153</v>
      </c>
      <c r="HF297" t="s">
        <v>153</v>
      </c>
      <c r="IK297">
        <v>0</v>
      </c>
    </row>
    <row r="299" spans="1:245" x14ac:dyDescent="0.2">
      <c r="A299" s="2">
        <v>51</v>
      </c>
      <c r="B299" s="2">
        <f>B287</f>
        <v>1</v>
      </c>
      <c r="C299" s="2">
        <f>A287</f>
        <v>5</v>
      </c>
      <c r="D299" s="2">
        <f>ROW(A287)</f>
        <v>287</v>
      </c>
      <c r="E299" s="2"/>
      <c r="F299" s="2" t="str">
        <f>IF(F287&lt;&gt;"",F287,"")</f>
        <v>Новый подраздел</v>
      </c>
      <c r="G299" s="2" t="str">
        <f>IF(G287&lt;&gt;"",G287,"")</f>
        <v>Установка оборудования для выгула собак</v>
      </c>
      <c r="H299" s="2">
        <v>0</v>
      </c>
      <c r="I299" s="2"/>
      <c r="J299" s="2"/>
      <c r="K299" s="2"/>
      <c r="L299" s="2"/>
      <c r="M299" s="2"/>
      <c r="N299" s="2"/>
      <c r="O299" s="2">
        <f t="shared" ref="O299:T299" si="256">ROUND(AB299,2)</f>
        <v>116052.24</v>
      </c>
      <c r="P299" s="2">
        <f t="shared" si="256"/>
        <v>111650.58</v>
      </c>
      <c r="Q299" s="2">
        <f t="shared" si="256"/>
        <v>117.84</v>
      </c>
      <c r="R299" s="2">
        <f t="shared" si="256"/>
        <v>4.9000000000000004</v>
      </c>
      <c r="S299" s="2">
        <f t="shared" si="256"/>
        <v>4283.82</v>
      </c>
      <c r="T299" s="2">
        <f t="shared" si="256"/>
        <v>0</v>
      </c>
      <c r="U299" s="2">
        <f>AH299</f>
        <v>17.48</v>
      </c>
      <c r="V299" s="2">
        <f>AI299</f>
        <v>0</v>
      </c>
      <c r="W299" s="2">
        <f>ROUND(AJ299,2)</f>
        <v>0</v>
      </c>
      <c r="X299" s="2">
        <f>ROUND(AK299,2)</f>
        <v>2998.67</v>
      </c>
      <c r="Y299" s="2">
        <f>ROUND(AL299,2)</f>
        <v>428.38</v>
      </c>
      <c r="Z299" s="2"/>
      <c r="AA299" s="2"/>
      <c r="AB299" s="2">
        <f>ROUND(SUMIF(AA291:AA297,"=38214492",O291:O297),2)</f>
        <v>116052.24</v>
      </c>
      <c r="AC299" s="2">
        <f>ROUND(SUMIF(AA291:AA297,"=38214492",P291:P297),2)</f>
        <v>111650.58</v>
      </c>
      <c r="AD299" s="2">
        <f>ROUND(SUMIF(AA291:AA297,"=38214492",Q291:Q297),2)</f>
        <v>117.84</v>
      </c>
      <c r="AE299" s="2">
        <f>ROUND(SUMIF(AA291:AA297,"=38214492",R291:R297),2)</f>
        <v>4.9000000000000004</v>
      </c>
      <c r="AF299" s="2">
        <f>ROUND(SUMIF(AA291:AA297,"=38214492",S291:S297),2)</f>
        <v>4283.82</v>
      </c>
      <c r="AG299" s="2">
        <f>ROUND(SUMIF(AA291:AA297,"=38214492",T291:T297),2)</f>
        <v>0</v>
      </c>
      <c r="AH299" s="2">
        <f>SUMIF(AA291:AA297,"=38214492",U291:U297)</f>
        <v>17.48</v>
      </c>
      <c r="AI299" s="2">
        <f>SUMIF(AA291:AA297,"=38214492",V291:V297)</f>
        <v>0</v>
      </c>
      <c r="AJ299" s="2">
        <f>ROUND(SUMIF(AA291:AA297,"=38214492",W291:W297),2)</f>
        <v>0</v>
      </c>
      <c r="AK299" s="2">
        <f>ROUND(SUMIF(AA291:AA297,"=38214492",X291:X297),2)</f>
        <v>2998.67</v>
      </c>
      <c r="AL299" s="2">
        <f>ROUND(SUMIF(AA291:AA297,"=38214492",Y291:Y297),2)</f>
        <v>428.38</v>
      </c>
      <c r="AM299" s="2"/>
      <c r="AN299" s="2"/>
      <c r="AO299" s="2">
        <f t="shared" ref="AO299:BD299" si="257">ROUND(BX299,2)</f>
        <v>0</v>
      </c>
      <c r="AP299" s="2">
        <f t="shared" si="257"/>
        <v>0</v>
      </c>
      <c r="AQ299" s="2">
        <f t="shared" si="257"/>
        <v>0</v>
      </c>
      <c r="AR299" s="2">
        <f t="shared" si="257"/>
        <v>119484.58</v>
      </c>
      <c r="AS299" s="2">
        <f t="shared" si="257"/>
        <v>111650.58</v>
      </c>
      <c r="AT299" s="2">
        <f t="shared" si="257"/>
        <v>0</v>
      </c>
      <c r="AU299" s="2">
        <f t="shared" si="257"/>
        <v>7834</v>
      </c>
      <c r="AV299" s="2">
        <f t="shared" si="257"/>
        <v>111650.58</v>
      </c>
      <c r="AW299" s="2">
        <f t="shared" si="257"/>
        <v>111650.58</v>
      </c>
      <c r="AX299" s="2">
        <f t="shared" si="257"/>
        <v>0</v>
      </c>
      <c r="AY299" s="2">
        <f t="shared" si="257"/>
        <v>111650.58</v>
      </c>
      <c r="AZ299" s="2">
        <f t="shared" si="257"/>
        <v>0</v>
      </c>
      <c r="BA299" s="2">
        <f t="shared" si="257"/>
        <v>0</v>
      </c>
      <c r="BB299" s="2">
        <f t="shared" si="257"/>
        <v>0</v>
      </c>
      <c r="BC299" s="2">
        <f t="shared" si="257"/>
        <v>0</v>
      </c>
      <c r="BD299" s="2">
        <f t="shared" si="257"/>
        <v>0</v>
      </c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>
        <f>ROUND(SUMIF(AA291:AA297,"=38214492",FQ291:FQ297),2)</f>
        <v>0</v>
      </c>
      <c r="BY299" s="2">
        <f>ROUND(SUMIF(AA291:AA297,"=38214492",FR291:FR297),2)</f>
        <v>0</v>
      </c>
      <c r="BZ299" s="2">
        <f>ROUND(SUMIF(AA291:AA297,"=38214492",GL291:GL297),2)</f>
        <v>0</v>
      </c>
      <c r="CA299" s="2">
        <f>ROUND(SUMIF(AA291:AA297,"=38214492",GM291:GM297),2)</f>
        <v>119484.58</v>
      </c>
      <c r="CB299" s="2">
        <f>ROUND(SUMIF(AA291:AA297,"=38214492",GN291:GN297),2)</f>
        <v>111650.58</v>
      </c>
      <c r="CC299" s="2">
        <f>ROUND(SUMIF(AA291:AA297,"=38214492",GO291:GO297),2)</f>
        <v>0</v>
      </c>
      <c r="CD299" s="2">
        <f>ROUND(SUMIF(AA291:AA297,"=38214492",GP291:GP297),2)</f>
        <v>7834</v>
      </c>
      <c r="CE299" s="2">
        <f>AC299-BX299</f>
        <v>111650.58</v>
      </c>
      <c r="CF299" s="2">
        <f>AC299-BY299</f>
        <v>111650.58</v>
      </c>
      <c r="CG299" s="2">
        <f>BX299-BZ299</f>
        <v>0</v>
      </c>
      <c r="CH299" s="2">
        <f>AC299-BX299-BY299+BZ299</f>
        <v>111650.58</v>
      </c>
      <c r="CI299" s="2">
        <f>BY299-BZ299</f>
        <v>0</v>
      </c>
      <c r="CJ299" s="2">
        <f>ROUND(SUMIF(AA291:AA297,"=38214492",GX291:GX297),2)</f>
        <v>0</v>
      </c>
      <c r="CK299" s="2">
        <f>ROUND(SUMIF(AA291:AA297,"=38214492",GY291:GY297),2)</f>
        <v>0</v>
      </c>
      <c r="CL299" s="2">
        <f>ROUND(SUMIF(AA291:AA297,"=38214492",GZ291:GZ297),2)</f>
        <v>0</v>
      </c>
      <c r="CM299" s="2">
        <f>ROUND(SUMIF(AA291:AA297,"=38214492",HD291:HD297),2)</f>
        <v>0</v>
      </c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  <c r="FJ299" s="3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  <c r="FW299" s="3"/>
      <c r="FX299" s="3"/>
      <c r="FY299" s="3"/>
      <c r="FZ299" s="3"/>
      <c r="GA299" s="3"/>
      <c r="GB299" s="3"/>
      <c r="GC299" s="3"/>
      <c r="GD299" s="3"/>
      <c r="GE299" s="3"/>
      <c r="GF299" s="3"/>
      <c r="GG299" s="3"/>
      <c r="GH299" s="3"/>
      <c r="GI299" s="3"/>
      <c r="GJ299" s="3"/>
      <c r="GK299" s="3"/>
      <c r="GL299" s="3"/>
      <c r="GM299" s="3"/>
      <c r="GN299" s="3"/>
      <c r="GO299" s="3"/>
      <c r="GP299" s="3"/>
      <c r="GQ299" s="3"/>
      <c r="GR299" s="3"/>
      <c r="GS299" s="3"/>
      <c r="GT299" s="3"/>
      <c r="GU299" s="3"/>
      <c r="GV299" s="3"/>
      <c r="GW299" s="3"/>
      <c r="GX299" s="3">
        <v>0</v>
      </c>
    </row>
    <row r="301" spans="1:245" x14ac:dyDescent="0.2">
      <c r="A301" s="4">
        <v>50</v>
      </c>
      <c r="B301" s="4">
        <v>0</v>
      </c>
      <c r="C301" s="4">
        <v>0</v>
      </c>
      <c r="D301" s="4">
        <v>1</v>
      </c>
      <c r="E301" s="4">
        <v>201</v>
      </c>
      <c r="F301" s="4">
        <f>ROUND(Source!O299,O301)</f>
        <v>116052.24</v>
      </c>
      <c r="G301" s="4" t="s">
        <v>56</v>
      </c>
      <c r="H301" s="4" t="s">
        <v>57</v>
      </c>
      <c r="I301" s="4"/>
      <c r="J301" s="4"/>
      <c r="K301" s="4">
        <v>201</v>
      </c>
      <c r="L301" s="4">
        <v>1</v>
      </c>
      <c r="M301" s="4">
        <v>3</v>
      </c>
      <c r="N301" s="4" t="s">
        <v>3</v>
      </c>
      <c r="O301" s="4">
        <v>2</v>
      </c>
      <c r="P301" s="4"/>
      <c r="Q301" s="4"/>
      <c r="R301" s="4"/>
      <c r="S301" s="4"/>
      <c r="T301" s="4"/>
      <c r="U301" s="4"/>
      <c r="V301" s="4"/>
      <c r="W301" s="4"/>
    </row>
    <row r="302" spans="1:245" x14ac:dyDescent="0.2">
      <c r="A302" s="4">
        <v>50</v>
      </c>
      <c r="B302" s="4">
        <v>0</v>
      </c>
      <c r="C302" s="4">
        <v>0</v>
      </c>
      <c r="D302" s="4">
        <v>1</v>
      </c>
      <c r="E302" s="4">
        <v>202</v>
      </c>
      <c r="F302" s="4">
        <f>ROUND(Source!P299,O302)</f>
        <v>111650.58</v>
      </c>
      <c r="G302" s="4" t="s">
        <v>58</v>
      </c>
      <c r="H302" s="4" t="s">
        <v>59</v>
      </c>
      <c r="I302" s="4"/>
      <c r="J302" s="4"/>
      <c r="K302" s="4">
        <v>202</v>
      </c>
      <c r="L302" s="4">
        <v>2</v>
      </c>
      <c r="M302" s="4">
        <v>3</v>
      </c>
      <c r="N302" s="4" t="s">
        <v>3</v>
      </c>
      <c r="O302" s="4">
        <v>2</v>
      </c>
      <c r="P302" s="4"/>
      <c r="Q302" s="4"/>
      <c r="R302" s="4"/>
      <c r="S302" s="4"/>
      <c r="T302" s="4"/>
      <c r="U302" s="4"/>
      <c r="V302" s="4"/>
      <c r="W302" s="4"/>
    </row>
    <row r="303" spans="1:245" x14ac:dyDescent="0.2">
      <c r="A303" s="4">
        <v>50</v>
      </c>
      <c r="B303" s="4">
        <v>0</v>
      </c>
      <c r="C303" s="4">
        <v>0</v>
      </c>
      <c r="D303" s="4">
        <v>1</v>
      </c>
      <c r="E303" s="4">
        <v>222</v>
      </c>
      <c r="F303" s="4">
        <f>ROUND(Source!AO299,O303)</f>
        <v>0</v>
      </c>
      <c r="G303" s="4" t="s">
        <v>60</v>
      </c>
      <c r="H303" s="4" t="s">
        <v>61</v>
      </c>
      <c r="I303" s="4"/>
      <c r="J303" s="4"/>
      <c r="K303" s="4">
        <v>222</v>
      </c>
      <c r="L303" s="4">
        <v>3</v>
      </c>
      <c r="M303" s="4">
        <v>3</v>
      </c>
      <c r="N303" s="4" t="s">
        <v>3</v>
      </c>
      <c r="O303" s="4">
        <v>2</v>
      </c>
      <c r="P303" s="4"/>
      <c r="Q303" s="4"/>
      <c r="R303" s="4"/>
      <c r="S303" s="4"/>
      <c r="T303" s="4"/>
      <c r="U303" s="4"/>
      <c r="V303" s="4"/>
      <c r="W303" s="4"/>
    </row>
    <row r="304" spans="1:245" x14ac:dyDescent="0.2">
      <c r="A304" s="4">
        <v>50</v>
      </c>
      <c r="B304" s="4">
        <v>0</v>
      </c>
      <c r="C304" s="4">
        <v>0</v>
      </c>
      <c r="D304" s="4">
        <v>1</v>
      </c>
      <c r="E304" s="4">
        <v>225</v>
      </c>
      <c r="F304" s="4">
        <f>ROUND(Source!AV299,O304)</f>
        <v>111650.58</v>
      </c>
      <c r="G304" s="4" t="s">
        <v>62</v>
      </c>
      <c r="H304" s="4" t="s">
        <v>63</v>
      </c>
      <c r="I304" s="4"/>
      <c r="J304" s="4"/>
      <c r="K304" s="4">
        <v>225</v>
      </c>
      <c r="L304" s="4">
        <v>4</v>
      </c>
      <c r="M304" s="4">
        <v>3</v>
      </c>
      <c r="N304" s="4" t="s">
        <v>3</v>
      </c>
      <c r="O304" s="4">
        <v>2</v>
      </c>
      <c r="P304" s="4"/>
      <c r="Q304" s="4"/>
      <c r="R304" s="4"/>
      <c r="S304" s="4"/>
      <c r="T304" s="4"/>
      <c r="U304" s="4"/>
      <c r="V304" s="4"/>
      <c r="W304" s="4"/>
    </row>
    <row r="305" spans="1:23" x14ac:dyDescent="0.2">
      <c r="A305" s="4">
        <v>50</v>
      </c>
      <c r="B305" s="4">
        <v>0</v>
      </c>
      <c r="C305" s="4">
        <v>0</v>
      </c>
      <c r="D305" s="4">
        <v>1</v>
      </c>
      <c r="E305" s="4">
        <v>226</v>
      </c>
      <c r="F305" s="4">
        <f>ROUND(Source!AW299,O305)</f>
        <v>111650.58</v>
      </c>
      <c r="G305" s="4" t="s">
        <v>64</v>
      </c>
      <c r="H305" s="4" t="s">
        <v>65</v>
      </c>
      <c r="I305" s="4"/>
      <c r="J305" s="4"/>
      <c r="K305" s="4">
        <v>226</v>
      </c>
      <c r="L305" s="4">
        <v>5</v>
      </c>
      <c r="M305" s="4">
        <v>3</v>
      </c>
      <c r="N305" s="4" t="s">
        <v>3</v>
      </c>
      <c r="O305" s="4">
        <v>2</v>
      </c>
      <c r="P305" s="4"/>
      <c r="Q305" s="4"/>
      <c r="R305" s="4"/>
      <c r="S305" s="4"/>
      <c r="T305" s="4"/>
      <c r="U305" s="4"/>
      <c r="V305" s="4"/>
      <c r="W305" s="4"/>
    </row>
    <row r="306" spans="1:23" x14ac:dyDescent="0.2">
      <c r="A306" s="4">
        <v>50</v>
      </c>
      <c r="B306" s="4">
        <v>0</v>
      </c>
      <c r="C306" s="4">
        <v>0</v>
      </c>
      <c r="D306" s="4">
        <v>1</v>
      </c>
      <c r="E306" s="4">
        <v>227</v>
      </c>
      <c r="F306" s="4">
        <f>ROUND(Source!AX299,O306)</f>
        <v>0</v>
      </c>
      <c r="G306" s="4" t="s">
        <v>66</v>
      </c>
      <c r="H306" s="4" t="s">
        <v>67</v>
      </c>
      <c r="I306" s="4"/>
      <c r="J306" s="4"/>
      <c r="K306" s="4">
        <v>227</v>
      </c>
      <c r="L306" s="4">
        <v>6</v>
      </c>
      <c r="M306" s="4">
        <v>3</v>
      </c>
      <c r="N306" s="4" t="s">
        <v>3</v>
      </c>
      <c r="O306" s="4">
        <v>2</v>
      </c>
      <c r="P306" s="4"/>
      <c r="Q306" s="4"/>
      <c r="R306" s="4"/>
      <c r="S306" s="4"/>
      <c r="T306" s="4"/>
      <c r="U306" s="4"/>
      <c r="V306" s="4"/>
      <c r="W306" s="4"/>
    </row>
    <row r="307" spans="1:23" x14ac:dyDescent="0.2">
      <c r="A307" s="4">
        <v>50</v>
      </c>
      <c r="B307" s="4">
        <v>0</v>
      </c>
      <c r="C307" s="4">
        <v>0</v>
      </c>
      <c r="D307" s="4">
        <v>1</v>
      </c>
      <c r="E307" s="4">
        <v>228</v>
      </c>
      <c r="F307" s="4">
        <f>ROUND(Source!AY299,O307)</f>
        <v>111650.58</v>
      </c>
      <c r="G307" s="4" t="s">
        <v>68</v>
      </c>
      <c r="H307" s="4" t="s">
        <v>69</v>
      </c>
      <c r="I307" s="4"/>
      <c r="J307" s="4"/>
      <c r="K307" s="4">
        <v>228</v>
      </c>
      <c r="L307" s="4">
        <v>7</v>
      </c>
      <c r="M307" s="4">
        <v>3</v>
      </c>
      <c r="N307" s="4" t="s">
        <v>3</v>
      </c>
      <c r="O307" s="4">
        <v>2</v>
      </c>
      <c r="P307" s="4"/>
      <c r="Q307" s="4"/>
      <c r="R307" s="4"/>
      <c r="S307" s="4"/>
      <c r="T307" s="4"/>
      <c r="U307" s="4"/>
      <c r="V307" s="4"/>
      <c r="W307" s="4"/>
    </row>
    <row r="308" spans="1:23" x14ac:dyDescent="0.2">
      <c r="A308" s="4">
        <v>50</v>
      </c>
      <c r="B308" s="4">
        <v>0</v>
      </c>
      <c r="C308" s="4">
        <v>0</v>
      </c>
      <c r="D308" s="4">
        <v>1</v>
      </c>
      <c r="E308" s="4">
        <v>216</v>
      </c>
      <c r="F308" s="4">
        <f>ROUND(Source!AP299,O308)</f>
        <v>0</v>
      </c>
      <c r="G308" s="4" t="s">
        <v>70</v>
      </c>
      <c r="H308" s="4" t="s">
        <v>71</v>
      </c>
      <c r="I308" s="4"/>
      <c r="J308" s="4"/>
      <c r="K308" s="4">
        <v>216</v>
      </c>
      <c r="L308" s="4">
        <v>8</v>
      </c>
      <c r="M308" s="4">
        <v>3</v>
      </c>
      <c r="N308" s="4" t="s">
        <v>3</v>
      </c>
      <c r="O308" s="4">
        <v>2</v>
      </c>
      <c r="P308" s="4"/>
      <c r="Q308" s="4"/>
      <c r="R308" s="4"/>
      <c r="S308" s="4"/>
      <c r="T308" s="4"/>
      <c r="U308" s="4"/>
      <c r="V308" s="4"/>
      <c r="W308" s="4"/>
    </row>
    <row r="309" spans="1:23" x14ac:dyDescent="0.2">
      <c r="A309" s="4">
        <v>50</v>
      </c>
      <c r="B309" s="4">
        <v>0</v>
      </c>
      <c r="C309" s="4">
        <v>0</v>
      </c>
      <c r="D309" s="4">
        <v>1</v>
      </c>
      <c r="E309" s="4">
        <v>223</v>
      </c>
      <c r="F309" s="4">
        <f>ROUND(Source!AQ299,O309)</f>
        <v>0</v>
      </c>
      <c r="G309" s="4" t="s">
        <v>72</v>
      </c>
      <c r="H309" s="4" t="s">
        <v>73</v>
      </c>
      <c r="I309" s="4"/>
      <c r="J309" s="4"/>
      <c r="K309" s="4">
        <v>223</v>
      </c>
      <c r="L309" s="4">
        <v>9</v>
      </c>
      <c r="M309" s="4">
        <v>3</v>
      </c>
      <c r="N309" s="4" t="s">
        <v>3</v>
      </c>
      <c r="O309" s="4">
        <v>2</v>
      </c>
      <c r="P309" s="4"/>
      <c r="Q309" s="4"/>
      <c r="R309" s="4"/>
      <c r="S309" s="4"/>
      <c r="T309" s="4"/>
      <c r="U309" s="4"/>
      <c r="V309" s="4"/>
      <c r="W309" s="4"/>
    </row>
    <row r="310" spans="1:23" x14ac:dyDescent="0.2">
      <c r="A310" s="4">
        <v>50</v>
      </c>
      <c r="B310" s="4">
        <v>0</v>
      </c>
      <c r="C310" s="4">
        <v>0</v>
      </c>
      <c r="D310" s="4">
        <v>1</v>
      </c>
      <c r="E310" s="4">
        <v>229</v>
      </c>
      <c r="F310" s="4">
        <f>ROUND(Source!AZ299,O310)</f>
        <v>0</v>
      </c>
      <c r="G310" s="4" t="s">
        <v>74</v>
      </c>
      <c r="H310" s="4" t="s">
        <v>75</v>
      </c>
      <c r="I310" s="4"/>
      <c r="J310" s="4"/>
      <c r="K310" s="4">
        <v>229</v>
      </c>
      <c r="L310" s="4">
        <v>10</v>
      </c>
      <c r="M310" s="4">
        <v>3</v>
      </c>
      <c r="N310" s="4" t="s">
        <v>3</v>
      </c>
      <c r="O310" s="4">
        <v>2</v>
      </c>
      <c r="P310" s="4"/>
      <c r="Q310" s="4"/>
      <c r="R310" s="4"/>
      <c r="S310" s="4"/>
      <c r="T310" s="4"/>
      <c r="U310" s="4"/>
      <c r="V310" s="4"/>
      <c r="W310" s="4"/>
    </row>
    <row r="311" spans="1:23" x14ac:dyDescent="0.2">
      <c r="A311" s="4">
        <v>50</v>
      </c>
      <c r="B311" s="4">
        <v>0</v>
      </c>
      <c r="C311" s="4">
        <v>0</v>
      </c>
      <c r="D311" s="4">
        <v>1</v>
      </c>
      <c r="E311" s="4">
        <v>203</v>
      </c>
      <c r="F311" s="4">
        <f>ROUND(Source!Q299,O311)</f>
        <v>117.84</v>
      </c>
      <c r="G311" s="4" t="s">
        <v>76</v>
      </c>
      <c r="H311" s="4" t="s">
        <v>77</v>
      </c>
      <c r="I311" s="4"/>
      <c r="J311" s="4"/>
      <c r="K311" s="4">
        <v>203</v>
      </c>
      <c r="L311" s="4">
        <v>11</v>
      </c>
      <c r="M311" s="4">
        <v>3</v>
      </c>
      <c r="N311" s="4" t="s">
        <v>3</v>
      </c>
      <c r="O311" s="4">
        <v>2</v>
      </c>
      <c r="P311" s="4"/>
      <c r="Q311" s="4"/>
      <c r="R311" s="4"/>
      <c r="S311" s="4"/>
      <c r="T311" s="4"/>
      <c r="U311" s="4"/>
      <c r="V311" s="4"/>
      <c r="W311" s="4"/>
    </row>
    <row r="312" spans="1:23" x14ac:dyDescent="0.2">
      <c r="A312" s="4">
        <v>50</v>
      </c>
      <c r="B312" s="4">
        <v>0</v>
      </c>
      <c r="C312" s="4">
        <v>0</v>
      </c>
      <c r="D312" s="4">
        <v>1</v>
      </c>
      <c r="E312" s="4">
        <v>231</v>
      </c>
      <c r="F312" s="4">
        <f>ROUND(Source!BB299,O312)</f>
        <v>0</v>
      </c>
      <c r="G312" s="4" t="s">
        <v>78</v>
      </c>
      <c r="H312" s="4" t="s">
        <v>79</v>
      </c>
      <c r="I312" s="4"/>
      <c r="J312" s="4"/>
      <c r="K312" s="4">
        <v>231</v>
      </c>
      <c r="L312" s="4">
        <v>12</v>
      </c>
      <c r="M312" s="4">
        <v>3</v>
      </c>
      <c r="N312" s="4" t="s">
        <v>3</v>
      </c>
      <c r="O312" s="4">
        <v>2</v>
      </c>
      <c r="P312" s="4"/>
      <c r="Q312" s="4"/>
      <c r="R312" s="4"/>
      <c r="S312" s="4"/>
      <c r="T312" s="4"/>
      <c r="U312" s="4"/>
      <c r="V312" s="4"/>
      <c r="W312" s="4"/>
    </row>
    <row r="313" spans="1:23" x14ac:dyDescent="0.2">
      <c r="A313" s="4">
        <v>50</v>
      </c>
      <c r="B313" s="4">
        <v>0</v>
      </c>
      <c r="C313" s="4">
        <v>0</v>
      </c>
      <c r="D313" s="4">
        <v>1</v>
      </c>
      <c r="E313" s="4">
        <v>204</v>
      </c>
      <c r="F313" s="4">
        <f>ROUND(Source!R299,O313)</f>
        <v>4.9000000000000004</v>
      </c>
      <c r="G313" s="4" t="s">
        <v>80</v>
      </c>
      <c r="H313" s="4" t="s">
        <v>81</v>
      </c>
      <c r="I313" s="4"/>
      <c r="J313" s="4"/>
      <c r="K313" s="4">
        <v>204</v>
      </c>
      <c r="L313" s="4">
        <v>13</v>
      </c>
      <c r="M313" s="4">
        <v>3</v>
      </c>
      <c r="N313" s="4" t="s">
        <v>3</v>
      </c>
      <c r="O313" s="4">
        <v>2</v>
      </c>
      <c r="P313" s="4"/>
      <c r="Q313" s="4"/>
      <c r="R313" s="4"/>
      <c r="S313" s="4"/>
      <c r="T313" s="4"/>
      <c r="U313" s="4"/>
      <c r="V313" s="4"/>
      <c r="W313" s="4"/>
    </row>
    <row r="314" spans="1:23" x14ac:dyDescent="0.2">
      <c r="A314" s="4">
        <v>50</v>
      </c>
      <c r="B314" s="4">
        <v>0</v>
      </c>
      <c r="C314" s="4">
        <v>0</v>
      </c>
      <c r="D314" s="4">
        <v>1</v>
      </c>
      <c r="E314" s="4">
        <v>205</v>
      </c>
      <c r="F314" s="4">
        <f>ROUND(Source!S299,O314)</f>
        <v>4283.82</v>
      </c>
      <c r="G314" s="4" t="s">
        <v>82</v>
      </c>
      <c r="H314" s="4" t="s">
        <v>83</v>
      </c>
      <c r="I314" s="4"/>
      <c r="J314" s="4"/>
      <c r="K314" s="4">
        <v>205</v>
      </c>
      <c r="L314" s="4">
        <v>14</v>
      </c>
      <c r="M314" s="4">
        <v>3</v>
      </c>
      <c r="N314" s="4" t="s">
        <v>3</v>
      </c>
      <c r="O314" s="4">
        <v>2</v>
      </c>
      <c r="P314" s="4"/>
      <c r="Q314" s="4"/>
      <c r="R314" s="4"/>
      <c r="S314" s="4"/>
      <c r="T314" s="4"/>
      <c r="U314" s="4"/>
      <c r="V314" s="4"/>
      <c r="W314" s="4"/>
    </row>
    <row r="315" spans="1:23" x14ac:dyDescent="0.2">
      <c r="A315" s="4">
        <v>50</v>
      </c>
      <c r="B315" s="4">
        <v>0</v>
      </c>
      <c r="C315" s="4">
        <v>0</v>
      </c>
      <c r="D315" s="4">
        <v>1</v>
      </c>
      <c r="E315" s="4">
        <v>232</v>
      </c>
      <c r="F315" s="4">
        <f>ROUND(Source!BC299,O315)</f>
        <v>0</v>
      </c>
      <c r="G315" s="4" t="s">
        <v>84</v>
      </c>
      <c r="H315" s="4" t="s">
        <v>85</v>
      </c>
      <c r="I315" s="4"/>
      <c r="J315" s="4"/>
      <c r="K315" s="4">
        <v>232</v>
      </c>
      <c r="L315" s="4">
        <v>15</v>
      </c>
      <c r="M315" s="4">
        <v>3</v>
      </c>
      <c r="N315" s="4" t="s">
        <v>3</v>
      </c>
      <c r="O315" s="4">
        <v>2</v>
      </c>
      <c r="P315" s="4"/>
      <c r="Q315" s="4"/>
      <c r="R315" s="4"/>
      <c r="S315" s="4"/>
      <c r="T315" s="4"/>
      <c r="U315" s="4"/>
      <c r="V315" s="4"/>
      <c r="W315" s="4"/>
    </row>
    <row r="316" spans="1:23" x14ac:dyDescent="0.2">
      <c r="A316" s="4">
        <v>50</v>
      </c>
      <c r="B316" s="4">
        <v>0</v>
      </c>
      <c r="C316" s="4">
        <v>0</v>
      </c>
      <c r="D316" s="4">
        <v>1</v>
      </c>
      <c r="E316" s="4">
        <v>214</v>
      </c>
      <c r="F316" s="4">
        <f>ROUND(Source!AS299,O316)</f>
        <v>111650.58</v>
      </c>
      <c r="G316" s="4" t="s">
        <v>86</v>
      </c>
      <c r="H316" s="4" t="s">
        <v>87</v>
      </c>
      <c r="I316" s="4"/>
      <c r="J316" s="4"/>
      <c r="K316" s="4">
        <v>214</v>
      </c>
      <c r="L316" s="4">
        <v>16</v>
      </c>
      <c r="M316" s="4">
        <v>3</v>
      </c>
      <c r="N316" s="4" t="s">
        <v>3</v>
      </c>
      <c r="O316" s="4">
        <v>2</v>
      </c>
      <c r="P316" s="4"/>
      <c r="Q316" s="4"/>
      <c r="R316" s="4"/>
      <c r="S316" s="4"/>
      <c r="T316" s="4"/>
      <c r="U316" s="4"/>
      <c r="V316" s="4"/>
      <c r="W316" s="4"/>
    </row>
    <row r="317" spans="1:23" x14ac:dyDescent="0.2">
      <c r="A317" s="4">
        <v>50</v>
      </c>
      <c r="B317" s="4">
        <v>0</v>
      </c>
      <c r="C317" s="4">
        <v>0</v>
      </c>
      <c r="D317" s="4">
        <v>1</v>
      </c>
      <c r="E317" s="4">
        <v>215</v>
      </c>
      <c r="F317" s="4">
        <f>ROUND(Source!AT299,O317)</f>
        <v>0</v>
      </c>
      <c r="G317" s="4" t="s">
        <v>88</v>
      </c>
      <c r="H317" s="4" t="s">
        <v>89</v>
      </c>
      <c r="I317" s="4"/>
      <c r="J317" s="4"/>
      <c r="K317" s="4">
        <v>215</v>
      </c>
      <c r="L317" s="4">
        <v>17</v>
      </c>
      <c r="M317" s="4">
        <v>3</v>
      </c>
      <c r="N317" s="4" t="s">
        <v>3</v>
      </c>
      <c r="O317" s="4">
        <v>2</v>
      </c>
      <c r="P317" s="4"/>
      <c r="Q317" s="4"/>
      <c r="R317" s="4"/>
      <c r="S317" s="4"/>
      <c r="T317" s="4"/>
      <c r="U317" s="4"/>
      <c r="V317" s="4"/>
      <c r="W317" s="4"/>
    </row>
    <row r="318" spans="1:23" x14ac:dyDescent="0.2">
      <c r="A318" s="4">
        <v>50</v>
      </c>
      <c r="B318" s="4">
        <v>0</v>
      </c>
      <c r="C318" s="4">
        <v>0</v>
      </c>
      <c r="D318" s="4">
        <v>1</v>
      </c>
      <c r="E318" s="4">
        <v>217</v>
      </c>
      <c r="F318" s="4">
        <f>ROUND(Source!AU299,O318)</f>
        <v>7834</v>
      </c>
      <c r="G318" s="4" t="s">
        <v>90</v>
      </c>
      <c r="H318" s="4" t="s">
        <v>91</v>
      </c>
      <c r="I318" s="4"/>
      <c r="J318" s="4"/>
      <c r="K318" s="4">
        <v>217</v>
      </c>
      <c r="L318" s="4">
        <v>18</v>
      </c>
      <c r="M318" s="4">
        <v>3</v>
      </c>
      <c r="N318" s="4" t="s">
        <v>3</v>
      </c>
      <c r="O318" s="4">
        <v>2</v>
      </c>
      <c r="P318" s="4"/>
      <c r="Q318" s="4"/>
      <c r="R318" s="4"/>
      <c r="S318" s="4"/>
      <c r="T318" s="4"/>
      <c r="U318" s="4"/>
      <c r="V318" s="4"/>
      <c r="W318" s="4"/>
    </row>
    <row r="319" spans="1:23" x14ac:dyDescent="0.2">
      <c r="A319" s="4">
        <v>50</v>
      </c>
      <c r="B319" s="4">
        <v>0</v>
      </c>
      <c r="C319" s="4">
        <v>0</v>
      </c>
      <c r="D319" s="4">
        <v>1</v>
      </c>
      <c r="E319" s="4">
        <v>230</v>
      </c>
      <c r="F319" s="4">
        <f>ROUND(Source!BA299,O319)</f>
        <v>0</v>
      </c>
      <c r="G319" s="4" t="s">
        <v>92</v>
      </c>
      <c r="H319" s="4" t="s">
        <v>93</v>
      </c>
      <c r="I319" s="4"/>
      <c r="J319" s="4"/>
      <c r="K319" s="4">
        <v>230</v>
      </c>
      <c r="L319" s="4">
        <v>19</v>
      </c>
      <c r="M319" s="4">
        <v>3</v>
      </c>
      <c r="N319" s="4" t="s">
        <v>3</v>
      </c>
      <c r="O319" s="4">
        <v>2</v>
      </c>
      <c r="P319" s="4"/>
      <c r="Q319" s="4"/>
      <c r="R319" s="4"/>
      <c r="S319" s="4"/>
      <c r="T319" s="4"/>
      <c r="U319" s="4"/>
      <c r="V319" s="4"/>
      <c r="W319" s="4"/>
    </row>
    <row r="320" spans="1:23" x14ac:dyDescent="0.2">
      <c r="A320" s="4">
        <v>50</v>
      </c>
      <c r="B320" s="4">
        <v>0</v>
      </c>
      <c r="C320" s="4">
        <v>0</v>
      </c>
      <c r="D320" s="4">
        <v>1</v>
      </c>
      <c r="E320" s="4">
        <v>206</v>
      </c>
      <c r="F320" s="4">
        <f>ROUND(Source!T299,O320)</f>
        <v>0</v>
      </c>
      <c r="G320" s="4" t="s">
        <v>94</v>
      </c>
      <c r="H320" s="4" t="s">
        <v>95</v>
      </c>
      <c r="I320" s="4"/>
      <c r="J320" s="4"/>
      <c r="K320" s="4">
        <v>206</v>
      </c>
      <c r="L320" s="4">
        <v>20</v>
      </c>
      <c r="M320" s="4">
        <v>3</v>
      </c>
      <c r="N320" s="4" t="s">
        <v>3</v>
      </c>
      <c r="O320" s="4">
        <v>2</v>
      </c>
      <c r="P320" s="4"/>
      <c r="Q320" s="4"/>
      <c r="R320" s="4"/>
      <c r="S320" s="4"/>
      <c r="T320" s="4"/>
      <c r="U320" s="4"/>
      <c r="V320" s="4"/>
      <c r="W320" s="4"/>
    </row>
    <row r="321" spans="1:245" x14ac:dyDescent="0.2">
      <c r="A321" s="4">
        <v>50</v>
      </c>
      <c r="B321" s="4">
        <v>0</v>
      </c>
      <c r="C321" s="4">
        <v>0</v>
      </c>
      <c r="D321" s="4">
        <v>1</v>
      </c>
      <c r="E321" s="4">
        <v>207</v>
      </c>
      <c r="F321" s="4">
        <f>Source!U299</f>
        <v>17.48</v>
      </c>
      <c r="G321" s="4" t="s">
        <v>96</v>
      </c>
      <c r="H321" s="4" t="s">
        <v>97</v>
      </c>
      <c r="I321" s="4"/>
      <c r="J321" s="4"/>
      <c r="K321" s="4">
        <v>207</v>
      </c>
      <c r="L321" s="4">
        <v>21</v>
      </c>
      <c r="M321" s="4">
        <v>3</v>
      </c>
      <c r="N321" s="4" t="s">
        <v>3</v>
      </c>
      <c r="O321" s="4">
        <v>-1</v>
      </c>
      <c r="P321" s="4"/>
      <c r="Q321" s="4"/>
      <c r="R321" s="4"/>
      <c r="S321" s="4"/>
      <c r="T321" s="4"/>
      <c r="U321" s="4"/>
      <c r="V321" s="4"/>
      <c r="W321" s="4"/>
    </row>
    <row r="322" spans="1:245" x14ac:dyDescent="0.2">
      <c r="A322" s="4">
        <v>50</v>
      </c>
      <c r="B322" s="4">
        <v>0</v>
      </c>
      <c r="C322" s="4">
        <v>0</v>
      </c>
      <c r="D322" s="4">
        <v>1</v>
      </c>
      <c r="E322" s="4">
        <v>208</v>
      </c>
      <c r="F322" s="4">
        <f>Source!V299</f>
        <v>0</v>
      </c>
      <c r="G322" s="4" t="s">
        <v>98</v>
      </c>
      <c r="H322" s="4" t="s">
        <v>99</v>
      </c>
      <c r="I322" s="4"/>
      <c r="J322" s="4"/>
      <c r="K322" s="4">
        <v>208</v>
      </c>
      <c r="L322" s="4">
        <v>22</v>
      </c>
      <c r="M322" s="4">
        <v>3</v>
      </c>
      <c r="N322" s="4" t="s">
        <v>3</v>
      </c>
      <c r="O322" s="4">
        <v>-1</v>
      </c>
      <c r="P322" s="4"/>
      <c r="Q322" s="4"/>
      <c r="R322" s="4"/>
      <c r="S322" s="4"/>
      <c r="T322" s="4"/>
      <c r="U322" s="4"/>
      <c r="V322" s="4"/>
      <c r="W322" s="4"/>
    </row>
    <row r="323" spans="1:245" x14ac:dyDescent="0.2">
      <c r="A323" s="4">
        <v>50</v>
      </c>
      <c r="B323" s="4">
        <v>0</v>
      </c>
      <c r="C323" s="4">
        <v>0</v>
      </c>
      <c r="D323" s="4">
        <v>1</v>
      </c>
      <c r="E323" s="4">
        <v>209</v>
      </c>
      <c r="F323" s="4">
        <f>ROUND(Source!W299,O323)</f>
        <v>0</v>
      </c>
      <c r="G323" s="4" t="s">
        <v>100</v>
      </c>
      <c r="H323" s="4" t="s">
        <v>101</v>
      </c>
      <c r="I323" s="4"/>
      <c r="J323" s="4"/>
      <c r="K323" s="4">
        <v>209</v>
      </c>
      <c r="L323" s="4">
        <v>23</v>
      </c>
      <c r="M323" s="4">
        <v>3</v>
      </c>
      <c r="N323" s="4" t="s">
        <v>3</v>
      </c>
      <c r="O323" s="4">
        <v>2</v>
      </c>
      <c r="P323" s="4"/>
      <c r="Q323" s="4"/>
      <c r="R323" s="4"/>
      <c r="S323" s="4"/>
      <c r="T323" s="4"/>
      <c r="U323" s="4"/>
      <c r="V323" s="4"/>
      <c r="W323" s="4"/>
    </row>
    <row r="324" spans="1:245" x14ac:dyDescent="0.2">
      <c r="A324" s="4">
        <v>50</v>
      </c>
      <c r="B324" s="4">
        <v>0</v>
      </c>
      <c r="C324" s="4">
        <v>0</v>
      </c>
      <c r="D324" s="4">
        <v>1</v>
      </c>
      <c r="E324" s="4">
        <v>233</v>
      </c>
      <c r="F324" s="4">
        <f>ROUND(Source!BD299,O324)</f>
        <v>0</v>
      </c>
      <c r="G324" s="4" t="s">
        <v>102</v>
      </c>
      <c r="H324" s="4" t="s">
        <v>103</v>
      </c>
      <c r="I324" s="4"/>
      <c r="J324" s="4"/>
      <c r="K324" s="4">
        <v>233</v>
      </c>
      <c r="L324" s="4">
        <v>24</v>
      </c>
      <c r="M324" s="4">
        <v>3</v>
      </c>
      <c r="N324" s="4" t="s">
        <v>3</v>
      </c>
      <c r="O324" s="4">
        <v>2</v>
      </c>
      <c r="P324" s="4"/>
      <c r="Q324" s="4"/>
      <c r="R324" s="4"/>
      <c r="S324" s="4"/>
      <c r="T324" s="4"/>
      <c r="U324" s="4"/>
      <c r="V324" s="4"/>
      <c r="W324" s="4"/>
    </row>
    <row r="325" spans="1:245" x14ac:dyDescent="0.2">
      <c r="A325" s="4">
        <v>50</v>
      </c>
      <c r="B325" s="4">
        <v>0</v>
      </c>
      <c r="C325" s="4">
        <v>0</v>
      </c>
      <c r="D325" s="4">
        <v>1</v>
      </c>
      <c r="E325" s="4">
        <v>210</v>
      </c>
      <c r="F325" s="4">
        <f>ROUND(Source!X299,O325)</f>
        <v>2998.67</v>
      </c>
      <c r="G325" s="4" t="s">
        <v>104</v>
      </c>
      <c r="H325" s="4" t="s">
        <v>105</v>
      </c>
      <c r="I325" s="4"/>
      <c r="J325" s="4"/>
      <c r="K325" s="4">
        <v>210</v>
      </c>
      <c r="L325" s="4">
        <v>25</v>
      </c>
      <c r="M325" s="4">
        <v>3</v>
      </c>
      <c r="N325" s="4" t="s">
        <v>3</v>
      </c>
      <c r="O325" s="4">
        <v>2</v>
      </c>
      <c r="P325" s="4"/>
      <c r="Q325" s="4"/>
      <c r="R325" s="4"/>
      <c r="S325" s="4"/>
      <c r="T325" s="4"/>
      <c r="U325" s="4"/>
      <c r="V325" s="4"/>
      <c r="W325" s="4"/>
    </row>
    <row r="326" spans="1:245" x14ac:dyDescent="0.2">
      <c r="A326" s="4">
        <v>50</v>
      </c>
      <c r="B326" s="4">
        <v>0</v>
      </c>
      <c r="C326" s="4">
        <v>0</v>
      </c>
      <c r="D326" s="4">
        <v>1</v>
      </c>
      <c r="E326" s="4">
        <v>211</v>
      </c>
      <c r="F326" s="4">
        <f>ROUND(Source!Y299,O326)</f>
        <v>428.38</v>
      </c>
      <c r="G326" s="4" t="s">
        <v>106</v>
      </c>
      <c r="H326" s="4" t="s">
        <v>107</v>
      </c>
      <c r="I326" s="4"/>
      <c r="J326" s="4"/>
      <c r="K326" s="4">
        <v>211</v>
      </c>
      <c r="L326" s="4">
        <v>26</v>
      </c>
      <c r="M326" s="4">
        <v>3</v>
      </c>
      <c r="N326" s="4" t="s">
        <v>3</v>
      </c>
      <c r="O326" s="4">
        <v>2</v>
      </c>
      <c r="P326" s="4"/>
      <c r="Q326" s="4"/>
      <c r="R326" s="4"/>
      <c r="S326" s="4"/>
      <c r="T326" s="4"/>
      <c r="U326" s="4"/>
      <c r="V326" s="4"/>
      <c r="W326" s="4"/>
    </row>
    <row r="327" spans="1:245" x14ac:dyDescent="0.2">
      <c r="A327" s="4">
        <v>50</v>
      </c>
      <c r="B327" s="4">
        <v>0</v>
      </c>
      <c r="C327" s="4">
        <v>0</v>
      </c>
      <c r="D327" s="4">
        <v>1</v>
      </c>
      <c r="E327" s="4">
        <v>224</v>
      </c>
      <c r="F327" s="4">
        <f>ROUND(Source!AR299,O327)</f>
        <v>119484.58</v>
      </c>
      <c r="G327" s="4" t="s">
        <v>108</v>
      </c>
      <c r="H327" s="4" t="s">
        <v>109</v>
      </c>
      <c r="I327" s="4"/>
      <c r="J327" s="4"/>
      <c r="K327" s="4">
        <v>224</v>
      </c>
      <c r="L327" s="4">
        <v>27</v>
      </c>
      <c r="M327" s="4">
        <v>3</v>
      </c>
      <c r="N327" s="4" t="s">
        <v>3</v>
      </c>
      <c r="O327" s="4">
        <v>2</v>
      </c>
      <c r="P327" s="4"/>
      <c r="Q327" s="4"/>
      <c r="R327" s="4"/>
      <c r="S327" s="4"/>
      <c r="T327" s="4"/>
      <c r="U327" s="4"/>
      <c r="V327" s="4"/>
      <c r="W327" s="4"/>
    </row>
    <row r="329" spans="1:245" x14ac:dyDescent="0.2">
      <c r="A329" s="1">
        <v>5</v>
      </c>
      <c r="B329" s="1">
        <v>1</v>
      </c>
      <c r="C329" s="1"/>
      <c r="D329" s="1">
        <f>ROW(A339)</f>
        <v>339</v>
      </c>
      <c r="E329" s="1"/>
      <c r="F329" s="1" t="s">
        <v>17</v>
      </c>
      <c r="G329" s="1" t="s">
        <v>169</v>
      </c>
      <c r="H329" s="1" t="s">
        <v>3</v>
      </c>
      <c r="I329" s="1">
        <v>0</v>
      </c>
      <c r="J329" s="1"/>
      <c r="K329" s="1">
        <v>0</v>
      </c>
      <c r="L329" s="1"/>
      <c r="M329" s="1"/>
      <c r="N329" s="1"/>
      <c r="O329" s="1"/>
      <c r="P329" s="1"/>
      <c r="Q329" s="1"/>
      <c r="R329" s="1"/>
      <c r="S329" s="1"/>
      <c r="T329" s="1"/>
      <c r="U329" s="1" t="s">
        <v>3</v>
      </c>
      <c r="V329" s="1">
        <v>0</v>
      </c>
      <c r="W329" s="1"/>
      <c r="X329" s="1"/>
      <c r="Y329" s="1"/>
      <c r="Z329" s="1"/>
      <c r="AA329" s="1"/>
      <c r="AB329" s="1" t="s">
        <v>3</v>
      </c>
      <c r="AC329" s="1" t="s">
        <v>3</v>
      </c>
      <c r="AD329" s="1" t="s">
        <v>3</v>
      </c>
      <c r="AE329" s="1" t="s">
        <v>3</v>
      </c>
      <c r="AF329" s="1" t="s">
        <v>3</v>
      </c>
      <c r="AG329" s="1" t="s">
        <v>3</v>
      </c>
      <c r="AH329" s="1"/>
      <c r="AI329" s="1"/>
      <c r="AJ329" s="1"/>
      <c r="AK329" s="1"/>
      <c r="AL329" s="1"/>
      <c r="AM329" s="1"/>
      <c r="AN329" s="1"/>
      <c r="AO329" s="1"/>
      <c r="AP329" s="1" t="s">
        <v>3</v>
      </c>
      <c r="AQ329" s="1" t="s">
        <v>3</v>
      </c>
      <c r="AR329" s="1" t="s">
        <v>3</v>
      </c>
      <c r="AS329" s="1"/>
      <c r="AT329" s="1"/>
      <c r="AU329" s="1"/>
      <c r="AV329" s="1"/>
      <c r="AW329" s="1"/>
      <c r="AX329" s="1"/>
      <c r="AY329" s="1"/>
      <c r="AZ329" s="1" t="s">
        <v>3</v>
      </c>
      <c r="BA329" s="1"/>
      <c r="BB329" s="1" t="s">
        <v>3</v>
      </c>
      <c r="BC329" s="1" t="s">
        <v>3</v>
      </c>
      <c r="BD329" s="1" t="s">
        <v>3</v>
      </c>
      <c r="BE329" s="1" t="s">
        <v>3</v>
      </c>
      <c r="BF329" s="1" t="s">
        <v>3</v>
      </c>
      <c r="BG329" s="1" t="s">
        <v>3</v>
      </c>
      <c r="BH329" s="1" t="s">
        <v>3</v>
      </c>
      <c r="BI329" s="1" t="s">
        <v>3</v>
      </c>
      <c r="BJ329" s="1" t="s">
        <v>3</v>
      </c>
      <c r="BK329" s="1" t="s">
        <v>3</v>
      </c>
      <c r="BL329" s="1" t="s">
        <v>3</v>
      </c>
      <c r="BM329" s="1" t="s">
        <v>3</v>
      </c>
      <c r="BN329" s="1" t="s">
        <v>3</v>
      </c>
      <c r="BO329" s="1" t="s">
        <v>3</v>
      </c>
      <c r="BP329" s="1" t="s">
        <v>3</v>
      </c>
      <c r="BQ329" s="1"/>
      <c r="BR329" s="1"/>
      <c r="BS329" s="1"/>
      <c r="BT329" s="1"/>
      <c r="BU329" s="1"/>
      <c r="BV329" s="1"/>
      <c r="BW329" s="1"/>
      <c r="BX329" s="1">
        <v>0</v>
      </c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>
        <v>0</v>
      </c>
    </row>
    <row r="331" spans="1:245" x14ac:dyDescent="0.2">
      <c r="A331" s="2">
        <v>52</v>
      </c>
      <c r="B331" s="2">
        <f t="shared" ref="B331:G331" si="258">B339</f>
        <v>1</v>
      </c>
      <c r="C331" s="2">
        <f t="shared" si="258"/>
        <v>5</v>
      </c>
      <c r="D331" s="2">
        <f t="shared" si="258"/>
        <v>329</v>
      </c>
      <c r="E331" s="2">
        <f t="shared" si="258"/>
        <v>0</v>
      </c>
      <c r="F331" s="2" t="str">
        <f t="shared" si="258"/>
        <v>Новый подраздел</v>
      </c>
      <c r="G331" s="2" t="str">
        <f t="shared" si="258"/>
        <v>Установка ограждения</v>
      </c>
      <c r="H331" s="2"/>
      <c r="I331" s="2"/>
      <c r="J331" s="2"/>
      <c r="K331" s="2"/>
      <c r="L331" s="2"/>
      <c r="M331" s="2"/>
      <c r="N331" s="2"/>
      <c r="O331" s="2">
        <f t="shared" ref="O331:AT331" si="259">O339</f>
        <v>778463.03</v>
      </c>
      <c r="P331" s="2">
        <f t="shared" si="259"/>
        <v>667788.87</v>
      </c>
      <c r="Q331" s="2">
        <f t="shared" si="259"/>
        <v>24629.95</v>
      </c>
      <c r="R331" s="2">
        <f t="shared" si="259"/>
        <v>4684.1000000000004</v>
      </c>
      <c r="S331" s="2">
        <f t="shared" si="259"/>
        <v>86044.21</v>
      </c>
      <c r="T331" s="2">
        <f t="shared" si="259"/>
        <v>0</v>
      </c>
      <c r="U331" s="2">
        <f t="shared" si="259"/>
        <v>410.97199999999998</v>
      </c>
      <c r="V331" s="2">
        <f t="shared" si="259"/>
        <v>0</v>
      </c>
      <c r="W331" s="2">
        <f t="shared" si="259"/>
        <v>0</v>
      </c>
      <c r="X331" s="2">
        <f t="shared" si="259"/>
        <v>60230.95</v>
      </c>
      <c r="Y331" s="2">
        <f t="shared" si="259"/>
        <v>8604.42</v>
      </c>
      <c r="Z331" s="2">
        <f t="shared" si="259"/>
        <v>0</v>
      </c>
      <c r="AA331" s="2">
        <f t="shared" si="259"/>
        <v>0</v>
      </c>
      <c r="AB331" s="2">
        <f t="shared" si="259"/>
        <v>778463.03</v>
      </c>
      <c r="AC331" s="2">
        <f t="shared" si="259"/>
        <v>667788.87</v>
      </c>
      <c r="AD331" s="2">
        <f t="shared" si="259"/>
        <v>24629.95</v>
      </c>
      <c r="AE331" s="2">
        <f t="shared" si="259"/>
        <v>4684.1000000000004</v>
      </c>
      <c r="AF331" s="2">
        <f t="shared" si="259"/>
        <v>86044.21</v>
      </c>
      <c r="AG331" s="2">
        <f t="shared" si="259"/>
        <v>0</v>
      </c>
      <c r="AH331" s="2">
        <f t="shared" si="259"/>
        <v>410.97199999999998</v>
      </c>
      <c r="AI331" s="2">
        <f t="shared" si="259"/>
        <v>0</v>
      </c>
      <c r="AJ331" s="2">
        <f t="shared" si="259"/>
        <v>0</v>
      </c>
      <c r="AK331" s="2">
        <f t="shared" si="259"/>
        <v>60230.95</v>
      </c>
      <c r="AL331" s="2">
        <f t="shared" si="259"/>
        <v>8604.42</v>
      </c>
      <c r="AM331" s="2">
        <f t="shared" si="259"/>
        <v>0</v>
      </c>
      <c r="AN331" s="2">
        <f t="shared" si="259"/>
        <v>0</v>
      </c>
      <c r="AO331" s="2">
        <f t="shared" si="259"/>
        <v>0</v>
      </c>
      <c r="AP331" s="2">
        <f t="shared" si="259"/>
        <v>0</v>
      </c>
      <c r="AQ331" s="2">
        <f t="shared" si="259"/>
        <v>0</v>
      </c>
      <c r="AR331" s="2">
        <f t="shared" si="259"/>
        <v>852357.22</v>
      </c>
      <c r="AS331" s="2">
        <f t="shared" si="259"/>
        <v>0</v>
      </c>
      <c r="AT331" s="2">
        <f t="shared" si="259"/>
        <v>0</v>
      </c>
      <c r="AU331" s="2">
        <f t="shared" ref="AU331:BZ331" si="260">AU339</f>
        <v>852357.22</v>
      </c>
      <c r="AV331" s="2">
        <f t="shared" si="260"/>
        <v>667788.87</v>
      </c>
      <c r="AW331" s="2">
        <f t="shared" si="260"/>
        <v>667788.87</v>
      </c>
      <c r="AX331" s="2">
        <f t="shared" si="260"/>
        <v>0</v>
      </c>
      <c r="AY331" s="2">
        <f t="shared" si="260"/>
        <v>667788.87</v>
      </c>
      <c r="AZ331" s="2">
        <f t="shared" si="260"/>
        <v>0</v>
      </c>
      <c r="BA331" s="2">
        <f t="shared" si="260"/>
        <v>0</v>
      </c>
      <c r="BB331" s="2">
        <f t="shared" si="260"/>
        <v>0</v>
      </c>
      <c r="BC331" s="2">
        <f t="shared" si="260"/>
        <v>0</v>
      </c>
      <c r="BD331" s="2">
        <f t="shared" si="260"/>
        <v>0</v>
      </c>
      <c r="BE331" s="2">
        <f t="shared" si="260"/>
        <v>0</v>
      </c>
      <c r="BF331" s="2">
        <f t="shared" si="260"/>
        <v>0</v>
      </c>
      <c r="BG331" s="2">
        <f t="shared" si="260"/>
        <v>0</v>
      </c>
      <c r="BH331" s="2">
        <f t="shared" si="260"/>
        <v>0</v>
      </c>
      <c r="BI331" s="2">
        <f t="shared" si="260"/>
        <v>0</v>
      </c>
      <c r="BJ331" s="2">
        <f t="shared" si="260"/>
        <v>0</v>
      </c>
      <c r="BK331" s="2">
        <f t="shared" si="260"/>
        <v>0</v>
      </c>
      <c r="BL331" s="2">
        <f t="shared" si="260"/>
        <v>0</v>
      </c>
      <c r="BM331" s="2">
        <f t="shared" si="260"/>
        <v>0</v>
      </c>
      <c r="BN331" s="2">
        <f t="shared" si="260"/>
        <v>0</v>
      </c>
      <c r="BO331" s="2">
        <f t="shared" si="260"/>
        <v>0</v>
      </c>
      <c r="BP331" s="2">
        <f t="shared" si="260"/>
        <v>0</v>
      </c>
      <c r="BQ331" s="2">
        <f t="shared" si="260"/>
        <v>0</v>
      </c>
      <c r="BR331" s="2">
        <f t="shared" si="260"/>
        <v>0</v>
      </c>
      <c r="BS331" s="2">
        <f t="shared" si="260"/>
        <v>0</v>
      </c>
      <c r="BT331" s="2">
        <f t="shared" si="260"/>
        <v>0</v>
      </c>
      <c r="BU331" s="2">
        <f t="shared" si="260"/>
        <v>0</v>
      </c>
      <c r="BV331" s="2">
        <f t="shared" si="260"/>
        <v>0</v>
      </c>
      <c r="BW331" s="2">
        <f t="shared" si="260"/>
        <v>0</v>
      </c>
      <c r="BX331" s="2">
        <f t="shared" si="260"/>
        <v>0</v>
      </c>
      <c r="BY331" s="2">
        <f t="shared" si="260"/>
        <v>0</v>
      </c>
      <c r="BZ331" s="2">
        <f t="shared" si="260"/>
        <v>0</v>
      </c>
      <c r="CA331" s="2">
        <f t="shared" ref="CA331:DF331" si="261">CA339</f>
        <v>852357.22</v>
      </c>
      <c r="CB331" s="2">
        <f t="shared" si="261"/>
        <v>0</v>
      </c>
      <c r="CC331" s="2">
        <f t="shared" si="261"/>
        <v>0</v>
      </c>
      <c r="CD331" s="2">
        <f t="shared" si="261"/>
        <v>852357.22</v>
      </c>
      <c r="CE331" s="2">
        <f t="shared" si="261"/>
        <v>667788.87</v>
      </c>
      <c r="CF331" s="2">
        <f t="shared" si="261"/>
        <v>667788.87</v>
      </c>
      <c r="CG331" s="2">
        <f t="shared" si="261"/>
        <v>0</v>
      </c>
      <c r="CH331" s="2">
        <f t="shared" si="261"/>
        <v>667788.87</v>
      </c>
      <c r="CI331" s="2">
        <f t="shared" si="261"/>
        <v>0</v>
      </c>
      <c r="CJ331" s="2">
        <f t="shared" si="261"/>
        <v>0</v>
      </c>
      <c r="CK331" s="2">
        <f t="shared" si="261"/>
        <v>0</v>
      </c>
      <c r="CL331" s="2">
        <f t="shared" si="261"/>
        <v>0</v>
      </c>
      <c r="CM331" s="2">
        <f t="shared" si="261"/>
        <v>0</v>
      </c>
      <c r="CN331" s="2">
        <f t="shared" si="261"/>
        <v>0</v>
      </c>
      <c r="CO331" s="2">
        <f t="shared" si="261"/>
        <v>0</v>
      </c>
      <c r="CP331" s="2">
        <f t="shared" si="261"/>
        <v>0</v>
      </c>
      <c r="CQ331" s="2">
        <f t="shared" si="261"/>
        <v>0</v>
      </c>
      <c r="CR331" s="2">
        <f t="shared" si="261"/>
        <v>0</v>
      </c>
      <c r="CS331" s="2">
        <f t="shared" si="261"/>
        <v>0</v>
      </c>
      <c r="CT331" s="2">
        <f t="shared" si="261"/>
        <v>0</v>
      </c>
      <c r="CU331" s="2">
        <f t="shared" si="261"/>
        <v>0</v>
      </c>
      <c r="CV331" s="2">
        <f t="shared" si="261"/>
        <v>0</v>
      </c>
      <c r="CW331" s="2">
        <f t="shared" si="261"/>
        <v>0</v>
      </c>
      <c r="CX331" s="2">
        <f t="shared" si="261"/>
        <v>0</v>
      </c>
      <c r="CY331" s="2">
        <f t="shared" si="261"/>
        <v>0</v>
      </c>
      <c r="CZ331" s="2">
        <f t="shared" si="261"/>
        <v>0</v>
      </c>
      <c r="DA331" s="2">
        <f t="shared" si="261"/>
        <v>0</v>
      </c>
      <c r="DB331" s="2">
        <f t="shared" si="261"/>
        <v>0</v>
      </c>
      <c r="DC331" s="2">
        <f t="shared" si="261"/>
        <v>0</v>
      </c>
      <c r="DD331" s="2">
        <f t="shared" si="261"/>
        <v>0</v>
      </c>
      <c r="DE331" s="2">
        <f t="shared" si="261"/>
        <v>0</v>
      </c>
      <c r="DF331" s="2">
        <f t="shared" si="261"/>
        <v>0</v>
      </c>
      <c r="DG331" s="3">
        <f t="shared" ref="DG331:EL331" si="262">DG339</f>
        <v>0</v>
      </c>
      <c r="DH331" s="3">
        <f t="shared" si="262"/>
        <v>0</v>
      </c>
      <c r="DI331" s="3">
        <f t="shared" si="262"/>
        <v>0</v>
      </c>
      <c r="DJ331" s="3">
        <f t="shared" si="262"/>
        <v>0</v>
      </c>
      <c r="DK331" s="3">
        <f t="shared" si="262"/>
        <v>0</v>
      </c>
      <c r="DL331" s="3">
        <f t="shared" si="262"/>
        <v>0</v>
      </c>
      <c r="DM331" s="3">
        <f t="shared" si="262"/>
        <v>0</v>
      </c>
      <c r="DN331" s="3">
        <f t="shared" si="262"/>
        <v>0</v>
      </c>
      <c r="DO331" s="3">
        <f t="shared" si="262"/>
        <v>0</v>
      </c>
      <c r="DP331" s="3">
        <f t="shared" si="262"/>
        <v>0</v>
      </c>
      <c r="DQ331" s="3">
        <f t="shared" si="262"/>
        <v>0</v>
      </c>
      <c r="DR331" s="3">
        <f t="shared" si="262"/>
        <v>0</v>
      </c>
      <c r="DS331" s="3">
        <f t="shared" si="262"/>
        <v>0</v>
      </c>
      <c r="DT331" s="3">
        <f t="shared" si="262"/>
        <v>0</v>
      </c>
      <c r="DU331" s="3">
        <f t="shared" si="262"/>
        <v>0</v>
      </c>
      <c r="DV331" s="3">
        <f t="shared" si="262"/>
        <v>0</v>
      </c>
      <c r="DW331" s="3">
        <f t="shared" si="262"/>
        <v>0</v>
      </c>
      <c r="DX331" s="3">
        <f t="shared" si="262"/>
        <v>0</v>
      </c>
      <c r="DY331" s="3">
        <f t="shared" si="262"/>
        <v>0</v>
      </c>
      <c r="DZ331" s="3">
        <f t="shared" si="262"/>
        <v>0</v>
      </c>
      <c r="EA331" s="3">
        <f t="shared" si="262"/>
        <v>0</v>
      </c>
      <c r="EB331" s="3">
        <f t="shared" si="262"/>
        <v>0</v>
      </c>
      <c r="EC331" s="3">
        <f t="shared" si="262"/>
        <v>0</v>
      </c>
      <c r="ED331" s="3">
        <f t="shared" si="262"/>
        <v>0</v>
      </c>
      <c r="EE331" s="3">
        <f t="shared" si="262"/>
        <v>0</v>
      </c>
      <c r="EF331" s="3">
        <f t="shared" si="262"/>
        <v>0</v>
      </c>
      <c r="EG331" s="3">
        <f t="shared" si="262"/>
        <v>0</v>
      </c>
      <c r="EH331" s="3">
        <f t="shared" si="262"/>
        <v>0</v>
      </c>
      <c r="EI331" s="3">
        <f t="shared" si="262"/>
        <v>0</v>
      </c>
      <c r="EJ331" s="3">
        <f t="shared" si="262"/>
        <v>0</v>
      </c>
      <c r="EK331" s="3">
        <f t="shared" si="262"/>
        <v>0</v>
      </c>
      <c r="EL331" s="3">
        <f t="shared" si="262"/>
        <v>0</v>
      </c>
      <c r="EM331" s="3">
        <f t="shared" ref="EM331:FR331" si="263">EM339</f>
        <v>0</v>
      </c>
      <c r="EN331" s="3">
        <f t="shared" si="263"/>
        <v>0</v>
      </c>
      <c r="EO331" s="3">
        <f t="shared" si="263"/>
        <v>0</v>
      </c>
      <c r="EP331" s="3">
        <f t="shared" si="263"/>
        <v>0</v>
      </c>
      <c r="EQ331" s="3">
        <f t="shared" si="263"/>
        <v>0</v>
      </c>
      <c r="ER331" s="3">
        <f t="shared" si="263"/>
        <v>0</v>
      </c>
      <c r="ES331" s="3">
        <f t="shared" si="263"/>
        <v>0</v>
      </c>
      <c r="ET331" s="3">
        <f t="shared" si="263"/>
        <v>0</v>
      </c>
      <c r="EU331" s="3">
        <f t="shared" si="263"/>
        <v>0</v>
      </c>
      <c r="EV331" s="3">
        <f t="shared" si="263"/>
        <v>0</v>
      </c>
      <c r="EW331" s="3">
        <f t="shared" si="263"/>
        <v>0</v>
      </c>
      <c r="EX331" s="3">
        <f t="shared" si="263"/>
        <v>0</v>
      </c>
      <c r="EY331" s="3">
        <f t="shared" si="263"/>
        <v>0</v>
      </c>
      <c r="EZ331" s="3">
        <f t="shared" si="263"/>
        <v>0</v>
      </c>
      <c r="FA331" s="3">
        <f t="shared" si="263"/>
        <v>0</v>
      </c>
      <c r="FB331" s="3">
        <f t="shared" si="263"/>
        <v>0</v>
      </c>
      <c r="FC331" s="3">
        <f t="shared" si="263"/>
        <v>0</v>
      </c>
      <c r="FD331" s="3">
        <f t="shared" si="263"/>
        <v>0</v>
      </c>
      <c r="FE331" s="3">
        <f t="shared" si="263"/>
        <v>0</v>
      </c>
      <c r="FF331" s="3">
        <f t="shared" si="263"/>
        <v>0</v>
      </c>
      <c r="FG331" s="3">
        <f t="shared" si="263"/>
        <v>0</v>
      </c>
      <c r="FH331" s="3">
        <f t="shared" si="263"/>
        <v>0</v>
      </c>
      <c r="FI331" s="3">
        <f t="shared" si="263"/>
        <v>0</v>
      </c>
      <c r="FJ331" s="3">
        <f t="shared" si="263"/>
        <v>0</v>
      </c>
      <c r="FK331" s="3">
        <f t="shared" si="263"/>
        <v>0</v>
      </c>
      <c r="FL331" s="3">
        <f t="shared" si="263"/>
        <v>0</v>
      </c>
      <c r="FM331" s="3">
        <f t="shared" si="263"/>
        <v>0</v>
      </c>
      <c r="FN331" s="3">
        <f t="shared" si="263"/>
        <v>0</v>
      </c>
      <c r="FO331" s="3">
        <f t="shared" si="263"/>
        <v>0</v>
      </c>
      <c r="FP331" s="3">
        <f t="shared" si="263"/>
        <v>0</v>
      </c>
      <c r="FQ331" s="3">
        <f t="shared" si="263"/>
        <v>0</v>
      </c>
      <c r="FR331" s="3">
        <f t="shared" si="263"/>
        <v>0</v>
      </c>
      <c r="FS331" s="3">
        <f t="shared" ref="FS331:GX331" si="264">FS339</f>
        <v>0</v>
      </c>
      <c r="FT331" s="3">
        <f t="shared" si="264"/>
        <v>0</v>
      </c>
      <c r="FU331" s="3">
        <f t="shared" si="264"/>
        <v>0</v>
      </c>
      <c r="FV331" s="3">
        <f t="shared" si="264"/>
        <v>0</v>
      </c>
      <c r="FW331" s="3">
        <f t="shared" si="264"/>
        <v>0</v>
      </c>
      <c r="FX331" s="3">
        <f t="shared" si="264"/>
        <v>0</v>
      </c>
      <c r="FY331" s="3">
        <f t="shared" si="264"/>
        <v>0</v>
      </c>
      <c r="FZ331" s="3">
        <f t="shared" si="264"/>
        <v>0</v>
      </c>
      <c r="GA331" s="3">
        <f t="shared" si="264"/>
        <v>0</v>
      </c>
      <c r="GB331" s="3">
        <f t="shared" si="264"/>
        <v>0</v>
      </c>
      <c r="GC331" s="3">
        <f t="shared" si="264"/>
        <v>0</v>
      </c>
      <c r="GD331" s="3">
        <f t="shared" si="264"/>
        <v>0</v>
      </c>
      <c r="GE331" s="3">
        <f t="shared" si="264"/>
        <v>0</v>
      </c>
      <c r="GF331" s="3">
        <f t="shared" si="264"/>
        <v>0</v>
      </c>
      <c r="GG331" s="3">
        <f t="shared" si="264"/>
        <v>0</v>
      </c>
      <c r="GH331" s="3">
        <f t="shared" si="264"/>
        <v>0</v>
      </c>
      <c r="GI331" s="3">
        <f t="shared" si="264"/>
        <v>0</v>
      </c>
      <c r="GJ331" s="3">
        <f t="shared" si="264"/>
        <v>0</v>
      </c>
      <c r="GK331" s="3">
        <f t="shared" si="264"/>
        <v>0</v>
      </c>
      <c r="GL331" s="3">
        <f t="shared" si="264"/>
        <v>0</v>
      </c>
      <c r="GM331" s="3">
        <f t="shared" si="264"/>
        <v>0</v>
      </c>
      <c r="GN331" s="3">
        <f t="shared" si="264"/>
        <v>0</v>
      </c>
      <c r="GO331" s="3">
        <f t="shared" si="264"/>
        <v>0</v>
      </c>
      <c r="GP331" s="3">
        <f t="shared" si="264"/>
        <v>0</v>
      </c>
      <c r="GQ331" s="3">
        <f t="shared" si="264"/>
        <v>0</v>
      </c>
      <c r="GR331" s="3">
        <f t="shared" si="264"/>
        <v>0</v>
      </c>
      <c r="GS331" s="3">
        <f t="shared" si="264"/>
        <v>0</v>
      </c>
      <c r="GT331" s="3">
        <f t="shared" si="264"/>
        <v>0</v>
      </c>
      <c r="GU331" s="3">
        <f t="shared" si="264"/>
        <v>0</v>
      </c>
      <c r="GV331" s="3">
        <f t="shared" si="264"/>
        <v>0</v>
      </c>
      <c r="GW331" s="3">
        <f t="shared" si="264"/>
        <v>0</v>
      </c>
      <c r="GX331" s="3">
        <f t="shared" si="264"/>
        <v>0</v>
      </c>
    </row>
    <row r="333" spans="1:245" x14ac:dyDescent="0.2">
      <c r="A333">
        <v>17</v>
      </c>
      <c r="B333">
        <v>1</v>
      </c>
      <c r="C333">
        <f>ROW(SmtRes!A93)</f>
        <v>93</v>
      </c>
      <c r="D333">
        <f>ROW(EtalonRes!A90)</f>
        <v>90</v>
      </c>
      <c r="E333" t="s">
        <v>246</v>
      </c>
      <c r="F333" t="s">
        <v>171</v>
      </c>
      <c r="G333" t="s">
        <v>172</v>
      </c>
      <c r="H333" t="s">
        <v>173</v>
      </c>
      <c r="I333">
        <f>ROUND(120/100,9)</f>
        <v>1.2</v>
      </c>
      <c r="J333">
        <v>0</v>
      </c>
      <c r="O333">
        <f>ROUND(CP333,2)</f>
        <v>767206.79</v>
      </c>
      <c r="P333">
        <f>ROUND(CQ333*I333,2)</f>
        <v>657528.31999999995</v>
      </c>
      <c r="Q333">
        <f>ROUND(CR333*I333,2)</f>
        <v>23998.93</v>
      </c>
      <c r="R333">
        <f>ROUND(CS333*I333,2)</f>
        <v>4290.43</v>
      </c>
      <c r="S333">
        <f>ROUND(CT333*I333,2)</f>
        <v>85679.54</v>
      </c>
      <c r="T333">
        <f>ROUND(CU333*I333,2)</f>
        <v>0</v>
      </c>
      <c r="U333">
        <f>CV333*I333</f>
        <v>408.97199999999998</v>
      </c>
      <c r="V333">
        <f>CW333*I333</f>
        <v>0</v>
      </c>
      <c r="W333">
        <f>ROUND(CX333*I333,2)</f>
        <v>0</v>
      </c>
      <c r="X333">
        <f t="shared" ref="X333:Y337" si="265">ROUND(CY333,2)</f>
        <v>59975.68</v>
      </c>
      <c r="Y333">
        <f t="shared" si="265"/>
        <v>8567.9500000000007</v>
      </c>
      <c r="AA333">
        <v>38214492</v>
      </c>
      <c r="AB333">
        <f>ROUND((AC333+AD333+AF333),6)</f>
        <v>639339</v>
      </c>
      <c r="AC333">
        <f>ROUND((ES333),6)</f>
        <v>547940.27</v>
      </c>
      <c r="AD333">
        <f>ROUND((((ET333)-(EU333))+AE333),6)</f>
        <v>19999.11</v>
      </c>
      <c r="AE333">
        <f t="shared" ref="AE333:AF337" si="266">ROUND((EU333),6)</f>
        <v>3575.36</v>
      </c>
      <c r="AF333">
        <f t="shared" si="266"/>
        <v>71399.62</v>
      </c>
      <c r="AG333">
        <f>ROUND((AP333),6)</f>
        <v>0</v>
      </c>
      <c r="AH333">
        <f t="shared" ref="AH333:AI337" si="267">(EW333)</f>
        <v>340.81</v>
      </c>
      <c r="AI333">
        <f t="shared" si="267"/>
        <v>0</v>
      </c>
      <c r="AJ333">
        <f>(AS333)</f>
        <v>0</v>
      </c>
      <c r="AK333">
        <v>639339</v>
      </c>
      <c r="AL333">
        <v>547940.27</v>
      </c>
      <c r="AM333">
        <v>19999.11</v>
      </c>
      <c r="AN333">
        <v>3575.36</v>
      </c>
      <c r="AO333">
        <v>71399.62</v>
      </c>
      <c r="AP333">
        <v>0</v>
      </c>
      <c r="AQ333">
        <v>340.81</v>
      </c>
      <c r="AR333">
        <v>0</v>
      </c>
      <c r="AS333">
        <v>0</v>
      </c>
      <c r="AT333">
        <v>70</v>
      </c>
      <c r="AU333">
        <v>10</v>
      </c>
      <c r="AV333">
        <v>1</v>
      </c>
      <c r="AW333">
        <v>1</v>
      </c>
      <c r="AZ333">
        <v>1</v>
      </c>
      <c r="BA333">
        <v>1</v>
      </c>
      <c r="BB333">
        <v>1</v>
      </c>
      <c r="BC333">
        <v>1</v>
      </c>
      <c r="BD333" t="s">
        <v>3</v>
      </c>
      <c r="BE333" t="s">
        <v>3</v>
      </c>
      <c r="BF333" t="s">
        <v>3</v>
      </c>
      <c r="BG333" t="s">
        <v>3</v>
      </c>
      <c r="BH333">
        <v>0</v>
      </c>
      <c r="BI333">
        <v>4</v>
      </c>
      <c r="BJ333" t="s">
        <v>174</v>
      </c>
      <c r="BM333">
        <v>0</v>
      </c>
      <c r="BN333">
        <v>0</v>
      </c>
      <c r="BO333" t="s">
        <v>3</v>
      </c>
      <c r="BP333">
        <v>0</v>
      </c>
      <c r="BQ333">
        <v>1</v>
      </c>
      <c r="BR333">
        <v>0</v>
      </c>
      <c r="BS333">
        <v>1</v>
      </c>
      <c r="BT333">
        <v>1</v>
      </c>
      <c r="BU333">
        <v>1</v>
      </c>
      <c r="BV333">
        <v>1</v>
      </c>
      <c r="BW333">
        <v>1</v>
      </c>
      <c r="BX333">
        <v>1</v>
      </c>
      <c r="BY333" t="s">
        <v>3</v>
      </c>
      <c r="BZ333">
        <v>70</v>
      </c>
      <c r="CA333">
        <v>10</v>
      </c>
      <c r="CE333">
        <v>0</v>
      </c>
      <c r="CF333">
        <v>0</v>
      </c>
      <c r="CG333">
        <v>0</v>
      </c>
      <c r="CM333">
        <v>0</v>
      </c>
      <c r="CN333" t="s">
        <v>3</v>
      </c>
      <c r="CO333">
        <v>0</v>
      </c>
      <c r="CP333">
        <f>(P333+Q333+S333)</f>
        <v>767206.79</v>
      </c>
      <c r="CQ333">
        <f>(AC333*BC333*AW333)</f>
        <v>547940.27</v>
      </c>
      <c r="CR333">
        <f>((((ET333)*BB333-(EU333)*BS333)+AE333*BS333)*AV333)</f>
        <v>19999.11</v>
      </c>
      <c r="CS333">
        <f>(AE333*BS333*AV333)</f>
        <v>3575.36</v>
      </c>
      <c r="CT333">
        <f>(AF333*BA333*AV333)</f>
        <v>71399.62</v>
      </c>
      <c r="CU333">
        <f>AG333</f>
        <v>0</v>
      </c>
      <c r="CV333">
        <f>(AH333*AV333)</f>
        <v>340.81</v>
      </c>
      <c r="CW333">
        <f t="shared" ref="CW333:CX337" si="268">AI333</f>
        <v>0</v>
      </c>
      <c r="CX333">
        <f t="shared" si="268"/>
        <v>0</v>
      </c>
      <c r="CY333">
        <f>((S333*BZ333)/100)</f>
        <v>59975.678</v>
      </c>
      <c r="CZ333">
        <f>((S333*CA333)/100)</f>
        <v>8567.9539999999997</v>
      </c>
      <c r="DC333" t="s">
        <v>3</v>
      </c>
      <c r="DD333" t="s">
        <v>3</v>
      </c>
      <c r="DE333" t="s">
        <v>3</v>
      </c>
      <c r="DF333" t="s">
        <v>3</v>
      </c>
      <c r="DG333" t="s">
        <v>3</v>
      </c>
      <c r="DH333" t="s">
        <v>3</v>
      </c>
      <c r="DI333" t="s">
        <v>3</v>
      </c>
      <c r="DJ333" t="s">
        <v>3</v>
      </c>
      <c r="DK333" t="s">
        <v>3</v>
      </c>
      <c r="DL333" t="s">
        <v>3</v>
      </c>
      <c r="DM333" t="s">
        <v>3</v>
      </c>
      <c r="DN333">
        <v>0</v>
      </c>
      <c r="DO333">
        <v>0</v>
      </c>
      <c r="DP333">
        <v>1</v>
      </c>
      <c r="DQ333">
        <v>1</v>
      </c>
      <c r="DU333">
        <v>1003</v>
      </c>
      <c r="DV333" t="s">
        <v>173</v>
      </c>
      <c r="DW333" t="s">
        <v>173</v>
      </c>
      <c r="DX333">
        <v>100</v>
      </c>
      <c r="EE333">
        <v>38628631</v>
      </c>
      <c r="EF333">
        <v>1</v>
      </c>
      <c r="EG333" t="s">
        <v>24</v>
      </c>
      <c r="EH333">
        <v>0</v>
      </c>
      <c r="EI333" t="s">
        <v>3</v>
      </c>
      <c r="EJ333">
        <v>4</v>
      </c>
      <c r="EK333">
        <v>0</v>
      </c>
      <c r="EL333" t="s">
        <v>25</v>
      </c>
      <c r="EM333" t="s">
        <v>26</v>
      </c>
      <c r="EO333" t="s">
        <v>3</v>
      </c>
      <c r="EQ333">
        <v>0</v>
      </c>
      <c r="ER333">
        <v>639339</v>
      </c>
      <c r="ES333">
        <v>547940.27</v>
      </c>
      <c r="ET333">
        <v>19999.11</v>
      </c>
      <c r="EU333">
        <v>3575.36</v>
      </c>
      <c r="EV333">
        <v>71399.62</v>
      </c>
      <c r="EW333">
        <v>340.81</v>
      </c>
      <c r="EX333">
        <v>0</v>
      </c>
      <c r="EY333">
        <v>0</v>
      </c>
      <c r="FQ333">
        <v>0</v>
      </c>
      <c r="FR333">
        <f>ROUND(IF(AND(BH333=3,BI333=3),P333,0),2)</f>
        <v>0</v>
      </c>
      <c r="FS333">
        <v>0</v>
      </c>
      <c r="FX333">
        <v>70</v>
      </c>
      <c r="FY333">
        <v>10</v>
      </c>
      <c r="GA333" t="s">
        <v>3</v>
      </c>
      <c r="GD333">
        <v>0</v>
      </c>
      <c r="GF333">
        <v>561369357</v>
      </c>
      <c r="GG333">
        <v>2</v>
      </c>
      <c r="GH333">
        <v>1</v>
      </c>
      <c r="GI333">
        <v>-2</v>
      </c>
      <c r="GJ333">
        <v>0</v>
      </c>
      <c r="GK333">
        <f>ROUND(R333*(R12)/100,2)</f>
        <v>4633.66</v>
      </c>
      <c r="GL333">
        <f>ROUND(IF(AND(BH333=3,BI333=3,FS333&lt;&gt;0),P333,0),2)</f>
        <v>0</v>
      </c>
      <c r="GM333">
        <f>ROUND(O333+X333+Y333+GK333,2)+GX333</f>
        <v>840384.08</v>
      </c>
      <c r="GN333">
        <f>IF(OR(BI333=0,BI333=1),ROUND(O333+X333+Y333+GK333,2),0)</f>
        <v>0</v>
      </c>
      <c r="GO333">
        <f>IF(BI333=2,ROUND(O333+X333+Y333+GK333,2),0)</f>
        <v>0</v>
      </c>
      <c r="GP333">
        <f>IF(BI333=4,ROUND(O333+X333+Y333+GK333,2)+GX333,0)</f>
        <v>840384.08</v>
      </c>
      <c r="GR333">
        <v>0</v>
      </c>
      <c r="GS333">
        <v>3</v>
      </c>
      <c r="GT333">
        <v>0</v>
      </c>
      <c r="GU333" t="s">
        <v>3</v>
      </c>
      <c r="GV333">
        <f>ROUND((GT333),6)</f>
        <v>0</v>
      </c>
      <c r="GW333">
        <v>1</v>
      </c>
      <c r="GX333">
        <f>ROUND(HC333*I333,2)</f>
        <v>0</v>
      </c>
      <c r="HA333">
        <v>0</v>
      </c>
      <c r="HB333">
        <v>0</v>
      </c>
      <c r="HC333">
        <f>GV333*GW333</f>
        <v>0</v>
      </c>
      <c r="HE333" t="s">
        <v>3</v>
      </c>
      <c r="HF333" t="s">
        <v>3</v>
      </c>
      <c r="IK333">
        <v>0</v>
      </c>
    </row>
    <row r="334" spans="1:245" x14ac:dyDescent="0.2">
      <c r="A334">
        <v>17</v>
      </c>
      <c r="B334">
        <v>1</v>
      </c>
      <c r="C334">
        <f>ROW(SmtRes!A99)</f>
        <v>99</v>
      </c>
      <c r="D334">
        <f>ROW(EtalonRes!A96)</f>
        <v>96</v>
      </c>
      <c r="E334" t="s">
        <v>247</v>
      </c>
      <c r="F334" t="s">
        <v>176</v>
      </c>
      <c r="G334" t="s">
        <v>177</v>
      </c>
      <c r="H334" t="s">
        <v>123</v>
      </c>
      <c r="I334">
        <v>1</v>
      </c>
      <c r="J334">
        <v>0</v>
      </c>
      <c r="O334">
        <f>ROUND(CP334,2)</f>
        <v>1053.67</v>
      </c>
      <c r="P334">
        <f>ROUND(CQ334*I334,2)</f>
        <v>57.98</v>
      </c>
      <c r="Q334">
        <f>ROUND(CR334*I334,2)</f>
        <v>631.02</v>
      </c>
      <c r="R334">
        <f>ROUND(CS334*I334,2)</f>
        <v>393.67</v>
      </c>
      <c r="S334">
        <f>ROUND(CT334*I334,2)</f>
        <v>364.67</v>
      </c>
      <c r="T334">
        <f>ROUND(CU334*I334,2)</f>
        <v>0</v>
      </c>
      <c r="U334">
        <f>CV334*I334</f>
        <v>2</v>
      </c>
      <c r="V334">
        <f>CW334*I334</f>
        <v>0</v>
      </c>
      <c r="W334">
        <f>ROUND(CX334*I334,2)</f>
        <v>0</v>
      </c>
      <c r="X334">
        <f t="shared" si="265"/>
        <v>255.27</v>
      </c>
      <c r="Y334">
        <f t="shared" si="265"/>
        <v>36.47</v>
      </c>
      <c r="AA334">
        <v>38214492</v>
      </c>
      <c r="AB334">
        <f>ROUND((AC334+AD334+AF334),6)</f>
        <v>1053.67</v>
      </c>
      <c r="AC334">
        <f>ROUND((ES334),6)</f>
        <v>57.98</v>
      </c>
      <c r="AD334">
        <f>ROUND((((ET334)-(EU334))+AE334),6)</f>
        <v>631.02</v>
      </c>
      <c r="AE334">
        <f t="shared" si="266"/>
        <v>393.67</v>
      </c>
      <c r="AF334">
        <f t="shared" si="266"/>
        <v>364.67</v>
      </c>
      <c r="AG334">
        <f>ROUND((AP334),6)</f>
        <v>0</v>
      </c>
      <c r="AH334">
        <f t="shared" si="267"/>
        <v>2</v>
      </c>
      <c r="AI334">
        <f t="shared" si="267"/>
        <v>0</v>
      </c>
      <c r="AJ334">
        <f>(AS334)</f>
        <v>0</v>
      </c>
      <c r="AK334">
        <v>1053.67</v>
      </c>
      <c r="AL334">
        <v>57.98</v>
      </c>
      <c r="AM334">
        <v>631.02</v>
      </c>
      <c r="AN334">
        <v>393.67</v>
      </c>
      <c r="AO334">
        <v>364.67</v>
      </c>
      <c r="AP334">
        <v>0</v>
      </c>
      <c r="AQ334">
        <v>2</v>
      </c>
      <c r="AR334">
        <v>0</v>
      </c>
      <c r="AS334">
        <v>0</v>
      </c>
      <c r="AT334">
        <v>70</v>
      </c>
      <c r="AU334">
        <v>10</v>
      </c>
      <c r="AV334">
        <v>1</v>
      </c>
      <c r="AW334">
        <v>1</v>
      </c>
      <c r="AZ334">
        <v>1</v>
      </c>
      <c r="BA334">
        <v>1</v>
      </c>
      <c r="BB334">
        <v>1</v>
      </c>
      <c r="BC334">
        <v>1</v>
      </c>
      <c r="BD334" t="s">
        <v>3</v>
      </c>
      <c r="BE334" t="s">
        <v>3</v>
      </c>
      <c r="BF334" t="s">
        <v>3</v>
      </c>
      <c r="BG334" t="s">
        <v>3</v>
      </c>
      <c r="BH334">
        <v>0</v>
      </c>
      <c r="BI334">
        <v>4</v>
      </c>
      <c r="BJ334" t="s">
        <v>178</v>
      </c>
      <c r="BM334">
        <v>0</v>
      </c>
      <c r="BN334">
        <v>0</v>
      </c>
      <c r="BO334" t="s">
        <v>3</v>
      </c>
      <c r="BP334">
        <v>0</v>
      </c>
      <c r="BQ334">
        <v>1</v>
      </c>
      <c r="BR334">
        <v>0</v>
      </c>
      <c r="BS334">
        <v>1</v>
      </c>
      <c r="BT334">
        <v>1</v>
      </c>
      <c r="BU334">
        <v>1</v>
      </c>
      <c r="BV334">
        <v>1</v>
      </c>
      <c r="BW334">
        <v>1</v>
      </c>
      <c r="BX334">
        <v>1</v>
      </c>
      <c r="BY334" t="s">
        <v>3</v>
      </c>
      <c r="BZ334">
        <v>70</v>
      </c>
      <c r="CA334">
        <v>10</v>
      </c>
      <c r="CE334">
        <v>0</v>
      </c>
      <c r="CF334">
        <v>0</v>
      </c>
      <c r="CG334">
        <v>0</v>
      </c>
      <c r="CM334">
        <v>0</v>
      </c>
      <c r="CN334" t="s">
        <v>3</v>
      </c>
      <c r="CO334">
        <v>0</v>
      </c>
      <c r="CP334">
        <f>(P334+Q334+S334)</f>
        <v>1053.67</v>
      </c>
      <c r="CQ334">
        <f>(AC334*BC334*AW334)</f>
        <v>57.98</v>
      </c>
      <c r="CR334">
        <f>((((ET334)*BB334-(EU334)*BS334)+AE334*BS334)*AV334)</f>
        <v>631.02</v>
      </c>
      <c r="CS334">
        <f>(AE334*BS334*AV334)</f>
        <v>393.67</v>
      </c>
      <c r="CT334">
        <f>(AF334*BA334*AV334)</f>
        <v>364.67</v>
      </c>
      <c r="CU334">
        <f>AG334</f>
        <v>0</v>
      </c>
      <c r="CV334">
        <f>(AH334*AV334)</f>
        <v>2</v>
      </c>
      <c r="CW334">
        <f t="shared" si="268"/>
        <v>0</v>
      </c>
      <c r="CX334">
        <f t="shared" si="268"/>
        <v>0</v>
      </c>
      <c r="CY334">
        <f>((S334*BZ334)/100)</f>
        <v>255.26900000000001</v>
      </c>
      <c r="CZ334">
        <f>((S334*CA334)/100)</f>
        <v>36.467000000000006</v>
      </c>
      <c r="DC334" t="s">
        <v>3</v>
      </c>
      <c r="DD334" t="s">
        <v>3</v>
      </c>
      <c r="DE334" t="s">
        <v>3</v>
      </c>
      <c r="DF334" t="s">
        <v>3</v>
      </c>
      <c r="DG334" t="s">
        <v>3</v>
      </c>
      <c r="DH334" t="s">
        <v>3</v>
      </c>
      <c r="DI334" t="s">
        <v>3</v>
      </c>
      <c r="DJ334" t="s">
        <v>3</v>
      </c>
      <c r="DK334" t="s">
        <v>3</v>
      </c>
      <c r="DL334" t="s">
        <v>3</v>
      </c>
      <c r="DM334" t="s">
        <v>3</v>
      </c>
      <c r="DN334">
        <v>0</v>
      </c>
      <c r="DO334">
        <v>0</v>
      </c>
      <c r="DP334">
        <v>1</v>
      </c>
      <c r="DQ334">
        <v>1</v>
      </c>
      <c r="DU334">
        <v>1010</v>
      </c>
      <c r="DV334" t="s">
        <v>123</v>
      </c>
      <c r="DW334" t="s">
        <v>123</v>
      </c>
      <c r="DX334">
        <v>1</v>
      </c>
      <c r="EE334">
        <v>38628631</v>
      </c>
      <c r="EF334">
        <v>1</v>
      </c>
      <c r="EG334" t="s">
        <v>24</v>
      </c>
      <c r="EH334">
        <v>0</v>
      </c>
      <c r="EI334" t="s">
        <v>3</v>
      </c>
      <c r="EJ334">
        <v>4</v>
      </c>
      <c r="EK334">
        <v>0</v>
      </c>
      <c r="EL334" t="s">
        <v>25</v>
      </c>
      <c r="EM334" t="s">
        <v>26</v>
      </c>
      <c r="EO334" t="s">
        <v>3</v>
      </c>
      <c r="EQ334">
        <v>0</v>
      </c>
      <c r="ER334">
        <v>1053.67</v>
      </c>
      <c r="ES334">
        <v>57.98</v>
      </c>
      <c r="ET334">
        <v>631.02</v>
      </c>
      <c r="EU334">
        <v>393.67</v>
      </c>
      <c r="EV334">
        <v>364.67</v>
      </c>
      <c r="EW334">
        <v>2</v>
      </c>
      <c r="EX334">
        <v>0</v>
      </c>
      <c r="EY334">
        <v>0</v>
      </c>
      <c r="FQ334">
        <v>0</v>
      </c>
      <c r="FR334">
        <f>ROUND(IF(AND(BH334=3,BI334=3),P334,0),2)</f>
        <v>0</v>
      </c>
      <c r="FS334">
        <v>0</v>
      </c>
      <c r="FX334">
        <v>70</v>
      </c>
      <c r="FY334">
        <v>10</v>
      </c>
      <c r="GA334" t="s">
        <v>3</v>
      </c>
      <c r="GD334">
        <v>0</v>
      </c>
      <c r="GF334">
        <v>1958731536</v>
      </c>
      <c r="GG334">
        <v>2</v>
      </c>
      <c r="GH334">
        <v>1</v>
      </c>
      <c r="GI334">
        <v>-2</v>
      </c>
      <c r="GJ334">
        <v>0</v>
      </c>
      <c r="GK334">
        <f>ROUND(R334*(R12)/100,2)</f>
        <v>425.16</v>
      </c>
      <c r="GL334">
        <f>ROUND(IF(AND(BH334=3,BI334=3,FS334&lt;&gt;0),P334,0),2)</f>
        <v>0</v>
      </c>
      <c r="GM334">
        <f>ROUND(O334+X334+Y334+GK334,2)+GX334</f>
        <v>1770.57</v>
      </c>
      <c r="GN334">
        <f>IF(OR(BI334=0,BI334=1),ROUND(O334+X334+Y334+GK334,2),0)</f>
        <v>0</v>
      </c>
      <c r="GO334">
        <f>IF(BI334=2,ROUND(O334+X334+Y334+GK334,2),0)</f>
        <v>0</v>
      </c>
      <c r="GP334">
        <f>IF(BI334=4,ROUND(O334+X334+Y334+GK334,2)+GX334,0)</f>
        <v>1770.57</v>
      </c>
      <c r="GR334">
        <v>0</v>
      </c>
      <c r="GS334">
        <v>3</v>
      </c>
      <c r="GT334">
        <v>0</v>
      </c>
      <c r="GU334" t="s">
        <v>3</v>
      </c>
      <c r="GV334">
        <f>ROUND((GT334),6)</f>
        <v>0</v>
      </c>
      <c r="GW334">
        <v>1</v>
      </c>
      <c r="GX334">
        <f>ROUND(HC334*I334,2)</f>
        <v>0</v>
      </c>
      <c r="HA334">
        <v>0</v>
      </c>
      <c r="HB334">
        <v>0</v>
      </c>
      <c r="HC334">
        <f>GV334*GW334</f>
        <v>0</v>
      </c>
      <c r="HE334" t="s">
        <v>3</v>
      </c>
      <c r="HF334" t="s">
        <v>3</v>
      </c>
      <c r="IK334">
        <v>0</v>
      </c>
    </row>
    <row r="335" spans="1:245" x14ac:dyDescent="0.2">
      <c r="A335">
        <v>17</v>
      </c>
      <c r="B335">
        <v>1</v>
      </c>
      <c r="E335" t="s">
        <v>248</v>
      </c>
      <c r="F335" t="s">
        <v>180</v>
      </c>
      <c r="G335" t="s">
        <v>181</v>
      </c>
      <c r="H335" t="s">
        <v>123</v>
      </c>
      <c r="I335">
        <v>1</v>
      </c>
      <c r="J335">
        <v>0</v>
      </c>
      <c r="O335">
        <f>ROUND(CP335,2)</f>
        <v>10202.57</v>
      </c>
      <c r="P335">
        <f>ROUND(CQ335*I335,2)</f>
        <v>10202.57</v>
      </c>
      <c r="Q335">
        <f>ROUND(CR335*I335,2)</f>
        <v>0</v>
      </c>
      <c r="R335">
        <f>ROUND(CS335*I335,2)</f>
        <v>0</v>
      </c>
      <c r="S335">
        <f>ROUND(CT335*I335,2)</f>
        <v>0</v>
      </c>
      <c r="T335">
        <f>ROUND(CU335*I335,2)</f>
        <v>0</v>
      </c>
      <c r="U335">
        <f>CV335*I335</f>
        <v>0</v>
      </c>
      <c r="V335">
        <f>CW335*I335</f>
        <v>0</v>
      </c>
      <c r="W335">
        <f>ROUND(CX335*I335,2)</f>
        <v>0</v>
      </c>
      <c r="X335">
        <f t="shared" si="265"/>
        <v>0</v>
      </c>
      <c r="Y335">
        <f t="shared" si="265"/>
        <v>0</v>
      </c>
      <c r="AA335">
        <v>38214492</v>
      </c>
      <c r="AB335">
        <f>ROUND((AC335+AD335+AF335),6)</f>
        <v>10202.57</v>
      </c>
      <c r="AC335">
        <f>ROUND((ES335),6)</f>
        <v>10202.57</v>
      </c>
      <c r="AD335">
        <f>ROUND((((ET335)-(EU335))+AE335),6)</f>
        <v>0</v>
      </c>
      <c r="AE335">
        <f t="shared" si="266"/>
        <v>0</v>
      </c>
      <c r="AF335">
        <f t="shared" si="266"/>
        <v>0</v>
      </c>
      <c r="AG335">
        <f>ROUND((AP335),6)</f>
        <v>0</v>
      </c>
      <c r="AH335">
        <f t="shared" si="267"/>
        <v>0</v>
      </c>
      <c r="AI335">
        <f t="shared" si="267"/>
        <v>0</v>
      </c>
      <c r="AJ335">
        <f>(AS335)</f>
        <v>0</v>
      </c>
      <c r="AK335">
        <v>10202.57</v>
      </c>
      <c r="AL335">
        <v>10202.57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70</v>
      </c>
      <c r="AU335">
        <v>10</v>
      </c>
      <c r="AV335">
        <v>1</v>
      </c>
      <c r="AW335">
        <v>1</v>
      </c>
      <c r="AZ335">
        <v>1</v>
      </c>
      <c r="BA335">
        <v>1</v>
      </c>
      <c r="BB335">
        <v>1</v>
      </c>
      <c r="BC335">
        <v>1</v>
      </c>
      <c r="BD335" t="s">
        <v>3</v>
      </c>
      <c r="BE335" t="s">
        <v>3</v>
      </c>
      <c r="BF335" t="s">
        <v>3</v>
      </c>
      <c r="BG335" t="s">
        <v>3</v>
      </c>
      <c r="BH335">
        <v>3</v>
      </c>
      <c r="BI335">
        <v>4</v>
      </c>
      <c r="BJ335" t="s">
        <v>182</v>
      </c>
      <c r="BM335">
        <v>0</v>
      </c>
      <c r="BN335">
        <v>0</v>
      </c>
      <c r="BO335" t="s">
        <v>3</v>
      </c>
      <c r="BP335">
        <v>0</v>
      </c>
      <c r="BQ335">
        <v>1</v>
      </c>
      <c r="BR335">
        <v>0</v>
      </c>
      <c r="BS335">
        <v>1</v>
      </c>
      <c r="BT335">
        <v>1</v>
      </c>
      <c r="BU335">
        <v>1</v>
      </c>
      <c r="BV335">
        <v>1</v>
      </c>
      <c r="BW335">
        <v>1</v>
      </c>
      <c r="BX335">
        <v>1</v>
      </c>
      <c r="BY335" t="s">
        <v>3</v>
      </c>
      <c r="BZ335">
        <v>70</v>
      </c>
      <c r="CA335">
        <v>10</v>
      </c>
      <c r="CE335">
        <v>0</v>
      </c>
      <c r="CF335">
        <v>0</v>
      </c>
      <c r="CG335">
        <v>0</v>
      </c>
      <c r="CM335">
        <v>0</v>
      </c>
      <c r="CN335" t="s">
        <v>3</v>
      </c>
      <c r="CO335">
        <v>0</v>
      </c>
      <c r="CP335">
        <f>(P335+Q335+S335)</f>
        <v>10202.57</v>
      </c>
      <c r="CQ335">
        <f>(AC335*BC335*AW335)</f>
        <v>10202.57</v>
      </c>
      <c r="CR335">
        <f>((((ET335)*BB335-(EU335)*BS335)+AE335*BS335)*AV335)</f>
        <v>0</v>
      </c>
      <c r="CS335">
        <f>(AE335*BS335*AV335)</f>
        <v>0</v>
      </c>
      <c r="CT335">
        <f>(AF335*BA335*AV335)</f>
        <v>0</v>
      </c>
      <c r="CU335">
        <f>AG335</f>
        <v>0</v>
      </c>
      <c r="CV335">
        <f>(AH335*AV335)</f>
        <v>0</v>
      </c>
      <c r="CW335">
        <f t="shared" si="268"/>
        <v>0</v>
      </c>
      <c r="CX335">
        <f t="shared" si="268"/>
        <v>0</v>
      </c>
      <c r="CY335">
        <f>((S335*BZ335)/100)</f>
        <v>0</v>
      </c>
      <c r="CZ335">
        <f>((S335*CA335)/100)</f>
        <v>0</v>
      </c>
      <c r="DC335" t="s">
        <v>3</v>
      </c>
      <c r="DD335" t="s">
        <v>3</v>
      </c>
      <c r="DE335" t="s">
        <v>3</v>
      </c>
      <c r="DF335" t="s">
        <v>3</v>
      </c>
      <c r="DG335" t="s">
        <v>3</v>
      </c>
      <c r="DH335" t="s">
        <v>3</v>
      </c>
      <c r="DI335" t="s">
        <v>3</v>
      </c>
      <c r="DJ335" t="s">
        <v>3</v>
      </c>
      <c r="DK335" t="s">
        <v>3</v>
      </c>
      <c r="DL335" t="s">
        <v>3</v>
      </c>
      <c r="DM335" t="s">
        <v>3</v>
      </c>
      <c r="DN335">
        <v>0</v>
      </c>
      <c r="DO335">
        <v>0</v>
      </c>
      <c r="DP335">
        <v>1</v>
      </c>
      <c r="DQ335">
        <v>1</v>
      </c>
      <c r="DU335">
        <v>1010</v>
      </c>
      <c r="DV335" t="s">
        <v>123</v>
      </c>
      <c r="DW335" t="s">
        <v>123</v>
      </c>
      <c r="DX335">
        <v>1</v>
      </c>
      <c r="EE335">
        <v>38628631</v>
      </c>
      <c r="EF335">
        <v>1</v>
      </c>
      <c r="EG335" t="s">
        <v>24</v>
      </c>
      <c r="EH335">
        <v>0</v>
      </c>
      <c r="EI335" t="s">
        <v>3</v>
      </c>
      <c r="EJ335">
        <v>4</v>
      </c>
      <c r="EK335">
        <v>0</v>
      </c>
      <c r="EL335" t="s">
        <v>25</v>
      </c>
      <c r="EM335" t="s">
        <v>26</v>
      </c>
      <c r="EO335" t="s">
        <v>3</v>
      </c>
      <c r="EQ335">
        <v>0</v>
      </c>
      <c r="ER335">
        <v>10202.57</v>
      </c>
      <c r="ES335">
        <v>10202.57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FQ335">
        <v>0</v>
      </c>
      <c r="FR335">
        <f>ROUND(IF(AND(BH335=3,BI335=3),P335,0),2)</f>
        <v>0</v>
      </c>
      <c r="FS335">
        <v>0</v>
      </c>
      <c r="FX335">
        <v>70</v>
      </c>
      <c r="FY335">
        <v>10</v>
      </c>
      <c r="GA335" t="s">
        <v>3</v>
      </c>
      <c r="GD335">
        <v>0</v>
      </c>
      <c r="GF335">
        <v>-1953145621</v>
      </c>
      <c r="GG335">
        <v>2</v>
      </c>
      <c r="GH335">
        <v>1</v>
      </c>
      <c r="GI335">
        <v>-2</v>
      </c>
      <c r="GJ335">
        <v>0</v>
      </c>
      <c r="GK335">
        <f>ROUND(R335*(R12)/100,2)</f>
        <v>0</v>
      </c>
      <c r="GL335">
        <f>ROUND(IF(AND(BH335=3,BI335=3,FS335&lt;&gt;0),P335,0),2)</f>
        <v>0</v>
      </c>
      <c r="GM335">
        <f>ROUND(O335+X335+Y335+GK335,2)+GX335</f>
        <v>10202.57</v>
      </c>
      <c r="GN335">
        <f>IF(OR(BI335=0,BI335=1),ROUND(O335+X335+Y335+GK335,2),0)</f>
        <v>0</v>
      </c>
      <c r="GO335">
        <f>IF(BI335=2,ROUND(O335+X335+Y335+GK335,2),0)</f>
        <v>0</v>
      </c>
      <c r="GP335">
        <f>IF(BI335=4,ROUND(O335+X335+Y335+GK335,2)+GX335,0)</f>
        <v>10202.57</v>
      </c>
      <c r="GR335">
        <v>0</v>
      </c>
      <c r="GS335">
        <v>3</v>
      </c>
      <c r="GT335">
        <v>0</v>
      </c>
      <c r="GU335" t="s">
        <v>3</v>
      </c>
      <c r="GV335">
        <f>ROUND((GT335),6)</f>
        <v>0</v>
      </c>
      <c r="GW335">
        <v>1</v>
      </c>
      <c r="GX335">
        <f>ROUND(HC335*I335,2)</f>
        <v>0</v>
      </c>
      <c r="HA335">
        <v>0</v>
      </c>
      <c r="HB335">
        <v>0</v>
      </c>
      <c r="HC335">
        <f>GV335*GW335</f>
        <v>0</v>
      </c>
      <c r="HE335" t="s">
        <v>3</v>
      </c>
      <c r="HF335" t="s">
        <v>3</v>
      </c>
      <c r="IK335">
        <v>0</v>
      </c>
    </row>
    <row r="336" spans="1:245" x14ac:dyDescent="0.2">
      <c r="A336">
        <v>17</v>
      </c>
      <c r="B336">
        <v>1</v>
      </c>
      <c r="E336" t="s">
        <v>249</v>
      </c>
      <c r="F336" t="s">
        <v>129</v>
      </c>
      <c r="G336" t="s">
        <v>250</v>
      </c>
      <c r="H336" t="s">
        <v>251</v>
      </c>
      <c r="I336">
        <v>0</v>
      </c>
      <c r="J336">
        <v>0</v>
      </c>
      <c r="O336">
        <f>ROUND(CP336,2)</f>
        <v>0</v>
      </c>
      <c r="P336">
        <f>ROUND(CQ336*I336,2)</f>
        <v>0</v>
      </c>
      <c r="Q336">
        <f>ROUND(CR336*I336,2)</f>
        <v>0</v>
      </c>
      <c r="R336">
        <f>ROUND(CS336*I336,2)</f>
        <v>0</v>
      </c>
      <c r="S336">
        <f>ROUND(CT336*I336,2)</f>
        <v>0</v>
      </c>
      <c r="T336">
        <f>ROUND(CU336*I336,2)</f>
        <v>0</v>
      </c>
      <c r="U336">
        <f>CV336*I336</f>
        <v>0</v>
      </c>
      <c r="V336">
        <f>CW336*I336</f>
        <v>0</v>
      </c>
      <c r="W336">
        <f>ROUND(CX336*I336,2)</f>
        <v>0</v>
      </c>
      <c r="X336">
        <f t="shared" si="265"/>
        <v>0</v>
      </c>
      <c r="Y336">
        <f t="shared" si="265"/>
        <v>0</v>
      </c>
      <c r="AA336">
        <v>38214492</v>
      </c>
      <c r="AB336">
        <f>ROUND((AC336+AD336+AF336),6)</f>
        <v>6666.67</v>
      </c>
      <c r="AC336">
        <f>ROUND((ES336),6)</f>
        <v>6666.67</v>
      </c>
      <c r="AD336">
        <f>ROUND((((ET336)-(EU336))+AE336),6)</f>
        <v>0</v>
      </c>
      <c r="AE336">
        <f t="shared" si="266"/>
        <v>0</v>
      </c>
      <c r="AF336">
        <f t="shared" si="266"/>
        <v>0</v>
      </c>
      <c r="AG336">
        <f>ROUND((AP336),6)</f>
        <v>0</v>
      </c>
      <c r="AH336">
        <f t="shared" si="267"/>
        <v>0</v>
      </c>
      <c r="AI336">
        <f t="shared" si="267"/>
        <v>0</v>
      </c>
      <c r="AJ336">
        <f>(AS336)</f>
        <v>0</v>
      </c>
      <c r="AK336">
        <v>6666.67</v>
      </c>
      <c r="AL336">
        <v>6666.67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1</v>
      </c>
      <c r="AW336">
        <v>1</v>
      </c>
      <c r="AZ336">
        <v>1</v>
      </c>
      <c r="BA336">
        <v>1</v>
      </c>
      <c r="BB336">
        <v>1</v>
      </c>
      <c r="BC336">
        <v>1</v>
      </c>
      <c r="BD336" t="s">
        <v>3</v>
      </c>
      <c r="BE336" t="s">
        <v>3</v>
      </c>
      <c r="BF336" t="s">
        <v>3</v>
      </c>
      <c r="BG336" t="s">
        <v>3</v>
      </c>
      <c r="BH336">
        <v>3</v>
      </c>
      <c r="BI336">
        <v>1</v>
      </c>
      <c r="BJ336" t="s">
        <v>3</v>
      </c>
      <c r="BM336">
        <v>6001</v>
      </c>
      <c r="BN336">
        <v>0</v>
      </c>
      <c r="BO336" t="s">
        <v>3</v>
      </c>
      <c r="BP336">
        <v>0</v>
      </c>
      <c r="BQ336">
        <v>0</v>
      </c>
      <c r="BR336">
        <v>0</v>
      </c>
      <c r="BS336">
        <v>1</v>
      </c>
      <c r="BT336">
        <v>1</v>
      </c>
      <c r="BU336">
        <v>1</v>
      </c>
      <c r="BV336">
        <v>1</v>
      </c>
      <c r="BW336">
        <v>1</v>
      </c>
      <c r="BX336">
        <v>1</v>
      </c>
      <c r="BY336" t="s">
        <v>3</v>
      </c>
      <c r="BZ336">
        <v>0</v>
      </c>
      <c r="CA336">
        <v>0</v>
      </c>
      <c r="CE336">
        <v>0</v>
      </c>
      <c r="CF336">
        <v>0</v>
      </c>
      <c r="CG336">
        <v>0</v>
      </c>
      <c r="CM336">
        <v>0</v>
      </c>
      <c r="CN336" t="s">
        <v>3</v>
      </c>
      <c r="CO336">
        <v>0</v>
      </c>
      <c r="CP336">
        <f>(P336+Q336+S336)</f>
        <v>0</v>
      </c>
      <c r="CQ336">
        <f>(AC336*BC336*AW336)</f>
        <v>6666.67</v>
      </c>
      <c r="CR336">
        <f>((((ET336)*BB336-(EU336)*BS336)+AE336*BS336)*AV336)</f>
        <v>0</v>
      </c>
      <c r="CS336">
        <f>(AE336*BS336*AV336)</f>
        <v>0</v>
      </c>
      <c r="CT336">
        <f>(AF336*BA336*AV336)</f>
        <v>0</v>
      </c>
      <c r="CU336">
        <f>AG336</f>
        <v>0</v>
      </c>
      <c r="CV336">
        <f>(AH336*AV336)</f>
        <v>0</v>
      </c>
      <c r="CW336">
        <f t="shared" si="268"/>
        <v>0</v>
      </c>
      <c r="CX336">
        <f t="shared" si="268"/>
        <v>0</v>
      </c>
      <c r="CY336">
        <f>((S336*BZ336)/100)</f>
        <v>0</v>
      </c>
      <c r="CZ336">
        <f>((S336*CA336)/100)</f>
        <v>0</v>
      </c>
      <c r="DC336" t="s">
        <v>3</v>
      </c>
      <c r="DD336" t="s">
        <v>3</v>
      </c>
      <c r="DE336" t="s">
        <v>3</v>
      </c>
      <c r="DF336" t="s">
        <v>3</v>
      </c>
      <c r="DG336" t="s">
        <v>3</v>
      </c>
      <c r="DH336" t="s">
        <v>3</v>
      </c>
      <c r="DI336" t="s">
        <v>3</v>
      </c>
      <c r="DJ336" t="s">
        <v>3</v>
      </c>
      <c r="DK336" t="s">
        <v>3</v>
      </c>
      <c r="DL336" t="s">
        <v>3</v>
      </c>
      <c r="DM336" t="s">
        <v>3</v>
      </c>
      <c r="DN336">
        <v>0</v>
      </c>
      <c r="DO336">
        <v>0</v>
      </c>
      <c r="DP336">
        <v>1</v>
      </c>
      <c r="DQ336">
        <v>1</v>
      </c>
      <c r="DU336">
        <v>1013</v>
      </c>
      <c r="DV336" t="s">
        <v>251</v>
      </c>
      <c r="DW336" t="s">
        <v>251</v>
      </c>
      <c r="DX336">
        <v>1</v>
      </c>
      <c r="EE336">
        <v>38661473</v>
      </c>
      <c r="EF336">
        <v>0</v>
      </c>
      <c r="EG336" t="s">
        <v>130</v>
      </c>
      <c r="EH336">
        <v>0</v>
      </c>
      <c r="EI336" t="s">
        <v>3</v>
      </c>
      <c r="EJ336">
        <v>1</v>
      </c>
      <c r="EK336">
        <v>6001</v>
      </c>
      <c r="EL336" t="s">
        <v>131</v>
      </c>
      <c r="EM336" t="s">
        <v>130</v>
      </c>
      <c r="EO336" t="s">
        <v>3</v>
      </c>
      <c r="EQ336">
        <v>0</v>
      </c>
      <c r="ER336">
        <v>6666.67</v>
      </c>
      <c r="ES336">
        <v>6666.67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5</v>
      </c>
      <c r="FC336">
        <v>1</v>
      </c>
      <c r="FD336">
        <v>18</v>
      </c>
      <c r="FF336">
        <v>8000</v>
      </c>
      <c r="FQ336">
        <v>0</v>
      </c>
      <c r="FR336">
        <f>ROUND(IF(AND(BH336=3,BI336=3),P336,0),2)</f>
        <v>0</v>
      </c>
      <c r="FS336">
        <v>0</v>
      </c>
      <c r="FX336">
        <v>0</v>
      </c>
      <c r="FY336">
        <v>0</v>
      </c>
      <c r="GA336" t="s">
        <v>252</v>
      </c>
      <c r="GD336">
        <v>0</v>
      </c>
      <c r="GF336">
        <v>1189507216</v>
      </c>
      <c r="GG336">
        <v>2</v>
      </c>
      <c r="GH336">
        <v>3</v>
      </c>
      <c r="GI336">
        <v>-2</v>
      </c>
      <c r="GJ336">
        <v>0</v>
      </c>
      <c r="GK336">
        <f>ROUND(R336*(R12)/100,2)</f>
        <v>0</v>
      </c>
      <c r="GL336">
        <f>ROUND(IF(AND(BH336=3,BI336=3,FS336&lt;&gt;0),P336,0),2)</f>
        <v>0</v>
      </c>
      <c r="GM336">
        <f>ROUND(O336+X336+Y336+GK336,2)+GX336</f>
        <v>0</v>
      </c>
      <c r="GN336">
        <f>IF(OR(BI336=0,BI336=1),ROUND(O336+X336+Y336+GK336,2),0)</f>
        <v>0</v>
      </c>
      <c r="GO336">
        <f>IF(BI336=2,ROUND(O336+X336+Y336+GK336,2),0)</f>
        <v>0</v>
      </c>
      <c r="GP336">
        <f>IF(BI336=4,ROUND(O336+X336+Y336+GK336,2)+GX336,0)</f>
        <v>0</v>
      </c>
      <c r="GR336">
        <v>1</v>
      </c>
      <c r="GS336">
        <v>1</v>
      </c>
      <c r="GT336">
        <v>0</v>
      </c>
      <c r="GU336" t="s">
        <v>3</v>
      </c>
      <c r="GV336">
        <f>ROUND((GT336),6)</f>
        <v>0</v>
      </c>
      <c r="GW336">
        <v>1</v>
      </c>
      <c r="GX336">
        <f>ROUND(HC336*I336,2)</f>
        <v>0</v>
      </c>
      <c r="HA336">
        <v>0</v>
      </c>
      <c r="HB336">
        <v>0</v>
      </c>
      <c r="HC336">
        <f>GV336*GW336</f>
        <v>0</v>
      </c>
      <c r="HE336" t="s">
        <v>153</v>
      </c>
      <c r="HF336" t="s">
        <v>153</v>
      </c>
      <c r="IK336">
        <v>0</v>
      </c>
    </row>
    <row r="337" spans="1:245" x14ac:dyDescent="0.2">
      <c r="A337">
        <v>17</v>
      </c>
      <c r="B337">
        <v>1</v>
      </c>
      <c r="E337" t="s">
        <v>253</v>
      </c>
      <c r="F337" t="s">
        <v>129</v>
      </c>
      <c r="G337" t="s">
        <v>254</v>
      </c>
      <c r="H337" t="s">
        <v>123</v>
      </c>
      <c r="I337">
        <v>0</v>
      </c>
      <c r="J337">
        <v>0</v>
      </c>
      <c r="O337">
        <f>ROUND(CP337,2)</f>
        <v>0</v>
      </c>
      <c r="P337">
        <f>ROUND(CQ337*I337,2)</f>
        <v>0</v>
      </c>
      <c r="Q337">
        <f>ROUND(CR337*I337,2)</f>
        <v>0</v>
      </c>
      <c r="R337">
        <f>ROUND(CS337*I337,2)</f>
        <v>0</v>
      </c>
      <c r="S337">
        <f>ROUND(CT337*I337,2)</f>
        <v>0</v>
      </c>
      <c r="T337">
        <f>ROUND(CU337*I337,2)</f>
        <v>0</v>
      </c>
      <c r="U337">
        <f>CV337*I337</f>
        <v>0</v>
      </c>
      <c r="V337">
        <f>CW337*I337</f>
        <v>0</v>
      </c>
      <c r="W337">
        <f>ROUND(CX337*I337,2)</f>
        <v>0</v>
      </c>
      <c r="X337">
        <f t="shared" si="265"/>
        <v>0</v>
      </c>
      <c r="Y337">
        <f t="shared" si="265"/>
        <v>0</v>
      </c>
      <c r="AA337">
        <v>38214492</v>
      </c>
      <c r="AB337">
        <f>ROUND((AC337+AD337+AF337),6)</f>
        <v>42833.33</v>
      </c>
      <c r="AC337">
        <f>ROUND((ES337),6)</f>
        <v>42833.33</v>
      </c>
      <c r="AD337">
        <f>ROUND((((ET337)-(EU337))+AE337),6)</f>
        <v>0</v>
      </c>
      <c r="AE337">
        <f t="shared" si="266"/>
        <v>0</v>
      </c>
      <c r="AF337">
        <f t="shared" si="266"/>
        <v>0</v>
      </c>
      <c r="AG337">
        <f>ROUND((AP337),6)</f>
        <v>0</v>
      </c>
      <c r="AH337">
        <f t="shared" si="267"/>
        <v>0</v>
      </c>
      <c r="AI337">
        <f t="shared" si="267"/>
        <v>0</v>
      </c>
      <c r="AJ337">
        <f>(AS337)</f>
        <v>0</v>
      </c>
      <c r="AK337">
        <v>42833.33</v>
      </c>
      <c r="AL337">
        <v>42833.33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1</v>
      </c>
      <c r="AW337">
        <v>1</v>
      </c>
      <c r="AZ337">
        <v>1</v>
      </c>
      <c r="BA337">
        <v>1</v>
      </c>
      <c r="BB337">
        <v>1</v>
      </c>
      <c r="BC337">
        <v>1</v>
      </c>
      <c r="BD337" t="s">
        <v>3</v>
      </c>
      <c r="BE337" t="s">
        <v>3</v>
      </c>
      <c r="BF337" t="s">
        <v>3</v>
      </c>
      <c r="BG337" t="s">
        <v>3</v>
      </c>
      <c r="BH337">
        <v>3</v>
      </c>
      <c r="BI337">
        <v>1</v>
      </c>
      <c r="BJ337" t="s">
        <v>3</v>
      </c>
      <c r="BM337">
        <v>6001</v>
      </c>
      <c r="BN337">
        <v>0</v>
      </c>
      <c r="BO337" t="s">
        <v>3</v>
      </c>
      <c r="BP337">
        <v>0</v>
      </c>
      <c r="BQ337">
        <v>0</v>
      </c>
      <c r="BR337">
        <v>0</v>
      </c>
      <c r="BS337">
        <v>1</v>
      </c>
      <c r="BT337">
        <v>1</v>
      </c>
      <c r="BU337">
        <v>1</v>
      </c>
      <c r="BV337">
        <v>1</v>
      </c>
      <c r="BW337">
        <v>1</v>
      </c>
      <c r="BX337">
        <v>1</v>
      </c>
      <c r="BY337" t="s">
        <v>3</v>
      </c>
      <c r="BZ337">
        <v>0</v>
      </c>
      <c r="CA337">
        <v>0</v>
      </c>
      <c r="CE337">
        <v>0</v>
      </c>
      <c r="CF337">
        <v>0</v>
      </c>
      <c r="CG337">
        <v>0</v>
      </c>
      <c r="CM337">
        <v>0</v>
      </c>
      <c r="CN337" t="s">
        <v>3</v>
      </c>
      <c r="CO337">
        <v>0</v>
      </c>
      <c r="CP337">
        <f>(P337+Q337+S337)</f>
        <v>0</v>
      </c>
      <c r="CQ337">
        <f>(AC337*BC337*AW337)</f>
        <v>42833.33</v>
      </c>
      <c r="CR337">
        <f>((((ET337)*BB337-(EU337)*BS337)+AE337*BS337)*AV337)</f>
        <v>0</v>
      </c>
      <c r="CS337">
        <f>(AE337*BS337*AV337)</f>
        <v>0</v>
      </c>
      <c r="CT337">
        <f>(AF337*BA337*AV337)</f>
        <v>0</v>
      </c>
      <c r="CU337">
        <f>AG337</f>
        <v>0</v>
      </c>
      <c r="CV337">
        <f>(AH337*AV337)</f>
        <v>0</v>
      </c>
      <c r="CW337">
        <f t="shared" si="268"/>
        <v>0</v>
      </c>
      <c r="CX337">
        <f t="shared" si="268"/>
        <v>0</v>
      </c>
      <c r="CY337">
        <f>((S337*BZ337)/100)</f>
        <v>0</v>
      </c>
      <c r="CZ337">
        <f>((S337*CA337)/100)</f>
        <v>0</v>
      </c>
      <c r="DC337" t="s">
        <v>3</v>
      </c>
      <c r="DD337" t="s">
        <v>3</v>
      </c>
      <c r="DE337" t="s">
        <v>3</v>
      </c>
      <c r="DF337" t="s">
        <v>3</v>
      </c>
      <c r="DG337" t="s">
        <v>3</v>
      </c>
      <c r="DH337" t="s">
        <v>3</v>
      </c>
      <c r="DI337" t="s">
        <v>3</v>
      </c>
      <c r="DJ337" t="s">
        <v>3</v>
      </c>
      <c r="DK337" t="s">
        <v>3</v>
      </c>
      <c r="DL337" t="s">
        <v>3</v>
      </c>
      <c r="DM337" t="s">
        <v>3</v>
      </c>
      <c r="DN337">
        <v>0</v>
      </c>
      <c r="DO337">
        <v>0</v>
      </c>
      <c r="DP337">
        <v>1</v>
      </c>
      <c r="DQ337">
        <v>1</v>
      </c>
      <c r="DU337">
        <v>1010</v>
      </c>
      <c r="DV337" t="s">
        <v>123</v>
      </c>
      <c r="DW337" t="s">
        <v>123</v>
      </c>
      <c r="DX337">
        <v>1</v>
      </c>
      <c r="EE337">
        <v>38661473</v>
      </c>
      <c r="EF337">
        <v>0</v>
      </c>
      <c r="EG337" t="s">
        <v>130</v>
      </c>
      <c r="EH337">
        <v>0</v>
      </c>
      <c r="EI337" t="s">
        <v>3</v>
      </c>
      <c r="EJ337">
        <v>1</v>
      </c>
      <c r="EK337">
        <v>6001</v>
      </c>
      <c r="EL337" t="s">
        <v>131</v>
      </c>
      <c r="EM337" t="s">
        <v>130</v>
      </c>
      <c r="EO337" t="s">
        <v>3</v>
      </c>
      <c r="EQ337">
        <v>0</v>
      </c>
      <c r="ER337">
        <v>42833.33</v>
      </c>
      <c r="ES337">
        <v>42833.33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5</v>
      </c>
      <c r="FC337">
        <v>1</v>
      </c>
      <c r="FD337">
        <v>18</v>
      </c>
      <c r="FF337">
        <v>51400</v>
      </c>
      <c r="FQ337">
        <v>0</v>
      </c>
      <c r="FR337">
        <f>ROUND(IF(AND(BH337=3,BI337=3),P337,0),2)</f>
        <v>0</v>
      </c>
      <c r="FS337">
        <v>0</v>
      </c>
      <c r="FX337">
        <v>0</v>
      </c>
      <c r="FY337">
        <v>0</v>
      </c>
      <c r="GA337" t="s">
        <v>255</v>
      </c>
      <c r="GD337">
        <v>0</v>
      </c>
      <c r="GF337">
        <v>526505932</v>
      </c>
      <c r="GG337">
        <v>2</v>
      </c>
      <c r="GH337">
        <v>3</v>
      </c>
      <c r="GI337">
        <v>-2</v>
      </c>
      <c r="GJ337">
        <v>0</v>
      </c>
      <c r="GK337">
        <f>ROUND(R337*(R12)/100,2)</f>
        <v>0</v>
      </c>
      <c r="GL337">
        <f>ROUND(IF(AND(BH337=3,BI337=3,FS337&lt;&gt;0),P337,0),2)</f>
        <v>0</v>
      </c>
      <c r="GM337">
        <f>ROUND(O337+X337+Y337+GK337,2)+GX337</f>
        <v>0</v>
      </c>
      <c r="GN337">
        <f>IF(OR(BI337=0,BI337=1),ROUND(O337+X337+Y337+GK337,2),0)</f>
        <v>0</v>
      </c>
      <c r="GO337">
        <f>IF(BI337=2,ROUND(O337+X337+Y337+GK337,2),0)</f>
        <v>0</v>
      </c>
      <c r="GP337">
        <f>IF(BI337=4,ROUND(O337+X337+Y337+GK337,2)+GX337,0)</f>
        <v>0</v>
      </c>
      <c r="GR337">
        <v>1</v>
      </c>
      <c r="GS337">
        <v>1</v>
      </c>
      <c r="GT337">
        <v>0</v>
      </c>
      <c r="GU337" t="s">
        <v>3</v>
      </c>
      <c r="GV337">
        <f>ROUND((GT337),6)</f>
        <v>0</v>
      </c>
      <c r="GW337">
        <v>1</v>
      </c>
      <c r="GX337">
        <f>ROUND(HC337*I337,2)</f>
        <v>0</v>
      </c>
      <c r="HA337">
        <v>0</v>
      </c>
      <c r="HB337">
        <v>0</v>
      </c>
      <c r="HC337">
        <f>GV337*GW337</f>
        <v>0</v>
      </c>
      <c r="HE337" t="s">
        <v>153</v>
      </c>
      <c r="HF337" t="s">
        <v>153</v>
      </c>
      <c r="IK337">
        <v>0</v>
      </c>
    </row>
    <row r="339" spans="1:245" x14ac:dyDescent="0.2">
      <c r="A339" s="2">
        <v>51</v>
      </c>
      <c r="B339" s="2">
        <f>B329</f>
        <v>1</v>
      </c>
      <c r="C339" s="2">
        <f>A329</f>
        <v>5</v>
      </c>
      <c r="D339" s="2">
        <f>ROW(A329)</f>
        <v>329</v>
      </c>
      <c r="E339" s="2"/>
      <c r="F339" s="2" t="str">
        <f>IF(F329&lt;&gt;"",F329,"")</f>
        <v>Новый подраздел</v>
      </c>
      <c r="G339" s="2" t="str">
        <f>IF(G329&lt;&gt;"",G329,"")</f>
        <v>Установка ограждения</v>
      </c>
      <c r="H339" s="2">
        <v>0</v>
      </c>
      <c r="I339" s="2"/>
      <c r="J339" s="2"/>
      <c r="K339" s="2"/>
      <c r="L339" s="2"/>
      <c r="M339" s="2"/>
      <c r="N339" s="2"/>
      <c r="O339" s="2">
        <f t="shared" ref="O339:T339" si="269">ROUND(AB339,2)</f>
        <v>778463.03</v>
      </c>
      <c r="P339" s="2">
        <f t="shared" si="269"/>
        <v>667788.87</v>
      </c>
      <c r="Q339" s="2">
        <f t="shared" si="269"/>
        <v>24629.95</v>
      </c>
      <c r="R339" s="2">
        <f t="shared" si="269"/>
        <v>4684.1000000000004</v>
      </c>
      <c r="S339" s="2">
        <f t="shared" si="269"/>
        <v>86044.21</v>
      </c>
      <c r="T339" s="2">
        <f t="shared" si="269"/>
        <v>0</v>
      </c>
      <c r="U339" s="2">
        <f>AH339</f>
        <v>410.97199999999998</v>
      </c>
      <c r="V339" s="2">
        <f>AI339</f>
        <v>0</v>
      </c>
      <c r="W339" s="2">
        <f>ROUND(AJ339,2)</f>
        <v>0</v>
      </c>
      <c r="X339" s="2">
        <f>ROUND(AK339,2)</f>
        <v>60230.95</v>
      </c>
      <c r="Y339" s="2">
        <f>ROUND(AL339,2)</f>
        <v>8604.42</v>
      </c>
      <c r="Z339" s="2"/>
      <c r="AA339" s="2"/>
      <c r="AB339" s="2">
        <f>ROUND(SUMIF(AA333:AA337,"=38214492",O333:O337),2)</f>
        <v>778463.03</v>
      </c>
      <c r="AC339" s="2">
        <f>ROUND(SUMIF(AA333:AA337,"=38214492",P333:P337),2)</f>
        <v>667788.87</v>
      </c>
      <c r="AD339" s="2">
        <f>ROUND(SUMIF(AA333:AA337,"=38214492",Q333:Q337),2)</f>
        <v>24629.95</v>
      </c>
      <c r="AE339" s="2">
        <f>ROUND(SUMIF(AA333:AA337,"=38214492",R333:R337),2)</f>
        <v>4684.1000000000004</v>
      </c>
      <c r="AF339" s="2">
        <f>ROUND(SUMIF(AA333:AA337,"=38214492",S333:S337),2)</f>
        <v>86044.21</v>
      </c>
      <c r="AG339" s="2">
        <f>ROUND(SUMIF(AA333:AA337,"=38214492",T333:T337),2)</f>
        <v>0</v>
      </c>
      <c r="AH339" s="2">
        <f>SUMIF(AA333:AA337,"=38214492",U333:U337)</f>
        <v>410.97199999999998</v>
      </c>
      <c r="AI339" s="2">
        <f>SUMIF(AA333:AA337,"=38214492",V333:V337)</f>
        <v>0</v>
      </c>
      <c r="AJ339" s="2">
        <f>ROUND(SUMIF(AA333:AA337,"=38214492",W333:W337),2)</f>
        <v>0</v>
      </c>
      <c r="AK339" s="2">
        <f>ROUND(SUMIF(AA333:AA337,"=38214492",X333:X337),2)</f>
        <v>60230.95</v>
      </c>
      <c r="AL339" s="2">
        <f>ROUND(SUMIF(AA333:AA337,"=38214492",Y333:Y337),2)</f>
        <v>8604.42</v>
      </c>
      <c r="AM339" s="2"/>
      <c r="AN339" s="2"/>
      <c r="AO339" s="2">
        <f t="shared" ref="AO339:BD339" si="270">ROUND(BX339,2)</f>
        <v>0</v>
      </c>
      <c r="AP339" s="2">
        <f t="shared" si="270"/>
        <v>0</v>
      </c>
      <c r="AQ339" s="2">
        <f t="shared" si="270"/>
        <v>0</v>
      </c>
      <c r="AR339" s="2">
        <f t="shared" si="270"/>
        <v>852357.22</v>
      </c>
      <c r="AS339" s="2">
        <f t="shared" si="270"/>
        <v>0</v>
      </c>
      <c r="AT339" s="2">
        <f t="shared" si="270"/>
        <v>0</v>
      </c>
      <c r="AU339" s="2">
        <f t="shared" si="270"/>
        <v>852357.22</v>
      </c>
      <c r="AV339" s="2">
        <f t="shared" si="270"/>
        <v>667788.87</v>
      </c>
      <c r="AW339" s="2">
        <f t="shared" si="270"/>
        <v>667788.87</v>
      </c>
      <c r="AX339" s="2">
        <f t="shared" si="270"/>
        <v>0</v>
      </c>
      <c r="AY339" s="2">
        <f t="shared" si="270"/>
        <v>667788.87</v>
      </c>
      <c r="AZ339" s="2">
        <f t="shared" si="270"/>
        <v>0</v>
      </c>
      <c r="BA339" s="2">
        <f t="shared" si="270"/>
        <v>0</v>
      </c>
      <c r="BB339" s="2">
        <f t="shared" si="270"/>
        <v>0</v>
      </c>
      <c r="BC339" s="2">
        <f t="shared" si="270"/>
        <v>0</v>
      </c>
      <c r="BD339" s="2">
        <f t="shared" si="270"/>
        <v>0</v>
      </c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>
        <f>ROUND(SUMIF(AA333:AA337,"=38214492",FQ333:FQ337),2)</f>
        <v>0</v>
      </c>
      <c r="BY339" s="2">
        <f>ROUND(SUMIF(AA333:AA337,"=38214492",FR333:FR337),2)</f>
        <v>0</v>
      </c>
      <c r="BZ339" s="2">
        <f>ROUND(SUMIF(AA333:AA337,"=38214492",GL333:GL337),2)</f>
        <v>0</v>
      </c>
      <c r="CA339" s="2">
        <f>ROUND(SUMIF(AA333:AA337,"=38214492",GM333:GM337),2)</f>
        <v>852357.22</v>
      </c>
      <c r="CB339" s="2">
        <f>ROUND(SUMIF(AA333:AA337,"=38214492",GN333:GN337),2)</f>
        <v>0</v>
      </c>
      <c r="CC339" s="2">
        <f>ROUND(SUMIF(AA333:AA337,"=38214492",GO333:GO337),2)</f>
        <v>0</v>
      </c>
      <c r="CD339" s="2">
        <f>ROUND(SUMIF(AA333:AA337,"=38214492",GP333:GP337),2)</f>
        <v>852357.22</v>
      </c>
      <c r="CE339" s="2">
        <f>AC339-BX339</f>
        <v>667788.87</v>
      </c>
      <c r="CF339" s="2">
        <f>AC339-BY339</f>
        <v>667788.87</v>
      </c>
      <c r="CG339" s="2">
        <f>BX339-BZ339</f>
        <v>0</v>
      </c>
      <c r="CH339" s="2">
        <f>AC339-BX339-BY339+BZ339</f>
        <v>667788.87</v>
      </c>
      <c r="CI339" s="2">
        <f>BY339-BZ339</f>
        <v>0</v>
      </c>
      <c r="CJ339" s="2">
        <f>ROUND(SUMIF(AA333:AA337,"=38214492",GX333:GX337),2)</f>
        <v>0</v>
      </c>
      <c r="CK339" s="2">
        <f>ROUND(SUMIF(AA333:AA337,"=38214492",GY333:GY337),2)</f>
        <v>0</v>
      </c>
      <c r="CL339" s="2">
        <f>ROUND(SUMIF(AA333:AA337,"=38214492",GZ333:GZ337),2)</f>
        <v>0</v>
      </c>
      <c r="CM339" s="2">
        <f>ROUND(SUMIF(AA333:AA337,"=38214492",HD333:HD337),2)</f>
        <v>0</v>
      </c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  <c r="EW339" s="3"/>
      <c r="EX339" s="3"/>
      <c r="EY339" s="3"/>
      <c r="EZ339" s="3"/>
      <c r="FA339" s="3"/>
      <c r="FB339" s="3"/>
      <c r="FC339" s="3"/>
      <c r="FD339" s="3"/>
      <c r="FE339" s="3"/>
      <c r="FF339" s="3"/>
      <c r="FG339" s="3"/>
      <c r="FH339" s="3"/>
      <c r="FI339" s="3"/>
      <c r="FJ339" s="3"/>
      <c r="FK339" s="3"/>
      <c r="FL339" s="3"/>
      <c r="FM339" s="3"/>
      <c r="FN339" s="3"/>
      <c r="FO339" s="3"/>
      <c r="FP339" s="3"/>
      <c r="FQ339" s="3"/>
      <c r="FR339" s="3"/>
      <c r="FS339" s="3"/>
      <c r="FT339" s="3"/>
      <c r="FU339" s="3"/>
      <c r="FV339" s="3"/>
      <c r="FW339" s="3"/>
      <c r="FX339" s="3"/>
      <c r="FY339" s="3"/>
      <c r="FZ339" s="3"/>
      <c r="GA339" s="3"/>
      <c r="GB339" s="3"/>
      <c r="GC339" s="3"/>
      <c r="GD339" s="3"/>
      <c r="GE339" s="3"/>
      <c r="GF339" s="3"/>
      <c r="GG339" s="3"/>
      <c r="GH339" s="3"/>
      <c r="GI339" s="3"/>
      <c r="GJ339" s="3"/>
      <c r="GK339" s="3"/>
      <c r="GL339" s="3"/>
      <c r="GM339" s="3"/>
      <c r="GN339" s="3"/>
      <c r="GO339" s="3"/>
      <c r="GP339" s="3"/>
      <c r="GQ339" s="3"/>
      <c r="GR339" s="3"/>
      <c r="GS339" s="3"/>
      <c r="GT339" s="3"/>
      <c r="GU339" s="3"/>
      <c r="GV339" s="3"/>
      <c r="GW339" s="3"/>
      <c r="GX339" s="3">
        <v>0</v>
      </c>
    </row>
    <row r="341" spans="1:245" x14ac:dyDescent="0.2">
      <c r="A341" s="4">
        <v>50</v>
      </c>
      <c r="B341" s="4">
        <v>0</v>
      </c>
      <c r="C341" s="4">
        <v>0</v>
      </c>
      <c r="D341" s="4">
        <v>1</v>
      </c>
      <c r="E341" s="4">
        <v>201</v>
      </c>
      <c r="F341" s="4">
        <f>ROUND(Source!O339,O341)</f>
        <v>778463.03</v>
      </c>
      <c r="G341" s="4" t="s">
        <v>56</v>
      </c>
      <c r="H341" s="4" t="s">
        <v>57</v>
      </c>
      <c r="I341" s="4"/>
      <c r="J341" s="4"/>
      <c r="K341" s="4">
        <v>201</v>
      </c>
      <c r="L341" s="4">
        <v>1</v>
      </c>
      <c r="M341" s="4">
        <v>3</v>
      </c>
      <c r="N341" s="4" t="s">
        <v>3</v>
      </c>
      <c r="O341" s="4">
        <v>2</v>
      </c>
      <c r="P341" s="4"/>
      <c r="Q341" s="4"/>
      <c r="R341" s="4"/>
      <c r="S341" s="4"/>
      <c r="T341" s="4"/>
      <c r="U341" s="4"/>
      <c r="V341" s="4"/>
      <c r="W341" s="4"/>
    </row>
    <row r="342" spans="1:245" x14ac:dyDescent="0.2">
      <c r="A342" s="4">
        <v>50</v>
      </c>
      <c r="B342" s="4">
        <v>0</v>
      </c>
      <c r="C342" s="4">
        <v>0</v>
      </c>
      <c r="D342" s="4">
        <v>1</v>
      </c>
      <c r="E342" s="4">
        <v>202</v>
      </c>
      <c r="F342" s="4">
        <f>ROUND(Source!P339,O342)</f>
        <v>667788.87</v>
      </c>
      <c r="G342" s="4" t="s">
        <v>58</v>
      </c>
      <c r="H342" s="4" t="s">
        <v>59</v>
      </c>
      <c r="I342" s="4"/>
      <c r="J342" s="4"/>
      <c r="K342" s="4">
        <v>202</v>
      </c>
      <c r="L342" s="4">
        <v>2</v>
      </c>
      <c r="M342" s="4">
        <v>3</v>
      </c>
      <c r="N342" s="4" t="s">
        <v>3</v>
      </c>
      <c r="O342" s="4">
        <v>2</v>
      </c>
      <c r="P342" s="4"/>
      <c r="Q342" s="4"/>
      <c r="R342" s="4"/>
      <c r="S342" s="4"/>
      <c r="T342" s="4"/>
      <c r="U342" s="4"/>
      <c r="V342" s="4"/>
      <c r="W342" s="4"/>
    </row>
    <row r="343" spans="1:245" x14ac:dyDescent="0.2">
      <c r="A343" s="4">
        <v>50</v>
      </c>
      <c r="B343" s="4">
        <v>0</v>
      </c>
      <c r="C343" s="4">
        <v>0</v>
      </c>
      <c r="D343" s="4">
        <v>1</v>
      </c>
      <c r="E343" s="4">
        <v>222</v>
      </c>
      <c r="F343" s="4">
        <f>ROUND(Source!AO339,O343)</f>
        <v>0</v>
      </c>
      <c r="G343" s="4" t="s">
        <v>60</v>
      </c>
      <c r="H343" s="4" t="s">
        <v>61</v>
      </c>
      <c r="I343" s="4"/>
      <c r="J343" s="4"/>
      <c r="K343" s="4">
        <v>222</v>
      </c>
      <c r="L343" s="4">
        <v>3</v>
      </c>
      <c r="M343" s="4">
        <v>3</v>
      </c>
      <c r="N343" s="4" t="s">
        <v>3</v>
      </c>
      <c r="O343" s="4">
        <v>2</v>
      </c>
      <c r="P343" s="4"/>
      <c r="Q343" s="4"/>
      <c r="R343" s="4"/>
      <c r="S343" s="4"/>
      <c r="T343" s="4"/>
      <c r="U343" s="4"/>
      <c r="V343" s="4"/>
      <c r="W343" s="4"/>
    </row>
    <row r="344" spans="1:245" x14ac:dyDescent="0.2">
      <c r="A344" s="4">
        <v>50</v>
      </c>
      <c r="B344" s="4">
        <v>0</v>
      </c>
      <c r="C344" s="4">
        <v>0</v>
      </c>
      <c r="D344" s="4">
        <v>1</v>
      </c>
      <c r="E344" s="4">
        <v>225</v>
      </c>
      <c r="F344" s="4">
        <f>ROUND(Source!AV339,O344)</f>
        <v>667788.87</v>
      </c>
      <c r="G344" s="4" t="s">
        <v>62</v>
      </c>
      <c r="H344" s="4" t="s">
        <v>63</v>
      </c>
      <c r="I344" s="4"/>
      <c r="J344" s="4"/>
      <c r="K344" s="4">
        <v>225</v>
      </c>
      <c r="L344" s="4">
        <v>4</v>
      </c>
      <c r="M344" s="4">
        <v>3</v>
      </c>
      <c r="N344" s="4" t="s">
        <v>3</v>
      </c>
      <c r="O344" s="4">
        <v>2</v>
      </c>
      <c r="P344" s="4"/>
      <c r="Q344" s="4"/>
      <c r="R344" s="4"/>
      <c r="S344" s="4"/>
      <c r="T344" s="4"/>
      <c r="U344" s="4"/>
      <c r="V344" s="4"/>
      <c r="W344" s="4"/>
    </row>
    <row r="345" spans="1:245" x14ac:dyDescent="0.2">
      <c r="A345" s="4">
        <v>50</v>
      </c>
      <c r="B345" s="4">
        <v>0</v>
      </c>
      <c r="C345" s="4">
        <v>0</v>
      </c>
      <c r="D345" s="4">
        <v>1</v>
      </c>
      <c r="E345" s="4">
        <v>226</v>
      </c>
      <c r="F345" s="4">
        <f>ROUND(Source!AW339,O345)</f>
        <v>667788.87</v>
      </c>
      <c r="G345" s="4" t="s">
        <v>64</v>
      </c>
      <c r="H345" s="4" t="s">
        <v>65</v>
      </c>
      <c r="I345" s="4"/>
      <c r="J345" s="4"/>
      <c r="K345" s="4">
        <v>226</v>
      </c>
      <c r="L345" s="4">
        <v>5</v>
      </c>
      <c r="M345" s="4">
        <v>3</v>
      </c>
      <c r="N345" s="4" t="s">
        <v>3</v>
      </c>
      <c r="O345" s="4">
        <v>2</v>
      </c>
      <c r="P345" s="4"/>
      <c r="Q345" s="4"/>
      <c r="R345" s="4"/>
      <c r="S345" s="4"/>
      <c r="T345" s="4"/>
      <c r="U345" s="4"/>
      <c r="V345" s="4"/>
      <c r="W345" s="4"/>
    </row>
    <row r="346" spans="1:245" x14ac:dyDescent="0.2">
      <c r="A346" s="4">
        <v>50</v>
      </c>
      <c r="B346" s="4">
        <v>0</v>
      </c>
      <c r="C346" s="4">
        <v>0</v>
      </c>
      <c r="D346" s="4">
        <v>1</v>
      </c>
      <c r="E346" s="4">
        <v>227</v>
      </c>
      <c r="F346" s="4">
        <f>ROUND(Source!AX339,O346)</f>
        <v>0</v>
      </c>
      <c r="G346" s="4" t="s">
        <v>66</v>
      </c>
      <c r="H346" s="4" t="s">
        <v>67</v>
      </c>
      <c r="I346" s="4"/>
      <c r="J346" s="4"/>
      <c r="K346" s="4">
        <v>227</v>
      </c>
      <c r="L346" s="4">
        <v>6</v>
      </c>
      <c r="M346" s="4">
        <v>3</v>
      </c>
      <c r="N346" s="4" t="s">
        <v>3</v>
      </c>
      <c r="O346" s="4">
        <v>2</v>
      </c>
      <c r="P346" s="4"/>
      <c r="Q346" s="4"/>
      <c r="R346" s="4"/>
      <c r="S346" s="4"/>
      <c r="T346" s="4"/>
      <c r="U346" s="4"/>
      <c r="V346" s="4"/>
      <c r="W346" s="4"/>
    </row>
    <row r="347" spans="1:245" x14ac:dyDescent="0.2">
      <c r="A347" s="4">
        <v>50</v>
      </c>
      <c r="B347" s="4">
        <v>0</v>
      </c>
      <c r="C347" s="4">
        <v>0</v>
      </c>
      <c r="D347" s="4">
        <v>1</v>
      </c>
      <c r="E347" s="4">
        <v>228</v>
      </c>
      <c r="F347" s="4">
        <f>ROUND(Source!AY339,O347)</f>
        <v>667788.87</v>
      </c>
      <c r="G347" s="4" t="s">
        <v>68</v>
      </c>
      <c r="H347" s="4" t="s">
        <v>69</v>
      </c>
      <c r="I347" s="4"/>
      <c r="J347" s="4"/>
      <c r="K347" s="4">
        <v>228</v>
      </c>
      <c r="L347" s="4">
        <v>7</v>
      </c>
      <c r="M347" s="4">
        <v>3</v>
      </c>
      <c r="N347" s="4" t="s">
        <v>3</v>
      </c>
      <c r="O347" s="4">
        <v>2</v>
      </c>
      <c r="P347" s="4"/>
      <c r="Q347" s="4"/>
      <c r="R347" s="4"/>
      <c r="S347" s="4"/>
      <c r="T347" s="4"/>
      <c r="U347" s="4"/>
      <c r="V347" s="4"/>
      <c r="W347" s="4"/>
    </row>
    <row r="348" spans="1:245" x14ac:dyDescent="0.2">
      <c r="A348" s="4">
        <v>50</v>
      </c>
      <c r="B348" s="4">
        <v>0</v>
      </c>
      <c r="C348" s="4">
        <v>0</v>
      </c>
      <c r="D348" s="4">
        <v>1</v>
      </c>
      <c r="E348" s="4">
        <v>216</v>
      </c>
      <c r="F348" s="4">
        <f>ROUND(Source!AP339,O348)</f>
        <v>0</v>
      </c>
      <c r="G348" s="4" t="s">
        <v>70</v>
      </c>
      <c r="H348" s="4" t="s">
        <v>71</v>
      </c>
      <c r="I348" s="4"/>
      <c r="J348" s="4"/>
      <c r="K348" s="4">
        <v>216</v>
      </c>
      <c r="L348" s="4">
        <v>8</v>
      </c>
      <c r="M348" s="4">
        <v>3</v>
      </c>
      <c r="N348" s="4" t="s">
        <v>3</v>
      </c>
      <c r="O348" s="4">
        <v>2</v>
      </c>
      <c r="P348" s="4"/>
      <c r="Q348" s="4"/>
      <c r="R348" s="4"/>
      <c r="S348" s="4"/>
      <c r="T348" s="4"/>
      <c r="U348" s="4"/>
      <c r="V348" s="4"/>
      <c r="W348" s="4"/>
    </row>
    <row r="349" spans="1:245" x14ac:dyDescent="0.2">
      <c r="A349" s="4">
        <v>50</v>
      </c>
      <c r="B349" s="4">
        <v>0</v>
      </c>
      <c r="C349" s="4">
        <v>0</v>
      </c>
      <c r="D349" s="4">
        <v>1</v>
      </c>
      <c r="E349" s="4">
        <v>223</v>
      </c>
      <c r="F349" s="4">
        <f>ROUND(Source!AQ339,O349)</f>
        <v>0</v>
      </c>
      <c r="G349" s="4" t="s">
        <v>72</v>
      </c>
      <c r="H349" s="4" t="s">
        <v>73</v>
      </c>
      <c r="I349" s="4"/>
      <c r="J349" s="4"/>
      <c r="K349" s="4">
        <v>223</v>
      </c>
      <c r="L349" s="4">
        <v>9</v>
      </c>
      <c r="M349" s="4">
        <v>3</v>
      </c>
      <c r="N349" s="4" t="s">
        <v>3</v>
      </c>
      <c r="O349" s="4">
        <v>2</v>
      </c>
      <c r="P349" s="4"/>
      <c r="Q349" s="4"/>
      <c r="R349" s="4"/>
      <c r="S349" s="4"/>
      <c r="T349" s="4"/>
      <c r="U349" s="4"/>
      <c r="V349" s="4"/>
      <c r="W349" s="4"/>
    </row>
    <row r="350" spans="1:245" x14ac:dyDescent="0.2">
      <c r="A350" s="4">
        <v>50</v>
      </c>
      <c r="B350" s="4">
        <v>0</v>
      </c>
      <c r="C350" s="4">
        <v>0</v>
      </c>
      <c r="D350" s="4">
        <v>1</v>
      </c>
      <c r="E350" s="4">
        <v>229</v>
      </c>
      <c r="F350" s="4">
        <f>ROUND(Source!AZ339,O350)</f>
        <v>0</v>
      </c>
      <c r="G350" s="4" t="s">
        <v>74</v>
      </c>
      <c r="H350" s="4" t="s">
        <v>75</v>
      </c>
      <c r="I350" s="4"/>
      <c r="J350" s="4"/>
      <c r="K350" s="4">
        <v>229</v>
      </c>
      <c r="L350" s="4">
        <v>10</v>
      </c>
      <c r="M350" s="4">
        <v>3</v>
      </c>
      <c r="N350" s="4" t="s">
        <v>3</v>
      </c>
      <c r="O350" s="4">
        <v>2</v>
      </c>
      <c r="P350" s="4"/>
      <c r="Q350" s="4"/>
      <c r="R350" s="4"/>
      <c r="S350" s="4"/>
      <c r="T350" s="4"/>
      <c r="U350" s="4"/>
      <c r="V350" s="4"/>
      <c r="W350" s="4"/>
    </row>
    <row r="351" spans="1:245" x14ac:dyDescent="0.2">
      <c r="A351" s="4">
        <v>50</v>
      </c>
      <c r="B351" s="4">
        <v>0</v>
      </c>
      <c r="C351" s="4">
        <v>0</v>
      </c>
      <c r="D351" s="4">
        <v>1</v>
      </c>
      <c r="E351" s="4">
        <v>203</v>
      </c>
      <c r="F351" s="4">
        <f>ROUND(Source!Q339,O351)</f>
        <v>24629.95</v>
      </c>
      <c r="G351" s="4" t="s">
        <v>76</v>
      </c>
      <c r="H351" s="4" t="s">
        <v>77</v>
      </c>
      <c r="I351" s="4"/>
      <c r="J351" s="4"/>
      <c r="K351" s="4">
        <v>203</v>
      </c>
      <c r="L351" s="4">
        <v>11</v>
      </c>
      <c r="M351" s="4">
        <v>3</v>
      </c>
      <c r="N351" s="4" t="s">
        <v>3</v>
      </c>
      <c r="O351" s="4">
        <v>2</v>
      </c>
      <c r="P351" s="4"/>
      <c r="Q351" s="4"/>
      <c r="R351" s="4"/>
      <c r="S351" s="4"/>
      <c r="T351" s="4"/>
      <c r="U351" s="4"/>
      <c r="V351" s="4"/>
      <c r="W351" s="4"/>
    </row>
    <row r="352" spans="1:245" x14ac:dyDescent="0.2">
      <c r="A352" s="4">
        <v>50</v>
      </c>
      <c r="B352" s="4">
        <v>0</v>
      </c>
      <c r="C352" s="4">
        <v>0</v>
      </c>
      <c r="D352" s="4">
        <v>1</v>
      </c>
      <c r="E352" s="4">
        <v>231</v>
      </c>
      <c r="F352" s="4">
        <f>ROUND(Source!BB339,O352)</f>
        <v>0</v>
      </c>
      <c r="G352" s="4" t="s">
        <v>78</v>
      </c>
      <c r="H352" s="4" t="s">
        <v>79</v>
      </c>
      <c r="I352" s="4"/>
      <c r="J352" s="4"/>
      <c r="K352" s="4">
        <v>231</v>
      </c>
      <c r="L352" s="4">
        <v>12</v>
      </c>
      <c r="M352" s="4">
        <v>3</v>
      </c>
      <c r="N352" s="4" t="s">
        <v>3</v>
      </c>
      <c r="O352" s="4">
        <v>2</v>
      </c>
      <c r="P352" s="4"/>
      <c r="Q352" s="4"/>
      <c r="R352" s="4"/>
      <c r="S352" s="4"/>
      <c r="T352" s="4"/>
      <c r="U352" s="4"/>
      <c r="V352" s="4"/>
      <c r="W352" s="4"/>
    </row>
    <row r="353" spans="1:23" x14ac:dyDescent="0.2">
      <c r="A353" s="4">
        <v>50</v>
      </c>
      <c r="B353" s="4">
        <v>0</v>
      </c>
      <c r="C353" s="4">
        <v>0</v>
      </c>
      <c r="D353" s="4">
        <v>1</v>
      </c>
      <c r="E353" s="4">
        <v>204</v>
      </c>
      <c r="F353" s="4">
        <f>ROUND(Source!R339,O353)</f>
        <v>4684.1000000000004</v>
      </c>
      <c r="G353" s="4" t="s">
        <v>80</v>
      </c>
      <c r="H353" s="4" t="s">
        <v>81</v>
      </c>
      <c r="I353" s="4"/>
      <c r="J353" s="4"/>
      <c r="K353" s="4">
        <v>204</v>
      </c>
      <c r="L353" s="4">
        <v>13</v>
      </c>
      <c r="M353" s="4">
        <v>3</v>
      </c>
      <c r="N353" s="4" t="s">
        <v>3</v>
      </c>
      <c r="O353" s="4">
        <v>2</v>
      </c>
      <c r="P353" s="4"/>
      <c r="Q353" s="4"/>
      <c r="R353" s="4"/>
      <c r="S353" s="4"/>
      <c r="T353" s="4"/>
      <c r="U353" s="4"/>
      <c r="V353" s="4"/>
      <c r="W353" s="4"/>
    </row>
    <row r="354" spans="1:23" x14ac:dyDescent="0.2">
      <c r="A354" s="4">
        <v>50</v>
      </c>
      <c r="B354" s="4">
        <v>0</v>
      </c>
      <c r="C354" s="4">
        <v>0</v>
      </c>
      <c r="D354" s="4">
        <v>1</v>
      </c>
      <c r="E354" s="4">
        <v>205</v>
      </c>
      <c r="F354" s="4">
        <f>ROUND(Source!S339,O354)</f>
        <v>86044.21</v>
      </c>
      <c r="G354" s="4" t="s">
        <v>82</v>
      </c>
      <c r="H354" s="4" t="s">
        <v>83</v>
      </c>
      <c r="I354" s="4"/>
      <c r="J354" s="4"/>
      <c r="K354" s="4">
        <v>205</v>
      </c>
      <c r="L354" s="4">
        <v>14</v>
      </c>
      <c r="M354" s="4">
        <v>3</v>
      </c>
      <c r="N354" s="4" t="s">
        <v>3</v>
      </c>
      <c r="O354" s="4">
        <v>2</v>
      </c>
      <c r="P354" s="4"/>
      <c r="Q354" s="4"/>
      <c r="R354" s="4"/>
      <c r="S354" s="4"/>
      <c r="T354" s="4"/>
      <c r="U354" s="4"/>
      <c r="V354" s="4"/>
      <c r="W354" s="4"/>
    </row>
    <row r="355" spans="1:23" x14ac:dyDescent="0.2">
      <c r="A355" s="4">
        <v>50</v>
      </c>
      <c r="B355" s="4">
        <v>0</v>
      </c>
      <c r="C355" s="4">
        <v>0</v>
      </c>
      <c r="D355" s="4">
        <v>1</v>
      </c>
      <c r="E355" s="4">
        <v>232</v>
      </c>
      <c r="F355" s="4">
        <f>ROUND(Source!BC339,O355)</f>
        <v>0</v>
      </c>
      <c r="G355" s="4" t="s">
        <v>84</v>
      </c>
      <c r="H355" s="4" t="s">
        <v>85</v>
      </c>
      <c r="I355" s="4"/>
      <c r="J355" s="4"/>
      <c r="K355" s="4">
        <v>232</v>
      </c>
      <c r="L355" s="4">
        <v>15</v>
      </c>
      <c r="M355" s="4">
        <v>3</v>
      </c>
      <c r="N355" s="4" t="s">
        <v>3</v>
      </c>
      <c r="O355" s="4">
        <v>2</v>
      </c>
      <c r="P355" s="4"/>
      <c r="Q355" s="4"/>
      <c r="R355" s="4"/>
      <c r="S355" s="4"/>
      <c r="T355" s="4"/>
      <c r="U355" s="4"/>
      <c r="V355" s="4"/>
      <c r="W355" s="4"/>
    </row>
    <row r="356" spans="1:23" x14ac:dyDescent="0.2">
      <c r="A356" s="4">
        <v>50</v>
      </c>
      <c r="B356" s="4">
        <v>0</v>
      </c>
      <c r="C356" s="4">
        <v>0</v>
      </c>
      <c r="D356" s="4">
        <v>1</v>
      </c>
      <c r="E356" s="4">
        <v>214</v>
      </c>
      <c r="F356" s="4">
        <f>ROUND(Source!AS339,O356)</f>
        <v>0</v>
      </c>
      <c r="G356" s="4" t="s">
        <v>86</v>
      </c>
      <c r="H356" s="4" t="s">
        <v>87</v>
      </c>
      <c r="I356" s="4"/>
      <c r="J356" s="4"/>
      <c r="K356" s="4">
        <v>214</v>
      </c>
      <c r="L356" s="4">
        <v>16</v>
      </c>
      <c r="M356" s="4">
        <v>3</v>
      </c>
      <c r="N356" s="4" t="s">
        <v>3</v>
      </c>
      <c r="O356" s="4">
        <v>2</v>
      </c>
      <c r="P356" s="4"/>
      <c r="Q356" s="4"/>
      <c r="R356" s="4"/>
      <c r="S356" s="4"/>
      <c r="T356" s="4"/>
      <c r="U356" s="4"/>
      <c r="V356" s="4"/>
      <c r="W356" s="4"/>
    </row>
    <row r="357" spans="1:23" x14ac:dyDescent="0.2">
      <c r="A357" s="4">
        <v>50</v>
      </c>
      <c r="B357" s="4">
        <v>0</v>
      </c>
      <c r="C357" s="4">
        <v>0</v>
      </c>
      <c r="D357" s="4">
        <v>1</v>
      </c>
      <c r="E357" s="4">
        <v>215</v>
      </c>
      <c r="F357" s="4">
        <f>ROUND(Source!AT339,O357)</f>
        <v>0</v>
      </c>
      <c r="G357" s="4" t="s">
        <v>88</v>
      </c>
      <c r="H357" s="4" t="s">
        <v>89</v>
      </c>
      <c r="I357" s="4"/>
      <c r="J357" s="4"/>
      <c r="K357" s="4">
        <v>215</v>
      </c>
      <c r="L357" s="4">
        <v>17</v>
      </c>
      <c r="M357" s="4">
        <v>3</v>
      </c>
      <c r="N357" s="4" t="s">
        <v>3</v>
      </c>
      <c r="O357" s="4">
        <v>2</v>
      </c>
      <c r="P357" s="4"/>
      <c r="Q357" s="4"/>
      <c r="R357" s="4"/>
      <c r="S357" s="4"/>
      <c r="T357" s="4"/>
      <c r="U357" s="4"/>
      <c r="V357" s="4"/>
      <c r="W357" s="4"/>
    </row>
    <row r="358" spans="1:23" x14ac:dyDescent="0.2">
      <c r="A358" s="4">
        <v>50</v>
      </c>
      <c r="B358" s="4">
        <v>0</v>
      </c>
      <c r="C358" s="4">
        <v>0</v>
      </c>
      <c r="D358" s="4">
        <v>1</v>
      </c>
      <c r="E358" s="4">
        <v>217</v>
      </c>
      <c r="F358" s="4">
        <f>ROUND(Source!AU339,O358)</f>
        <v>852357.22</v>
      </c>
      <c r="G358" s="4" t="s">
        <v>90</v>
      </c>
      <c r="H358" s="4" t="s">
        <v>91</v>
      </c>
      <c r="I358" s="4"/>
      <c r="J358" s="4"/>
      <c r="K358" s="4">
        <v>217</v>
      </c>
      <c r="L358" s="4">
        <v>18</v>
      </c>
      <c r="M358" s="4">
        <v>3</v>
      </c>
      <c r="N358" s="4" t="s">
        <v>3</v>
      </c>
      <c r="O358" s="4">
        <v>2</v>
      </c>
      <c r="P358" s="4"/>
      <c r="Q358" s="4"/>
      <c r="R358" s="4"/>
      <c r="S358" s="4"/>
      <c r="T358" s="4"/>
      <c r="U358" s="4"/>
      <c r="V358" s="4"/>
      <c r="W358" s="4"/>
    </row>
    <row r="359" spans="1:23" x14ac:dyDescent="0.2">
      <c r="A359" s="4">
        <v>50</v>
      </c>
      <c r="B359" s="4">
        <v>0</v>
      </c>
      <c r="C359" s="4">
        <v>0</v>
      </c>
      <c r="D359" s="4">
        <v>1</v>
      </c>
      <c r="E359" s="4">
        <v>230</v>
      </c>
      <c r="F359" s="4">
        <f>ROUND(Source!BA339,O359)</f>
        <v>0</v>
      </c>
      <c r="G359" s="4" t="s">
        <v>92</v>
      </c>
      <c r="H359" s="4" t="s">
        <v>93</v>
      </c>
      <c r="I359" s="4"/>
      <c r="J359" s="4"/>
      <c r="K359" s="4">
        <v>230</v>
      </c>
      <c r="L359" s="4">
        <v>19</v>
      </c>
      <c r="M359" s="4">
        <v>3</v>
      </c>
      <c r="N359" s="4" t="s">
        <v>3</v>
      </c>
      <c r="O359" s="4">
        <v>2</v>
      </c>
      <c r="P359" s="4"/>
      <c r="Q359" s="4"/>
      <c r="R359" s="4"/>
      <c r="S359" s="4"/>
      <c r="T359" s="4"/>
      <c r="U359" s="4"/>
      <c r="V359" s="4"/>
      <c r="W359" s="4"/>
    </row>
    <row r="360" spans="1:23" x14ac:dyDescent="0.2">
      <c r="A360" s="4">
        <v>50</v>
      </c>
      <c r="B360" s="4">
        <v>0</v>
      </c>
      <c r="C360" s="4">
        <v>0</v>
      </c>
      <c r="D360" s="4">
        <v>1</v>
      </c>
      <c r="E360" s="4">
        <v>206</v>
      </c>
      <c r="F360" s="4">
        <f>ROUND(Source!T339,O360)</f>
        <v>0</v>
      </c>
      <c r="G360" s="4" t="s">
        <v>94</v>
      </c>
      <c r="H360" s="4" t="s">
        <v>95</v>
      </c>
      <c r="I360" s="4"/>
      <c r="J360" s="4"/>
      <c r="K360" s="4">
        <v>206</v>
      </c>
      <c r="L360" s="4">
        <v>20</v>
      </c>
      <c r="M360" s="4">
        <v>3</v>
      </c>
      <c r="N360" s="4" t="s">
        <v>3</v>
      </c>
      <c r="O360" s="4">
        <v>2</v>
      </c>
      <c r="P360" s="4"/>
      <c r="Q360" s="4"/>
      <c r="R360" s="4"/>
      <c r="S360" s="4"/>
      <c r="T360" s="4"/>
      <c r="U360" s="4"/>
      <c r="V360" s="4"/>
      <c r="W360" s="4"/>
    </row>
    <row r="361" spans="1:23" x14ac:dyDescent="0.2">
      <c r="A361" s="4">
        <v>50</v>
      </c>
      <c r="B361" s="4">
        <v>0</v>
      </c>
      <c r="C361" s="4">
        <v>0</v>
      </c>
      <c r="D361" s="4">
        <v>1</v>
      </c>
      <c r="E361" s="4">
        <v>207</v>
      </c>
      <c r="F361" s="4">
        <f>Source!U339</f>
        <v>410.97199999999998</v>
      </c>
      <c r="G361" s="4" t="s">
        <v>96</v>
      </c>
      <c r="H361" s="4" t="s">
        <v>97</v>
      </c>
      <c r="I361" s="4"/>
      <c r="J361" s="4"/>
      <c r="K361" s="4">
        <v>207</v>
      </c>
      <c r="L361" s="4">
        <v>21</v>
      </c>
      <c r="M361" s="4">
        <v>3</v>
      </c>
      <c r="N361" s="4" t="s">
        <v>3</v>
      </c>
      <c r="O361" s="4">
        <v>-1</v>
      </c>
      <c r="P361" s="4"/>
      <c r="Q361" s="4"/>
      <c r="R361" s="4"/>
      <c r="S361" s="4"/>
      <c r="T361" s="4"/>
      <c r="U361" s="4"/>
      <c r="V361" s="4"/>
      <c r="W361" s="4"/>
    </row>
    <row r="362" spans="1:23" x14ac:dyDescent="0.2">
      <c r="A362" s="4">
        <v>50</v>
      </c>
      <c r="B362" s="4">
        <v>0</v>
      </c>
      <c r="C362" s="4">
        <v>0</v>
      </c>
      <c r="D362" s="4">
        <v>1</v>
      </c>
      <c r="E362" s="4">
        <v>208</v>
      </c>
      <c r="F362" s="4">
        <f>Source!V339</f>
        <v>0</v>
      </c>
      <c r="G362" s="4" t="s">
        <v>98</v>
      </c>
      <c r="H362" s="4" t="s">
        <v>99</v>
      </c>
      <c r="I362" s="4"/>
      <c r="J362" s="4"/>
      <c r="K362" s="4">
        <v>208</v>
      </c>
      <c r="L362" s="4">
        <v>22</v>
      </c>
      <c r="M362" s="4">
        <v>3</v>
      </c>
      <c r="N362" s="4" t="s">
        <v>3</v>
      </c>
      <c r="O362" s="4">
        <v>-1</v>
      </c>
      <c r="P362" s="4"/>
      <c r="Q362" s="4"/>
      <c r="R362" s="4"/>
      <c r="S362" s="4"/>
      <c r="T362" s="4"/>
      <c r="U362" s="4"/>
      <c r="V362" s="4"/>
      <c r="W362" s="4"/>
    </row>
    <row r="363" spans="1:23" x14ac:dyDescent="0.2">
      <c r="A363" s="4">
        <v>50</v>
      </c>
      <c r="B363" s="4">
        <v>0</v>
      </c>
      <c r="C363" s="4">
        <v>0</v>
      </c>
      <c r="D363" s="4">
        <v>1</v>
      </c>
      <c r="E363" s="4">
        <v>209</v>
      </c>
      <c r="F363" s="4">
        <f>ROUND(Source!W339,O363)</f>
        <v>0</v>
      </c>
      <c r="G363" s="4" t="s">
        <v>100</v>
      </c>
      <c r="H363" s="4" t="s">
        <v>101</v>
      </c>
      <c r="I363" s="4"/>
      <c r="J363" s="4"/>
      <c r="K363" s="4">
        <v>209</v>
      </c>
      <c r="L363" s="4">
        <v>23</v>
      </c>
      <c r="M363" s="4">
        <v>3</v>
      </c>
      <c r="N363" s="4" t="s">
        <v>3</v>
      </c>
      <c r="O363" s="4">
        <v>2</v>
      </c>
      <c r="P363" s="4"/>
      <c r="Q363" s="4"/>
      <c r="R363" s="4"/>
      <c r="S363" s="4"/>
      <c r="T363" s="4"/>
      <c r="U363" s="4"/>
      <c r="V363" s="4"/>
      <c r="W363" s="4"/>
    </row>
    <row r="364" spans="1:23" x14ac:dyDescent="0.2">
      <c r="A364" s="4">
        <v>50</v>
      </c>
      <c r="B364" s="4">
        <v>0</v>
      </c>
      <c r="C364" s="4">
        <v>0</v>
      </c>
      <c r="D364" s="4">
        <v>1</v>
      </c>
      <c r="E364" s="4">
        <v>233</v>
      </c>
      <c r="F364" s="4">
        <f>ROUND(Source!BD339,O364)</f>
        <v>0</v>
      </c>
      <c r="G364" s="4" t="s">
        <v>102</v>
      </c>
      <c r="H364" s="4" t="s">
        <v>103</v>
      </c>
      <c r="I364" s="4"/>
      <c r="J364" s="4"/>
      <c r="K364" s="4">
        <v>233</v>
      </c>
      <c r="L364" s="4">
        <v>24</v>
      </c>
      <c r="M364" s="4">
        <v>3</v>
      </c>
      <c r="N364" s="4" t="s">
        <v>3</v>
      </c>
      <c r="O364" s="4">
        <v>2</v>
      </c>
      <c r="P364" s="4"/>
      <c r="Q364" s="4"/>
      <c r="R364" s="4"/>
      <c r="S364" s="4"/>
      <c r="T364" s="4"/>
      <c r="U364" s="4"/>
      <c r="V364" s="4"/>
      <c r="W364" s="4"/>
    </row>
    <row r="365" spans="1:23" x14ac:dyDescent="0.2">
      <c r="A365" s="4">
        <v>50</v>
      </c>
      <c r="B365" s="4">
        <v>0</v>
      </c>
      <c r="C365" s="4">
        <v>0</v>
      </c>
      <c r="D365" s="4">
        <v>1</v>
      </c>
      <c r="E365" s="4">
        <v>210</v>
      </c>
      <c r="F365" s="4">
        <f>ROUND(Source!X339,O365)</f>
        <v>60230.95</v>
      </c>
      <c r="G365" s="4" t="s">
        <v>104</v>
      </c>
      <c r="H365" s="4" t="s">
        <v>105</v>
      </c>
      <c r="I365" s="4"/>
      <c r="J365" s="4"/>
      <c r="K365" s="4">
        <v>210</v>
      </c>
      <c r="L365" s="4">
        <v>25</v>
      </c>
      <c r="M365" s="4">
        <v>3</v>
      </c>
      <c r="N365" s="4" t="s">
        <v>3</v>
      </c>
      <c r="O365" s="4">
        <v>2</v>
      </c>
      <c r="P365" s="4"/>
      <c r="Q365" s="4"/>
      <c r="R365" s="4"/>
      <c r="S365" s="4"/>
      <c r="T365" s="4"/>
      <c r="U365" s="4"/>
      <c r="V365" s="4"/>
      <c r="W365" s="4"/>
    </row>
    <row r="366" spans="1:23" x14ac:dyDescent="0.2">
      <c r="A366" s="4">
        <v>50</v>
      </c>
      <c r="B366" s="4">
        <v>0</v>
      </c>
      <c r="C366" s="4">
        <v>0</v>
      </c>
      <c r="D366" s="4">
        <v>1</v>
      </c>
      <c r="E366" s="4">
        <v>211</v>
      </c>
      <c r="F366" s="4">
        <f>ROUND(Source!Y339,O366)</f>
        <v>8604.42</v>
      </c>
      <c r="G366" s="4" t="s">
        <v>106</v>
      </c>
      <c r="H366" s="4" t="s">
        <v>107</v>
      </c>
      <c r="I366" s="4"/>
      <c r="J366" s="4"/>
      <c r="K366" s="4">
        <v>211</v>
      </c>
      <c r="L366" s="4">
        <v>26</v>
      </c>
      <c r="M366" s="4">
        <v>3</v>
      </c>
      <c r="N366" s="4" t="s">
        <v>3</v>
      </c>
      <c r="O366" s="4">
        <v>2</v>
      </c>
      <c r="P366" s="4"/>
      <c r="Q366" s="4"/>
      <c r="R366" s="4"/>
      <c r="S366" s="4"/>
      <c r="T366" s="4"/>
      <c r="U366" s="4"/>
      <c r="V366" s="4"/>
      <c r="W366" s="4"/>
    </row>
    <row r="367" spans="1:23" x14ac:dyDescent="0.2">
      <c r="A367" s="4">
        <v>50</v>
      </c>
      <c r="B367" s="4">
        <v>0</v>
      </c>
      <c r="C367" s="4">
        <v>0</v>
      </c>
      <c r="D367" s="4">
        <v>1</v>
      </c>
      <c r="E367" s="4">
        <v>224</v>
      </c>
      <c r="F367" s="4">
        <f>ROUND(Source!AR339,O367)</f>
        <v>852357.22</v>
      </c>
      <c r="G367" s="4" t="s">
        <v>108</v>
      </c>
      <c r="H367" s="4" t="s">
        <v>109</v>
      </c>
      <c r="I367" s="4"/>
      <c r="J367" s="4"/>
      <c r="K367" s="4">
        <v>224</v>
      </c>
      <c r="L367" s="4">
        <v>27</v>
      </c>
      <c r="M367" s="4">
        <v>3</v>
      </c>
      <c r="N367" s="4" t="s">
        <v>3</v>
      </c>
      <c r="O367" s="4">
        <v>2</v>
      </c>
      <c r="P367" s="4"/>
      <c r="Q367" s="4"/>
      <c r="R367" s="4"/>
      <c r="S367" s="4"/>
      <c r="T367" s="4"/>
      <c r="U367" s="4"/>
      <c r="V367" s="4"/>
      <c r="W367" s="4"/>
    </row>
    <row r="369" spans="1:245" x14ac:dyDescent="0.2">
      <c r="A369" s="1">
        <v>5</v>
      </c>
      <c r="B369" s="1">
        <v>1</v>
      </c>
      <c r="C369" s="1"/>
      <c r="D369" s="1">
        <f>ROW(A387)</f>
        <v>387</v>
      </c>
      <c r="E369" s="1"/>
      <c r="F369" s="1" t="s">
        <v>17</v>
      </c>
      <c r="G369" s="1" t="s">
        <v>183</v>
      </c>
      <c r="H369" s="1" t="s">
        <v>3</v>
      </c>
      <c r="I369" s="1">
        <v>0</v>
      </c>
      <c r="J369" s="1"/>
      <c r="K369" s="1">
        <v>0</v>
      </c>
      <c r="L369" s="1"/>
      <c r="M369" s="1"/>
      <c r="N369" s="1"/>
      <c r="O369" s="1"/>
      <c r="P369" s="1"/>
      <c r="Q369" s="1"/>
      <c r="R369" s="1"/>
      <c r="S369" s="1"/>
      <c r="T369" s="1"/>
      <c r="U369" s="1" t="s">
        <v>3</v>
      </c>
      <c r="V369" s="1">
        <v>0</v>
      </c>
      <c r="W369" s="1"/>
      <c r="X369" s="1"/>
      <c r="Y369" s="1"/>
      <c r="Z369" s="1"/>
      <c r="AA369" s="1"/>
      <c r="AB369" s="1" t="s">
        <v>3</v>
      </c>
      <c r="AC369" s="1" t="s">
        <v>3</v>
      </c>
      <c r="AD369" s="1" t="s">
        <v>3</v>
      </c>
      <c r="AE369" s="1" t="s">
        <v>3</v>
      </c>
      <c r="AF369" s="1" t="s">
        <v>3</v>
      </c>
      <c r="AG369" s="1" t="s">
        <v>3</v>
      </c>
      <c r="AH369" s="1"/>
      <c r="AI369" s="1"/>
      <c r="AJ369" s="1"/>
      <c r="AK369" s="1"/>
      <c r="AL369" s="1"/>
      <c r="AM369" s="1"/>
      <c r="AN369" s="1"/>
      <c r="AO369" s="1"/>
      <c r="AP369" s="1" t="s">
        <v>3</v>
      </c>
      <c r="AQ369" s="1" t="s">
        <v>3</v>
      </c>
      <c r="AR369" s="1" t="s">
        <v>3</v>
      </c>
      <c r="AS369" s="1"/>
      <c r="AT369" s="1"/>
      <c r="AU369" s="1"/>
      <c r="AV369" s="1"/>
      <c r="AW369" s="1"/>
      <c r="AX369" s="1"/>
      <c r="AY369" s="1"/>
      <c r="AZ369" s="1" t="s">
        <v>3</v>
      </c>
      <c r="BA369" s="1"/>
      <c r="BB369" s="1" t="s">
        <v>3</v>
      </c>
      <c r="BC369" s="1" t="s">
        <v>3</v>
      </c>
      <c r="BD369" s="1" t="s">
        <v>3</v>
      </c>
      <c r="BE369" s="1" t="s">
        <v>3</v>
      </c>
      <c r="BF369" s="1" t="s">
        <v>3</v>
      </c>
      <c r="BG369" s="1" t="s">
        <v>3</v>
      </c>
      <c r="BH369" s="1" t="s">
        <v>3</v>
      </c>
      <c r="BI369" s="1" t="s">
        <v>3</v>
      </c>
      <c r="BJ369" s="1" t="s">
        <v>3</v>
      </c>
      <c r="BK369" s="1" t="s">
        <v>3</v>
      </c>
      <c r="BL369" s="1" t="s">
        <v>3</v>
      </c>
      <c r="BM369" s="1" t="s">
        <v>3</v>
      </c>
      <c r="BN369" s="1" t="s">
        <v>3</v>
      </c>
      <c r="BO369" s="1" t="s">
        <v>3</v>
      </c>
      <c r="BP369" s="1" t="s">
        <v>3</v>
      </c>
      <c r="BQ369" s="1"/>
      <c r="BR369" s="1"/>
      <c r="BS369" s="1"/>
      <c r="BT369" s="1"/>
      <c r="BU369" s="1"/>
      <c r="BV369" s="1"/>
      <c r="BW369" s="1"/>
      <c r="BX369" s="1">
        <v>0</v>
      </c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>
        <v>0</v>
      </c>
    </row>
    <row r="371" spans="1:245" x14ac:dyDescent="0.2">
      <c r="A371" s="2">
        <v>52</v>
      </c>
      <c r="B371" s="2">
        <f t="shared" ref="B371:G371" si="271">B387</f>
        <v>1</v>
      </c>
      <c r="C371" s="2">
        <f t="shared" si="271"/>
        <v>5</v>
      </c>
      <c r="D371" s="2">
        <f t="shared" si="271"/>
        <v>369</v>
      </c>
      <c r="E371" s="2">
        <f t="shared" si="271"/>
        <v>0</v>
      </c>
      <c r="F371" s="2" t="str">
        <f t="shared" si="271"/>
        <v>Новый подраздел</v>
      </c>
      <c r="G371" s="2" t="str">
        <f t="shared" si="271"/>
        <v>Устройство покрытия</v>
      </c>
      <c r="H371" s="2"/>
      <c r="I371" s="2"/>
      <c r="J371" s="2"/>
      <c r="K371" s="2"/>
      <c r="L371" s="2"/>
      <c r="M371" s="2"/>
      <c r="N371" s="2"/>
      <c r="O371" s="2">
        <f t="shared" ref="O371:AT371" si="272">O387</f>
        <v>25217.14</v>
      </c>
      <c r="P371" s="2">
        <f t="shared" si="272"/>
        <v>17912.400000000001</v>
      </c>
      <c r="Q371" s="2">
        <f t="shared" si="272"/>
        <v>5238.7700000000004</v>
      </c>
      <c r="R371" s="2">
        <f t="shared" si="272"/>
        <v>2842.92</v>
      </c>
      <c r="S371" s="2">
        <f t="shared" si="272"/>
        <v>2065.9699999999998</v>
      </c>
      <c r="T371" s="2">
        <f t="shared" si="272"/>
        <v>0</v>
      </c>
      <c r="U371" s="2">
        <f t="shared" si="272"/>
        <v>11.691269999999999</v>
      </c>
      <c r="V371" s="2">
        <f t="shared" si="272"/>
        <v>0</v>
      </c>
      <c r="W371" s="2">
        <f t="shared" si="272"/>
        <v>0</v>
      </c>
      <c r="X371" s="2">
        <f t="shared" si="272"/>
        <v>1446.18</v>
      </c>
      <c r="Y371" s="2">
        <f t="shared" si="272"/>
        <v>206.6</v>
      </c>
      <c r="Z371" s="2">
        <f t="shared" si="272"/>
        <v>0</v>
      </c>
      <c r="AA371" s="2">
        <f t="shared" si="272"/>
        <v>0</v>
      </c>
      <c r="AB371" s="2">
        <f t="shared" si="272"/>
        <v>25217.14</v>
      </c>
      <c r="AC371" s="2">
        <f t="shared" si="272"/>
        <v>17912.400000000001</v>
      </c>
      <c r="AD371" s="2">
        <f t="shared" si="272"/>
        <v>5238.7700000000004</v>
      </c>
      <c r="AE371" s="2">
        <f t="shared" si="272"/>
        <v>2842.92</v>
      </c>
      <c r="AF371" s="2">
        <f t="shared" si="272"/>
        <v>2065.9699999999998</v>
      </c>
      <c r="AG371" s="2">
        <f t="shared" si="272"/>
        <v>0</v>
      </c>
      <c r="AH371" s="2">
        <f t="shared" si="272"/>
        <v>11.691269999999999</v>
      </c>
      <c r="AI371" s="2">
        <f t="shared" si="272"/>
        <v>0</v>
      </c>
      <c r="AJ371" s="2">
        <f t="shared" si="272"/>
        <v>0</v>
      </c>
      <c r="AK371" s="2">
        <f t="shared" si="272"/>
        <v>1446.18</v>
      </c>
      <c r="AL371" s="2">
        <f t="shared" si="272"/>
        <v>206.6</v>
      </c>
      <c r="AM371" s="2">
        <f t="shared" si="272"/>
        <v>0</v>
      </c>
      <c r="AN371" s="2">
        <f t="shared" si="272"/>
        <v>0</v>
      </c>
      <c r="AO371" s="2">
        <f t="shared" si="272"/>
        <v>0</v>
      </c>
      <c r="AP371" s="2">
        <f t="shared" si="272"/>
        <v>0</v>
      </c>
      <c r="AQ371" s="2">
        <f t="shared" si="272"/>
        <v>0</v>
      </c>
      <c r="AR371" s="2">
        <f t="shared" si="272"/>
        <v>29354.23</v>
      </c>
      <c r="AS371" s="2">
        <f t="shared" si="272"/>
        <v>0</v>
      </c>
      <c r="AT371" s="2">
        <f t="shared" si="272"/>
        <v>0</v>
      </c>
      <c r="AU371" s="2">
        <f t="shared" ref="AU371:BZ371" si="273">AU387</f>
        <v>29354.23</v>
      </c>
      <c r="AV371" s="2">
        <f t="shared" si="273"/>
        <v>17912.400000000001</v>
      </c>
      <c r="AW371" s="2">
        <f t="shared" si="273"/>
        <v>17912.400000000001</v>
      </c>
      <c r="AX371" s="2">
        <f t="shared" si="273"/>
        <v>0</v>
      </c>
      <c r="AY371" s="2">
        <f t="shared" si="273"/>
        <v>17912.400000000001</v>
      </c>
      <c r="AZ371" s="2">
        <f t="shared" si="273"/>
        <v>0</v>
      </c>
      <c r="BA371" s="2">
        <f t="shared" si="273"/>
        <v>0</v>
      </c>
      <c r="BB371" s="2">
        <f t="shared" si="273"/>
        <v>0</v>
      </c>
      <c r="BC371" s="2">
        <f t="shared" si="273"/>
        <v>0</v>
      </c>
      <c r="BD371" s="2">
        <f t="shared" si="273"/>
        <v>0</v>
      </c>
      <c r="BE371" s="2">
        <f t="shared" si="273"/>
        <v>0</v>
      </c>
      <c r="BF371" s="2">
        <f t="shared" si="273"/>
        <v>0</v>
      </c>
      <c r="BG371" s="2">
        <f t="shared" si="273"/>
        <v>0</v>
      </c>
      <c r="BH371" s="2">
        <f t="shared" si="273"/>
        <v>0</v>
      </c>
      <c r="BI371" s="2">
        <f t="shared" si="273"/>
        <v>0</v>
      </c>
      <c r="BJ371" s="2">
        <f t="shared" si="273"/>
        <v>0</v>
      </c>
      <c r="BK371" s="2">
        <f t="shared" si="273"/>
        <v>0</v>
      </c>
      <c r="BL371" s="2">
        <f t="shared" si="273"/>
        <v>0</v>
      </c>
      <c r="BM371" s="2">
        <f t="shared" si="273"/>
        <v>0</v>
      </c>
      <c r="BN371" s="2">
        <f t="shared" si="273"/>
        <v>0</v>
      </c>
      <c r="BO371" s="2">
        <f t="shared" si="273"/>
        <v>0</v>
      </c>
      <c r="BP371" s="2">
        <f t="shared" si="273"/>
        <v>0</v>
      </c>
      <c r="BQ371" s="2">
        <f t="shared" si="273"/>
        <v>0</v>
      </c>
      <c r="BR371" s="2">
        <f t="shared" si="273"/>
        <v>0</v>
      </c>
      <c r="BS371" s="2">
        <f t="shared" si="273"/>
        <v>0</v>
      </c>
      <c r="BT371" s="2">
        <f t="shared" si="273"/>
        <v>0</v>
      </c>
      <c r="BU371" s="2">
        <f t="shared" si="273"/>
        <v>0</v>
      </c>
      <c r="BV371" s="2">
        <f t="shared" si="273"/>
        <v>0</v>
      </c>
      <c r="BW371" s="2">
        <f t="shared" si="273"/>
        <v>0</v>
      </c>
      <c r="BX371" s="2">
        <f t="shared" si="273"/>
        <v>0</v>
      </c>
      <c r="BY371" s="2">
        <f t="shared" si="273"/>
        <v>0</v>
      </c>
      <c r="BZ371" s="2">
        <f t="shared" si="273"/>
        <v>0</v>
      </c>
      <c r="CA371" s="2">
        <f t="shared" ref="CA371:DF371" si="274">CA387</f>
        <v>29354.23</v>
      </c>
      <c r="CB371" s="2">
        <f t="shared" si="274"/>
        <v>0</v>
      </c>
      <c r="CC371" s="2">
        <f t="shared" si="274"/>
        <v>0</v>
      </c>
      <c r="CD371" s="2">
        <f t="shared" si="274"/>
        <v>29354.23</v>
      </c>
      <c r="CE371" s="2">
        <f t="shared" si="274"/>
        <v>17912.400000000001</v>
      </c>
      <c r="CF371" s="2">
        <f t="shared" si="274"/>
        <v>17912.400000000001</v>
      </c>
      <c r="CG371" s="2">
        <f t="shared" si="274"/>
        <v>0</v>
      </c>
      <c r="CH371" s="2">
        <f t="shared" si="274"/>
        <v>17912.400000000001</v>
      </c>
      <c r="CI371" s="2">
        <f t="shared" si="274"/>
        <v>0</v>
      </c>
      <c r="CJ371" s="2">
        <f t="shared" si="274"/>
        <v>0</v>
      </c>
      <c r="CK371" s="2">
        <f t="shared" si="274"/>
        <v>0</v>
      </c>
      <c r="CL371" s="2">
        <f t="shared" si="274"/>
        <v>0</v>
      </c>
      <c r="CM371" s="2">
        <f t="shared" si="274"/>
        <v>0</v>
      </c>
      <c r="CN371" s="2">
        <f t="shared" si="274"/>
        <v>0</v>
      </c>
      <c r="CO371" s="2">
        <f t="shared" si="274"/>
        <v>0</v>
      </c>
      <c r="CP371" s="2">
        <f t="shared" si="274"/>
        <v>0</v>
      </c>
      <c r="CQ371" s="2">
        <f t="shared" si="274"/>
        <v>0</v>
      </c>
      <c r="CR371" s="2">
        <f t="shared" si="274"/>
        <v>0</v>
      </c>
      <c r="CS371" s="2">
        <f t="shared" si="274"/>
        <v>0</v>
      </c>
      <c r="CT371" s="2">
        <f t="shared" si="274"/>
        <v>0</v>
      </c>
      <c r="CU371" s="2">
        <f t="shared" si="274"/>
        <v>0</v>
      </c>
      <c r="CV371" s="2">
        <f t="shared" si="274"/>
        <v>0</v>
      </c>
      <c r="CW371" s="2">
        <f t="shared" si="274"/>
        <v>0</v>
      </c>
      <c r="CX371" s="2">
        <f t="shared" si="274"/>
        <v>0</v>
      </c>
      <c r="CY371" s="2">
        <f t="shared" si="274"/>
        <v>0</v>
      </c>
      <c r="CZ371" s="2">
        <f t="shared" si="274"/>
        <v>0</v>
      </c>
      <c r="DA371" s="2">
        <f t="shared" si="274"/>
        <v>0</v>
      </c>
      <c r="DB371" s="2">
        <f t="shared" si="274"/>
        <v>0</v>
      </c>
      <c r="DC371" s="2">
        <f t="shared" si="274"/>
        <v>0</v>
      </c>
      <c r="DD371" s="2">
        <f t="shared" si="274"/>
        <v>0</v>
      </c>
      <c r="DE371" s="2">
        <f t="shared" si="274"/>
        <v>0</v>
      </c>
      <c r="DF371" s="2">
        <f t="shared" si="274"/>
        <v>0</v>
      </c>
      <c r="DG371" s="3">
        <f t="shared" ref="DG371:EL371" si="275">DG387</f>
        <v>0</v>
      </c>
      <c r="DH371" s="3">
        <f t="shared" si="275"/>
        <v>0</v>
      </c>
      <c r="DI371" s="3">
        <f t="shared" si="275"/>
        <v>0</v>
      </c>
      <c r="DJ371" s="3">
        <f t="shared" si="275"/>
        <v>0</v>
      </c>
      <c r="DK371" s="3">
        <f t="shared" si="275"/>
        <v>0</v>
      </c>
      <c r="DL371" s="3">
        <f t="shared" si="275"/>
        <v>0</v>
      </c>
      <c r="DM371" s="3">
        <f t="shared" si="275"/>
        <v>0</v>
      </c>
      <c r="DN371" s="3">
        <f t="shared" si="275"/>
        <v>0</v>
      </c>
      <c r="DO371" s="3">
        <f t="shared" si="275"/>
        <v>0</v>
      </c>
      <c r="DP371" s="3">
        <f t="shared" si="275"/>
        <v>0</v>
      </c>
      <c r="DQ371" s="3">
        <f t="shared" si="275"/>
        <v>0</v>
      </c>
      <c r="DR371" s="3">
        <f t="shared" si="275"/>
        <v>0</v>
      </c>
      <c r="DS371" s="3">
        <f t="shared" si="275"/>
        <v>0</v>
      </c>
      <c r="DT371" s="3">
        <f t="shared" si="275"/>
        <v>0</v>
      </c>
      <c r="DU371" s="3">
        <f t="shared" si="275"/>
        <v>0</v>
      </c>
      <c r="DV371" s="3">
        <f t="shared" si="275"/>
        <v>0</v>
      </c>
      <c r="DW371" s="3">
        <f t="shared" si="275"/>
        <v>0</v>
      </c>
      <c r="DX371" s="3">
        <f t="shared" si="275"/>
        <v>0</v>
      </c>
      <c r="DY371" s="3">
        <f t="shared" si="275"/>
        <v>0</v>
      </c>
      <c r="DZ371" s="3">
        <f t="shared" si="275"/>
        <v>0</v>
      </c>
      <c r="EA371" s="3">
        <f t="shared" si="275"/>
        <v>0</v>
      </c>
      <c r="EB371" s="3">
        <f t="shared" si="275"/>
        <v>0</v>
      </c>
      <c r="EC371" s="3">
        <f t="shared" si="275"/>
        <v>0</v>
      </c>
      <c r="ED371" s="3">
        <f t="shared" si="275"/>
        <v>0</v>
      </c>
      <c r="EE371" s="3">
        <f t="shared" si="275"/>
        <v>0</v>
      </c>
      <c r="EF371" s="3">
        <f t="shared" si="275"/>
        <v>0</v>
      </c>
      <c r="EG371" s="3">
        <f t="shared" si="275"/>
        <v>0</v>
      </c>
      <c r="EH371" s="3">
        <f t="shared" si="275"/>
        <v>0</v>
      </c>
      <c r="EI371" s="3">
        <f t="shared" si="275"/>
        <v>0</v>
      </c>
      <c r="EJ371" s="3">
        <f t="shared" si="275"/>
        <v>0</v>
      </c>
      <c r="EK371" s="3">
        <f t="shared" si="275"/>
        <v>0</v>
      </c>
      <c r="EL371" s="3">
        <f t="shared" si="275"/>
        <v>0</v>
      </c>
      <c r="EM371" s="3">
        <f t="shared" ref="EM371:FR371" si="276">EM387</f>
        <v>0</v>
      </c>
      <c r="EN371" s="3">
        <f t="shared" si="276"/>
        <v>0</v>
      </c>
      <c r="EO371" s="3">
        <f t="shared" si="276"/>
        <v>0</v>
      </c>
      <c r="EP371" s="3">
        <f t="shared" si="276"/>
        <v>0</v>
      </c>
      <c r="EQ371" s="3">
        <f t="shared" si="276"/>
        <v>0</v>
      </c>
      <c r="ER371" s="3">
        <f t="shared" si="276"/>
        <v>0</v>
      </c>
      <c r="ES371" s="3">
        <f t="shared" si="276"/>
        <v>0</v>
      </c>
      <c r="ET371" s="3">
        <f t="shared" si="276"/>
        <v>0</v>
      </c>
      <c r="EU371" s="3">
        <f t="shared" si="276"/>
        <v>0</v>
      </c>
      <c r="EV371" s="3">
        <f t="shared" si="276"/>
        <v>0</v>
      </c>
      <c r="EW371" s="3">
        <f t="shared" si="276"/>
        <v>0</v>
      </c>
      <c r="EX371" s="3">
        <f t="shared" si="276"/>
        <v>0</v>
      </c>
      <c r="EY371" s="3">
        <f t="shared" si="276"/>
        <v>0</v>
      </c>
      <c r="EZ371" s="3">
        <f t="shared" si="276"/>
        <v>0</v>
      </c>
      <c r="FA371" s="3">
        <f t="shared" si="276"/>
        <v>0</v>
      </c>
      <c r="FB371" s="3">
        <f t="shared" si="276"/>
        <v>0</v>
      </c>
      <c r="FC371" s="3">
        <f t="shared" si="276"/>
        <v>0</v>
      </c>
      <c r="FD371" s="3">
        <f t="shared" si="276"/>
        <v>0</v>
      </c>
      <c r="FE371" s="3">
        <f t="shared" si="276"/>
        <v>0</v>
      </c>
      <c r="FF371" s="3">
        <f t="shared" si="276"/>
        <v>0</v>
      </c>
      <c r="FG371" s="3">
        <f t="shared" si="276"/>
        <v>0</v>
      </c>
      <c r="FH371" s="3">
        <f t="shared" si="276"/>
        <v>0</v>
      </c>
      <c r="FI371" s="3">
        <f t="shared" si="276"/>
        <v>0</v>
      </c>
      <c r="FJ371" s="3">
        <f t="shared" si="276"/>
        <v>0</v>
      </c>
      <c r="FK371" s="3">
        <f t="shared" si="276"/>
        <v>0</v>
      </c>
      <c r="FL371" s="3">
        <f t="shared" si="276"/>
        <v>0</v>
      </c>
      <c r="FM371" s="3">
        <f t="shared" si="276"/>
        <v>0</v>
      </c>
      <c r="FN371" s="3">
        <f t="shared" si="276"/>
        <v>0</v>
      </c>
      <c r="FO371" s="3">
        <f t="shared" si="276"/>
        <v>0</v>
      </c>
      <c r="FP371" s="3">
        <f t="shared" si="276"/>
        <v>0</v>
      </c>
      <c r="FQ371" s="3">
        <f t="shared" si="276"/>
        <v>0</v>
      </c>
      <c r="FR371" s="3">
        <f t="shared" si="276"/>
        <v>0</v>
      </c>
      <c r="FS371" s="3">
        <f t="shared" ref="FS371:GX371" si="277">FS387</f>
        <v>0</v>
      </c>
      <c r="FT371" s="3">
        <f t="shared" si="277"/>
        <v>0</v>
      </c>
      <c r="FU371" s="3">
        <f t="shared" si="277"/>
        <v>0</v>
      </c>
      <c r="FV371" s="3">
        <f t="shared" si="277"/>
        <v>0</v>
      </c>
      <c r="FW371" s="3">
        <f t="shared" si="277"/>
        <v>0</v>
      </c>
      <c r="FX371" s="3">
        <f t="shared" si="277"/>
        <v>0</v>
      </c>
      <c r="FY371" s="3">
        <f t="shared" si="277"/>
        <v>0</v>
      </c>
      <c r="FZ371" s="3">
        <f t="shared" si="277"/>
        <v>0</v>
      </c>
      <c r="GA371" s="3">
        <f t="shared" si="277"/>
        <v>0</v>
      </c>
      <c r="GB371" s="3">
        <f t="shared" si="277"/>
        <v>0</v>
      </c>
      <c r="GC371" s="3">
        <f t="shared" si="277"/>
        <v>0</v>
      </c>
      <c r="GD371" s="3">
        <f t="shared" si="277"/>
        <v>0</v>
      </c>
      <c r="GE371" s="3">
        <f t="shared" si="277"/>
        <v>0</v>
      </c>
      <c r="GF371" s="3">
        <f t="shared" si="277"/>
        <v>0</v>
      </c>
      <c r="GG371" s="3">
        <f t="shared" si="277"/>
        <v>0</v>
      </c>
      <c r="GH371" s="3">
        <f t="shared" si="277"/>
        <v>0</v>
      </c>
      <c r="GI371" s="3">
        <f t="shared" si="277"/>
        <v>0</v>
      </c>
      <c r="GJ371" s="3">
        <f t="shared" si="277"/>
        <v>0</v>
      </c>
      <c r="GK371" s="3">
        <f t="shared" si="277"/>
        <v>0</v>
      </c>
      <c r="GL371" s="3">
        <f t="shared" si="277"/>
        <v>0</v>
      </c>
      <c r="GM371" s="3">
        <f t="shared" si="277"/>
        <v>0</v>
      </c>
      <c r="GN371" s="3">
        <f t="shared" si="277"/>
        <v>0</v>
      </c>
      <c r="GO371" s="3">
        <f t="shared" si="277"/>
        <v>0</v>
      </c>
      <c r="GP371" s="3">
        <f t="shared" si="277"/>
        <v>0</v>
      </c>
      <c r="GQ371" s="3">
        <f t="shared" si="277"/>
        <v>0</v>
      </c>
      <c r="GR371" s="3">
        <f t="shared" si="277"/>
        <v>0</v>
      </c>
      <c r="GS371" s="3">
        <f t="shared" si="277"/>
        <v>0</v>
      </c>
      <c r="GT371" s="3">
        <f t="shared" si="277"/>
        <v>0</v>
      </c>
      <c r="GU371" s="3">
        <f t="shared" si="277"/>
        <v>0</v>
      </c>
      <c r="GV371" s="3">
        <f t="shared" si="277"/>
        <v>0</v>
      </c>
      <c r="GW371" s="3">
        <f t="shared" si="277"/>
        <v>0</v>
      </c>
      <c r="GX371" s="3">
        <f t="shared" si="277"/>
        <v>0</v>
      </c>
    </row>
    <row r="373" spans="1:245" x14ac:dyDescent="0.2">
      <c r="A373">
        <v>17</v>
      </c>
      <c r="B373">
        <v>1</v>
      </c>
      <c r="C373">
        <f>ROW(SmtRes!A102)</f>
        <v>102</v>
      </c>
      <c r="D373">
        <f>ROW(EtalonRes!A99)</f>
        <v>99</v>
      </c>
      <c r="E373" t="s">
        <v>256</v>
      </c>
      <c r="F373" t="s">
        <v>185</v>
      </c>
      <c r="G373" t="s">
        <v>186</v>
      </c>
      <c r="H373" t="s">
        <v>187</v>
      </c>
      <c r="I373">
        <f>ROUND(((270*0.1)/100)*0.9,9)</f>
        <v>0.24299999999999999</v>
      </c>
      <c r="J373">
        <v>0</v>
      </c>
      <c r="O373">
        <f t="shared" ref="O373:O385" si="278">ROUND(CP373,2)</f>
        <v>2138.98</v>
      </c>
      <c r="P373">
        <f t="shared" ref="P373:P385" si="279">ROUND(CQ373*I373,2)</f>
        <v>0</v>
      </c>
      <c r="Q373">
        <f t="shared" ref="Q373:Q385" si="280">ROUND(CR373*I373,2)</f>
        <v>1997.18</v>
      </c>
      <c r="R373">
        <f t="shared" ref="R373:R385" si="281">ROUND(CS373*I373,2)</f>
        <v>1367.87</v>
      </c>
      <c r="S373">
        <f t="shared" ref="S373:S385" si="282">ROUND(CT373*I373,2)</f>
        <v>141.80000000000001</v>
      </c>
      <c r="T373">
        <f t="shared" ref="T373:T385" si="283">ROUND(CU373*I373,2)</f>
        <v>0</v>
      </c>
      <c r="U373">
        <f t="shared" ref="U373:U385" si="284">CV373*I373</f>
        <v>0.82377</v>
      </c>
      <c r="V373">
        <f t="shared" ref="V373:V385" si="285">CW373*I373</f>
        <v>0</v>
      </c>
      <c r="W373">
        <f t="shared" ref="W373:W385" si="286">ROUND(CX373*I373,2)</f>
        <v>0</v>
      </c>
      <c r="X373">
        <f t="shared" ref="X373:X385" si="287">ROUND(CY373,2)</f>
        <v>99.26</v>
      </c>
      <c r="Y373">
        <f t="shared" ref="Y373:Y385" si="288">ROUND(CZ373,2)</f>
        <v>14.18</v>
      </c>
      <c r="AA373">
        <v>38214492</v>
      </c>
      <c r="AB373">
        <f t="shared" ref="AB373:AB385" si="289">ROUND((AC373+AD373+AF373),6)</f>
        <v>8802.35</v>
      </c>
      <c r="AC373">
        <f t="shared" ref="AC373:AC378" si="290">ROUND((ES373),6)</f>
        <v>0</v>
      </c>
      <c r="AD373">
        <f t="shared" ref="AD373:AD378" si="291">ROUND((((ET373)-(EU373))+AE373),6)</f>
        <v>8218.83</v>
      </c>
      <c r="AE373">
        <f t="shared" ref="AE373:AF378" si="292">ROUND((EU373),6)</f>
        <v>5629.09</v>
      </c>
      <c r="AF373">
        <f t="shared" si="292"/>
        <v>583.52</v>
      </c>
      <c r="AG373">
        <f t="shared" ref="AG373:AG385" si="293">ROUND((AP373),6)</f>
        <v>0</v>
      </c>
      <c r="AH373">
        <f t="shared" ref="AH373:AI378" si="294">(EW373)</f>
        <v>3.39</v>
      </c>
      <c r="AI373">
        <f t="shared" si="294"/>
        <v>0</v>
      </c>
      <c r="AJ373">
        <f t="shared" ref="AJ373:AJ385" si="295">(AS373)</f>
        <v>0</v>
      </c>
      <c r="AK373">
        <v>8802.35</v>
      </c>
      <c r="AL373">
        <v>0</v>
      </c>
      <c r="AM373">
        <v>8218.83</v>
      </c>
      <c r="AN373">
        <v>5629.09</v>
      </c>
      <c r="AO373">
        <v>583.52</v>
      </c>
      <c r="AP373">
        <v>0</v>
      </c>
      <c r="AQ373">
        <v>3.39</v>
      </c>
      <c r="AR373">
        <v>0</v>
      </c>
      <c r="AS373">
        <v>0</v>
      </c>
      <c r="AT373">
        <v>70</v>
      </c>
      <c r="AU373">
        <v>10</v>
      </c>
      <c r="AV373">
        <v>1</v>
      </c>
      <c r="AW373">
        <v>1</v>
      </c>
      <c r="AZ373">
        <v>1</v>
      </c>
      <c r="BA373">
        <v>1</v>
      </c>
      <c r="BB373">
        <v>1</v>
      </c>
      <c r="BC373">
        <v>1</v>
      </c>
      <c r="BD373" t="s">
        <v>3</v>
      </c>
      <c r="BE373" t="s">
        <v>3</v>
      </c>
      <c r="BF373" t="s">
        <v>3</v>
      </c>
      <c r="BG373" t="s">
        <v>3</v>
      </c>
      <c r="BH373">
        <v>0</v>
      </c>
      <c r="BI373">
        <v>4</v>
      </c>
      <c r="BJ373" t="s">
        <v>188</v>
      </c>
      <c r="BM373">
        <v>0</v>
      </c>
      <c r="BN373">
        <v>0</v>
      </c>
      <c r="BO373" t="s">
        <v>3</v>
      </c>
      <c r="BP373">
        <v>0</v>
      </c>
      <c r="BQ373">
        <v>1</v>
      </c>
      <c r="BR373">
        <v>0</v>
      </c>
      <c r="BS373">
        <v>1</v>
      </c>
      <c r="BT373">
        <v>1</v>
      </c>
      <c r="BU373">
        <v>1</v>
      </c>
      <c r="BV373">
        <v>1</v>
      </c>
      <c r="BW373">
        <v>1</v>
      </c>
      <c r="BX373">
        <v>1</v>
      </c>
      <c r="BY373" t="s">
        <v>3</v>
      </c>
      <c r="BZ373">
        <v>70</v>
      </c>
      <c r="CA373">
        <v>10</v>
      </c>
      <c r="CE373">
        <v>0</v>
      </c>
      <c r="CF373">
        <v>0</v>
      </c>
      <c r="CG373">
        <v>0</v>
      </c>
      <c r="CM373">
        <v>0</v>
      </c>
      <c r="CN373" t="s">
        <v>3</v>
      </c>
      <c r="CO373">
        <v>0</v>
      </c>
      <c r="CP373">
        <f t="shared" ref="CP373:CP385" si="296">(P373+Q373+S373)</f>
        <v>2138.98</v>
      </c>
      <c r="CQ373">
        <f t="shared" ref="CQ373:CQ385" si="297">(AC373*BC373*AW373)</f>
        <v>0</v>
      </c>
      <c r="CR373">
        <f t="shared" ref="CR373:CR378" si="298">((((ET373)*BB373-(EU373)*BS373)+AE373*BS373)*AV373)</f>
        <v>8218.83</v>
      </c>
      <c r="CS373">
        <f t="shared" ref="CS373:CS385" si="299">(AE373*BS373*AV373)</f>
        <v>5629.09</v>
      </c>
      <c r="CT373">
        <f t="shared" ref="CT373:CT385" si="300">(AF373*BA373*AV373)</f>
        <v>583.52</v>
      </c>
      <c r="CU373">
        <f t="shared" ref="CU373:CU385" si="301">AG373</f>
        <v>0</v>
      </c>
      <c r="CV373">
        <f t="shared" ref="CV373:CV385" si="302">(AH373*AV373)</f>
        <v>3.39</v>
      </c>
      <c r="CW373">
        <f t="shared" ref="CW373:CW385" si="303">AI373</f>
        <v>0</v>
      </c>
      <c r="CX373">
        <f t="shared" ref="CX373:CX385" si="304">AJ373</f>
        <v>0</v>
      </c>
      <c r="CY373">
        <f t="shared" ref="CY373:CY385" si="305">((S373*BZ373)/100)</f>
        <v>99.26</v>
      </c>
      <c r="CZ373">
        <f t="shared" ref="CZ373:CZ385" si="306">((S373*CA373)/100)</f>
        <v>14.18</v>
      </c>
      <c r="DC373" t="s">
        <v>3</v>
      </c>
      <c r="DD373" t="s">
        <v>3</v>
      </c>
      <c r="DE373" t="s">
        <v>3</v>
      </c>
      <c r="DF373" t="s">
        <v>3</v>
      </c>
      <c r="DG373" t="s">
        <v>3</v>
      </c>
      <c r="DH373" t="s">
        <v>3</v>
      </c>
      <c r="DI373" t="s">
        <v>3</v>
      </c>
      <c r="DJ373" t="s">
        <v>3</v>
      </c>
      <c r="DK373" t="s">
        <v>3</v>
      </c>
      <c r="DL373" t="s">
        <v>3</v>
      </c>
      <c r="DM373" t="s">
        <v>3</v>
      </c>
      <c r="DN373">
        <v>0</v>
      </c>
      <c r="DO373">
        <v>0</v>
      </c>
      <c r="DP373">
        <v>1</v>
      </c>
      <c r="DQ373">
        <v>1</v>
      </c>
      <c r="DU373">
        <v>1007</v>
      </c>
      <c r="DV373" t="s">
        <v>187</v>
      </c>
      <c r="DW373" t="s">
        <v>187</v>
      </c>
      <c r="DX373">
        <v>100</v>
      </c>
      <c r="EE373">
        <v>38628631</v>
      </c>
      <c r="EF373">
        <v>1</v>
      </c>
      <c r="EG373" t="s">
        <v>24</v>
      </c>
      <c r="EH373">
        <v>0</v>
      </c>
      <c r="EI373" t="s">
        <v>3</v>
      </c>
      <c r="EJ373">
        <v>4</v>
      </c>
      <c r="EK373">
        <v>0</v>
      </c>
      <c r="EL373" t="s">
        <v>25</v>
      </c>
      <c r="EM373" t="s">
        <v>26</v>
      </c>
      <c r="EO373" t="s">
        <v>3</v>
      </c>
      <c r="EQ373">
        <v>0</v>
      </c>
      <c r="ER373">
        <v>8802.35</v>
      </c>
      <c r="ES373">
        <v>0</v>
      </c>
      <c r="ET373">
        <v>8218.83</v>
      </c>
      <c r="EU373">
        <v>5629.09</v>
      </c>
      <c r="EV373">
        <v>583.52</v>
      </c>
      <c r="EW373">
        <v>3.39</v>
      </c>
      <c r="EX373">
        <v>0</v>
      </c>
      <c r="EY373">
        <v>0</v>
      </c>
      <c r="FQ373">
        <v>0</v>
      </c>
      <c r="FR373">
        <f t="shared" ref="FR373:FR385" si="307">ROUND(IF(AND(BH373=3,BI373=3),P373,0),2)</f>
        <v>0</v>
      </c>
      <c r="FS373">
        <v>0</v>
      </c>
      <c r="FX373">
        <v>70</v>
      </c>
      <c r="FY373">
        <v>10</v>
      </c>
      <c r="GA373" t="s">
        <v>3</v>
      </c>
      <c r="GD373">
        <v>0</v>
      </c>
      <c r="GF373">
        <v>-1496414240</v>
      </c>
      <c r="GG373">
        <v>2</v>
      </c>
      <c r="GH373">
        <v>1</v>
      </c>
      <c r="GI373">
        <v>-2</v>
      </c>
      <c r="GJ373">
        <v>0</v>
      </c>
      <c r="GK373">
        <f>ROUND(R373*(R12)/100,2)</f>
        <v>1477.3</v>
      </c>
      <c r="GL373">
        <f t="shared" ref="GL373:GL385" si="308">ROUND(IF(AND(BH373=3,BI373=3,FS373&lt;&gt;0),P373,0),2)</f>
        <v>0</v>
      </c>
      <c r="GM373">
        <f>ROUND(O373+X373+Y373+GK373,2)+GX373</f>
        <v>3729.72</v>
      </c>
      <c r="GN373">
        <f>IF(OR(BI373=0,BI373=1),ROUND(O373+X373+Y373+GK373,2),0)</f>
        <v>0</v>
      </c>
      <c r="GO373">
        <f>IF(BI373=2,ROUND(O373+X373+Y373+GK373,2),0)</f>
        <v>0</v>
      </c>
      <c r="GP373">
        <f>IF(BI373=4,ROUND(O373+X373+Y373+GK373,2)+GX373,0)</f>
        <v>3729.72</v>
      </c>
      <c r="GR373">
        <v>0</v>
      </c>
      <c r="GS373">
        <v>3</v>
      </c>
      <c r="GT373">
        <v>0</v>
      </c>
      <c r="GU373" t="s">
        <v>3</v>
      </c>
      <c r="GV373">
        <f t="shared" ref="GV373:GV385" si="309">ROUND((GT373),6)</f>
        <v>0</v>
      </c>
      <c r="GW373">
        <v>1</v>
      </c>
      <c r="GX373">
        <f t="shared" ref="GX373:GX385" si="310">ROUND(HC373*I373,2)</f>
        <v>0</v>
      </c>
      <c r="HA373">
        <v>0</v>
      </c>
      <c r="HB373">
        <v>0</v>
      </c>
      <c r="HC373">
        <f t="shared" ref="HC373:HC385" si="311">GV373*GW373</f>
        <v>0</v>
      </c>
      <c r="HE373" t="s">
        <v>3</v>
      </c>
      <c r="HF373" t="s">
        <v>3</v>
      </c>
      <c r="IK373">
        <v>0</v>
      </c>
    </row>
    <row r="374" spans="1:245" x14ac:dyDescent="0.2">
      <c r="A374">
        <v>17</v>
      </c>
      <c r="B374">
        <v>1</v>
      </c>
      <c r="C374">
        <f>ROW(SmtRes!A103)</f>
        <v>103</v>
      </c>
      <c r="D374">
        <f>ROW(EtalonRes!A100)</f>
        <v>100</v>
      </c>
      <c r="E374" t="s">
        <v>257</v>
      </c>
      <c r="F374" t="s">
        <v>190</v>
      </c>
      <c r="G374" t="s">
        <v>191</v>
      </c>
      <c r="H374" t="s">
        <v>187</v>
      </c>
      <c r="I374">
        <f>ROUND(((270*0.1)/100)*0.1,9)</f>
        <v>2.7E-2</v>
      </c>
      <c r="J374">
        <v>0</v>
      </c>
      <c r="O374">
        <f t="shared" si="278"/>
        <v>1078.71</v>
      </c>
      <c r="P374">
        <f t="shared" si="279"/>
        <v>0</v>
      </c>
      <c r="Q374">
        <f t="shared" si="280"/>
        <v>0</v>
      </c>
      <c r="R374">
        <f t="shared" si="281"/>
        <v>0</v>
      </c>
      <c r="S374">
        <f t="shared" si="282"/>
        <v>1078.71</v>
      </c>
      <c r="T374">
        <f t="shared" si="283"/>
        <v>0</v>
      </c>
      <c r="U374">
        <f t="shared" si="284"/>
        <v>5.9832000000000001</v>
      </c>
      <c r="V374">
        <f t="shared" si="285"/>
        <v>0</v>
      </c>
      <c r="W374">
        <f t="shared" si="286"/>
        <v>0</v>
      </c>
      <c r="X374">
        <f t="shared" si="287"/>
        <v>755.1</v>
      </c>
      <c r="Y374">
        <f t="shared" si="288"/>
        <v>107.87</v>
      </c>
      <c r="AA374">
        <v>38214492</v>
      </c>
      <c r="AB374">
        <f t="shared" si="289"/>
        <v>39952.26</v>
      </c>
      <c r="AC374">
        <f t="shared" si="290"/>
        <v>0</v>
      </c>
      <c r="AD374">
        <f t="shared" si="291"/>
        <v>0</v>
      </c>
      <c r="AE374">
        <f t="shared" si="292"/>
        <v>0</v>
      </c>
      <c r="AF374">
        <f t="shared" si="292"/>
        <v>39952.26</v>
      </c>
      <c r="AG374">
        <f t="shared" si="293"/>
        <v>0</v>
      </c>
      <c r="AH374">
        <f t="shared" si="294"/>
        <v>221.6</v>
      </c>
      <c r="AI374">
        <f t="shared" si="294"/>
        <v>0</v>
      </c>
      <c r="AJ374">
        <f t="shared" si="295"/>
        <v>0</v>
      </c>
      <c r="AK374">
        <v>39952.26</v>
      </c>
      <c r="AL374">
        <v>0</v>
      </c>
      <c r="AM374">
        <v>0</v>
      </c>
      <c r="AN374">
        <v>0</v>
      </c>
      <c r="AO374">
        <v>39952.26</v>
      </c>
      <c r="AP374">
        <v>0</v>
      </c>
      <c r="AQ374">
        <v>221.6</v>
      </c>
      <c r="AR374">
        <v>0</v>
      </c>
      <c r="AS374">
        <v>0</v>
      </c>
      <c r="AT374">
        <v>70</v>
      </c>
      <c r="AU374">
        <v>10</v>
      </c>
      <c r="AV374">
        <v>1</v>
      </c>
      <c r="AW374">
        <v>1</v>
      </c>
      <c r="AZ374">
        <v>1</v>
      </c>
      <c r="BA374">
        <v>1</v>
      </c>
      <c r="BB374">
        <v>1</v>
      </c>
      <c r="BC374">
        <v>1</v>
      </c>
      <c r="BD374" t="s">
        <v>3</v>
      </c>
      <c r="BE374" t="s">
        <v>3</v>
      </c>
      <c r="BF374" t="s">
        <v>3</v>
      </c>
      <c r="BG374" t="s">
        <v>3</v>
      </c>
      <c r="BH374">
        <v>0</v>
      </c>
      <c r="BI374">
        <v>4</v>
      </c>
      <c r="BJ374" t="s">
        <v>192</v>
      </c>
      <c r="BM374">
        <v>0</v>
      </c>
      <c r="BN374">
        <v>0</v>
      </c>
      <c r="BO374" t="s">
        <v>3</v>
      </c>
      <c r="BP374">
        <v>0</v>
      </c>
      <c r="BQ374">
        <v>1</v>
      </c>
      <c r="BR374">
        <v>0</v>
      </c>
      <c r="BS374">
        <v>1</v>
      </c>
      <c r="BT374">
        <v>1</v>
      </c>
      <c r="BU374">
        <v>1</v>
      </c>
      <c r="BV374">
        <v>1</v>
      </c>
      <c r="BW374">
        <v>1</v>
      </c>
      <c r="BX374">
        <v>1</v>
      </c>
      <c r="BY374" t="s">
        <v>3</v>
      </c>
      <c r="BZ374">
        <v>70</v>
      </c>
      <c r="CA374">
        <v>10</v>
      </c>
      <c r="CE374">
        <v>0</v>
      </c>
      <c r="CF374">
        <v>0</v>
      </c>
      <c r="CG374">
        <v>0</v>
      </c>
      <c r="CM374">
        <v>0</v>
      </c>
      <c r="CN374" t="s">
        <v>3</v>
      </c>
      <c r="CO374">
        <v>0</v>
      </c>
      <c r="CP374">
        <f t="shared" si="296"/>
        <v>1078.71</v>
      </c>
      <c r="CQ374">
        <f t="shared" si="297"/>
        <v>0</v>
      </c>
      <c r="CR374">
        <f t="shared" si="298"/>
        <v>0</v>
      </c>
      <c r="CS374">
        <f t="shared" si="299"/>
        <v>0</v>
      </c>
      <c r="CT374">
        <f t="shared" si="300"/>
        <v>39952.26</v>
      </c>
      <c r="CU374">
        <f t="shared" si="301"/>
        <v>0</v>
      </c>
      <c r="CV374">
        <f t="shared" si="302"/>
        <v>221.6</v>
      </c>
      <c r="CW374">
        <f t="shared" si="303"/>
        <v>0</v>
      </c>
      <c r="CX374">
        <f t="shared" si="304"/>
        <v>0</v>
      </c>
      <c r="CY374">
        <f t="shared" si="305"/>
        <v>755.09699999999998</v>
      </c>
      <c r="CZ374">
        <f t="shared" si="306"/>
        <v>107.87100000000001</v>
      </c>
      <c r="DC374" t="s">
        <v>3</v>
      </c>
      <c r="DD374" t="s">
        <v>3</v>
      </c>
      <c r="DE374" t="s">
        <v>3</v>
      </c>
      <c r="DF374" t="s">
        <v>3</v>
      </c>
      <c r="DG374" t="s">
        <v>3</v>
      </c>
      <c r="DH374" t="s">
        <v>3</v>
      </c>
      <c r="DI374" t="s">
        <v>3</v>
      </c>
      <c r="DJ374" t="s">
        <v>3</v>
      </c>
      <c r="DK374" t="s">
        <v>3</v>
      </c>
      <c r="DL374" t="s">
        <v>3</v>
      </c>
      <c r="DM374" t="s">
        <v>3</v>
      </c>
      <c r="DN374">
        <v>0</v>
      </c>
      <c r="DO374">
        <v>0</v>
      </c>
      <c r="DP374">
        <v>1</v>
      </c>
      <c r="DQ374">
        <v>1</v>
      </c>
      <c r="DU374">
        <v>1007</v>
      </c>
      <c r="DV374" t="s">
        <v>187</v>
      </c>
      <c r="DW374" t="s">
        <v>187</v>
      </c>
      <c r="DX374">
        <v>100</v>
      </c>
      <c r="EE374">
        <v>38628631</v>
      </c>
      <c r="EF374">
        <v>1</v>
      </c>
      <c r="EG374" t="s">
        <v>24</v>
      </c>
      <c r="EH374">
        <v>0</v>
      </c>
      <c r="EI374" t="s">
        <v>3</v>
      </c>
      <c r="EJ374">
        <v>4</v>
      </c>
      <c r="EK374">
        <v>0</v>
      </c>
      <c r="EL374" t="s">
        <v>25</v>
      </c>
      <c r="EM374" t="s">
        <v>26</v>
      </c>
      <c r="EO374" t="s">
        <v>3</v>
      </c>
      <c r="EQ374">
        <v>0</v>
      </c>
      <c r="ER374">
        <v>39952.26</v>
      </c>
      <c r="ES374">
        <v>0</v>
      </c>
      <c r="ET374">
        <v>0</v>
      </c>
      <c r="EU374">
        <v>0</v>
      </c>
      <c r="EV374">
        <v>39952.26</v>
      </c>
      <c r="EW374">
        <v>221.6</v>
      </c>
      <c r="EX374">
        <v>0</v>
      </c>
      <c r="EY374">
        <v>0</v>
      </c>
      <c r="FQ374">
        <v>0</v>
      </c>
      <c r="FR374">
        <f t="shared" si="307"/>
        <v>0</v>
      </c>
      <c r="FS374">
        <v>0</v>
      </c>
      <c r="FX374">
        <v>70</v>
      </c>
      <c r="FY374">
        <v>10</v>
      </c>
      <c r="GA374" t="s">
        <v>3</v>
      </c>
      <c r="GD374">
        <v>0</v>
      </c>
      <c r="GF374">
        <v>-1026881037</v>
      </c>
      <c r="GG374">
        <v>2</v>
      </c>
      <c r="GH374">
        <v>1</v>
      </c>
      <c r="GI374">
        <v>-2</v>
      </c>
      <c r="GJ374">
        <v>0</v>
      </c>
      <c r="GK374">
        <f>ROUND(R374*(R12)/100,2)</f>
        <v>0</v>
      </c>
      <c r="GL374">
        <f t="shared" si="308"/>
        <v>0</v>
      </c>
      <c r="GM374">
        <f>ROUND(O374+X374+Y374+GK374,2)+GX374</f>
        <v>1941.68</v>
      </c>
      <c r="GN374">
        <f>IF(OR(BI374=0,BI374=1),ROUND(O374+X374+Y374+GK374,2),0)</f>
        <v>0</v>
      </c>
      <c r="GO374">
        <f>IF(BI374=2,ROUND(O374+X374+Y374+GK374,2),0)</f>
        <v>0</v>
      </c>
      <c r="GP374">
        <f>IF(BI374=4,ROUND(O374+X374+Y374+GK374,2)+GX374,0)</f>
        <v>1941.68</v>
      </c>
      <c r="GR374">
        <v>0</v>
      </c>
      <c r="GS374">
        <v>3</v>
      </c>
      <c r="GT374">
        <v>0</v>
      </c>
      <c r="GU374" t="s">
        <v>3</v>
      </c>
      <c r="GV374">
        <f t="shared" si="309"/>
        <v>0</v>
      </c>
      <c r="GW374">
        <v>1</v>
      </c>
      <c r="GX374">
        <f t="shared" si="310"/>
        <v>0</v>
      </c>
      <c r="HA374">
        <v>0</v>
      </c>
      <c r="HB374">
        <v>0</v>
      </c>
      <c r="HC374">
        <f t="shared" si="311"/>
        <v>0</v>
      </c>
      <c r="HE374" t="s">
        <v>3</v>
      </c>
      <c r="HF374" t="s">
        <v>3</v>
      </c>
      <c r="IK374">
        <v>0</v>
      </c>
    </row>
    <row r="375" spans="1:245" x14ac:dyDescent="0.2">
      <c r="A375">
        <v>17</v>
      </c>
      <c r="B375">
        <v>1</v>
      </c>
      <c r="C375">
        <f>ROW(SmtRes!A104)</f>
        <v>104</v>
      </c>
      <c r="D375">
        <f>ROW(EtalonRes!A101)</f>
        <v>101</v>
      </c>
      <c r="E375" t="s">
        <v>258</v>
      </c>
      <c r="F375" t="s">
        <v>194</v>
      </c>
      <c r="G375" t="s">
        <v>195</v>
      </c>
      <c r="H375" t="s">
        <v>30</v>
      </c>
      <c r="I375">
        <f>ROUND((((I373+I374)*10)*0.6)*0.75,9)</f>
        <v>1.2150000000000001</v>
      </c>
      <c r="J375">
        <v>0</v>
      </c>
      <c r="O375">
        <f t="shared" si="278"/>
        <v>94.72</v>
      </c>
      <c r="P375">
        <f t="shared" si="279"/>
        <v>0</v>
      </c>
      <c r="Q375">
        <f t="shared" si="280"/>
        <v>94.72</v>
      </c>
      <c r="R375">
        <f t="shared" si="281"/>
        <v>29.88</v>
      </c>
      <c r="S375">
        <f t="shared" si="282"/>
        <v>0</v>
      </c>
      <c r="T375">
        <f t="shared" si="283"/>
        <v>0</v>
      </c>
      <c r="U375">
        <f t="shared" si="284"/>
        <v>0</v>
      </c>
      <c r="V375">
        <f t="shared" si="285"/>
        <v>0</v>
      </c>
      <c r="W375">
        <f t="shared" si="286"/>
        <v>0</v>
      </c>
      <c r="X375">
        <f t="shared" si="287"/>
        <v>0</v>
      </c>
      <c r="Y375">
        <f t="shared" si="288"/>
        <v>0</v>
      </c>
      <c r="AA375">
        <v>38214492</v>
      </c>
      <c r="AB375">
        <f t="shared" si="289"/>
        <v>77.959999999999994</v>
      </c>
      <c r="AC375">
        <f t="shared" si="290"/>
        <v>0</v>
      </c>
      <c r="AD375">
        <f t="shared" si="291"/>
        <v>77.959999999999994</v>
      </c>
      <c r="AE375">
        <f t="shared" si="292"/>
        <v>24.59</v>
      </c>
      <c r="AF375">
        <f t="shared" si="292"/>
        <v>0</v>
      </c>
      <c r="AG375">
        <f t="shared" si="293"/>
        <v>0</v>
      </c>
      <c r="AH375">
        <f t="shared" si="294"/>
        <v>0</v>
      </c>
      <c r="AI375">
        <f t="shared" si="294"/>
        <v>0</v>
      </c>
      <c r="AJ375">
        <f t="shared" si="295"/>
        <v>0</v>
      </c>
      <c r="AK375">
        <v>77.959999999999994</v>
      </c>
      <c r="AL375">
        <v>0</v>
      </c>
      <c r="AM375">
        <v>77.959999999999994</v>
      </c>
      <c r="AN375">
        <v>24.59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70</v>
      </c>
      <c r="AU375">
        <v>10</v>
      </c>
      <c r="AV375">
        <v>1</v>
      </c>
      <c r="AW375">
        <v>1</v>
      </c>
      <c r="AZ375">
        <v>1</v>
      </c>
      <c r="BA375">
        <v>1</v>
      </c>
      <c r="BB375">
        <v>1</v>
      </c>
      <c r="BC375">
        <v>1</v>
      </c>
      <c r="BD375" t="s">
        <v>3</v>
      </c>
      <c r="BE375" t="s">
        <v>3</v>
      </c>
      <c r="BF375" t="s">
        <v>3</v>
      </c>
      <c r="BG375" t="s">
        <v>3</v>
      </c>
      <c r="BH375">
        <v>0</v>
      </c>
      <c r="BI375">
        <v>4</v>
      </c>
      <c r="BJ375" t="s">
        <v>196</v>
      </c>
      <c r="BM375">
        <v>0</v>
      </c>
      <c r="BN375">
        <v>0</v>
      </c>
      <c r="BO375" t="s">
        <v>3</v>
      </c>
      <c r="BP375">
        <v>0</v>
      </c>
      <c r="BQ375">
        <v>1</v>
      </c>
      <c r="BR375">
        <v>0</v>
      </c>
      <c r="BS375">
        <v>1</v>
      </c>
      <c r="BT375">
        <v>1</v>
      </c>
      <c r="BU375">
        <v>1</v>
      </c>
      <c r="BV375">
        <v>1</v>
      </c>
      <c r="BW375">
        <v>1</v>
      </c>
      <c r="BX375">
        <v>1</v>
      </c>
      <c r="BY375" t="s">
        <v>3</v>
      </c>
      <c r="BZ375">
        <v>70</v>
      </c>
      <c r="CA375">
        <v>10</v>
      </c>
      <c r="CE375">
        <v>0</v>
      </c>
      <c r="CF375">
        <v>0</v>
      </c>
      <c r="CG375">
        <v>0</v>
      </c>
      <c r="CM375">
        <v>0</v>
      </c>
      <c r="CN375" t="s">
        <v>3</v>
      </c>
      <c r="CO375">
        <v>0</v>
      </c>
      <c r="CP375">
        <f t="shared" si="296"/>
        <v>94.72</v>
      </c>
      <c r="CQ375">
        <f t="shared" si="297"/>
        <v>0</v>
      </c>
      <c r="CR375">
        <f t="shared" si="298"/>
        <v>77.959999999999994</v>
      </c>
      <c r="CS375">
        <f t="shared" si="299"/>
        <v>24.59</v>
      </c>
      <c r="CT375">
        <f t="shared" si="300"/>
        <v>0</v>
      </c>
      <c r="CU375">
        <f t="shared" si="301"/>
        <v>0</v>
      </c>
      <c r="CV375">
        <f t="shared" si="302"/>
        <v>0</v>
      </c>
      <c r="CW375">
        <f t="shared" si="303"/>
        <v>0</v>
      </c>
      <c r="CX375">
        <f t="shared" si="304"/>
        <v>0</v>
      </c>
      <c r="CY375">
        <f t="shared" si="305"/>
        <v>0</v>
      </c>
      <c r="CZ375">
        <f t="shared" si="306"/>
        <v>0</v>
      </c>
      <c r="DC375" t="s">
        <v>3</v>
      </c>
      <c r="DD375" t="s">
        <v>3</v>
      </c>
      <c r="DE375" t="s">
        <v>3</v>
      </c>
      <c r="DF375" t="s">
        <v>3</v>
      </c>
      <c r="DG375" t="s">
        <v>3</v>
      </c>
      <c r="DH375" t="s">
        <v>3</v>
      </c>
      <c r="DI375" t="s">
        <v>3</v>
      </c>
      <c r="DJ375" t="s">
        <v>3</v>
      </c>
      <c r="DK375" t="s">
        <v>3</v>
      </c>
      <c r="DL375" t="s">
        <v>3</v>
      </c>
      <c r="DM375" t="s">
        <v>3</v>
      </c>
      <c r="DN375">
        <v>0</v>
      </c>
      <c r="DO375">
        <v>0</v>
      </c>
      <c r="DP375">
        <v>1</v>
      </c>
      <c r="DQ375">
        <v>1</v>
      </c>
      <c r="DU375">
        <v>1009</v>
      </c>
      <c r="DV375" t="s">
        <v>30</v>
      </c>
      <c r="DW375" t="s">
        <v>30</v>
      </c>
      <c r="DX375">
        <v>1000</v>
      </c>
      <c r="EE375">
        <v>38628631</v>
      </c>
      <c r="EF375">
        <v>1</v>
      </c>
      <c r="EG375" t="s">
        <v>24</v>
      </c>
      <c r="EH375">
        <v>0</v>
      </c>
      <c r="EI375" t="s">
        <v>3</v>
      </c>
      <c r="EJ375">
        <v>4</v>
      </c>
      <c r="EK375">
        <v>0</v>
      </c>
      <c r="EL375" t="s">
        <v>25</v>
      </c>
      <c r="EM375" t="s">
        <v>26</v>
      </c>
      <c r="EO375" t="s">
        <v>3</v>
      </c>
      <c r="EQ375">
        <v>0</v>
      </c>
      <c r="ER375">
        <v>77.959999999999994</v>
      </c>
      <c r="ES375">
        <v>0</v>
      </c>
      <c r="ET375">
        <v>77.959999999999994</v>
      </c>
      <c r="EU375">
        <v>24.59</v>
      </c>
      <c r="EV375">
        <v>0</v>
      </c>
      <c r="EW375">
        <v>0</v>
      </c>
      <c r="EX375">
        <v>0</v>
      </c>
      <c r="EY375">
        <v>0</v>
      </c>
      <c r="FQ375">
        <v>0</v>
      </c>
      <c r="FR375">
        <f t="shared" si="307"/>
        <v>0</v>
      </c>
      <c r="FS375">
        <v>0</v>
      </c>
      <c r="FX375">
        <v>70</v>
      </c>
      <c r="FY375">
        <v>10</v>
      </c>
      <c r="GA375" t="s">
        <v>3</v>
      </c>
      <c r="GD375">
        <v>0</v>
      </c>
      <c r="GF375">
        <v>-621992786</v>
      </c>
      <c r="GG375">
        <v>2</v>
      </c>
      <c r="GH375">
        <v>1</v>
      </c>
      <c r="GI375">
        <v>-2</v>
      </c>
      <c r="GJ375">
        <v>0</v>
      </c>
      <c r="GK375">
        <f>ROUND(R375*(R12)/100,2)</f>
        <v>32.270000000000003</v>
      </c>
      <c r="GL375">
        <f t="shared" si="308"/>
        <v>0</v>
      </c>
      <c r="GM375">
        <f>ROUND(O375+X375+Y375+GK375,2)+GX375</f>
        <v>126.99</v>
      </c>
      <c r="GN375">
        <f>IF(OR(BI375=0,BI375=1),ROUND(O375+X375+Y375+GK375,2),0)</f>
        <v>0</v>
      </c>
      <c r="GO375">
        <f>IF(BI375=2,ROUND(O375+X375+Y375+GK375,2),0)</f>
        <v>0</v>
      </c>
      <c r="GP375">
        <f>IF(BI375=4,ROUND(O375+X375+Y375+GK375,2)+GX375,0)</f>
        <v>126.99</v>
      </c>
      <c r="GR375">
        <v>0</v>
      </c>
      <c r="GS375">
        <v>3</v>
      </c>
      <c r="GT375">
        <v>0</v>
      </c>
      <c r="GU375" t="s">
        <v>3</v>
      </c>
      <c r="GV375">
        <f t="shared" si="309"/>
        <v>0</v>
      </c>
      <c r="GW375">
        <v>1</v>
      </c>
      <c r="GX375">
        <f t="shared" si="310"/>
        <v>0</v>
      </c>
      <c r="HA375">
        <v>0</v>
      </c>
      <c r="HB375">
        <v>0</v>
      </c>
      <c r="HC375">
        <f t="shared" si="311"/>
        <v>0</v>
      </c>
      <c r="HE375" t="s">
        <v>3</v>
      </c>
      <c r="HF375" t="s">
        <v>3</v>
      </c>
      <c r="IK375">
        <v>0</v>
      </c>
    </row>
    <row r="376" spans="1:245" x14ac:dyDescent="0.2">
      <c r="A376">
        <v>17</v>
      </c>
      <c r="B376">
        <v>1</v>
      </c>
      <c r="C376">
        <f>ROW(SmtRes!A105)</f>
        <v>105</v>
      </c>
      <c r="D376">
        <f>ROW(EtalonRes!A102)</f>
        <v>102</v>
      </c>
      <c r="E376" t="s">
        <v>259</v>
      </c>
      <c r="F376" t="s">
        <v>35</v>
      </c>
      <c r="G376" t="s">
        <v>36</v>
      </c>
      <c r="H376" t="s">
        <v>30</v>
      </c>
      <c r="I376">
        <f>ROUND((((I374+I373)*10)*0.6)*0.25,9)</f>
        <v>0.40500000000000003</v>
      </c>
      <c r="J376">
        <v>0</v>
      </c>
      <c r="O376">
        <f t="shared" si="278"/>
        <v>48.47</v>
      </c>
      <c r="P376">
        <f t="shared" si="279"/>
        <v>0</v>
      </c>
      <c r="Q376">
        <f t="shared" si="280"/>
        <v>0</v>
      </c>
      <c r="R376">
        <f t="shared" si="281"/>
        <v>0</v>
      </c>
      <c r="S376">
        <f t="shared" si="282"/>
        <v>48.47</v>
      </c>
      <c r="T376">
        <f t="shared" si="283"/>
        <v>0</v>
      </c>
      <c r="U376">
        <f t="shared" si="284"/>
        <v>0.41310000000000002</v>
      </c>
      <c r="V376">
        <f t="shared" si="285"/>
        <v>0</v>
      </c>
      <c r="W376">
        <f t="shared" si="286"/>
        <v>0</v>
      </c>
      <c r="X376">
        <f t="shared" si="287"/>
        <v>33.93</v>
      </c>
      <c r="Y376">
        <f t="shared" si="288"/>
        <v>4.8499999999999996</v>
      </c>
      <c r="AA376">
        <v>38214492</v>
      </c>
      <c r="AB376">
        <f t="shared" si="289"/>
        <v>119.69</v>
      </c>
      <c r="AC376">
        <f t="shared" si="290"/>
        <v>0</v>
      </c>
      <c r="AD376">
        <f t="shared" si="291"/>
        <v>0</v>
      </c>
      <c r="AE376">
        <f t="shared" si="292"/>
        <v>0</v>
      </c>
      <c r="AF376">
        <f t="shared" si="292"/>
        <v>119.69</v>
      </c>
      <c r="AG376">
        <f t="shared" si="293"/>
        <v>0</v>
      </c>
      <c r="AH376">
        <f t="shared" si="294"/>
        <v>1.02</v>
      </c>
      <c r="AI376">
        <f t="shared" si="294"/>
        <v>0</v>
      </c>
      <c r="AJ376">
        <f t="shared" si="295"/>
        <v>0</v>
      </c>
      <c r="AK376">
        <v>119.69</v>
      </c>
      <c r="AL376">
        <v>0</v>
      </c>
      <c r="AM376">
        <v>0</v>
      </c>
      <c r="AN376">
        <v>0</v>
      </c>
      <c r="AO376">
        <v>119.69</v>
      </c>
      <c r="AP376">
        <v>0</v>
      </c>
      <c r="AQ376">
        <v>1.02</v>
      </c>
      <c r="AR376">
        <v>0</v>
      </c>
      <c r="AS376">
        <v>0</v>
      </c>
      <c r="AT376">
        <v>70</v>
      </c>
      <c r="AU376">
        <v>10</v>
      </c>
      <c r="AV376">
        <v>1</v>
      </c>
      <c r="AW376">
        <v>1</v>
      </c>
      <c r="AZ376">
        <v>1</v>
      </c>
      <c r="BA376">
        <v>1</v>
      </c>
      <c r="BB376">
        <v>1</v>
      </c>
      <c r="BC376">
        <v>1</v>
      </c>
      <c r="BD376" t="s">
        <v>3</v>
      </c>
      <c r="BE376" t="s">
        <v>3</v>
      </c>
      <c r="BF376" t="s">
        <v>3</v>
      </c>
      <c r="BG376" t="s">
        <v>3</v>
      </c>
      <c r="BH376">
        <v>0</v>
      </c>
      <c r="BI376">
        <v>4</v>
      </c>
      <c r="BJ376" t="s">
        <v>37</v>
      </c>
      <c r="BM376">
        <v>0</v>
      </c>
      <c r="BN376">
        <v>0</v>
      </c>
      <c r="BO376" t="s">
        <v>3</v>
      </c>
      <c r="BP376">
        <v>0</v>
      </c>
      <c r="BQ376">
        <v>1</v>
      </c>
      <c r="BR376">
        <v>0</v>
      </c>
      <c r="BS376">
        <v>1</v>
      </c>
      <c r="BT376">
        <v>1</v>
      </c>
      <c r="BU376">
        <v>1</v>
      </c>
      <c r="BV376">
        <v>1</v>
      </c>
      <c r="BW376">
        <v>1</v>
      </c>
      <c r="BX376">
        <v>1</v>
      </c>
      <c r="BY376" t="s">
        <v>3</v>
      </c>
      <c r="BZ376">
        <v>70</v>
      </c>
      <c r="CA376">
        <v>10</v>
      </c>
      <c r="CE376">
        <v>0</v>
      </c>
      <c r="CF376">
        <v>0</v>
      </c>
      <c r="CG376">
        <v>0</v>
      </c>
      <c r="CM376">
        <v>0</v>
      </c>
      <c r="CN376" t="s">
        <v>3</v>
      </c>
      <c r="CO376">
        <v>0</v>
      </c>
      <c r="CP376">
        <f t="shared" si="296"/>
        <v>48.47</v>
      </c>
      <c r="CQ376">
        <f t="shared" si="297"/>
        <v>0</v>
      </c>
      <c r="CR376">
        <f t="shared" si="298"/>
        <v>0</v>
      </c>
      <c r="CS376">
        <f t="shared" si="299"/>
        <v>0</v>
      </c>
      <c r="CT376">
        <f t="shared" si="300"/>
        <v>119.69</v>
      </c>
      <c r="CU376">
        <f t="shared" si="301"/>
        <v>0</v>
      </c>
      <c r="CV376">
        <f t="shared" si="302"/>
        <v>1.02</v>
      </c>
      <c r="CW376">
        <f t="shared" si="303"/>
        <v>0</v>
      </c>
      <c r="CX376">
        <f t="shared" si="304"/>
        <v>0</v>
      </c>
      <c r="CY376">
        <f t="shared" si="305"/>
        <v>33.929000000000002</v>
      </c>
      <c r="CZ376">
        <f t="shared" si="306"/>
        <v>4.8469999999999995</v>
      </c>
      <c r="DC376" t="s">
        <v>3</v>
      </c>
      <c r="DD376" t="s">
        <v>3</v>
      </c>
      <c r="DE376" t="s">
        <v>3</v>
      </c>
      <c r="DF376" t="s">
        <v>3</v>
      </c>
      <c r="DG376" t="s">
        <v>3</v>
      </c>
      <c r="DH376" t="s">
        <v>3</v>
      </c>
      <c r="DI376" t="s">
        <v>3</v>
      </c>
      <c r="DJ376" t="s">
        <v>3</v>
      </c>
      <c r="DK376" t="s">
        <v>3</v>
      </c>
      <c r="DL376" t="s">
        <v>3</v>
      </c>
      <c r="DM376" t="s">
        <v>3</v>
      </c>
      <c r="DN376">
        <v>0</v>
      </c>
      <c r="DO376">
        <v>0</v>
      </c>
      <c r="DP376">
        <v>1</v>
      </c>
      <c r="DQ376">
        <v>1</v>
      </c>
      <c r="DU376">
        <v>1009</v>
      </c>
      <c r="DV376" t="s">
        <v>30</v>
      </c>
      <c r="DW376" t="s">
        <v>30</v>
      </c>
      <c r="DX376">
        <v>1000</v>
      </c>
      <c r="EE376">
        <v>38628631</v>
      </c>
      <c r="EF376">
        <v>1</v>
      </c>
      <c r="EG376" t="s">
        <v>24</v>
      </c>
      <c r="EH376">
        <v>0</v>
      </c>
      <c r="EI376" t="s">
        <v>3</v>
      </c>
      <c r="EJ376">
        <v>4</v>
      </c>
      <c r="EK376">
        <v>0</v>
      </c>
      <c r="EL376" t="s">
        <v>25</v>
      </c>
      <c r="EM376" t="s">
        <v>26</v>
      </c>
      <c r="EO376" t="s">
        <v>3</v>
      </c>
      <c r="EQ376">
        <v>0</v>
      </c>
      <c r="ER376">
        <v>119.69</v>
      </c>
      <c r="ES376">
        <v>0</v>
      </c>
      <c r="ET376">
        <v>0</v>
      </c>
      <c r="EU376">
        <v>0</v>
      </c>
      <c r="EV376">
        <v>119.69</v>
      </c>
      <c r="EW376">
        <v>1.02</v>
      </c>
      <c r="EX376">
        <v>0</v>
      </c>
      <c r="EY376">
        <v>0</v>
      </c>
      <c r="FQ376">
        <v>0</v>
      </c>
      <c r="FR376">
        <f t="shared" si="307"/>
        <v>0</v>
      </c>
      <c r="FS376">
        <v>0</v>
      </c>
      <c r="FX376">
        <v>70</v>
      </c>
      <c r="FY376">
        <v>10</v>
      </c>
      <c r="GA376" t="s">
        <v>3</v>
      </c>
      <c r="GD376">
        <v>0</v>
      </c>
      <c r="GF376">
        <v>1555540630</v>
      </c>
      <c r="GG376">
        <v>2</v>
      </c>
      <c r="GH376">
        <v>1</v>
      </c>
      <c r="GI376">
        <v>-2</v>
      </c>
      <c r="GJ376">
        <v>0</v>
      </c>
      <c r="GK376">
        <f>ROUND(R376*(R12)/100,2)</f>
        <v>0</v>
      </c>
      <c r="GL376">
        <f t="shared" si="308"/>
        <v>0</v>
      </c>
      <c r="GM376">
        <f>ROUND(O376+X376+Y376+GK376,2)+GX376</f>
        <v>87.25</v>
      </c>
      <c r="GN376">
        <f>IF(OR(BI376=0,BI376=1),ROUND(O376+X376+Y376+GK376,2),0)</f>
        <v>0</v>
      </c>
      <c r="GO376">
        <f>IF(BI376=2,ROUND(O376+X376+Y376+GK376,2),0)</f>
        <v>0</v>
      </c>
      <c r="GP376">
        <f>IF(BI376=4,ROUND(O376+X376+Y376+GK376,2)+GX376,0)</f>
        <v>87.25</v>
      </c>
      <c r="GR376">
        <v>0</v>
      </c>
      <c r="GS376">
        <v>3</v>
      </c>
      <c r="GT376">
        <v>0</v>
      </c>
      <c r="GU376" t="s">
        <v>3</v>
      </c>
      <c r="GV376">
        <f t="shared" si="309"/>
        <v>0</v>
      </c>
      <c r="GW376">
        <v>1</v>
      </c>
      <c r="GX376">
        <f t="shared" si="310"/>
        <v>0</v>
      </c>
      <c r="HA376">
        <v>0</v>
      </c>
      <c r="HB376">
        <v>0</v>
      </c>
      <c r="HC376">
        <f t="shared" si="311"/>
        <v>0</v>
      </c>
      <c r="HE376" t="s">
        <v>3</v>
      </c>
      <c r="HF376" t="s">
        <v>3</v>
      </c>
      <c r="IK376">
        <v>0</v>
      </c>
    </row>
    <row r="377" spans="1:245" x14ac:dyDescent="0.2">
      <c r="A377">
        <v>17</v>
      </c>
      <c r="B377">
        <v>1</v>
      </c>
      <c r="C377">
        <f>ROW(SmtRes!A107)</f>
        <v>107</v>
      </c>
      <c r="D377">
        <f>ROW(EtalonRes!A104)</f>
        <v>104</v>
      </c>
      <c r="E377" t="s">
        <v>260</v>
      </c>
      <c r="F377" t="s">
        <v>39</v>
      </c>
      <c r="G377" t="s">
        <v>40</v>
      </c>
      <c r="H377" t="s">
        <v>30</v>
      </c>
      <c r="I377">
        <f>ROUND(I375,9)</f>
        <v>1.2150000000000001</v>
      </c>
      <c r="J377">
        <v>0</v>
      </c>
      <c r="O377">
        <f t="shared" si="278"/>
        <v>75.94</v>
      </c>
      <c r="P377">
        <f t="shared" si="279"/>
        <v>0</v>
      </c>
      <c r="Q377">
        <f t="shared" si="280"/>
        <v>75.94</v>
      </c>
      <c r="R377">
        <f t="shared" si="281"/>
        <v>44.98</v>
      </c>
      <c r="S377">
        <f t="shared" si="282"/>
        <v>0</v>
      </c>
      <c r="T377">
        <f t="shared" si="283"/>
        <v>0</v>
      </c>
      <c r="U377">
        <f t="shared" si="284"/>
        <v>0</v>
      </c>
      <c r="V377">
        <f t="shared" si="285"/>
        <v>0</v>
      </c>
      <c r="W377">
        <f t="shared" si="286"/>
        <v>0</v>
      </c>
      <c r="X377">
        <f t="shared" si="287"/>
        <v>0</v>
      </c>
      <c r="Y377">
        <f t="shared" si="288"/>
        <v>0</v>
      </c>
      <c r="AA377">
        <v>38214492</v>
      </c>
      <c r="AB377">
        <f t="shared" si="289"/>
        <v>62.5</v>
      </c>
      <c r="AC377">
        <f t="shared" si="290"/>
        <v>0</v>
      </c>
      <c r="AD377">
        <f t="shared" si="291"/>
        <v>62.5</v>
      </c>
      <c r="AE377">
        <f t="shared" si="292"/>
        <v>37.020000000000003</v>
      </c>
      <c r="AF377">
        <f t="shared" si="292"/>
        <v>0</v>
      </c>
      <c r="AG377">
        <f t="shared" si="293"/>
        <v>0</v>
      </c>
      <c r="AH377">
        <f t="shared" si="294"/>
        <v>0</v>
      </c>
      <c r="AI377">
        <f t="shared" si="294"/>
        <v>0</v>
      </c>
      <c r="AJ377">
        <f t="shared" si="295"/>
        <v>0</v>
      </c>
      <c r="AK377">
        <v>62.5</v>
      </c>
      <c r="AL377">
        <v>0</v>
      </c>
      <c r="AM377">
        <v>62.5</v>
      </c>
      <c r="AN377">
        <v>37.020000000000003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1</v>
      </c>
      <c r="AW377">
        <v>1</v>
      </c>
      <c r="AZ377">
        <v>1</v>
      </c>
      <c r="BA377">
        <v>1</v>
      </c>
      <c r="BB377">
        <v>1</v>
      </c>
      <c r="BC377">
        <v>1</v>
      </c>
      <c r="BD377" t="s">
        <v>3</v>
      </c>
      <c r="BE377" t="s">
        <v>3</v>
      </c>
      <c r="BF377" t="s">
        <v>3</v>
      </c>
      <c r="BG377" t="s">
        <v>3</v>
      </c>
      <c r="BH377">
        <v>0</v>
      </c>
      <c r="BI377">
        <v>4</v>
      </c>
      <c r="BJ377" t="s">
        <v>41</v>
      </c>
      <c r="BM377">
        <v>1</v>
      </c>
      <c r="BN377">
        <v>0</v>
      </c>
      <c r="BO377" t="s">
        <v>3</v>
      </c>
      <c r="BP377">
        <v>0</v>
      </c>
      <c r="BQ377">
        <v>1</v>
      </c>
      <c r="BR377">
        <v>0</v>
      </c>
      <c r="BS377">
        <v>1</v>
      </c>
      <c r="BT377">
        <v>1</v>
      </c>
      <c r="BU377">
        <v>1</v>
      </c>
      <c r="BV377">
        <v>1</v>
      </c>
      <c r="BW377">
        <v>1</v>
      </c>
      <c r="BX377">
        <v>1</v>
      </c>
      <c r="BY377" t="s">
        <v>3</v>
      </c>
      <c r="BZ377">
        <v>0</v>
      </c>
      <c r="CA377">
        <v>0</v>
      </c>
      <c r="CE377">
        <v>0</v>
      </c>
      <c r="CF377">
        <v>0</v>
      </c>
      <c r="CG377">
        <v>0</v>
      </c>
      <c r="CM377">
        <v>0</v>
      </c>
      <c r="CN377" t="s">
        <v>3</v>
      </c>
      <c r="CO377">
        <v>0</v>
      </c>
      <c r="CP377">
        <f t="shared" si="296"/>
        <v>75.94</v>
      </c>
      <c r="CQ377">
        <f t="shared" si="297"/>
        <v>0</v>
      </c>
      <c r="CR377">
        <f t="shared" si="298"/>
        <v>62.5</v>
      </c>
      <c r="CS377">
        <f t="shared" si="299"/>
        <v>37.020000000000003</v>
      </c>
      <c r="CT377">
        <f t="shared" si="300"/>
        <v>0</v>
      </c>
      <c r="CU377">
        <f t="shared" si="301"/>
        <v>0</v>
      </c>
      <c r="CV377">
        <f t="shared" si="302"/>
        <v>0</v>
      </c>
      <c r="CW377">
        <f t="shared" si="303"/>
        <v>0</v>
      </c>
      <c r="CX377">
        <f t="shared" si="304"/>
        <v>0</v>
      </c>
      <c r="CY377">
        <f t="shared" si="305"/>
        <v>0</v>
      </c>
      <c r="CZ377">
        <f t="shared" si="306"/>
        <v>0</v>
      </c>
      <c r="DC377" t="s">
        <v>3</v>
      </c>
      <c r="DD377" t="s">
        <v>3</v>
      </c>
      <c r="DE377" t="s">
        <v>3</v>
      </c>
      <c r="DF377" t="s">
        <v>3</v>
      </c>
      <c r="DG377" t="s">
        <v>3</v>
      </c>
      <c r="DH377" t="s">
        <v>3</v>
      </c>
      <c r="DI377" t="s">
        <v>3</v>
      </c>
      <c r="DJ377" t="s">
        <v>3</v>
      </c>
      <c r="DK377" t="s">
        <v>3</v>
      </c>
      <c r="DL377" t="s">
        <v>3</v>
      </c>
      <c r="DM377" t="s">
        <v>3</v>
      </c>
      <c r="DN377">
        <v>0</v>
      </c>
      <c r="DO377">
        <v>0</v>
      </c>
      <c r="DP377">
        <v>1</v>
      </c>
      <c r="DQ377">
        <v>1</v>
      </c>
      <c r="DU377">
        <v>1009</v>
      </c>
      <c r="DV377" t="s">
        <v>30</v>
      </c>
      <c r="DW377" t="s">
        <v>30</v>
      </c>
      <c r="DX377">
        <v>1000</v>
      </c>
      <c r="EE377">
        <v>38628633</v>
      </c>
      <c r="EF377">
        <v>1</v>
      </c>
      <c r="EG377" t="s">
        <v>24</v>
      </c>
      <c r="EH377">
        <v>0</v>
      </c>
      <c r="EI377" t="s">
        <v>3</v>
      </c>
      <c r="EJ377">
        <v>4</v>
      </c>
      <c r="EK377">
        <v>1</v>
      </c>
      <c r="EL377" t="s">
        <v>42</v>
      </c>
      <c r="EM377" t="s">
        <v>26</v>
      </c>
      <c r="EO377" t="s">
        <v>3</v>
      </c>
      <c r="EQ377">
        <v>0</v>
      </c>
      <c r="ER377">
        <v>62.5</v>
      </c>
      <c r="ES377">
        <v>0</v>
      </c>
      <c r="ET377">
        <v>62.5</v>
      </c>
      <c r="EU377">
        <v>37.020000000000003</v>
      </c>
      <c r="EV377">
        <v>0</v>
      </c>
      <c r="EW377">
        <v>0</v>
      </c>
      <c r="EX377">
        <v>0</v>
      </c>
      <c r="EY377">
        <v>0</v>
      </c>
      <c r="FQ377">
        <v>0</v>
      </c>
      <c r="FR377">
        <f t="shared" si="307"/>
        <v>0</v>
      </c>
      <c r="FS377">
        <v>0</v>
      </c>
      <c r="FX377">
        <v>0</v>
      </c>
      <c r="FY377">
        <v>0</v>
      </c>
      <c r="GA377" t="s">
        <v>3</v>
      </c>
      <c r="GD377">
        <v>1</v>
      </c>
      <c r="GF377">
        <v>-283681225</v>
      </c>
      <c r="GG377">
        <v>2</v>
      </c>
      <c r="GH377">
        <v>1</v>
      </c>
      <c r="GI377">
        <v>-2</v>
      </c>
      <c r="GJ377">
        <v>0</v>
      </c>
      <c r="GK377">
        <v>0</v>
      </c>
      <c r="GL377">
        <f t="shared" si="308"/>
        <v>0</v>
      </c>
      <c r="GM377">
        <f>ROUND(O377+X377+Y377,2)+GX377</f>
        <v>75.94</v>
      </c>
      <c r="GN377">
        <f>IF(OR(BI377=0,BI377=1),ROUND(O377+X377+Y377,2),0)</f>
        <v>0</v>
      </c>
      <c r="GO377">
        <f>IF(BI377=2,ROUND(O377+X377+Y377,2),0)</f>
        <v>0</v>
      </c>
      <c r="GP377">
        <f>IF(BI377=4,ROUND(O377+X377+Y377,2)+GX377,0)</f>
        <v>75.94</v>
      </c>
      <c r="GR377">
        <v>0</v>
      </c>
      <c r="GS377">
        <v>3</v>
      </c>
      <c r="GT377">
        <v>0</v>
      </c>
      <c r="GU377" t="s">
        <v>3</v>
      </c>
      <c r="GV377">
        <f t="shared" si="309"/>
        <v>0</v>
      </c>
      <c r="GW377">
        <v>1</v>
      </c>
      <c r="GX377">
        <f t="shared" si="310"/>
        <v>0</v>
      </c>
      <c r="HA377">
        <v>0</v>
      </c>
      <c r="HB377">
        <v>0</v>
      </c>
      <c r="HC377">
        <f t="shared" si="311"/>
        <v>0</v>
      </c>
      <c r="HE377" t="s">
        <v>3</v>
      </c>
      <c r="HF377" t="s">
        <v>3</v>
      </c>
      <c r="IK377">
        <v>0</v>
      </c>
    </row>
    <row r="378" spans="1:245" x14ac:dyDescent="0.2">
      <c r="A378">
        <v>17</v>
      </c>
      <c r="B378">
        <v>1</v>
      </c>
      <c r="C378">
        <f>ROW(SmtRes!A109)</f>
        <v>109</v>
      </c>
      <c r="D378">
        <f>ROW(EtalonRes!A106)</f>
        <v>106</v>
      </c>
      <c r="E378" t="s">
        <v>261</v>
      </c>
      <c r="F378" t="s">
        <v>44</v>
      </c>
      <c r="G378" t="s">
        <v>45</v>
      </c>
      <c r="H378" t="s">
        <v>30</v>
      </c>
      <c r="I378">
        <f>ROUND(I376,9)</f>
        <v>0.40500000000000003</v>
      </c>
      <c r="J378">
        <v>0</v>
      </c>
      <c r="O378">
        <f t="shared" si="278"/>
        <v>72.66</v>
      </c>
      <c r="P378">
        <f t="shared" si="279"/>
        <v>0</v>
      </c>
      <c r="Q378">
        <f t="shared" si="280"/>
        <v>72.66</v>
      </c>
      <c r="R378">
        <f t="shared" si="281"/>
        <v>43.01</v>
      </c>
      <c r="S378">
        <f t="shared" si="282"/>
        <v>0</v>
      </c>
      <c r="T378">
        <f t="shared" si="283"/>
        <v>0</v>
      </c>
      <c r="U378">
        <f t="shared" si="284"/>
        <v>0</v>
      </c>
      <c r="V378">
        <f t="shared" si="285"/>
        <v>0</v>
      </c>
      <c r="W378">
        <f t="shared" si="286"/>
        <v>0</v>
      </c>
      <c r="X378">
        <f t="shared" si="287"/>
        <v>0</v>
      </c>
      <c r="Y378">
        <f t="shared" si="288"/>
        <v>0</v>
      </c>
      <c r="AA378">
        <v>38214492</v>
      </c>
      <c r="AB378">
        <f t="shared" si="289"/>
        <v>179.4</v>
      </c>
      <c r="AC378">
        <f t="shared" si="290"/>
        <v>0</v>
      </c>
      <c r="AD378">
        <f t="shared" si="291"/>
        <v>179.4</v>
      </c>
      <c r="AE378">
        <f t="shared" si="292"/>
        <v>106.2</v>
      </c>
      <c r="AF378">
        <f t="shared" si="292"/>
        <v>0</v>
      </c>
      <c r="AG378">
        <f t="shared" si="293"/>
        <v>0</v>
      </c>
      <c r="AH378">
        <f t="shared" si="294"/>
        <v>0</v>
      </c>
      <c r="AI378">
        <f t="shared" si="294"/>
        <v>0</v>
      </c>
      <c r="AJ378">
        <f t="shared" si="295"/>
        <v>0</v>
      </c>
      <c r="AK378">
        <v>179.4</v>
      </c>
      <c r="AL378">
        <v>0</v>
      </c>
      <c r="AM378">
        <v>179.4</v>
      </c>
      <c r="AN378">
        <v>106.2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1</v>
      </c>
      <c r="AW378">
        <v>1</v>
      </c>
      <c r="AZ378">
        <v>1</v>
      </c>
      <c r="BA378">
        <v>1</v>
      </c>
      <c r="BB378">
        <v>1</v>
      </c>
      <c r="BC378">
        <v>1</v>
      </c>
      <c r="BD378" t="s">
        <v>3</v>
      </c>
      <c r="BE378" t="s">
        <v>3</v>
      </c>
      <c r="BF378" t="s">
        <v>3</v>
      </c>
      <c r="BG378" t="s">
        <v>3</v>
      </c>
      <c r="BH378">
        <v>0</v>
      </c>
      <c r="BI378">
        <v>4</v>
      </c>
      <c r="BJ378" t="s">
        <v>46</v>
      </c>
      <c r="BM378">
        <v>1</v>
      </c>
      <c r="BN378">
        <v>0</v>
      </c>
      <c r="BO378" t="s">
        <v>3</v>
      </c>
      <c r="BP378">
        <v>0</v>
      </c>
      <c r="BQ378">
        <v>1</v>
      </c>
      <c r="BR378">
        <v>0</v>
      </c>
      <c r="BS378">
        <v>1</v>
      </c>
      <c r="BT378">
        <v>1</v>
      </c>
      <c r="BU378">
        <v>1</v>
      </c>
      <c r="BV378">
        <v>1</v>
      </c>
      <c r="BW378">
        <v>1</v>
      </c>
      <c r="BX378">
        <v>1</v>
      </c>
      <c r="BY378" t="s">
        <v>3</v>
      </c>
      <c r="BZ378">
        <v>0</v>
      </c>
      <c r="CA378">
        <v>0</v>
      </c>
      <c r="CE378">
        <v>0</v>
      </c>
      <c r="CF378">
        <v>0</v>
      </c>
      <c r="CG378">
        <v>0</v>
      </c>
      <c r="CM378">
        <v>0</v>
      </c>
      <c r="CN378" t="s">
        <v>3</v>
      </c>
      <c r="CO378">
        <v>0</v>
      </c>
      <c r="CP378">
        <f t="shared" si="296"/>
        <v>72.66</v>
      </c>
      <c r="CQ378">
        <f t="shared" si="297"/>
        <v>0</v>
      </c>
      <c r="CR378">
        <f t="shared" si="298"/>
        <v>179.4</v>
      </c>
      <c r="CS378">
        <f t="shared" si="299"/>
        <v>106.2</v>
      </c>
      <c r="CT378">
        <f t="shared" si="300"/>
        <v>0</v>
      </c>
      <c r="CU378">
        <f t="shared" si="301"/>
        <v>0</v>
      </c>
      <c r="CV378">
        <f t="shared" si="302"/>
        <v>0</v>
      </c>
      <c r="CW378">
        <f t="shared" si="303"/>
        <v>0</v>
      </c>
      <c r="CX378">
        <f t="shared" si="304"/>
        <v>0</v>
      </c>
      <c r="CY378">
        <f t="shared" si="305"/>
        <v>0</v>
      </c>
      <c r="CZ378">
        <f t="shared" si="306"/>
        <v>0</v>
      </c>
      <c r="DC378" t="s">
        <v>3</v>
      </c>
      <c r="DD378" t="s">
        <v>3</v>
      </c>
      <c r="DE378" t="s">
        <v>3</v>
      </c>
      <c r="DF378" t="s">
        <v>3</v>
      </c>
      <c r="DG378" t="s">
        <v>3</v>
      </c>
      <c r="DH378" t="s">
        <v>3</v>
      </c>
      <c r="DI378" t="s">
        <v>3</v>
      </c>
      <c r="DJ378" t="s">
        <v>3</v>
      </c>
      <c r="DK378" t="s">
        <v>3</v>
      </c>
      <c r="DL378" t="s">
        <v>3</v>
      </c>
      <c r="DM378" t="s">
        <v>3</v>
      </c>
      <c r="DN378">
        <v>0</v>
      </c>
      <c r="DO378">
        <v>0</v>
      </c>
      <c r="DP378">
        <v>1</v>
      </c>
      <c r="DQ378">
        <v>1</v>
      </c>
      <c r="DU378">
        <v>1009</v>
      </c>
      <c r="DV378" t="s">
        <v>30</v>
      </c>
      <c r="DW378" t="s">
        <v>30</v>
      </c>
      <c r="DX378">
        <v>1000</v>
      </c>
      <c r="EE378">
        <v>38628633</v>
      </c>
      <c r="EF378">
        <v>1</v>
      </c>
      <c r="EG378" t="s">
        <v>24</v>
      </c>
      <c r="EH378">
        <v>0</v>
      </c>
      <c r="EI378" t="s">
        <v>3</v>
      </c>
      <c r="EJ378">
        <v>4</v>
      </c>
      <c r="EK378">
        <v>1</v>
      </c>
      <c r="EL378" t="s">
        <v>42</v>
      </c>
      <c r="EM378" t="s">
        <v>26</v>
      </c>
      <c r="EO378" t="s">
        <v>3</v>
      </c>
      <c r="EQ378">
        <v>0</v>
      </c>
      <c r="ER378">
        <v>179.4</v>
      </c>
      <c r="ES378">
        <v>0</v>
      </c>
      <c r="ET378">
        <v>179.4</v>
      </c>
      <c r="EU378">
        <v>106.2</v>
      </c>
      <c r="EV378">
        <v>0</v>
      </c>
      <c r="EW378">
        <v>0</v>
      </c>
      <c r="EX378">
        <v>0</v>
      </c>
      <c r="EY378">
        <v>0</v>
      </c>
      <c r="FQ378">
        <v>0</v>
      </c>
      <c r="FR378">
        <f t="shared" si="307"/>
        <v>0</v>
      </c>
      <c r="FS378">
        <v>0</v>
      </c>
      <c r="FX378">
        <v>0</v>
      </c>
      <c r="FY378">
        <v>0</v>
      </c>
      <c r="GA378" t="s">
        <v>3</v>
      </c>
      <c r="GD378">
        <v>1</v>
      </c>
      <c r="GF378">
        <v>1779235029</v>
      </c>
      <c r="GG378">
        <v>2</v>
      </c>
      <c r="GH378">
        <v>1</v>
      </c>
      <c r="GI378">
        <v>-2</v>
      </c>
      <c r="GJ378">
        <v>0</v>
      </c>
      <c r="GK378">
        <v>0</v>
      </c>
      <c r="GL378">
        <f t="shared" si="308"/>
        <v>0</v>
      </c>
      <c r="GM378">
        <f>ROUND(O378+X378+Y378,2)+GX378</f>
        <v>72.66</v>
      </c>
      <c r="GN378">
        <f>IF(OR(BI378=0,BI378=1),ROUND(O378+X378+Y378,2),0)</f>
        <v>0</v>
      </c>
      <c r="GO378">
        <f>IF(BI378=2,ROUND(O378+X378+Y378,2),0)</f>
        <v>0</v>
      </c>
      <c r="GP378">
        <f>IF(BI378=4,ROUND(O378+X378+Y378,2)+GX378,0)</f>
        <v>72.66</v>
      </c>
      <c r="GR378">
        <v>0</v>
      </c>
      <c r="GS378">
        <v>3</v>
      </c>
      <c r="GT378">
        <v>0</v>
      </c>
      <c r="GU378" t="s">
        <v>3</v>
      </c>
      <c r="GV378">
        <f t="shared" si="309"/>
        <v>0</v>
      </c>
      <c r="GW378">
        <v>1</v>
      </c>
      <c r="GX378">
        <f t="shared" si="310"/>
        <v>0</v>
      </c>
      <c r="HA378">
        <v>0</v>
      </c>
      <c r="HB378">
        <v>0</v>
      </c>
      <c r="HC378">
        <f t="shared" si="311"/>
        <v>0</v>
      </c>
      <c r="HE378" t="s">
        <v>3</v>
      </c>
      <c r="HF378" t="s">
        <v>3</v>
      </c>
      <c r="IK378">
        <v>0</v>
      </c>
    </row>
    <row r="379" spans="1:245" x14ac:dyDescent="0.2">
      <c r="A379">
        <v>17</v>
      </c>
      <c r="B379">
        <v>1</v>
      </c>
      <c r="C379">
        <f>ROW(SmtRes!A111)</f>
        <v>111</v>
      </c>
      <c r="D379">
        <f>ROW(EtalonRes!A108)</f>
        <v>108</v>
      </c>
      <c r="E379" t="s">
        <v>262</v>
      </c>
      <c r="F379" t="s">
        <v>48</v>
      </c>
      <c r="G379" t="s">
        <v>49</v>
      </c>
      <c r="H379" t="s">
        <v>30</v>
      </c>
      <c r="I379">
        <f>ROUND(I377+I378,9)</f>
        <v>1.62</v>
      </c>
      <c r="J379">
        <v>0</v>
      </c>
      <c r="O379">
        <f t="shared" si="278"/>
        <v>766.71</v>
      </c>
      <c r="P379">
        <f t="shared" si="279"/>
        <v>0</v>
      </c>
      <c r="Q379">
        <f t="shared" si="280"/>
        <v>766.71</v>
      </c>
      <c r="R379">
        <f t="shared" si="281"/>
        <v>454.64</v>
      </c>
      <c r="S379">
        <f t="shared" si="282"/>
        <v>0</v>
      </c>
      <c r="T379">
        <f t="shared" si="283"/>
        <v>0</v>
      </c>
      <c r="U379">
        <f t="shared" si="284"/>
        <v>0</v>
      </c>
      <c r="V379">
        <f t="shared" si="285"/>
        <v>0</v>
      </c>
      <c r="W379">
        <f t="shared" si="286"/>
        <v>0</v>
      </c>
      <c r="X379">
        <f t="shared" si="287"/>
        <v>0</v>
      </c>
      <c r="Y379">
        <f t="shared" si="288"/>
        <v>0</v>
      </c>
      <c r="AA379">
        <v>38214492</v>
      </c>
      <c r="AB379">
        <f t="shared" si="289"/>
        <v>473.28</v>
      </c>
      <c r="AC379">
        <f>ROUND(((ES379*16)),6)</f>
        <v>0</v>
      </c>
      <c r="AD379">
        <f>ROUND(((((ET379*16))-((EU379*16)))+AE379),6)</f>
        <v>473.28</v>
      </c>
      <c r="AE379">
        <f>ROUND(((EU379*16)),6)</f>
        <v>280.64</v>
      </c>
      <c r="AF379">
        <f>ROUND(((EV379*16)),6)</f>
        <v>0</v>
      </c>
      <c r="AG379">
        <f t="shared" si="293"/>
        <v>0</v>
      </c>
      <c r="AH379">
        <f>((EW379*16))</f>
        <v>0</v>
      </c>
      <c r="AI379">
        <f>((EX379*16))</f>
        <v>0</v>
      </c>
      <c r="AJ379">
        <f t="shared" si="295"/>
        <v>0</v>
      </c>
      <c r="AK379">
        <v>29.58</v>
      </c>
      <c r="AL379">
        <v>0</v>
      </c>
      <c r="AM379">
        <v>29.58</v>
      </c>
      <c r="AN379">
        <v>17.54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1</v>
      </c>
      <c r="AW379">
        <v>1</v>
      </c>
      <c r="AZ379">
        <v>1</v>
      </c>
      <c r="BA379">
        <v>1</v>
      </c>
      <c r="BB379">
        <v>1</v>
      </c>
      <c r="BC379">
        <v>1</v>
      </c>
      <c r="BD379" t="s">
        <v>3</v>
      </c>
      <c r="BE379" t="s">
        <v>3</v>
      </c>
      <c r="BF379" t="s">
        <v>3</v>
      </c>
      <c r="BG379" t="s">
        <v>3</v>
      </c>
      <c r="BH379">
        <v>0</v>
      </c>
      <c r="BI379">
        <v>4</v>
      </c>
      <c r="BJ379" t="s">
        <v>50</v>
      </c>
      <c r="BM379">
        <v>1</v>
      </c>
      <c r="BN379">
        <v>0</v>
      </c>
      <c r="BO379" t="s">
        <v>3</v>
      </c>
      <c r="BP379">
        <v>0</v>
      </c>
      <c r="BQ379">
        <v>1</v>
      </c>
      <c r="BR379">
        <v>0</v>
      </c>
      <c r="BS379">
        <v>1</v>
      </c>
      <c r="BT379">
        <v>1</v>
      </c>
      <c r="BU379">
        <v>1</v>
      </c>
      <c r="BV379">
        <v>1</v>
      </c>
      <c r="BW379">
        <v>1</v>
      </c>
      <c r="BX379">
        <v>1</v>
      </c>
      <c r="BY379" t="s">
        <v>3</v>
      </c>
      <c r="BZ379">
        <v>0</v>
      </c>
      <c r="CA379">
        <v>0</v>
      </c>
      <c r="CE379">
        <v>0</v>
      </c>
      <c r="CF379">
        <v>0</v>
      </c>
      <c r="CG379">
        <v>0</v>
      </c>
      <c r="CM379">
        <v>0</v>
      </c>
      <c r="CN379" t="s">
        <v>3</v>
      </c>
      <c r="CO379">
        <v>0</v>
      </c>
      <c r="CP379">
        <f t="shared" si="296"/>
        <v>766.71</v>
      </c>
      <c r="CQ379">
        <f t="shared" si="297"/>
        <v>0</v>
      </c>
      <c r="CR379">
        <f>(((((ET379*16))*BB379-((EU379*16))*BS379)+AE379*BS379)*AV379)</f>
        <v>473.28</v>
      </c>
      <c r="CS379">
        <f t="shared" si="299"/>
        <v>280.64</v>
      </c>
      <c r="CT379">
        <f t="shared" si="300"/>
        <v>0</v>
      </c>
      <c r="CU379">
        <f t="shared" si="301"/>
        <v>0</v>
      </c>
      <c r="CV379">
        <f t="shared" si="302"/>
        <v>0</v>
      </c>
      <c r="CW379">
        <f t="shared" si="303"/>
        <v>0</v>
      </c>
      <c r="CX379">
        <f t="shared" si="304"/>
        <v>0</v>
      </c>
      <c r="CY379">
        <f t="shared" si="305"/>
        <v>0</v>
      </c>
      <c r="CZ379">
        <f t="shared" si="306"/>
        <v>0</v>
      </c>
      <c r="DC379" t="s">
        <v>3</v>
      </c>
      <c r="DD379" t="s">
        <v>201</v>
      </c>
      <c r="DE379" t="s">
        <v>201</v>
      </c>
      <c r="DF379" t="s">
        <v>201</v>
      </c>
      <c r="DG379" t="s">
        <v>201</v>
      </c>
      <c r="DH379" t="s">
        <v>3</v>
      </c>
      <c r="DI379" t="s">
        <v>201</v>
      </c>
      <c r="DJ379" t="s">
        <v>201</v>
      </c>
      <c r="DK379" t="s">
        <v>3</v>
      </c>
      <c r="DL379" t="s">
        <v>3</v>
      </c>
      <c r="DM379" t="s">
        <v>3</v>
      </c>
      <c r="DN379">
        <v>0</v>
      </c>
      <c r="DO379">
        <v>0</v>
      </c>
      <c r="DP379">
        <v>1</v>
      </c>
      <c r="DQ379">
        <v>1</v>
      </c>
      <c r="DU379">
        <v>1009</v>
      </c>
      <c r="DV379" t="s">
        <v>30</v>
      </c>
      <c r="DW379" t="s">
        <v>30</v>
      </c>
      <c r="DX379">
        <v>1000</v>
      </c>
      <c r="EE379">
        <v>38628633</v>
      </c>
      <c r="EF379">
        <v>1</v>
      </c>
      <c r="EG379" t="s">
        <v>24</v>
      </c>
      <c r="EH379">
        <v>0</v>
      </c>
      <c r="EI379" t="s">
        <v>3</v>
      </c>
      <c r="EJ379">
        <v>4</v>
      </c>
      <c r="EK379">
        <v>1</v>
      </c>
      <c r="EL379" t="s">
        <v>42</v>
      </c>
      <c r="EM379" t="s">
        <v>26</v>
      </c>
      <c r="EO379" t="s">
        <v>3</v>
      </c>
      <c r="EQ379">
        <v>0</v>
      </c>
      <c r="ER379">
        <v>29.58</v>
      </c>
      <c r="ES379">
        <v>0</v>
      </c>
      <c r="ET379">
        <v>29.58</v>
      </c>
      <c r="EU379">
        <v>17.54</v>
      </c>
      <c r="EV379">
        <v>0</v>
      </c>
      <c r="EW379">
        <v>0</v>
      </c>
      <c r="EX379">
        <v>0</v>
      </c>
      <c r="EY379">
        <v>0</v>
      </c>
      <c r="FQ379">
        <v>0</v>
      </c>
      <c r="FR379">
        <f t="shared" si="307"/>
        <v>0</v>
      </c>
      <c r="FS379">
        <v>0</v>
      </c>
      <c r="FX379">
        <v>0</v>
      </c>
      <c r="FY379">
        <v>0</v>
      </c>
      <c r="GA379" t="s">
        <v>3</v>
      </c>
      <c r="GD379">
        <v>1</v>
      </c>
      <c r="GF379">
        <v>-576512497</v>
      </c>
      <c r="GG379">
        <v>2</v>
      </c>
      <c r="GH379">
        <v>1</v>
      </c>
      <c r="GI379">
        <v>-2</v>
      </c>
      <c r="GJ379">
        <v>0</v>
      </c>
      <c r="GK379">
        <v>0</v>
      </c>
      <c r="GL379">
        <f t="shared" si="308"/>
        <v>0</v>
      </c>
      <c r="GM379">
        <f>ROUND(O379+X379+Y379,2)+GX379</f>
        <v>766.71</v>
      </c>
      <c r="GN379">
        <f>IF(OR(BI379=0,BI379=1),ROUND(O379+X379+Y379,2),0)</f>
        <v>0</v>
      </c>
      <c r="GO379">
        <f>IF(BI379=2,ROUND(O379+X379+Y379,2),0)</f>
        <v>0</v>
      </c>
      <c r="GP379">
        <f>IF(BI379=4,ROUND(O379+X379+Y379,2)+GX379,0)</f>
        <v>766.71</v>
      </c>
      <c r="GR379">
        <v>0</v>
      </c>
      <c r="GS379">
        <v>3</v>
      </c>
      <c r="GT379">
        <v>0</v>
      </c>
      <c r="GU379" t="s">
        <v>3</v>
      </c>
      <c r="GV379">
        <f t="shared" si="309"/>
        <v>0</v>
      </c>
      <c r="GW379">
        <v>1</v>
      </c>
      <c r="GX379">
        <f t="shared" si="310"/>
        <v>0</v>
      </c>
      <c r="HA379">
        <v>0</v>
      </c>
      <c r="HB379">
        <v>0</v>
      </c>
      <c r="HC379">
        <f t="shared" si="311"/>
        <v>0</v>
      </c>
      <c r="HE379" t="s">
        <v>3</v>
      </c>
      <c r="HF379" t="s">
        <v>3</v>
      </c>
      <c r="IK379">
        <v>0</v>
      </c>
    </row>
    <row r="380" spans="1:245" x14ac:dyDescent="0.2">
      <c r="A380">
        <v>17</v>
      </c>
      <c r="B380">
        <v>1</v>
      </c>
      <c r="E380" t="s">
        <v>263</v>
      </c>
      <c r="F380" t="s">
        <v>53</v>
      </c>
      <c r="G380" t="s">
        <v>54</v>
      </c>
      <c r="H380" t="s">
        <v>30</v>
      </c>
      <c r="I380">
        <f>ROUND(I379,9)</f>
        <v>1.62</v>
      </c>
      <c r="J380">
        <v>0</v>
      </c>
      <c r="O380">
        <f t="shared" si="278"/>
        <v>320.7</v>
      </c>
      <c r="P380">
        <f t="shared" si="279"/>
        <v>320.7</v>
      </c>
      <c r="Q380">
        <f t="shared" si="280"/>
        <v>0</v>
      </c>
      <c r="R380">
        <f t="shared" si="281"/>
        <v>0</v>
      </c>
      <c r="S380">
        <f t="shared" si="282"/>
        <v>0</v>
      </c>
      <c r="T380">
        <f t="shared" si="283"/>
        <v>0</v>
      </c>
      <c r="U380">
        <f t="shared" si="284"/>
        <v>0</v>
      </c>
      <c r="V380">
        <f t="shared" si="285"/>
        <v>0</v>
      </c>
      <c r="W380">
        <f t="shared" si="286"/>
        <v>0</v>
      </c>
      <c r="X380">
        <f t="shared" si="287"/>
        <v>0</v>
      </c>
      <c r="Y380">
        <f t="shared" si="288"/>
        <v>0</v>
      </c>
      <c r="AA380">
        <v>38214492</v>
      </c>
      <c r="AB380">
        <f t="shared" si="289"/>
        <v>197.96</v>
      </c>
      <c r="AC380">
        <f>ROUND((ES380),6)</f>
        <v>197.96</v>
      </c>
      <c r="AD380">
        <f>ROUND((((ET380)-(EU380))+AE380),6)</f>
        <v>0</v>
      </c>
      <c r="AE380">
        <f t="shared" ref="AE380:AF382" si="312">ROUND((EU380),6)</f>
        <v>0</v>
      </c>
      <c r="AF380">
        <f t="shared" si="312"/>
        <v>0</v>
      </c>
      <c r="AG380">
        <f t="shared" si="293"/>
        <v>0</v>
      </c>
      <c r="AH380">
        <f t="shared" ref="AH380:AI382" si="313">(EW380)</f>
        <v>0</v>
      </c>
      <c r="AI380">
        <f t="shared" si="313"/>
        <v>0</v>
      </c>
      <c r="AJ380">
        <f t="shared" si="295"/>
        <v>0</v>
      </c>
      <c r="AK380">
        <v>197.96</v>
      </c>
      <c r="AL380">
        <v>197.96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70</v>
      </c>
      <c r="AU380">
        <v>10</v>
      </c>
      <c r="AV380">
        <v>1</v>
      </c>
      <c r="AW380">
        <v>1</v>
      </c>
      <c r="AZ380">
        <v>1</v>
      </c>
      <c r="BA380">
        <v>1</v>
      </c>
      <c r="BB380">
        <v>1</v>
      </c>
      <c r="BC380">
        <v>1</v>
      </c>
      <c r="BD380" t="s">
        <v>3</v>
      </c>
      <c r="BE380" t="s">
        <v>3</v>
      </c>
      <c r="BF380" t="s">
        <v>3</v>
      </c>
      <c r="BG380" t="s">
        <v>3</v>
      </c>
      <c r="BH380">
        <v>3</v>
      </c>
      <c r="BI380">
        <v>4</v>
      </c>
      <c r="BJ380" t="s">
        <v>55</v>
      </c>
      <c r="BM380">
        <v>0</v>
      </c>
      <c r="BN380">
        <v>0</v>
      </c>
      <c r="BO380" t="s">
        <v>3</v>
      </c>
      <c r="BP380">
        <v>0</v>
      </c>
      <c r="BQ380">
        <v>1</v>
      </c>
      <c r="BR380">
        <v>0</v>
      </c>
      <c r="BS380">
        <v>1</v>
      </c>
      <c r="BT380">
        <v>1</v>
      </c>
      <c r="BU380">
        <v>1</v>
      </c>
      <c r="BV380">
        <v>1</v>
      </c>
      <c r="BW380">
        <v>1</v>
      </c>
      <c r="BX380">
        <v>1</v>
      </c>
      <c r="BY380" t="s">
        <v>3</v>
      </c>
      <c r="BZ380">
        <v>70</v>
      </c>
      <c r="CA380">
        <v>10</v>
      </c>
      <c r="CE380">
        <v>0</v>
      </c>
      <c r="CF380">
        <v>0</v>
      </c>
      <c r="CG380">
        <v>0</v>
      </c>
      <c r="CM380">
        <v>0</v>
      </c>
      <c r="CN380" t="s">
        <v>3</v>
      </c>
      <c r="CO380">
        <v>0</v>
      </c>
      <c r="CP380">
        <f t="shared" si="296"/>
        <v>320.7</v>
      </c>
      <c r="CQ380">
        <f t="shared" si="297"/>
        <v>197.96</v>
      </c>
      <c r="CR380">
        <f>((((ET380)*BB380-(EU380)*BS380)+AE380*BS380)*AV380)</f>
        <v>0</v>
      </c>
      <c r="CS380">
        <f t="shared" si="299"/>
        <v>0</v>
      </c>
      <c r="CT380">
        <f t="shared" si="300"/>
        <v>0</v>
      </c>
      <c r="CU380">
        <f t="shared" si="301"/>
        <v>0</v>
      </c>
      <c r="CV380">
        <f t="shared" si="302"/>
        <v>0</v>
      </c>
      <c r="CW380">
        <f t="shared" si="303"/>
        <v>0</v>
      </c>
      <c r="CX380">
        <f t="shared" si="304"/>
        <v>0</v>
      </c>
      <c r="CY380">
        <f t="shared" si="305"/>
        <v>0</v>
      </c>
      <c r="CZ380">
        <f t="shared" si="306"/>
        <v>0</v>
      </c>
      <c r="DC380" t="s">
        <v>3</v>
      </c>
      <c r="DD380" t="s">
        <v>3</v>
      </c>
      <c r="DE380" t="s">
        <v>3</v>
      </c>
      <c r="DF380" t="s">
        <v>3</v>
      </c>
      <c r="DG380" t="s">
        <v>3</v>
      </c>
      <c r="DH380" t="s">
        <v>3</v>
      </c>
      <c r="DI380" t="s">
        <v>3</v>
      </c>
      <c r="DJ380" t="s">
        <v>3</v>
      </c>
      <c r="DK380" t="s">
        <v>3</v>
      </c>
      <c r="DL380" t="s">
        <v>3</v>
      </c>
      <c r="DM380" t="s">
        <v>3</v>
      </c>
      <c r="DN380">
        <v>0</v>
      </c>
      <c r="DO380">
        <v>0</v>
      </c>
      <c r="DP380">
        <v>1</v>
      </c>
      <c r="DQ380">
        <v>1</v>
      </c>
      <c r="DU380">
        <v>1009</v>
      </c>
      <c r="DV380" t="s">
        <v>30</v>
      </c>
      <c r="DW380" t="s">
        <v>30</v>
      </c>
      <c r="DX380">
        <v>1000</v>
      </c>
      <c r="EE380">
        <v>38628631</v>
      </c>
      <c r="EF380">
        <v>1</v>
      </c>
      <c r="EG380" t="s">
        <v>24</v>
      </c>
      <c r="EH380">
        <v>0</v>
      </c>
      <c r="EI380" t="s">
        <v>3</v>
      </c>
      <c r="EJ380">
        <v>4</v>
      </c>
      <c r="EK380">
        <v>0</v>
      </c>
      <c r="EL380" t="s">
        <v>25</v>
      </c>
      <c r="EM380" t="s">
        <v>26</v>
      </c>
      <c r="EO380" t="s">
        <v>3</v>
      </c>
      <c r="EQ380">
        <v>0</v>
      </c>
      <c r="ER380">
        <v>197.96</v>
      </c>
      <c r="ES380">
        <v>197.96</v>
      </c>
      <c r="ET380">
        <v>0</v>
      </c>
      <c r="EU380">
        <v>0</v>
      </c>
      <c r="EV380">
        <v>0</v>
      </c>
      <c r="EW380">
        <v>0</v>
      </c>
      <c r="EX380">
        <v>0</v>
      </c>
      <c r="EY380">
        <v>0</v>
      </c>
      <c r="FQ380">
        <v>0</v>
      </c>
      <c r="FR380">
        <f t="shared" si="307"/>
        <v>0</v>
      </c>
      <c r="FS380">
        <v>0</v>
      </c>
      <c r="FX380">
        <v>70</v>
      </c>
      <c r="FY380">
        <v>10</v>
      </c>
      <c r="GA380" t="s">
        <v>3</v>
      </c>
      <c r="GD380">
        <v>0</v>
      </c>
      <c r="GF380">
        <v>-1219268023</v>
      </c>
      <c r="GG380">
        <v>2</v>
      </c>
      <c r="GH380">
        <v>1</v>
      </c>
      <c r="GI380">
        <v>-2</v>
      </c>
      <c r="GJ380">
        <v>0</v>
      </c>
      <c r="GK380">
        <f>ROUND(R380*(R12)/100,2)</f>
        <v>0</v>
      </c>
      <c r="GL380">
        <f t="shared" si="308"/>
        <v>0</v>
      </c>
      <c r="GM380">
        <f>ROUND(O380+X380+Y380+GK380,2)+GX380</f>
        <v>320.7</v>
      </c>
      <c r="GN380">
        <f>IF(OR(BI380=0,BI380=1),ROUND(O380+X380+Y380+GK380,2),0)</f>
        <v>0</v>
      </c>
      <c r="GO380">
        <f>IF(BI380=2,ROUND(O380+X380+Y380+GK380,2),0)</f>
        <v>0</v>
      </c>
      <c r="GP380">
        <f>IF(BI380=4,ROUND(O380+X380+Y380+GK380,2)+GX380,0)</f>
        <v>320.7</v>
      </c>
      <c r="GR380">
        <v>0</v>
      </c>
      <c r="GS380">
        <v>3</v>
      </c>
      <c r="GT380">
        <v>0</v>
      </c>
      <c r="GU380" t="s">
        <v>3</v>
      </c>
      <c r="GV380">
        <f t="shared" si="309"/>
        <v>0</v>
      </c>
      <c r="GW380">
        <v>1</v>
      </c>
      <c r="GX380">
        <f t="shared" si="310"/>
        <v>0</v>
      </c>
      <c r="HA380">
        <v>0</v>
      </c>
      <c r="HB380">
        <v>0</v>
      </c>
      <c r="HC380">
        <f t="shared" si="311"/>
        <v>0</v>
      </c>
      <c r="HE380" t="s">
        <v>3</v>
      </c>
      <c r="HF380" t="s">
        <v>3</v>
      </c>
      <c r="IK380">
        <v>0</v>
      </c>
    </row>
    <row r="381" spans="1:245" x14ac:dyDescent="0.2">
      <c r="A381">
        <v>17</v>
      </c>
      <c r="B381">
        <v>1</v>
      </c>
      <c r="E381" t="s">
        <v>264</v>
      </c>
      <c r="F381" t="s">
        <v>204</v>
      </c>
      <c r="G381" t="s">
        <v>205</v>
      </c>
      <c r="H381" t="s">
        <v>206</v>
      </c>
      <c r="I381">
        <v>0</v>
      </c>
      <c r="J381">
        <v>0</v>
      </c>
      <c r="O381">
        <f t="shared" si="278"/>
        <v>0</v>
      </c>
      <c r="P381">
        <f t="shared" si="279"/>
        <v>0</v>
      </c>
      <c r="Q381">
        <f t="shared" si="280"/>
        <v>0</v>
      </c>
      <c r="R381">
        <f t="shared" si="281"/>
        <v>0</v>
      </c>
      <c r="S381">
        <f t="shared" si="282"/>
        <v>0</v>
      </c>
      <c r="T381">
        <f t="shared" si="283"/>
        <v>0</v>
      </c>
      <c r="U381">
        <f t="shared" si="284"/>
        <v>0</v>
      </c>
      <c r="V381">
        <f t="shared" si="285"/>
        <v>0</v>
      </c>
      <c r="W381">
        <f t="shared" si="286"/>
        <v>0</v>
      </c>
      <c r="X381">
        <f t="shared" si="287"/>
        <v>0</v>
      </c>
      <c r="Y381">
        <f t="shared" si="288"/>
        <v>0</v>
      </c>
      <c r="AA381">
        <v>38214492</v>
      </c>
      <c r="AB381">
        <f t="shared" si="289"/>
        <v>59.29</v>
      </c>
      <c r="AC381">
        <f>ROUND((ES381),6)</f>
        <v>0</v>
      </c>
      <c r="AD381">
        <f>ROUND((((ET381)-(EU381))+AE381),6)</f>
        <v>59.29</v>
      </c>
      <c r="AE381">
        <f t="shared" si="312"/>
        <v>44.76</v>
      </c>
      <c r="AF381">
        <f t="shared" si="312"/>
        <v>0</v>
      </c>
      <c r="AG381">
        <f t="shared" si="293"/>
        <v>0</v>
      </c>
      <c r="AH381">
        <f t="shared" si="313"/>
        <v>0</v>
      </c>
      <c r="AI381">
        <f t="shared" si="313"/>
        <v>0</v>
      </c>
      <c r="AJ381">
        <f t="shared" si="295"/>
        <v>0</v>
      </c>
      <c r="AK381">
        <v>59.29</v>
      </c>
      <c r="AL381">
        <v>0</v>
      </c>
      <c r="AM381">
        <v>59.29</v>
      </c>
      <c r="AN381">
        <v>44.76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70</v>
      </c>
      <c r="AU381">
        <v>10</v>
      </c>
      <c r="AV381">
        <v>1</v>
      </c>
      <c r="AW381">
        <v>1</v>
      </c>
      <c r="AZ381">
        <v>1</v>
      </c>
      <c r="BA381">
        <v>1</v>
      </c>
      <c r="BB381">
        <v>1</v>
      </c>
      <c r="BC381">
        <v>1</v>
      </c>
      <c r="BD381" t="s">
        <v>3</v>
      </c>
      <c r="BE381" t="s">
        <v>3</v>
      </c>
      <c r="BF381" t="s">
        <v>3</v>
      </c>
      <c r="BG381" t="s">
        <v>3</v>
      </c>
      <c r="BH381">
        <v>0</v>
      </c>
      <c r="BI381">
        <v>4</v>
      </c>
      <c r="BJ381" t="s">
        <v>207</v>
      </c>
      <c r="BM381">
        <v>0</v>
      </c>
      <c r="BN381">
        <v>0</v>
      </c>
      <c r="BO381" t="s">
        <v>3</v>
      </c>
      <c r="BP381">
        <v>0</v>
      </c>
      <c r="BQ381">
        <v>1</v>
      </c>
      <c r="BR381">
        <v>0</v>
      </c>
      <c r="BS381">
        <v>1</v>
      </c>
      <c r="BT381">
        <v>1</v>
      </c>
      <c r="BU381">
        <v>1</v>
      </c>
      <c r="BV381">
        <v>1</v>
      </c>
      <c r="BW381">
        <v>1</v>
      </c>
      <c r="BX381">
        <v>1</v>
      </c>
      <c r="BY381" t="s">
        <v>3</v>
      </c>
      <c r="BZ381">
        <v>70</v>
      </c>
      <c r="CA381">
        <v>10</v>
      </c>
      <c r="CE381">
        <v>0</v>
      </c>
      <c r="CF381">
        <v>0</v>
      </c>
      <c r="CG381">
        <v>0</v>
      </c>
      <c r="CM381">
        <v>0</v>
      </c>
      <c r="CN381" t="s">
        <v>3</v>
      </c>
      <c r="CO381">
        <v>0</v>
      </c>
      <c r="CP381">
        <f t="shared" si="296"/>
        <v>0</v>
      </c>
      <c r="CQ381">
        <f t="shared" si="297"/>
        <v>0</v>
      </c>
      <c r="CR381">
        <f>((((ET381)*BB381-(EU381)*BS381)+AE381*BS381)*AV381)</f>
        <v>59.29</v>
      </c>
      <c r="CS381">
        <f t="shared" si="299"/>
        <v>44.76</v>
      </c>
      <c r="CT381">
        <f t="shared" si="300"/>
        <v>0</v>
      </c>
      <c r="CU381">
        <f t="shared" si="301"/>
        <v>0</v>
      </c>
      <c r="CV381">
        <f t="shared" si="302"/>
        <v>0</v>
      </c>
      <c r="CW381">
        <f t="shared" si="303"/>
        <v>0</v>
      </c>
      <c r="CX381">
        <f t="shared" si="304"/>
        <v>0</v>
      </c>
      <c r="CY381">
        <f t="shared" si="305"/>
        <v>0</v>
      </c>
      <c r="CZ381">
        <f t="shared" si="306"/>
        <v>0</v>
      </c>
      <c r="DC381" t="s">
        <v>3</v>
      </c>
      <c r="DD381" t="s">
        <v>3</v>
      </c>
      <c r="DE381" t="s">
        <v>3</v>
      </c>
      <c r="DF381" t="s">
        <v>3</v>
      </c>
      <c r="DG381" t="s">
        <v>3</v>
      </c>
      <c r="DH381" t="s">
        <v>3</v>
      </c>
      <c r="DI381" t="s">
        <v>3</v>
      </c>
      <c r="DJ381" t="s">
        <v>3</v>
      </c>
      <c r="DK381" t="s">
        <v>3</v>
      </c>
      <c r="DL381" t="s">
        <v>3</v>
      </c>
      <c r="DM381" t="s">
        <v>3</v>
      </c>
      <c r="DN381">
        <v>0</v>
      </c>
      <c r="DO381">
        <v>0</v>
      </c>
      <c r="DP381">
        <v>1</v>
      </c>
      <c r="DQ381">
        <v>1</v>
      </c>
      <c r="DU381">
        <v>1007</v>
      </c>
      <c r="DV381" t="s">
        <v>206</v>
      </c>
      <c r="DW381" t="s">
        <v>206</v>
      </c>
      <c r="DX381">
        <v>1</v>
      </c>
      <c r="EE381">
        <v>38628631</v>
      </c>
      <c r="EF381">
        <v>1</v>
      </c>
      <c r="EG381" t="s">
        <v>24</v>
      </c>
      <c r="EH381">
        <v>0</v>
      </c>
      <c r="EI381" t="s">
        <v>3</v>
      </c>
      <c r="EJ381">
        <v>4</v>
      </c>
      <c r="EK381">
        <v>0</v>
      </c>
      <c r="EL381" t="s">
        <v>25</v>
      </c>
      <c r="EM381" t="s">
        <v>26</v>
      </c>
      <c r="EO381" t="s">
        <v>3</v>
      </c>
      <c r="EQ381">
        <v>0</v>
      </c>
      <c r="ER381">
        <v>59.29</v>
      </c>
      <c r="ES381">
        <v>0</v>
      </c>
      <c r="ET381">
        <v>59.29</v>
      </c>
      <c r="EU381">
        <v>44.76</v>
      </c>
      <c r="EV381">
        <v>0</v>
      </c>
      <c r="EW381">
        <v>0</v>
      </c>
      <c r="EX381">
        <v>0</v>
      </c>
      <c r="EY381">
        <v>0</v>
      </c>
      <c r="FQ381">
        <v>0</v>
      </c>
      <c r="FR381">
        <f t="shared" si="307"/>
        <v>0</v>
      </c>
      <c r="FS381">
        <v>0</v>
      </c>
      <c r="FX381">
        <v>70</v>
      </c>
      <c r="FY381">
        <v>10</v>
      </c>
      <c r="GA381" t="s">
        <v>3</v>
      </c>
      <c r="GD381">
        <v>1</v>
      </c>
      <c r="GF381">
        <v>10906184</v>
      </c>
      <c r="GG381">
        <v>2</v>
      </c>
      <c r="GH381">
        <v>1</v>
      </c>
      <c r="GI381">
        <v>-2</v>
      </c>
      <c r="GJ381">
        <v>0</v>
      </c>
      <c r="GK381">
        <v>0</v>
      </c>
      <c r="GL381">
        <f t="shared" si="308"/>
        <v>0</v>
      </c>
      <c r="GM381">
        <f>ROUND(O381+X381+Y381,2)+GX381</f>
        <v>0</v>
      </c>
      <c r="GN381">
        <f>IF(OR(BI381=0,BI381=1),ROUND(O381+X381+Y381,2),0)</f>
        <v>0</v>
      </c>
      <c r="GO381">
        <f>IF(BI381=2,ROUND(O381+X381+Y381,2),0)</f>
        <v>0</v>
      </c>
      <c r="GP381">
        <f>IF(BI381=4,ROUND(O381+X381+Y381,2)+GX381,0)</f>
        <v>0</v>
      </c>
      <c r="GR381">
        <v>0</v>
      </c>
      <c r="GS381">
        <v>0</v>
      </c>
      <c r="GT381">
        <v>0</v>
      </c>
      <c r="GU381" t="s">
        <v>3</v>
      </c>
      <c r="GV381">
        <f t="shared" si="309"/>
        <v>0</v>
      </c>
      <c r="GW381">
        <v>1</v>
      </c>
      <c r="GX381">
        <f t="shared" si="310"/>
        <v>0</v>
      </c>
      <c r="HA381">
        <v>0</v>
      </c>
      <c r="HB381">
        <v>0</v>
      </c>
      <c r="HC381">
        <f t="shared" si="311"/>
        <v>0</v>
      </c>
      <c r="HE381" t="s">
        <v>3</v>
      </c>
      <c r="HF381" t="s">
        <v>3</v>
      </c>
      <c r="IK381">
        <v>0</v>
      </c>
    </row>
    <row r="382" spans="1:245" x14ac:dyDescent="0.2">
      <c r="A382">
        <v>17</v>
      </c>
      <c r="B382">
        <v>1</v>
      </c>
      <c r="E382" t="s">
        <v>265</v>
      </c>
      <c r="F382" t="s">
        <v>209</v>
      </c>
      <c r="G382" t="s">
        <v>210</v>
      </c>
      <c r="H382" t="s">
        <v>30</v>
      </c>
      <c r="I382">
        <v>0</v>
      </c>
      <c r="J382">
        <v>0</v>
      </c>
      <c r="O382">
        <f t="shared" si="278"/>
        <v>0</v>
      </c>
      <c r="P382">
        <f t="shared" si="279"/>
        <v>0</v>
      </c>
      <c r="Q382">
        <f t="shared" si="280"/>
        <v>0</v>
      </c>
      <c r="R382">
        <f t="shared" si="281"/>
        <v>0</v>
      </c>
      <c r="S382">
        <f t="shared" si="282"/>
        <v>0</v>
      </c>
      <c r="T382">
        <f t="shared" si="283"/>
        <v>0</v>
      </c>
      <c r="U382">
        <f t="shared" si="284"/>
        <v>0</v>
      </c>
      <c r="V382">
        <f t="shared" si="285"/>
        <v>0</v>
      </c>
      <c r="W382">
        <f t="shared" si="286"/>
        <v>0</v>
      </c>
      <c r="X382">
        <f t="shared" si="287"/>
        <v>0</v>
      </c>
      <c r="Y382">
        <f t="shared" si="288"/>
        <v>0</v>
      </c>
      <c r="AA382">
        <v>38214492</v>
      </c>
      <c r="AB382">
        <f t="shared" si="289"/>
        <v>96.08</v>
      </c>
      <c r="AC382">
        <f>ROUND((ES382),6)</f>
        <v>96.08</v>
      </c>
      <c r="AD382">
        <f>ROUND((((ET382)-(EU382))+AE382),6)</f>
        <v>0</v>
      </c>
      <c r="AE382">
        <f t="shared" si="312"/>
        <v>0</v>
      </c>
      <c r="AF382">
        <f t="shared" si="312"/>
        <v>0</v>
      </c>
      <c r="AG382">
        <f t="shared" si="293"/>
        <v>0</v>
      </c>
      <c r="AH382">
        <f t="shared" si="313"/>
        <v>0</v>
      </c>
      <c r="AI382">
        <f t="shared" si="313"/>
        <v>0</v>
      </c>
      <c r="AJ382">
        <f t="shared" si="295"/>
        <v>0</v>
      </c>
      <c r="AK382">
        <v>96.08</v>
      </c>
      <c r="AL382">
        <v>96.08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70</v>
      </c>
      <c r="AU382">
        <v>10</v>
      </c>
      <c r="AV382">
        <v>1</v>
      </c>
      <c r="AW382">
        <v>1</v>
      </c>
      <c r="AZ382">
        <v>1</v>
      </c>
      <c r="BA382">
        <v>1</v>
      </c>
      <c r="BB382">
        <v>1</v>
      </c>
      <c r="BC382">
        <v>1</v>
      </c>
      <c r="BD382" t="s">
        <v>3</v>
      </c>
      <c r="BE382" t="s">
        <v>3</v>
      </c>
      <c r="BF382" t="s">
        <v>3</v>
      </c>
      <c r="BG382" t="s">
        <v>3</v>
      </c>
      <c r="BH382">
        <v>3</v>
      </c>
      <c r="BI382">
        <v>4</v>
      </c>
      <c r="BJ382" t="s">
        <v>211</v>
      </c>
      <c r="BM382">
        <v>0</v>
      </c>
      <c r="BN382">
        <v>0</v>
      </c>
      <c r="BO382" t="s">
        <v>3</v>
      </c>
      <c r="BP382">
        <v>0</v>
      </c>
      <c r="BQ382">
        <v>1</v>
      </c>
      <c r="BR382">
        <v>0</v>
      </c>
      <c r="BS382">
        <v>1</v>
      </c>
      <c r="BT382">
        <v>1</v>
      </c>
      <c r="BU382">
        <v>1</v>
      </c>
      <c r="BV382">
        <v>1</v>
      </c>
      <c r="BW382">
        <v>1</v>
      </c>
      <c r="BX382">
        <v>1</v>
      </c>
      <c r="BY382" t="s">
        <v>3</v>
      </c>
      <c r="BZ382">
        <v>70</v>
      </c>
      <c r="CA382">
        <v>10</v>
      </c>
      <c r="CE382">
        <v>0</v>
      </c>
      <c r="CF382">
        <v>0</v>
      </c>
      <c r="CG382">
        <v>0</v>
      </c>
      <c r="CM382">
        <v>0</v>
      </c>
      <c r="CN382" t="s">
        <v>3</v>
      </c>
      <c r="CO382">
        <v>0</v>
      </c>
      <c r="CP382">
        <f t="shared" si="296"/>
        <v>0</v>
      </c>
      <c r="CQ382">
        <f t="shared" si="297"/>
        <v>96.08</v>
      </c>
      <c r="CR382">
        <f>((((ET382)*BB382-(EU382)*BS382)+AE382*BS382)*AV382)</f>
        <v>0</v>
      </c>
      <c r="CS382">
        <f t="shared" si="299"/>
        <v>0</v>
      </c>
      <c r="CT382">
        <f t="shared" si="300"/>
        <v>0</v>
      </c>
      <c r="CU382">
        <f t="shared" si="301"/>
        <v>0</v>
      </c>
      <c r="CV382">
        <f t="shared" si="302"/>
        <v>0</v>
      </c>
      <c r="CW382">
        <f t="shared" si="303"/>
        <v>0</v>
      </c>
      <c r="CX382">
        <f t="shared" si="304"/>
        <v>0</v>
      </c>
      <c r="CY382">
        <f t="shared" si="305"/>
        <v>0</v>
      </c>
      <c r="CZ382">
        <f t="shared" si="306"/>
        <v>0</v>
      </c>
      <c r="DC382" t="s">
        <v>3</v>
      </c>
      <c r="DD382" t="s">
        <v>3</v>
      </c>
      <c r="DE382" t="s">
        <v>3</v>
      </c>
      <c r="DF382" t="s">
        <v>3</v>
      </c>
      <c r="DG382" t="s">
        <v>3</v>
      </c>
      <c r="DH382" t="s">
        <v>3</v>
      </c>
      <c r="DI382" t="s">
        <v>3</v>
      </c>
      <c r="DJ382" t="s">
        <v>3</v>
      </c>
      <c r="DK382" t="s">
        <v>3</v>
      </c>
      <c r="DL382" t="s">
        <v>3</v>
      </c>
      <c r="DM382" t="s">
        <v>3</v>
      </c>
      <c r="DN382">
        <v>0</v>
      </c>
      <c r="DO382">
        <v>0</v>
      </c>
      <c r="DP382">
        <v>1</v>
      </c>
      <c r="DQ382">
        <v>1</v>
      </c>
      <c r="DU382">
        <v>1009</v>
      </c>
      <c r="DV382" t="s">
        <v>30</v>
      </c>
      <c r="DW382" t="s">
        <v>30</v>
      </c>
      <c r="DX382">
        <v>1000</v>
      </c>
      <c r="EE382">
        <v>38628631</v>
      </c>
      <c r="EF382">
        <v>1</v>
      </c>
      <c r="EG382" t="s">
        <v>24</v>
      </c>
      <c r="EH382">
        <v>0</v>
      </c>
      <c r="EI382" t="s">
        <v>3</v>
      </c>
      <c r="EJ382">
        <v>4</v>
      </c>
      <c r="EK382">
        <v>0</v>
      </c>
      <c r="EL382" t="s">
        <v>25</v>
      </c>
      <c r="EM382" t="s">
        <v>26</v>
      </c>
      <c r="EO382" t="s">
        <v>3</v>
      </c>
      <c r="EQ382">
        <v>0</v>
      </c>
      <c r="ER382">
        <v>96.08</v>
      </c>
      <c r="ES382">
        <v>96.08</v>
      </c>
      <c r="ET382">
        <v>0</v>
      </c>
      <c r="EU382">
        <v>0</v>
      </c>
      <c r="EV382">
        <v>0</v>
      </c>
      <c r="EW382">
        <v>0</v>
      </c>
      <c r="EX382">
        <v>0</v>
      </c>
      <c r="EY382">
        <v>0</v>
      </c>
      <c r="FQ382">
        <v>0</v>
      </c>
      <c r="FR382">
        <f t="shared" si="307"/>
        <v>0</v>
      </c>
      <c r="FS382">
        <v>0</v>
      </c>
      <c r="FX382">
        <v>70</v>
      </c>
      <c r="FY382">
        <v>10</v>
      </c>
      <c r="GA382" t="s">
        <v>3</v>
      </c>
      <c r="GD382">
        <v>0</v>
      </c>
      <c r="GF382">
        <v>-1286717690</v>
      </c>
      <c r="GG382">
        <v>2</v>
      </c>
      <c r="GH382">
        <v>1</v>
      </c>
      <c r="GI382">
        <v>-2</v>
      </c>
      <c r="GJ382">
        <v>0</v>
      </c>
      <c r="GK382">
        <f>ROUND(R382*(R12)/100,2)</f>
        <v>0</v>
      </c>
      <c r="GL382">
        <f t="shared" si="308"/>
        <v>0</v>
      </c>
      <c r="GM382">
        <f>ROUND(O382+X382+Y382+GK382,2)+GX382</f>
        <v>0</v>
      </c>
      <c r="GN382">
        <f>IF(OR(BI382=0,BI382=1),ROUND(O382+X382+Y382+GK382,2),0)</f>
        <v>0</v>
      </c>
      <c r="GO382">
        <f>IF(BI382=2,ROUND(O382+X382+Y382+GK382,2),0)</f>
        <v>0</v>
      </c>
      <c r="GP382">
        <f>IF(BI382=4,ROUND(O382+X382+Y382+GK382,2)+GX382,0)</f>
        <v>0</v>
      </c>
      <c r="GR382">
        <v>0</v>
      </c>
      <c r="GS382">
        <v>0</v>
      </c>
      <c r="GT382">
        <v>0</v>
      </c>
      <c r="GU382" t="s">
        <v>3</v>
      </c>
      <c r="GV382">
        <f t="shared" si="309"/>
        <v>0</v>
      </c>
      <c r="GW382">
        <v>1</v>
      </c>
      <c r="GX382">
        <f t="shared" si="310"/>
        <v>0</v>
      </c>
      <c r="HA382">
        <v>0</v>
      </c>
      <c r="HB382">
        <v>0</v>
      </c>
      <c r="HC382">
        <f t="shared" si="311"/>
        <v>0</v>
      </c>
      <c r="HE382" t="s">
        <v>3</v>
      </c>
      <c r="HF382" t="s">
        <v>3</v>
      </c>
      <c r="IK382">
        <v>0</v>
      </c>
    </row>
    <row r="383" spans="1:245" x14ac:dyDescent="0.2">
      <c r="A383">
        <v>17</v>
      </c>
      <c r="B383">
        <v>1</v>
      </c>
      <c r="E383" t="s">
        <v>266</v>
      </c>
      <c r="F383" t="s">
        <v>213</v>
      </c>
      <c r="G383" t="s">
        <v>214</v>
      </c>
      <c r="H383" t="s">
        <v>206</v>
      </c>
      <c r="I383">
        <f>ROUND(I174,9)</f>
        <v>0</v>
      </c>
      <c r="J383">
        <v>0</v>
      </c>
      <c r="O383">
        <f t="shared" si="278"/>
        <v>0</v>
      </c>
      <c r="P383">
        <f t="shared" si="279"/>
        <v>0</v>
      </c>
      <c r="Q383">
        <f t="shared" si="280"/>
        <v>0</v>
      </c>
      <c r="R383">
        <f t="shared" si="281"/>
        <v>0</v>
      </c>
      <c r="S383">
        <f t="shared" si="282"/>
        <v>0</v>
      </c>
      <c r="T383">
        <f t="shared" si="283"/>
        <v>0</v>
      </c>
      <c r="U383">
        <f t="shared" si="284"/>
        <v>0</v>
      </c>
      <c r="V383">
        <f t="shared" si="285"/>
        <v>0</v>
      </c>
      <c r="W383">
        <f t="shared" si="286"/>
        <v>0</v>
      </c>
      <c r="X383">
        <f t="shared" si="287"/>
        <v>0</v>
      </c>
      <c r="Y383">
        <f t="shared" si="288"/>
        <v>0</v>
      </c>
      <c r="AA383">
        <v>38214492</v>
      </c>
      <c r="AB383">
        <f t="shared" si="289"/>
        <v>765.2</v>
      </c>
      <c r="AC383">
        <f>ROUND(((ES383*40)),6)</f>
        <v>0</v>
      </c>
      <c r="AD383">
        <f>ROUND(((((ET383*40))-((EU383*40)))+AE383),6)</f>
        <v>765.2</v>
      </c>
      <c r="AE383">
        <f>ROUND(((EU383*40)),6)</f>
        <v>577.6</v>
      </c>
      <c r="AF383">
        <f>ROUND(((EV383*40)),6)</f>
        <v>0</v>
      </c>
      <c r="AG383">
        <f t="shared" si="293"/>
        <v>0</v>
      </c>
      <c r="AH383">
        <f>((EW383*40))</f>
        <v>0</v>
      </c>
      <c r="AI383">
        <f>((EX383*40))</f>
        <v>0</v>
      </c>
      <c r="AJ383">
        <f t="shared" si="295"/>
        <v>0</v>
      </c>
      <c r="AK383">
        <v>19.13</v>
      </c>
      <c r="AL383">
        <v>0</v>
      </c>
      <c r="AM383">
        <v>19.13</v>
      </c>
      <c r="AN383">
        <v>14.44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70</v>
      </c>
      <c r="AU383">
        <v>10</v>
      </c>
      <c r="AV383">
        <v>1</v>
      </c>
      <c r="AW383">
        <v>1</v>
      </c>
      <c r="AZ383">
        <v>1</v>
      </c>
      <c r="BA383">
        <v>1</v>
      </c>
      <c r="BB383">
        <v>1</v>
      </c>
      <c r="BC383">
        <v>1</v>
      </c>
      <c r="BD383" t="s">
        <v>3</v>
      </c>
      <c r="BE383" t="s">
        <v>3</v>
      </c>
      <c r="BF383" t="s">
        <v>3</v>
      </c>
      <c r="BG383" t="s">
        <v>3</v>
      </c>
      <c r="BH383">
        <v>0</v>
      </c>
      <c r="BI383">
        <v>4</v>
      </c>
      <c r="BJ383" t="s">
        <v>215</v>
      </c>
      <c r="BM383">
        <v>0</v>
      </c>
      <c r="BN383">
        <v>0</v>
      </c>
      <c r="BO383" t="s">
        <v>3</v>
      </c>
      <c r="BP383">
        <v>0</v>
      </c>
      <c r="BQ383">
        <v>1</v>
      </c>
      <c r="BR383">
        <v>0</v>
      </c>
      <c r="BS383">
        <v>1</v>
      </c>
      <c r="BT383">
        <v>1</v>
      </c>
      <c r="BU383">
        <v>1</v>
      </c>
      <c r="BV383">
        <v>1</v>
      </c>
      <c r="BW383">
        <v>1</v>
      </c>
      <c r="BX383">
        <v>1</v>
      </c>
      <c r="BY383" t="s">
        <v>3</v>
      </c>
      <c r="BZ383">
        <v>70</v>
      </c>
      <c r="CA383">
        <v>10</v>
      </c>
      <c r="CE383">
        <v>0</v>
      </c>
      <c r="CF383">
        <v>0</v>
      </c>
      <c r="CG383">
        <v>0</v>
      </c>
      <c r="CM383">
        <v>0</v>
      </c>
      <c r="CN383" t="s">
        <v>3</v>
      </c>
      <c r="CO383">
        <v>0</v>
      </c>
      <c r="CP383">
        <f t="shared" si="296"/>
        <v>0</v>
      </c>
      <c r="CQ383">
        <f t="shared" si="297"/>
        <v>0</v>
      </c>
      <c r="CR383">
        <f>(((((ET383*40))*BB383-((EU383*40))*BS383)+AE383*BS383)*AV383)</f>
        <v>765.19999999999993</v>
      </c>
      <c r="CS383">
        <f t="shared" si="299"/>
        <v>577.6</v>
      </c>
      <c r="CT383">
        <f t="shared" si="300"/>
        <v>0</v>
      </c>
      <c r="CU383">
        <f t="shared" si="301"/>
        <v>0</v>
      </c>
      <c r="CV383">
        <f t="shared" si="302"/>
        <v>0</v>
      </c>
      <c r="CW383">
        <f t="shared" si="303"/>
        <v>0</v>
      </c>
      <c r="CX383">
        <f t="shared" si="304"/>
        <v>0</v>
      </c>
      <c r="CY383">
        <f t="shared" si="305"/>
        <v>0</v>
      </c>
      <c r="CZ383">
        <f t="shared" si="306"/>
        <v>0</v>
      </c>
      <c r="DC383" t="s">
        <v>3</v>
      </c>
      <c r="DD383" t="s">
        <v>216</v>
      </c>
      <c r="DE383" t="s">
        <v>216</v>
      </c>
      <c r="DF383" t="s">
        <v>216</v>
      </c>
      <c r="DG383" t="s">
        <v>216</v>
      </c>
      <c r="DH383" t="s">
        <v>3</v>
      </c>
      <c r="DI383" t="s">
        <v>216</v>
      </c>
      <c r="DJ383" t="s">
        <v>216</v>
      </c>
      <c r="DK383" t="s">
        <v>3</v>
      </c>
      <c r="DL383" t="s">
        <v>3</v>
      </c>
      <c r="DM383" t="s">
        <v>217</v>
      </c>
      <c r="DN383">
        <v>0</v>
      </c>
      <c r="DO383">
        <v>0</v>
      </c>
      <c r="DP383">
        <v>1</v>
      </c>
      <c r="DQ383">
        <v>1</v>
      </c>
      <c r="DU383">
        <v>1007</v>
      </c>
      <c r="DV383" t="s">
        <v>206</v>
      </c>
      <c r="DW383" t="s">
        <v>206</v>
      </c>
      <c r="DX383">
        <v>1</v>
      </c>
      <c r="EE383">
        <v>38628631</v>
      </c>
      <c r="EF383">
        <v>1</v>
      </c>
      <c r="EG383" t="s">
        <v>24</v>
      </c>
      <c r="EH383">
        <v>0</v>
      </c>
      <c r="EI383" t="s">
        <v>3</v>
      </c>
      <c r="EJ383">
        <v>4</v>
      </c>
      <c r="EK383">
        <v>0</v>
      </c>
      <c r="EL383" t="s">
        <v>25</v>
      </c>
      <c r="EM383" t="s">
        <v>26</v>
      </c>
      <c r="EO383" t="s">
        <v>3</v>
      </c>
      <c r="EQ383">
        <v>0</v>
      </c>
      <c r="ER383">
        <v>19.13</v>
      </c>
      <c r="ES383">
        <v>0</v>
      </c>
      <c r="ET383">
        <v>19.13</v>
      </c>
      <c r="EU383">
        <v>14.44</v>
      </c>
      <c r="EV383">
        <v>0</v>
      </c>
      <c r="EW383">
        <v>0</v>
      </c>
      <c r="EX383">
        <v>0</v>
      </c>
      <c r="EY383">
        <v>0</v>
      </c>
      <c r="FQ383">
        <v>0</v>
      </c>
      <c r="FR383">
        <f t="shared" si="307"/>
        <v>0</v>
      </c>
      <c r="FS383">
        <v>0</v>
      </c>
      <c r="FX383">
        <v>70</v>
      </c>
      <c r="FY383">
        <v>280</v>
      </c>
      <c r="GA383" t="s">
        <v>3</v>
      </c>
      <c r="GD383">
        <v>1</v>
      </c>
      <c r="GF383">
        <v>1386989528</v>
      </c>
      <c r="GG383">
        <v>2</v>
      </c>
      <c r="GH383">
        <v>1</v>
      </c>
      <c r="GI383">
        <v>-2</v>
      </c>
      <c r="GJ383">
        <v>0</v>
      </c>
      <c r="GK383">
        <v>0</v>
      </c>
      <c r="GL383">
        <f t="shared" si="308"/>
        <v>0</v>
      </c>
      <c r="GM383">
        <f>ROUND(O383+X383+Y383,2)+GX383</f>
        <v>0</v>
      </c>
      <c r="GN383">
        <f>IF(OR(BI383=0,BI383=1),ROUND(O383+X383+Y383,2),0)</f>
        <v>0</v>
      </c>
      <c r="GO383">
        <f>IF(BI383=2,ROUND(O383+X383+Y383,2),0)</f>
        <v>0</v>
      </c>
      <c r="GP383">
        <f>IF(BI383=4,ROUND(O383+X383+Y383,2)+GX383,0)</f>
        <v>0</v>
      </c>
      <c r="GR383">
        <v>0</v>
      </c>
      <c r="GS383">
        <v>0</v>
      </c>
      <c r="GT383">
        <v>0</v>
      </c>
      <c r="GU383" t="s">
        <v>3</v>
      </c>
      <c r="GV383">
        <f t="shared" si="309"/>
        <v>0</v>
      </c>
      <c r="GW383">
        <v>1</v>
      </c>
      <c r="GX383">
        <f t="shared" si="310"/>
        <v>0</v>
      </c>
      <c r="HA383">
        <v>0</v>
      </c>
      <c r="HB383">
        <v>0</v>
      </c>
      <c r="HC383">
        <f t="shared" si="311"/>
        <v>0</v>
      </c>
      <c r="HE383" t="s">
        <v>3</v>
      </c>
      <c r="HF383" t="s">
        <v>3</v>
      </c>
      <c r="IK383">
        <v>0</v>
      </c>
    </row>
    <row r="384" spans="1:245" x14ac:dyDescent="0.2">
      <c r="A384">
        <v>17</v>
      </c>
      <c r="B384">
        <v>1</v>
      </c>
      <c r="C384">
        <f>ROW(SmtRes!A119)</f>
        <v>119</v>
      </c>
      <c r="D384">
        <f>ROW(EtalonRes!A116)</f>
        <v>116</v>
      </c>
      <c r="E384" t="s">
        <v>267</v>
      </c>
      <c r="F384" t="s">
        <v>219</v>
      </c>
      <c r="G384" t="s">
        <v>220</v>
      </c>
      <c r="H384" t="s">
        <v>187</v>
      </c>
      <c r="I384">
        <f>ROUND((270*0.1)/100,9)</f>
        <v>0.27</v>
      </c>
      <c r="J384">
        <v>0</v>
      </c>
      <c r="O384">
        <f t="shared" si="278"/>
        <v>20620.25</v>
      </c>
      <c r="P384">
        <f t="shared" si="279"/>
        <v>17591.7</v>
      </c>
      <c r="Q384">
        <f t="shared" si="280"/>
        <v>2231.56</v>
      </c>
      <c r="R384">
        <f t="shared" si="281"/>
        <v>902.54</v>
      </c>
      <c r="S384">
        <f t="shared" si="282"/>
        <v>796.99</v>
      </c>
      <c r="T384">
        <f t="shared" si="283"/>
        <v>0</v>
      </c>
      <c r="U384">
        <f t="shared" si="284"/>
        <v>4.4711999999999996</v>
      </c>
      <c r="V384">
        <f t="shared" si="285"/>
        <v>0</v>
      </c>
      <c r="W384">
        <f t="shared" si="286"/>
        <v>0</v>
      </c>
      <c r="X384">
        <f t="shared" si="287"/>
        <v>557.89</v>
      </c>
      <c r="Y384">
        <f t="shared" si="288"/>
        <v>79.7</v>
      </c>
      <c r="AA384">
        <v>38214492</v>
      </c>
      <c r="AB384">
        <f t="shared" si="289"/>
        <v>76371.3</v>
      </c>
      <c r="AC384">
        <f>ROUND((ES384),6)</f>
        <v>65154.45</v>
      </c>
      <c r="AD384">
        <f>ROUND((((ET384)-(EU384))+AE384),6)</f>
        <v>8265.0300000000007</v>
      </c>
      <c r="AE384">
        <f>ROUND((EU384),6)</f>
        <v>3342.74</v>
      </c>
      <c r="AF384">
        <f>ROUND((EV384),6)</f>
        <v>2951.82</v>
      </c>
      <c r="AG384">
        <f t="shared" si="293"/>
        <v>0</v>
      </c>
      <c r="AH384">
        <f>(EW384)</f>
        <v>16.559999999999999</v>
      </c>
      <c r="AI384">
        <f>(EX384)</f>
        <v>0</v>
      </c>
      <c r="AJ384">
        <f t="shared" si="295"/>
        <v>0</v>
      </c>
      <c r="AK384">
        <v>76371.3</v>
      </c>
      <c r="AL384">
        <v>65154.45</v>
      </c>
      <c r="AM384">
        <v>8265.0300000000007</v>
      </c>
      <c r="AN384">
        <v>3342.74</v>
      </c>
      <c r="AO384">
        <v>2951.82</v>
      </c>
      <c r="AP384">
        <v>0</v>
      </c>
      <c r="AQ384">
        <v>16.559999999999999</v>
      </c>
      <c r="AR384">
        <v>0</v>
      </c>
      <c r="AS384">
        <v>0</v>
      </c>
      <c r="AT384">
        <v>70</v>
      </c>
      <c r="AU384">
        <v>10</v>
      </c>
      <c r="AV384">
        <v>1</v>
      </c>
      <c r="AW384">
        <v>1</v>
      </c>
      <c r="AZ384">
        <v>1</v>
      </c>
      <c r="BA384">
        <v>1</v>
      </c>
      <c r="BB384">
        <v>1</v>
      </c>
      <c r="BC384">
        <v>1</v>
      </c>
      <c r="BD384" t="s">
        <v>3</v>
      </c>
      <c r="BE384" t="s">
        <v>3</v>
      </c>
      <c r="BF384" t="s">
        <v>3</v>
      </c>
      <c r="BG384" t="s">
        <v>3</v>
      </c>
      <c r="BH384">
        <v>0</v>
      </c>
      <c r="BI384">
        <v>4</v>
      </c>
      <c r="BJ384" t="s">
        <v>221</v>
      </c>
      <c r="BM384">
        <v>0</v>
      </c>
      <c r="BN384">
        <v>0</v>
      </c>
      <c r="BO384" t="s">
        <v>3</v>
      </c>
      <c r="BP384">
        <v>0</v>
      </c>
      <c r="BQ384">
        <v>1</v>
      </c>
      <c r="BR384">
        <v>0</v>
      </c>
      <c r="BS384">
        <v>1</v>
      </c>
      <c r="BT384">
        <v>1</v>
      </c>
      <c r="BU384">
        <v>1</v>
      </c>
      <c r="BV384">
        <v>1</v>
      </c>
      <c r="BW384">
        <v>1</v>
      </c>
      <c r="BX384">
        <v>1</v>
      </c>
      <c r="BY384" t="s">
        <v>3</v>
      </c>
      <c r="BZ384">
        <v>70</v>
      </c>
      <c r="CA384">
        <v>10</v>
      </c>
      <c r="CE384">
        <v>0</v>
      </c>
      <c r="CF384">
        <v>0</v>
      </c>
      <c r="CG384">
        <v>0</v>
      </c>
      <c r="CM384">
        <v>0</v>
      </c>
      <c r="CN384" t="s">
        <v>3</v>
      </c>
      <c r="CO384">
        <v>0</v>
      </c>
      <c r="CP384">
        <f t="shared" si="296"/>
        <v>20620.250000000004</v>
      </c>
      <c r="CQ384">
        <f t="shared" si="297"/>
        <v>65154.45</v>
      </c>
      <c r="CR384">
        <f>((((ET384)*BB384-(EU384)*BS384)+AE384*BS384)*AV384)</f>
        <v>8265.0300000000007</v>
      </c>
      <c r="CS384">
        <f t="shared" si="299"/>
        <v>3342.74</v>
      </c>
      <c r="CT384">
        <f t="shared" si="300"/>
        <v>2951.82</v>
      </c>
      <c r="CU384">
        <f t="shared" si="301"/>
        <v>0</v>
      </c>
      <c r="CV384">
        <f t="shared" si="302"/>
        <v>16.559999999999999</v>
      </c>
      <c r="CW384">
        <f t="shared" si="303"/>
        <v>0</v>
      </c>
      <c r="CX384">
        <f t="shared" si="304"/>
        <v>0</v>
      </c>
      <c r="CY384">
        <f t="shared" si="305"/>
        <v>557.89300000000003</v>
      </c>
      <c r="CZ384">
        <f t="shared" si="306"/>
        <v>79.698999999999998</v>
      </c>
      <c r="DC384" t="s">
        <v>3</v>
      </c>
      <c r="DD384" t="s">
        <v>3</v>
      </c>
      <c r="DE384" t="s">
        <v>3</v>
      </c>
      <c r="DF384" t="s">
        <v>3</v>
      </c>
      <c r="DG384" t="s">
        <v>3</v>
      </c>
      <c r="DH384" t="s">
        <v>3</v>
      </c>
      <c r="DI384" t="s">
        <v>3</v>
      </c>
      <c r="DJ384" t="s">
        <v>3</v>
      </c>
      <c r="DK384" t="s">
        <v>3</v>
      </c>
      <c r="DL384" t="s">
        <v>3</v>
      </c>
      <c r="DM384" t="s">
        <v>3</v>
      </c>
      <c r="DN384">
        <v>0</v>
      </c>
      <c r="DO384">
        <v>0</v>
      </c>
      <c r="DP384">
        <v>1</v>
      </c>
      <c r="DQ384">
        <v>1</v>
      </c>
      <c r="DU384">
        <v>1007</v>
      </c>
      <c r="DV384" t="s">
        <v>187</v>
      </c>
      <c r="DW384" t="s">
        <v>187</v>
      </c>
      <c r="DX384">
        <v>100</v>
      </c>
      <c r="EE384">
        <v>38628631</v>
      </c>
      <c r="EF384">
        <v>1</v>
      </c>
      <c r="EG384" t="s">
        <v>24</v>
      </c>
      <c r="EH384">
        <v>0</v>
      </c>
      <c r="EI384" t="s">
        <v>3</v>
      </c>
      <c r="EJ384">
        <v>4</v>
      </c>
      <c r="EK384">
        <v>0</v>
      </c>
      <c r="EL384" t="s">
        <v>25</v>
      </c>
      <c r="EM384" t="s">
        <v>26</v>
      </c>
      <c r="EO384" t="s">
        <v>3</v>
      </c>
      <c r="EQ384">
        <v>0</v>
      </c>
      <c r="ER384">
        <v>76371.3</v>
      </c>
      <c r="ES384">
        <v>65154.45</v>
      </c>
      <c r="ET384">
        <v>8265.0300000000007</v>
      </c>
      <c r="EU384">
        <v>3342.74</v>
      </c>
      <c r="EV384">
        <v>2951.82</v>
      </c>
      <c r="EW384">
        <v>16.559999999999999</v>
      </c>
      <c r="EX384">
        <v>0</v>
      </c>
      <c r="EY384">
        <v>0</v>
      </c>
      <c r="FQ384">
        <v>0</v>
      </c>
      <c r="FR384">
        <f t="shared" si="307"/>
        <v>0</v>
      </c>
      <c r="FS384">
        <v>0</v>
      </c>
      <c r="FX384">
        <v>70</v>
      </c>
      <c r="FY384">
        <v>10</v>
      </c>
      <c r="GA384" t="s">
        <v>3</v>
      </c>
      <c r="GD384">
        <v>0</v>
      </c>
      <c r="GF384">
        <v>1364004777</v>
      </c>
      <c r="GG384">
        <v>2</v>
      </c>
      <c r="GH384">
        <v>1</v>
      </c>
      <c r="GI384">
        <v>-2</v>
      </c>
      <c r="GJ384">
        <v>0</v>
      </c>
      <c r="GK384">
        <f>ROUND(R384*(R12)/100,2)</f>
        <v>974.74</v>
      </c>
      <c r="GL384">
        <f t="shared" si="308"/>
        <v>0</v>
      </c>
      <c r="GM384">
        <f>ROUND(O384+X384+Y384+GK384,2)+GX384</f>
        <v>22232.58</v>
      </c>
      <c r="GN384">
        <f>IF(OR(BI384=0,BI384=1),ROUND(O384+X384+Y384+GK384,2),0)</f>
        <v>0</v>
      </c>
      <c r="GO384">
        <f>IF(BI384=2,ROUND(O384+X384+Y384+GK384,2),0)</f>
        <v>0</v>
      </c>
      <c r="GP384">
        <f>IF(BI384=4,ROUND(O384+X384+Y384+GK384,2)+GX384,0)</f>
        <v>22232.58</v>
      </c>
      <c r="GR384">
        <v>0</v>
      </c>
      <c r="GS384">
        <v>3</v>
      </c>
      <c r="GT384">
        <v>0</v>
      </c>
      <c r="GU384" t="s">
        <v>3</v>
      </c>
      <c r="GV384">
        <f t="shared" si="309"/>
        <v>0</v>
      </c>
      <c r="GW384">
        <v>1</v>
      </c>
      <c r="GX384">
        <f t="shared" si="310"/>
        <v>0</v>
      </c>
      <c r="HA384">
        <v>0</v>
      </c>
      <c r="HB384">
        <v>0</v>
      </c>
      <c r="HC384">
        <f t="shared" si="311"/>
        <v>0</v>
      </c>
      <c r="HE384" t="s">
        <v>3</v>
      </c>
      <c r="HF384" t="s">
        <v>3</v>
      </c>
      <c r="IK384">
        <v>0</v>
      </c>
    </row>
    <row r="385" spans="1:245" x14ac:dyDescent="0.2">
      <c r="A385">
        <v>17</v>
      </c>
      <c r="B385">
        <v>1</v>
      </c>
      <c r="C385">
        <f>ROW(SmtRes!A123)</f>
        <v>123</v>
      </c>
      <c r="D385">
        <f>ROW(EtalonRes!A120)</f>
        <v>120</v>
      </c>
      <c r="E385" t="s">
        <v>268</v>
      </c>
      <c r="F385" t="s">
        <v>223</v>
      </c>
      <c r="G385" t="s">
        <v>224</v>
      </c>
      <c r="H385" t="s">
        <v>225</v>
      </c>
      <c r="I385">
        <v>0</v>
      </c>
      <c r="J385">
        <v>0</v>
      </c>
      <c r="O385">
        <f t="shared" si="278"/>
        <v>0</v>
      </c>
      <c r="P385">
        <f t="shared" si="279"/>
        <v>0</v>
      </c>
      <c r="Q385">
        <f t="shared" si="280"/>
        <v>0</v>
      </c>
      <c r="R385">
        <f t="shared" si="281"/>
        <v>0</v>
      </c>
      <c r="S385">
        <f t="shared" si="282"/>
        <v>0</v>
      </c>
      <c r="T385">
        <f t="shared" si="283"/>
        <v>0</v>
      </c>
      <c r="U385">
        <f t="shared" si="284"/>
        <v>0</v>
      </c>
      <c r="V385">
        <f t="shared" si="285"/>
        <v>0</v>
      </c>
      <c r="W385">
        <f t="shared" si="286"/>
        <v>0</v>
      </c>
      <c r="X385">
        <f t="shared" si="287"/>
        <v>0</v>
      </c>
      <c r="Y385">
        <f t="shared" si="288"/>
        <v>0</v>
      </c>
      <c r="AA385">
        <v>38214492</v>
      </c>
      <c r="AB385">
        <f t="shared" si="289"/>
        <v>140.43</v>
      </c>
      <c r="AC385">
        <f>ROUND((ES385),6)</f>
        <v>62.37</v>
      </c>
      <c r="AD385">
        <f>ROUND((((ET385)-(EU385))+AE385),6)</f>
        <v>3.71</v>
      </c>
      <c r="AE385">
        <f>ROUND((EU385),6)</f>
        <v>1.41</v>
      </c>
      <c r="AF385">
        <f>ROUND((EV385),6)</f>
        <v>74.349999999999994</v>
      </c>
      <c r="AG385">
        <f t="shared" si="293"/>
        <v>0</v>
      </c>
      <c r="AH385">
        <f>(EW385)</f>
        <v>0.37</v>
      </c>
      <c r="AI385">
        <f>(EX385)</f>
        <v>0</v>
      </c>
      <c r="AJ385">
        <f t="shared" si="295"/>
        <v>0</v>
      </c>
      <c r="AK385">
        <v>140.43</v>
      </c>
      <c r="AL385">
        <v>62.37</v>
      </c>
      <c r="AM385">
        <v>3.71</v>
      </c>
      <c r="AN385">
        <v>1.41</v>
      </c>
      <c r="AO385">
        <v>74.349999999999994</v>
      </c>
      <c r="AP385">
        <v>0</v>
      </c>
      <c r="AQ385">
        <v>0.37</v>
      </c>
      <c r="AR385">
        <v>0</v>
      </c>
      <c r="AS385">
        <v>0</v>
      </c>
      <c r="AT385">
        <v>70</v>
      </c>
      <c r="AU385">
        <v>10</v>
      </c>
      <c r="AV385">
        <v>1</v>
      </c>
      <c r="AW385">
        <v>1</v>
      </c>
      <c r="AZ385">
        <v>1</v>
      </c>
      <c r="BA385">
        <v>1</v>
      </c>
      <c r="BB385">
        <v>1</v>
      </c>
      <c r="BC385">
        <v>1</v>
      </c>
      <c r="BD385" t="s">
        <v>3</v>
      </c>
      <c r="BE385" t="s">
        <v>3</v>
      </c>
      <c r="BF385" t="s">
        <v>3</v>
      </c>
      <c r="BG385" t="s">
        <v>3</v>
      </c>
      <c r="BH385">
        <v>0</v>
      </c>
      <c r="BI385">
        <v>4</v>
      </c>
      <c r="BJ385" t="s">
        <v>226</v>
      </c>
      <c r="BM385">
        <v>0</v>
      </c>
      <c r="BN385">
        <v>0</v>
      </c>
      <c r="BO385" t="s">
        <v>3</v>
      </c>
      <c r="BP385">
        <v>0</v>
      </c>
      <c r="BQ385">
        <v>1</v>
      </c>
      <c r="BR385">
        <v>0</v>
      </c>
      <c r="BS385">
        <v>1</v>
      </c>
      <c r="BT385">
        <v>1</v>
      </c>
      <c r="BU385">
        <v>1</v>
      </c>
      <c r="BV385">
        <v>1</v>
      </c>
      <c r="BW385">
        <v>1</v>
      </c>
      <c r="BX385">
        <v>1</v>
      </c>
      <c r="BY385" t="s">
        <v>3</v>
      </c>
      <c r="BZ385">
        <v>70</v>
      </c>
      <c r="CA385">
        <v>10</v>
      </c>
      <c r="CE385">
        <v>0</v>
      </c>
      <c r="CF385">
        <v>0</v>
      </c>
      <c r="CG385">
        <v>0</v>
      </c>
      <c r="CM385">
        <v>0</v>
      </c>
      <c r="CN385" t="s">
        <v>3</v>
      </c>
      <c r="CO385">
        <v>0</v>
      </c>
      <c r="CP385">
        <f t="shared" si="296"/>
        <v>0</v>
      </c>
      <c r="CQ385">
        <f t="shared" si="297"/>
        <v>62.37</v>
      </c>
      <c r="CR385">
        <f>((((ET385)*BB385-(EU385)*BS385)+AE385*BS385)*AV385)</f>
        <v>3.71</v>
      </c>
      <c r="CS385">
        <f t="shared" si="299"/>
        <v>1.41</v>
      </c>
      <c r="CT385">
        <f t="shared" si="300"/>
        <v>74.349999999999994</v>
      </c>
      <c r="CU385">
        <f t="shared" si="301"/>
        <v>0</v>
      </c>
      <c r="CV385">
        <f t="shared" si="302"/>
        <v>0.37</v>
      </c>
      <c r="CW385">
        <f t="shared" si="303"/>
        <v>0</v>
      </c>
      <c r="CX385">
        <f t="shared" si="304"/>
        <v>0</v>
      </c>
      <c r="CY385">
        <f t="shared" si="305"/>
        <v>0</v>
      </c>
      <c r="CZ385">
        <f t="shared" si="306"/>
        <v>0</v>
      </c>
      <c r="DC385" t="s">
        <v>3</v>
      </c>
      <c r="DD385" t="s">
        <v>3</v>
      </c>
      <c r="DE385" t="s">
        <v>3</v>
      </c>
      <c r="DF385" t="s">
        <v>3</v>
      </c>
      <c r="DG385" t="s">
        <v>3</v>
      </c>
      <c r="DH385" t="s">
        <v>3</v>
      </c>
      <c r="DI385" t="s">
        <v>3</v>
      </c>
      <c r="DJ385" t="s">
        <v>3</v>
      </c>
      <c r="DK385" t="s">
        <v>3</v>
      </c>
      <c r="DL385" t="s">
        <v>3</v>
      </c>
      <c r="DM385" t="s">
        <v>3</v>
      </c>
      <c r="DN385">
        <v>0</v>
      </c>
      <c r="DO385">
        <v>0</v>
      </c>
      <c r="DP385">
        <v>1</v>
      </c>
      <c r="DQ385">
        <v>1</v>
      </c>
      <c r="DU385">
        <v>1005</v>
      </c>
      <c r="DV385" t="s">
        <v>225</v>
      </c>
      <c r="DW385" t="s">
        <v>225</v>
      </c>
      <c r="DX385">
        <v>1</v>
      </c>
      <c r="EE385">
        <v>38628631</v>
      </c>
      <c r="EF385">
        <v>1</v>
      </c>
      <c r="EG385" t="s">
        <v>24</v>
      </c>
      <c r="EH385">
        <v>0</v>
      </c>
      <c r="EI385" t="s">
        <v>3</v>
      </c>
      <c r="EJ385">
        <v>4</v>
      </c>
      <c r="EK385">
        <v>0</v>
      </c>
      <c r="EL385" t="s">
        <v>25</v>
      </c>
      <c r="EM385" t="s">
        <v>26</v>
      </c>
      <c r="EO385" t="s">
        <v>3</v>
      </c>
      <c r="EQ385">
        <v>0</v>
      </c>
      <c r="ER385">
        <v>140.43</v>
      </c>
      <c r="ES385">
        <v>62.37</v>
      </c>
      <c r="ET385">
        <v>3.71</v>
      </c>
      <c r="EU385">
        <v>1.41</v>
      </c>
      <c r="EV385">
        <v>74.349999999999994</v>
      </c>
      <c r="EW385">
        <v>0.37</v>
      </c>
      <c r="EX385">
        <v>0</v>
      </c>
      <c r="EY385">
        <v>0</v>
      </c>
      <c r="FQ385">
        <v>0</v>
      </c>
      <c r="FR385">
        <f t="shared" si="307"/>
        <v>0</v>
      </c>
      <c r="FS385">
        <v>0</v>
      </c>
      <c r="FX385">
        <v>70</v>
      </c>
      <c r="FY385">
        <v>10</v>
      </c>
      <c r="GA385" t="s">
        <v>3</v>
      </c>
      <c r="GD385">
        <v>0</v>
      </c>
      <c r="GF385">
        <v>1783203198</v>
      </c>
      <c r="GG385">
        <v>2</v>
      </c>
      <c r="GH385">
        <v>1</v>
      </c>
      <c r="GI385">
        <v>-2</v>
      </c>
      <c r="GJ385">
        <v>0</v>
      </c>
      <c r="GK385">
        <f>ROUND(R385*(R12)/100,2)</f>
        <v>0</v>
      </c>
      <c r="GL385">
        <f t="shared" si="308"/>
        <v>0</v>
      </c>
      <c r="GM385">
        <f>ROUND(O385+X385+Y385+GK385,2)+GX385</f>
        <v>0</v>
      </c>
      <c r="GN385">
        <f>IF(OR(BI385=0,BI385=1),ROUND(O385+X385+Y385+GK385,2),0)</f>
        <v>0</v>
      </c>
      <c r="GO385">
        <f>IF(BI385=2,ROUND(O385+X385+Y385+GK385,2),0)</f>
        <v>0</v>
      </c>
      <c r="GP385">
        <f>IF(BI385=4,ROUND(O385+X385+Y385+GK385,2)+GX385,0)</f>
        <v>0</v>
      </c>
      <c r="GR385">
        <v>0</v>
      </c>
      <c r="GS385">
        <v>3</v>
      </c>
      <c r="GT385">
        <v>0</v>
      </c>
      <c r="GU385" t="s">
        <v>3</v>
      </c>
      <c r="GV385">
        <f t="shared" si="309"/>
        <v>0</v>
      </c>
      <c r="GW385">
        <v>1</v>
      </c>
      <c r="GX385">
        <f t="shared" si="310"/>
        <v>0</v>
      </c>
      <c r="HA385">
        <v>0</v>
      </c>
      <c r="HB385">
        <v>0</v>
      </c>
      <c r="HC385">
        <f t="shared" si="311"/>
        <v>0</v>
      </c>
      <c r="HE385" t="s">
        <v>3</v>
      </c>
      <c r="HF385" t="s">
        <v>3</v>
      </c>
      <c r="IK385">
        <v>0</v>
      </c>
    </row>
    <row r="387" spans="1:245" x14ac:dyDescent="0.2">
      <c r="A387" s="2">
        <v>51</v>
      </c>
      <c r="B387" s="2">
        <f>B369</f>
        <v>1</v>
      </c>
      <c r="C387" s="2">
        <f>A369</f>
        <v>5</v>
      </c>
      <c r="D387" s="2">
        <f>ROW(A369)</f>
        <v>369</v>
      </c>
      <c r="E387" s="2"/>
      <c r="F387" s="2" t="str">
        <f>IF(F369&lt;&gt;"",F369,"")</f>
        <v>Новый подраздел</v>
      </c>
      <c r="G387" s="2" t="str">
        <f>IF(G369&lt;&gt;"",G369,"")</f>
        <v>Устройство покрытия</v>
      </c>
      <c r="H387" s="2">
        <v>0</v>
      </c>
      <c r="I387" s="2"/>
      <c r="J387" s="2"/>
      <c r="K387" s="2"/>
      <c r="L387" s="2"/>
      <c r="M387" s="2"/>
      <c r="N387" s="2"/>
      <c r="O387" s="2">
        <f t="shared" ref="O387:T387" si="314">ROUND(AB387,2)</f>
        <v>25217.14</v>
      </c>
      <c r="P387" s="2">
        <f t="shared" si="314"/>
        <v>17912.400000000001</v>
      </c>
      <c r="Q387" s="2">
        <f t="shared" si="314"/>
        <v>5238.7700000000004</v>
      </c>
      <c r="R387" s="2">
        <f t="shared" si="314"/>
        <v>2842.92</v>
      </c>
      <c r="S387" s="2">
        <f t="shared" si="314"/>
        <v>2065.9699999999998</v>
      </c>
      <c r="T387" s="2">
        <f t="shared" si="314"/>
        <v>0</v>
      </c>
      <c r="U387" s="2">
        <f>AH387</f>
        <v>11.691269999999999</v>
      </c>
      <c r="V387" s="2">
        <f>AI387</f>
        <v>0</v>
      </c>
      <c r="W387" s="2">
        <f>ROUND(AJ387,2)</f>
        <v>0</v>
      </c>
      <c r="X387" s="2">
        <f>ROUND(AK387,2)</f>
        <v>1446.18</v>
      </c>
      <c r="Y387" s="2">
        <f>ROUND(AL387,2)</f>
        <v>206.6</v>
      </c>
      <c r="Z387" s="2"/>
      <c r="AA387" s="2"/>
      <c r="AB387" s="2">
        <f>ROUND(SUMIF(AA373:AA385,"=38214492",O373:O385),2)</f>
        <v>25217.14</v>
      </c>
      <c r="AC387" s="2">
        <f>ROUND(SUMIF(AA373:AA385,"=38214492",P373:P385),2)</f>
        <v>17912.400000000001</v>
      </c>
      <c r="AD387" s="2">
        <f>ROUND(SUMIF(AA373:AA385,"=38214492",Q373:Q385),2)</f>
        <v>5238.7700000000004</v>
      </c>
      <c r="AE387" s="2">
        <f>ROUND(SUMIF(AA373:AA385,"=38214492",R373:R385),2)</f>
        <v>2842.92</v>
      </c>
      <c r="AF387" s="2">
        <f>ROUND(SUMIF(AA373:AA385,"=38214492",S373:S385),2)</f>
        <v>2065.9699999999998</v>
      </c>
      <c r="AG387" s="2">
        <f>ROUND(SUMIF(AA373:AA385,"=38214492",T373:T385),2)</f>
        <v>0</v>
      </c>
      <c r="AH387" s="2">
        <f>SUMIF(AA373:AA385,"=38214492",U373:U385)</f>
        <v>11.691269999999999</v>
      </c>
      <c r="AI387" s="2">
        <f>SUMIF(AA373:AA385,"=38214492",V373:V385)</f>
        <v>0</v>
      </c>
      <c r="AJ387" s="2">
        <f>ROUND(SUMIF(AA373:AA385,"=38214492",W373:W385),2)</f>
        <v>0</v>
      </c>
      <c r="AK387" s="2">
        <f>ROUND(SUMIF(AA373:AA385,"=38214492",X373:X385),2)</f>
        <v>1446.18</v>
      </c>
      <c r="AL387" s="2">
        <f>ROUND(SUMIF(AA373:AA385,"=38214492",Y373:Y385),2)</f>
        <v>206.6</v>
      </c>
      <c r="AM387" s="2"/>
      <c r="AN387" s="2"/>
      <c r="AO387" s="2">
        <f t="shared" ref="AO387:BD387" si="315">ROUND(BX387,2)</f>
        <v>0</v>
      </c>
      <c r="AP387" s="2">
        <f t="shared" si="315"/>
        <v>0</v>
      </c>
      <c r="AQ387" s="2">
        <f t="shared" si="315"/>
        <v>0</v>
      </c>
      <c r="AR387" s="2">
        <f t="shared" si="315"/>
        <v>29354.23</v>
      </c>
      <c r="AS387" s="2">
        <f t="shared" si="315"/>
        <v>0</v>
      </c>
      <c r="AT387" s="2">
        <f t="shared" si="315"/>
        <v>0</v>
      </c>
      <c r="AU387" s="2">
        <f t="shared" si="315"/>
        <v>29354.23</v>
      </c>
      <c r="AV387" s="2">
        <f t="shared" si="315"/>
        <v>17912.400000000001</v>
      </c>
      <c r="AW387" s="2">
        <f t="shared" si="315"/>
        <v>17912.400000000001</v>
      </c>
      <c r="AX387" s="2">
        <f t="shared" si="315"/>
        <v>0</v>
      </c>
      <c r="AY387" s="2">
        <f t="shared" si="315"/>
        <v>17912.400000000001</v>
      </c>
      <c r="AZ387" s="2">
        <f t="shared" si="315"/>
        <v>0</v>
      </c>
      <c r="BA387" s="2">
        <f t="shared" si="315"/>
        <v>0</v>
      </c>
      <c r="BB387" s="2">
        <f t="shared" si="315"/>
        <v>0</v>
      </c>
      <c r="BC387" s="2">
        <f t="shared" si="315"/>
        <v>0</v>
      </c>
      <c r="BD387" s="2">
        <f t="shared" si="315"/>
        <v>0</v>
      </c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>
        <f>ROUND(SUMIF(AA373:AA385,"=38214492",FQ373:FQ385),2)</f>
        <v>0</v>
      </c>
      <c r="BY387" s="2">
        <f>ROUND(SUMIF(AA373:AA385,"=38214492",FR373:FR385),2)</f>
        <v>0</v>
      </c>
      <c r="BZ387" s="2">
        <f>ROUND(SUMIF(AA373:AA385,"=38214492",GL373:GL385),2)</f>
        <v>0</v>
      </c>
      <c r="CA387" s="2">
        <f>ROUND(SUMIF(AA373:AA385,"=38214492",GM373:GM385),2)</f>
        <v>29354.23</v>
      </c>
      <c r="CB387" s="2">
        <f>ROUND(SUMIF(AA373:AA385,"=38214492",GN373:GN385),2)</f>
        <v>0</v>
      </c>
      <c r="CC387" s="2">
        <f>ROUND(SUMIF(AA373:AA385,"=38214492",GO373:GO385),2)</f>
        <v>0</v>
      </c>
      <c r="CD387" s="2">
        <f>ROUND(SUMIF(AA373:AA385,"=38214492",GP373:GP385),2)</f>
        <v>29354.23</v>
      </c>
      <c r="CE387" s="2">
        <f>AC387-BX387</f>
        <v>17912.400000000001</v>
      </c>
      <c r="CF387" s="2">
        <f>AC387-BY387</f>
        <v>17912.400000000001</v>
      </c>
      <c r="CG387" s="2">
        <f>BX387-BZ387</f>
        <v>0</v>
      </c>
      <c r="CH387" s="2">
        <f>AC387-BX387-BY387+BZ387</f>
        <v>17912.400000000001</v>
      </c>
      <c r="CI387" s="2">
        <f>BY387-BZ387</f>
        <v>0</v>
      </c>
      <c r="CJ387" s="2">
        <f>ROUND(SUMIF(AA373:AA385,"=38214492",GX373:GX385),2)</f>
        <v>0</v>
      </c>
      <c r="CK387" s="2">
        <f>ROUND(SUMIF(AA373:AA385,"=38214492",GY373:GY385),2)</f>
        <v>0</v>
      </c>
      <c r="CL387" s="2">
        <f>ROUND(SUMIF(AA373:AA385,"=38214492",GZ373:GZ385),2)</f>
        <v>0</v>
      </c>
      <c r="CM387" s="2">
        <f>ROUND(SUMIF(AA373:AA385,"=38214492",HD373:HD385),2)</f>
        <v>0</v>
      </c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  <c r="DR387" s="3"/>
      <c r="DS387" s="3"/>
      <c r="DT387" s="3"/>
      <c r="DU387" s="3"/>
      <c r="DV387" s="3"/>
      <c r="DW387" s="3"/>
      <c r="DX387" s="3"/>
      <c r="DY387" s="3"/>
      <c r="DZ387" s="3"/>
      <c r="EA387" s="3"/>
      <c r="EB387" s="3"/>
      <c r="EC387" s="3"/>
      <c r="ED387" s="3"/>
      <c r="EE387" s="3"/>
      <c r="EF387" s="3"/>
      <c r="EG387" s="3"/>
      <c r="EH387" s="3"/>
      <c r="EI387" s="3"/>
      <c r="EJ387" s="3"/>
      <c r="EK387" s="3"/>
      <c r="EL387" s="3"/>
      <c r="EM387" s="3"/>
      <c r="EN387" s="3"/>
      <c r="EO387" s="3"/>
      <c r="EP387" s="3"/>
      <c r="EQ387" s="3"/>
      <c r="ER387" s="3"/>
      <c r="ES387" s="3"/>
      <c r="ET387" s="3"/>
      <c r="EU387" s="3"/>
      <c r="EV387" s="3"/>
      <c r="EW387" s="3"/>
      <c r="EX387" s="3"/>
      <c r="EY387" s="3"/>
      <c r="EZ387" s="3"/>
      <c r="FA387" s="3"/>
      <c r="FB387" s="3"/>
      <c r="FC387" s="3"/>
      <c r="FD387" s="3"/>
      <c r="FE387" s="3"/>
      <c r="FF387" s="3"/>
      <c r="FG387" s="3"/>
      <c r="FH387" s="3"/>
      <c r="FI387" s="3"/>
      <c r="FJ387" s="3"/>
      <c r="FK387" s="3"/>
      <c r="FL387" s="3"/>
      <c r="FM387" s="3"/>
      <c r="FN387" s="3"/>
      <c r="FO387" s="3"/>
      <c r="FP387" s="3"/>
      <c r="FQ387" s="3"/>
      <c r="FR387" s="3"/>
      <c r="FS387" s="3"/>
      <c r="FT387" s="3"/>
      <c r="FU387" s="3"/>
      <c r="FV387" s="3"/>
      <c r="FW387" s="3"/>
      <c r="FX387" s="3"/>
      <c r="FY387" s="3"/>
      <c r="FZ387" s="3"/>
      <c r="GA387" s="3"/>
      <c r="GB387" s="3"/>
      <c r="GC387" s="3"/>
      <c r="GD387" s="3"/>
      <c r="GE387" s="3"/>
      <c r="GF387" s="3"/>
      <c r="GG387" s="3"/>
      <c r="GH387" s="3"/>
      <c r="GI387" s="3"/>
      <c r="GJ387" s="3"/>
      <c r="GK387" s="3"/>
      <c r="GL387" s="3"/>
      <c r="GM387" s="3"/>
      <c r="GN387" s="3"/>
      <c r="GO387" s="3"/>
      <c r="GP387" s="3"/>
      <c r="GQ387" s="3"/>
      <c r="GR387" s="3"/>
      <c r="GS387" s="3"/>
      <c r="GT387" s="3"/>
      <c r="GU387" s="3"/>
      <c r="GV387" s="3"/>
      <c r="GW387" s="3"/>
      <c r="GX387" s="3">
        <v>0</v>
      </c>
    </row>
    <row r="389" spans="1:245" x14ac:dyDescent="0.2">
      <c r="A389" s="4">
        <v>50</v>
      </c>
      <c r="B389" s="4">
        <v>0</v>
      </c>
      <c r="C389" s="4">
        <v>0</v>
      </c>
      <c r="D389" s="4">
        <v>1</v>
      </c>
      <c r="E389" s="4">
        <v>201</v>
      </c>
      <c r="F389" s="4">
        <f>ROUND(Source!O387,O389)</f>
        <v>25217.14</v>
      </c>
      <c r="G389" s="4" t="s">
        <v>56</v>
      </c>
      <c r="H389" s="4" t="s">
        <v>57</v>
      </c>
      <c r="I389" s="4"/>
      <c r="J389" s="4"/>
      <c r="K389" s="4">
        <v>201</v>
      </c>
      <c r="L389" s="4">
        <v>1</v>
      </c>
      <c r="M389" s="4">
        <v>3</v>
      </c>
      <c r="N389" s="4" t="s">
        <v>3</v>
      </c>
      <c r="O389" s="4">
        <v>2</v>
      </c>
      <c r="P389" s="4"/>
      <c r="Q389" s="4"/>
      <c r="R389" s="4"/>
      <c r="S389" s="4"/>
      <c r="T389" s="4"/>
      <c r="U389" s="4"/>
      <c r="V389" s="4"/>
      <c r="W389" s="4"/>
    </row>
    <row r="390" spans="1:245" x14ac:dyDescent="0.2">
      <c r="A390" s="4">
        <v>50</v>
      </c>
      <c r="B390" s="4">
        <v>0</v>
      </c>
      <c r="C390" s="4">
        <v>0</v>
      </c>
      <c r="D390" s="4">
        <v>1</v>
      </c>
      <c r="E390" s="4">
        <v>202</v>
      </c>
      <c r="F390" s="4">
        <f>ROUND(Source!P387,O390)</f>
        <v>17912.400000000001</v>
      </c>
      <c r="G390" s="4" t="s">
        <v>58</v>
      </c>
      <c r="H390" s="4" t="s">
        <v>59</v>
      </c>
      <c r="I390" s="4"/>
      <c r="J390" s="4"/>
      <c r="K390" s="4">
        <v>202</v>
      </c>
      <c r="L390" s="4">
        <v>2</v>
      </c>
      <c r="M390" s="4">
        <v>3</v>
      </c>
      <c r="N390" s="4" t="s">
        <v>3</v>
      </c>
      <c r="O390" s="4">
        <v>2</v>
      </c>
      <c r="P390" s="4"/>
      <c r="Q390" s="4"/>
      <c r="R390" s="4"/>
      <c r="S390" s="4"/>
      <c r="T390" s="4"/>
      <c r="U390" s="4"/>
      <c r="V390" s="4"/>
      <c r="W390" s="4"/>
    </row>
    <row r="391" spans="1:245" x14ac:dyDescent="0.2">
      <c r="A391" s="4">
        <v>50</v>
      </c>
      <c r="B391" s="4">
        <v>0</v>
      </c>
      <c r="C391" s="4">
        <v>0</v>
      </c>
      <c r="D391" s="4">
        <v>1</v>
      </c>
      <c r="E391" s="4">
        <v>222</v>
      </c>
      <c r="F391" s="4">
        <f>ROUND(Source!AO387,O391)</f>
        <v>0</v>
      </c>
      <c r="G391" s="4" t="s">
        <v>60</v>
      </c>
      <c r="H391" s="4" t="s">
        <v>61</v>
      </c>
      <c r="I391" s="4"/>
      <c r="J391" s="4"/>
      <c r="K391" s="4">
        <v>222</v>
      </c>
      <c r="L391" s="4">
        <v>3</v>
      </c>
      <c r="M391" s="4">
        <v>3</v>
      </c>
      <c r="N391" s="4" t="s">
        <v>3</v>
      </c>
      <c r="O391" s="4">
        <v>2</v>
      </c>
      <c r="P391" s="4"/>
      <c r="Q391" s="4"/>
      <c r="R391" s="4"/>
      <c r="S391" s="4"/>
      <c r="T391" s="4"/>
      <c r="U391" s="4"/>
      <c r="V391" s="4"/>
      <c r="W391" s="4"/>
    </row>
    <row r="392" spans="1:245" x14ac:dyDescent="0.2">
      <c r="A392" s="4">
        <v>50</v>
      </c>
      <c r="B392" s="4">
        <v>0</v>
      </c>
      <c r="C392" s="4">
        <v>0</v>
      </c>
      <c r="D392" s="4">
        <v>1</v>
      </c>
      <c r="E392" s="4">
        <v>225</v>
      </c>
      <c r="F392" s="4">
        <f>ROUND(Source!AV387,O392)</f>
        <v>17912.400000000001</v>
      </c>
      <c r="G392" s="4" t="s">
        <v>62</v>
      </c>
      <c r="H392" s="4" t="s">
        <v>63</v>
      </c>
      <c r="I392" s="4"/>
      <c r="J392" s="4"/>
      <c r="K392" s="4">
        <v>225</v>
      </c>
      <c r="L392" s="4">
        <v>4</v>
      </c>
      <c r="M392" s="4">
        <v>3</v>
      </c>
      <c r="N392" s="4" t="s">
        <v>3</v>
      </c>
      <c r="O392" s="4">
        <v>2</v>
      </c>
      <c r="P392" s="4"/>
      <c r="Q392" s="4"/>
      <c r="R392" s="4"/>
      <c r="S392" s="4"/>
      <c r="T392" s="4"/>
      <c r="U392" s="4"/>
      <c r="V392" s="4"/>
      <c r="W392" s="4"/>
    </row>
    <row r="393" spans="1:245" x14ac:dyDescent="0.2">
      <c r="A393" s="4">
        <v>50</v>
      </c>
      <c r="B393" s="4">
        <v>0</v>
      </c>
      <c r="C393" s="4">
        <v>0</v>
      </c>
      <c r="D393" s="4">
        <v>1</v>
      </c>
      <c r="E393" s="4">
        <v>226</v>
      </c>
      <c r="F393" s="4">
        <f>ROUND(Source!AW387,O393)</f>
        <v>17912.400000000001</v>
      </c>
      <c r="G393" s="4" t="s">
        <v>64</v>
      </c>
      <c r="H393" s="4" t="s">
        <v>65</v>
      </c>
      <c r="I393" s="4"/>
      <c r="J393" s="4"/>
      <c r="K393" s="4">
        <v>226</v>
      </c>
      <c r="L393" s="4">
        <v>5</v>
      </c>
      <c r="M393" s="4">
        <v>3</v>
      </c>
      <c r="N393" s="4" t="s">
        <v>3</v>
      </c>
      <c r="O393" s="4">
        <v>2</v>
      </c>
      <c r="P393" s="4"/>
      <c r="Q393" s="4"/>
      <c r="R393" s="4"/>
      <c r="S393" s="4"/>
      <c r="T393" s="4"/>
      <c r="U393" s="4"/>
      <c r="V393" s="4"/>
      <c r="W393" s="4"/>
    </row>
    <row r="394" spans="1:245" x14ac:dyDescent="0.2">
      <c r="A394" s="4">
        <v>50</v>
      </c>
      <c r="B394" s="4">
        <v>0</v>
      </c>
      <c r="C394" s="4">
        <v>0</v>
      </c>
      <c r="D394" s="4">
        <v>1</v>
      </c>
      <c r="E394" s="4">
        <v>227</v>
      </c>
      <c r="F394" s="4">
        <f>ROUND(Source!AX387,O394)</f>
        <v>0</v>
      </c>
      <c r="G394" s="4" t="s">
        <v>66</v>
      </c>
      <c r="H394" s="4" t="s">
        <v>67</v>
      </c>
      <c r="I394" s="4"/>
      <c r="J394" s="4"/>
      <c r="K394" s="4">
        <v>227</v>
      </c>
      <c r="L394" s="4">
        <v>6</v>
      </c>
      <c r="M394" s="4">
        <v>3</v>
      </c>
      <c r="N394" s="4" t="s">
        <v>3</v>
      </c>
      <c r="O394" s="4">
        <v>2</v>
      </c>
      <c r="P394" s="4"/>
      <c r="Q394" s="4"/>
      <c r="R394" s="4"/>
      <c r="S394" s="4"/>
      <c r="T394" s="4"/>
      <c r="U394" s="4"/>
      <c r="V394" s="4"/>
      <c r="W394" s="4"/>
    </row>
    <row r="395" spans="1:245" x14ac:dyDescent="0.2">
      <c r="A395" s="4">
        <v>50</v>
      </c>
      <c r="B395" s="4">
        <v>0</v>
      </c>
      <c r="C395" s="4">
        <v>0</v>
      </c>
      <c r="D395" s="4">
        <v>1</v>
      </c>
      <c r="E395" s="4">
        <v>228</v>
      </c>
      <c r="F395" s="4">
        <f>ROUND(Source!AY387,O395)</f>
        <v>17912.400000000001</v>
      </c>
      <c r="G395" s="4" t="s">
        <v>68</v>
      </c>
      <c r="H395" s="4" t="s">
        <v>69</v>
      </c>
      <c r="I395" s="4"/>
      <c r="J395" s="4"/>
      <c r="K395" s="4">
        <v>228</v>
      </c>
      <c r="L395" s="4">
        <v>7</v>
      </c>
      <c r="M395" s="4">
        <v>3</v>
      </c>
      <c r="N395" s="4" t="s">
        <v>3</v>
      </c>
      <c r="O395" s="4">
        <v>2</v>
      </c>
      <c r="P395" s="4"/>
      <c r="Q395" s="4"/>
      <c r="R395" s="4"/>
      <c r="S395" s="4"/>
      <c r="T395" s="4"/>
      <c r="U395" s="4"/>
      <c r="V395" s="4"/>
      <c r="W395" s="4"/>
    </row>
    <row r="396" spans="1:245" x14ac:dyDescent="0.2">
      <c r="A396" s="4">
        <v>50</v>
      </c>
      <c r="B396" s="4">
        <v>0</v>
      </c>
      <c r="C396" s="4">
        <v>0</v>
      </c>
      <c r="D396" s="4">
        <v>1</v>
      </c>
      <c r="E396" s="4">
        <v>216</v>
      </c>
      <c r="F396" s="4">
        <f>ROUND(Source!AP387,O396)</f>
        <v>0</v>
      </c>
      <c r="G396" s="4" t="s">
        <v>70</v>
      </c>
      <c r="H396" s="4" t="s">
        <v>71</v>
      </c>
      <c r="I396" s="4"/>
      <c r="J396" s="4"/>
      <c r="K396" s="4">
        <v>216</v>
      </c>
      <c r="L396" s="4">
        <v>8</v>
      </c>
      <c r="M396" s="4">
        <v>3</v>
      </c>
      <c r="N396" s="4" t="s">
        <v>3</v>
      </c>
      <c r="O396" s="4">
        <v>2</v>
      </c>
      <c r="P396" s="4"/>
      <c r="Q396" s="4"/>
      <c r="R396" s="4"/>
      <c r="S396" s="4"/>
      <c r="T396" s="4"/>
      <c r="U396" s="4"/>
      <c r="V396" s="4"/>
      <c r="W396" s="4"/>
    </row>
    <row r="397" spans="1:245" x14ac:dyDescent="0.2">
      <c r="A397" s="4">
        <v>50</v>
      </c>
      <c r="B397" s="4">
        <v>0</v>
      </c>
      <c r="C397" s="4">
        <v>0</v>
      </c>
      <c r="D397" s="4">
        <v>1</v>
      </c>
      <c r="E397" s="4">
        <v>223</v>
      </c>
      <c r="F397" s="4">
        <f>ROUND(Source!AQ387,O397)</f>
        <v>0</v>
      </c>
      <c r="G397" s="4" t="s">
        <v>72</v>
      </c>
      <c r="H397" s="4" t="s">
        <v>73</v>
      </c>
      <c r="I397" s="4"/>
      <c r="J397" s="4"/>
      <c r="K397" s="4">
        <v>223</v>
      </c>
      <c r="L397" s="4">
        <v>9</v>
      </c>
      <c r="M397" s="4">
        <v>3</v>
      </c>
      <c r="N397" s="4" t="s">
        <v>3</v>
      </c>
      <c r="O397" s="4">
        <v>2</v>
      </c>
      <c r="P397" s="4"/>
      <c r="Q397" s="4"/>
      <c r="R397" s="4"/>
      <c r="S397" s="4"/>
      <c r="T397" s="4"/>
      <c r="U397" s="4"/>
      <c r="V397" s="4"/>
      <c r="W397" s="4"/>
    </row>
    <row r="398" spans="1:245" x14ac:dyDescent="0.2">
      <c r="A398" s="4">
        <v>50</v>
      </c>
      <c r="B398" s="4">
        <v>0</v>
      </c>
      <c r="C398" s="4">
        <v>0</v>
      </c>
      <c r="D398" s="4">
        <v>1</v>
      </c>
      <c r="E398" s="4">
        <v>229</v>
      </c>
      <c r="F398" s="4">
        <f>ROUND(Source!AZ387,O398)</f>
        <v>0</v>
      </c>
      <c r="G398" s="4" t="s">
        <v>74</v>
      </c>
      <c r="H398" s="4" t="s">
        <v>75</v>
      </c>
      <c r="I398" s="4"/>
      <c r="J398" s="4"/>
      <c r="K398" s="4">
        <v>229</v>
      </c>
      <c r="L398" s="4">
        <v>10</v>
      </c>
      <c r="M398" s="4">
        <v>3</v>
      </c>
      <c r="N398" s="4" t="s">
        <v>3</v>
      </c>
      <c r="O398" s="4">
        <v>2</v>
      </c>
      <c r="P398" s="4"/>
      <c r="Q398" s="4"/>
      <c r="R398" s="4"/>
      <c r="S398" s="4"/>
      <c r="T398" s="4"/>
      <c r="U398" s="4"/>
      <c r="V398" s="4"/>
      <c r="W398" s="4"/>
    </row>
    <row r="399" spans="1:245" x14ac:dyDescent="0.2">
      <c r="A399" s="4">
        <v>50</v>
      </c>
      <c r="B399" s="4">
        <v>0</v>
      </c>
      <c r="C399" s="4">
        <v>0</v>
      </c>
      <c r="D399" s="4">
        <v>1</v>
      </c>
      <c r="E399" s="4">
        <v>203</v>
      </c>
      <c r="F399" s="4">
        <f>ROUND(Source!Q387,O399)</f>
        <v>5238.7700000000004</v>
      </c>
      <c r="G399" s="4" t="s">
        <v>76</v>
      </c>
      <c r="H399" s="4" t="s">
        <v>77</v>
      </c>
      <c r="I399" s="4"/>
      <c r="J399" s="4"/>
      <c r="K399" s="4">
        <v>203</v>
      </c>
      <c r="L399" s="4">
        <v>11</v>
      </c>
      <c r="M399" s="4">
        <v>3</v>
      </c>
      <c r="N399" s="4" t="s">
        <v>3</v>
      </c>
      <c r="O399" s="4">
        <v>2</v>
      </c>
      <c r="P399" s="4"/>
      <c r="Q399" s="4"/>
      <c r="R399" s="4"/>
      <c r="S399" s="4"/>
      <c r="T399" s="4"/>
      <c r="U399" s="4"/>
      <c r="V399" s="4"/>
      <c r="W399" s="4"/>
    </row>
    <row r="400" spans="1:245" x14ac:dyDescent="0.2">
      <c r="A400" s="4">
        <v>50</v>
      </c>
      <c r="B400" s="4">
        <v>0</v>
      </c>
      <c r="C400" s="4">
        <v>0</v>
      </c>
      <c r="D400" s="4">
        <v>1</v>
      </c>
      <c r="E400" s="4">
        <v>231</v>
      </c>
      <c r="F400" s="4">
        <f>ROUND(Source!BB387,O400)</f>
        <v>0</v>
      </c>
      <c r="G400" s="4" t="s">
        <v>78</v>
      </c>
      <c r="H400" s="4" t="s">
        <v>79</v>
      </c>
      <c r="I400" s="4"/>
      <c r="J400" s="4"/>
      <c r="K400" s="4">
        <v>231</v>
      </c>
      <c r="L400" s="4">
        <v>12</v>
      </c>
      <c r="M400" s="4">
        <v>3</v>
      </c>
      <c r="N400" s="4" t="s">
        <v>3</v>
      </c>
      <c r="O400" s="4">
        <v>2</v>
      </c>
      <c r="P400" s="4"/>
      <c r="Q400" s="4"/>
      <c r="R400" s="4"/>
      <c r="S400" s="4"/>
      <c r="T400" s="4"/>
      <c r="U400" s="4"/>
      <c r="V400" s="4"/>
      <c r="W400" s="4"/>
    </row>
    <row r="401" spans="1:23" x14ac:dyDescent="0.2">
      <c r="A401" s="4">
        <v>50</v>
      </c>
      <c r="B401" s="4">
        <v>0</v>
      </c>
      <c r="C401" s="4">
        <v>0</v>
      </c>
      <c r="D401" s="4">
        <v>1</v>
      </c>
      <c r="E401" s="4">
        <v>204</v>
      </c>
      <c r="F401" s="4">
        <f>ROUND(Source!R387,O401)</f>
        <v>2842.92</v>
      </c>
      <c r="G401" s="4" t="s">
        <v>80</v>
      </c>
      <c r="H401" s="4" t="s">
        <v>81</v>
      </c>
      <c r="I401" s="4"/>
      <c r="J401" s="4"/>
      <c r="K401" s="4">
        <v>204</v>
      </c>
      <c r="L401" s="4">
        <v>13</v>
      </c>
      <c r="M401" s="4">
        <v>3</v>
      </c>
      <c r="N401" s="4" t="s">
        <v>3</v>
      </c>
      <c r="O401" s="4">
        <v>2</v>
      </c>
      <c r="P401" s="4"/>
      <c r="Q401" s="4"/>
      <c r="R401" s="4"/>
      <c r="S401" s="4"/>
      <c r="T401" s="4"/>
      <c r="U401" s="4"/>
      <c r="V401" s="4"/>
      <c r="W401" s="4"/>
    </row>
    <row r="402" spans="1:23" x14ac:dyDescent="0.2">
      <c r="A402" s="4">
        <v>50</v>
      </c>
      <c r="B402" s="4">
        <v>0</v>
      </c>
      <c r="C402" s="4">
        <v>0</v>
      </c>
      <c r="D402" s="4">
        <v>1</v>
      </c>
      <c r="E402" s="4">
        <v>205</v>
      </c>
      <c r="F402" s="4">
        <f>ROUND(Source!S387,O402)</f>
        <v>2065.9699999999998</v>
      </c>
      <c r="G402" s="4" t="s">
        <v>82</v>
      </c>
      <c r="H402" s="4" t="s">
        <v>83</v>
      </c>
      <c r="I402" s="4"/>
      <c r="J402" s="4"/>
      <c r="K402" s="4">
        <v>205</v>
      </c>
      <c r="L402" s="4">
        <v>14</v>
      </c>
      <c r="M402" s="4">
        <v>3</v>
      </c>
      <c r="N402" s="4" t="s">
        <v>3</v>
      </c>
      <c r="O402" s="4">
        <v>2</v>
      </c>
      <c r="P402" s="4"/>
      <c r="Q402" s="4"/>
      <c r="R402" s="4"/>
      <c r="S402" s="4"/>
      <c r="T402" s="4"/>
      <c r="U402" s="4"/>
      <c r="V402" s="4"/>
      <c r="W402" s="4"/>
    </row>
    <row r="403" spans="1:23" x14ac:dyDescent="0.2">
      <c r="A403" s="4">
        <v>50</v>
      </c>
      <c r="B403" s="4">
        <v>0</v>
      </c>
      <c r="C403" s="4">
        <v>0</v>
      </c>
      <c r="D403" s="4">
        <v>1</v>
      </c>
      <c r="E403" s="4">
        <v>232</v>
      </c>
      <c r="F403" s="4">
        <f>ROUND(Source!BC387,O403)</f>
        <v>0</v>
      </c>
      <c r="G403" s="4" t="s">
        <v>84</v>
      </c>
      <c r="H403" s="4" t="s">
        <v>85</v>
      </c>
      <c r="I403" s="4"/>
      <c r="J403" s="4"/>
      <c r="K403" s="4">
        <v>232</v>
      </c>
      <c r="L403" s="4">
        <v>15</v>
      </c>
      <c r="M403" s="4">
        <v>3</v>
      </c>
      <c r="N403" s="4" t="s">
        <v>3</v>
      </c>
      <c r="O403" s="4">
        <v>2</v>
      </c>
      <c r="P403" s="4"/>
      <c r="Q403" s="4"/>
      <c r="R403" s="4"/>
      <c r="S403" s="4"/>
      <c r="T403" s="4"/>
      <c r="U403" s="4"/>
      <c r="V403" s="4"/>
      <c r="W403" s="4"/>
    </row>
    <row r="404" spans="1:23" x14ac:dyDescent="0.2">
      <c r="A404" s="4">
        <v>50</v>
      </c>
      <c r="B404" s="4">
        <v>0</v>
      </c>
      <c r="C404" s="4">
        <v>0</v>
      </c>
      <c r="D404" s="4">
        <v>1</v>
      </c>
      <c r="E404" s="4">
        <v>214</v>
      </c>
      <c r="F404" s="4">
        <f>ROUND(Source!AS387,O404)</f>
        <v>0</v>
      </c>
      <c r="G404" s="4" t="s">
        <v>86</v>
      </c>
      <c r="H404" s="4" t="s">
        <v>87</v>
      </c>
      <c r="I404" s="4"/>
      <c r="J404" s="4"/>
      <c r="K404" s="4">
        <v>214</v>
      </c>
      <c r="L404" s="4">
        <v>16</v>
      </c>
      <c r="M404" s="4">
        <v>3</v>
      </c>
      <c r="N404" s="4" t="s">
        <v>3</v>
      </c>
      <c r="O404" s="4">
        <v>2</v>
      </c>
      <c r="P404" s="4"/>
      <c r="Q404" s="4"/>
      <c r="R404" s="4"/>
      <c r="S404" s="4"/>
      <c r="T404" s="4"/>
      <c r="U404" s="4"/>
      <c r="V404" s="4"/>
      <c r="W404" s="4"/>
    </row>
    <row r="405" spans="1:23" x14ac:dyDescent="0.2">
      <c r="A405" s="4">
        <v>50</v>
      </c>
      <c r="B405" s="4">
        <v>0</v>
      </c>
      <c r="C405" s="4">
        <v>0</v>
      </c>
      <c r="D405" s="4">
        <v>1</v>
      </c>
      <c r="E405" s="4">
        <v>215</v>
      </c>
      <c r="F405" s="4">
        <f>ROUND(Source!AT387,O405)</f>
        <v>0</v>
      </c>
      <c r="G405" s="4" t="s">
        <v>88</v>
      </c>
      <c r="H405" s="4" t="s">
        <v>89</v>
      </c>
      <c r="I405" s="4"/>
      <c r="J405" s="4"/>
      <c r="K405" s="4">
        <v>215</v>
      </c>
      <c r="L405" s="4">
        <v>17</v>
      </c>
      <c r="M405" s="4">
        <v>3</v>
      </c>
      <c r="N405" s="4" t="s">
        <v>3</v>
      </c>
      <c r="O405" s="4">
        <v>2</v>
      </c>
      <c r="P405" s="4"/>
      <c r="Q405" s="4"/>
      <c r="R405" s="4"/>
      <c r="S405" s="4"/>
      <c r="T405" s="4"/>
      <c r="U405" s="4"/>
      <c r="V405" s="4"/>
      <c r="W405" s="4"/>
    </row>
    <row r="406" spans="1:23" x14ac:dyDescent="0.2">
      <c r="A406" s="4">
        <v>50</v>
      </c>
      <c r="B406" s="4">
        <v>0</v>
      </c>
      <c r="C406" s="4">
        <v>0</v>
      </c>
      <c r="D406" s="4">
        <v>1</v>
      </c>
      <c r="E406" s="4">
        <v>217</v>
      </c>
      <c r="F406" s="4">
        <f>ROUND(Source!AU387,O406)</f>
        <v>29354.23</v>
      </c>
      <c r="G406" s="4" t="s">
        <v>90</v>
      </c>
      <c r="H406" s="4" t="s">
        <v>91</v>
      </c>
      <c r="I406" s="4"/>
      <c r="J406" s="4"/>
      <c r="K406" s="4">
        <v>217</v>
      </c>
      <c r="L406" s="4">
        <v>18</v>
      </c>
      <c r="M406" s="4">
        <v>3</v>
      </c>
      <c r="N406" s="4" t="s">
        <v>3</v>
      </c>
      <c r="O406" s="4">
        <v>2</v>
      </c>
      <c r="P406" s="4"/>
      <c r="Q406" s="4"/>
      <c r="R406" s="4"/>
      <c r="S406" s="4"/>
      <c r="T406" s="4"/>
      <c r="U406" s="4"/>
      <c r="V406" s="4"/>
      <c r="W406" s="4"/>
    </row>
    <row r="407" spans="1:23" x14ac:dyDescent="0.2">
      <c r="A407" s="4">
        <v>50</v>
      </c>
      <c r="B407" s="4">
        <v>0</v>
      </c>
      <c r="C407" s="4">
        <v>0</v>
      </c>
      <c r="D407" s="4">
        <v>1</v>
      </c>
      <c r="E407" s="4">
        <v>230</v>
      </c>
      <c r="F407" s="4">
        <f>ROUND(Source!BA387,O407)</f>
        <v>0</v>
      </c>
      <c r="G407" s="4" t="s">
        <v>92</v>
      </c>
      <c r="H407" s="4" t="s">
        <v>93</v>
      </c>
      <c r="I407" s="4"/>
      <c r="J407" s="4"/>
      <c r="K407" s="4">
        <v>230</v>
      </c>
      <c r="L407" s="4">
        <v>19</v>
      </c>
      <c r="M407" s="4">
        <v>3</v>
      </c>
      <c r="N407" s="4" t="s">
        <v>3</v>
      </c>
      <c r="O407" s="4">
        <v>2</v>
      </c>
      <c r="P407" s="4"/>
      <c r="Q407" s="4"/>
      <c r="R407" s="4"/>
      <c r="S407" s="4"/>
      <c r="T407" s="4"/>
      <c r="U407" s="4"/>
      <c r="V407" s="4"/>
      <c r="W407" s="4"/>
    </row>
    <row r="408" spans="1:23" x14ac:dyDescent="0.2">
      <c r="A408" s="4">
        <v>50</v>
      </c>
      <c r="B408" s="4">
        <v>0</v>
      </c>
      <c r="C408" s="4">
        <v>0</v>
      </c>
      <c r="D408" s="4">
        <v>1</v>
      </c>
      <c r="E408" s="4">
        <v>206</v>
      </c>
      <c r="F408" s="4">
        <f>ROUND(Source!T387,O408)</f>
        <v>0</v>
      </c>
      <c r="G408" s="4" t="s">
        <v>94</v>
      </c>
      <c r="H408" s="4" t="s">
        <v>95</v>
      </c>
      <c r="I408" s="4"/>
      <c r="J408" s="4"/>
      <c r="K408" s="4">
        <v>206</v>
      </c>
      <c r="L408" s="4">
        <v>20</v>
      </c>
      <c r="M408" s="4">
        <v>3</v>
      </c>
      <c r="N408" s="4" t="s">
        <v>3</v>
      </c>
      <c r="O408" s="4">
        <v>2</v>
      </c>
      <c r="P408" s="4"/>
      <c r="Q408" s="4"/>
      <c r="R408" s="4"/>
      <c r="S408" s="4"/>
      <c r="T408" s="4"/>
      <c r="U408" s="4"/>
      <c r="V408" s="4"/>
      <c r="W408" s="4"/>
    </row>
    <row r="409" spans="1:23" x14ac:dyDescent="0.2">
      <c r="A409" s="4">
        <v>50</v>
      </c>
      <c r="B409" s="4">
        <v>0</v>
      </c>
      <c r="C409" s="4">
        <v>0</v>
      </c>
      <c r="D409" s="4">
        <v>1</v>
      </c>
      <c r="E409" s="4">
        <v>207</v>
      </c>
      <c r="F409" s="4">
        <f>Source!U387</f>
        <v>11.691269999999999</v>
      </c>
      <c r="G409" s="4" t="s">
        <v>96</v>
      </c>
      <c r="H409" s="4" t="s">
        <v>97</v>
      </c>
      <c r="I409" s="4"/>
      <c r="J409" s="4"/>
      <c r="K409" s="4">
        <v>207</v>
      </c>
      <c r="L409" s="4">
        <v>21</v>
      </c>
      <c r="M409" s="4">
        <v>3</v>
      </c>
      <c r="N409" s="4" t="s">
        <v>3</v>
      </c>
      <c r="O409" s="4">
        <v>-1</v>
      </c>
      <c r="P409" s="4"/>
      <c r="Q409" s="4"/>
      <c r="R409" s="4"/>
      <c r="S409" s="4"/>
      <c r="T409" s="4"/>
      <c r="U409" s="4"/>
      <c r="V409" s="4"/>
      <c r="W409" s="4"/>
    </row>
    <row r="410" spans="1:23" x14ac:dyDescent="0.2">
      <c r="A410" s="4">
        <v>50</v>
      </c>
      <c r="B410" s="4">
        <v>0</v>
      </c>
      <c r="C410" s="4">
        <v>0</v>
      </c>
      <c r="D410" s="4">
        <v>1</v>
      </c>
      <c r="E410" s="4">
        <v>208</v>
      </c>
      <c r="F410" s="4">
        <f>Source!V387</f>
        <v>0</v>
      </c>
      <c r="G410" s="4" t="s">
        <v>98</v>
      </c>
      <c r="H410" s="4" t="s">
        <v>99</v>
      </c>
      <c r="I410" s="4"/>
      <c r="J410" s="4"/>
      <c r="K410" s="4">
        <v>208</v>
      </c>
      <c r="L410" s="4">
        <v>22</v>
      </c>
      <c r="M410" s="4">
        <v>3</v>
      </c>
      <c r="N410" s="4" t="s">
        <v>3</v>
      </c>
      <c r="O410" s="4">
        <v>-1</v>
      </c>
      <c r="P410" s="4"/>
      <c r="Q410" s="4"/>
      <c r="R410" s="4"/>
      <c r="S410" s="4"/>
      <c r="T410" s="4"/>
      <c r="U410" s="4"/>
      <c r="V410" s="4"/>
      <c r="W410" s="4"/>
    </row>
    <row r="411" spans="1:23" x14ac:dyDescent="0.2">
      <c r="A411" s="4">
        <v>50</v>
      </c>
      <c r="B411" s="4">
        <v>0</v>
      </c>
      <c r="C411" s="4">
        <v>0</v>
      </c>
      <c r="D411" s="4">
        <v>1</v>
      </c>
      <c r="E411" s="4">
        <v>209</v>
      </c>
      <c r="F411" s="4">
        <f>ROUND(Source!W387,O411)</f>
        <v>0</v>
      </c>
      <c r="G411" s="4" t="s">
        <v>100</v>
      </c>
      <c r="H411" s="4" t="s">
        <v>101</v>
      </c>
      <c r="I411" s="4"/>
      <c r="J411" s="4"/>
      <c r="K411" s="4">
        <v>209</v>
      </c>
      <c r="L411" s="4">
        <v>23</v>
      </c>
      <c r="M411" s="4">
        <v>3</v>
      </c>
      <c r="N411" s="4" t="s">
        <v>3</v>
      </c>
      <c r="O411" s="4">
        <v>2</v>
      </c>
      <c r="P411" s="4"/>
      <c r="Q411" s="4"/>
      <c r="R411" s="4"/>
      <c r="S411" s="4"/>
      <c r="T411" s="4"/>
      <c r="U411" s="4"/>
      <c r="V411" s="4"/>
      <c r="W411" s="4"/>
    </row>
    <row r="412" spans="1:23" x14ac:dyDescent="0.2">
      <c r="A412" s="4">
        <v>50</v>
      </c>
      <c r="B412" s="4">
        <v>0</v>
      </c>
      <c r="C412" s="4">
        <v>0</v>
      </c>
      <c r="D412" s="4">
        <v>1</v>
      </c>
      <c r="E412" s="4">
        <v>233</v>
      </c>
      <c r="F412" s="4">
        <f>ROUND(Source!BD387,O412)</f>
        <v>0</v>
      </c>
      <c r="G412" s="4" t="s">
        <v>102</v>
      </c>
      <c r="H412" s="4" t="s">
        <v>103</v>
      </c>
      <c r="I412" s="4"/>
      <c r="J412" s="4"/>
      <c r="K412" s="4">
        <v>233</v>
      </c>
      <c r="L412" s="4">
        <v>24</v>
      </c>
      <c r="M412" s="4">
        <v>3</v>
      </c>
      <c r="N412" s="4" t="s">
        <v>3</v>
      </c>
      <c r="O412" s="4">
        <v>2</v>
      </c>
      <c r="P412" s="4"/>
      <c r="Q412" s="4"/>
      <c r="R412" s="4"/>
      <c r="S412" s="4"/>
      <c r="T412" s="4"/>
      <c r="U412" s="4"/>
      <c r="V412" s="4"/>
      <c r="W412" s="4"/>
    </row>
    <row r="413" spans="1:23" x14ac:dyDescent="0.2">
      <c r="A413" s="4">
        <v>50</v>
      </c>
      <c r="B413" s="4">
        <v>0</v>
      </c>
      <c r="C413" s="4">
        <v>0</v>
      </c>
      <c r="D413" s="4">
        <v>1</v>
      </c>
      <c r="E413" s="4">
        <v>210</v>
      </c>
      <c r="F413" s="4">
        <f>ROUND(Source!X387,O413)</f>
        <v>1446.18</v>
      </c>
      <c r="G413" s="4" t="s">
        <v>104</v>
      </c>
      <c r="H413" s="4" t="s">
        <v>105</v>
      </c>
      <c r="I413" s="4"/>
      <c r="J413" s="4"/>
      <c r="K413" s="4">
        <v>210</v>
      </c>
      <c r="L413" s="4">
        <v>25</v>
      </c>
      <c r="M413" s="4">
        <v>3</v>
      </c>
      <c r="N413" s="4" t="s">
        <v>3</v>
      </c>
      <c r="O413" s="4">
        <v>2</v>
      </c>
      <c r="P413" s="4"/>
      <c r="Q413" s="4"/>
      <c r="R413" s="4"/>
      <c r="S413" s="4"/>
      <c r="T413" s="4"/>
      <c r="U413" s="4"/>
      <c r="V413" s="4"/>
      <c r="W413" s="4"/>
    </row>
    <row r="414" spans="1:23" x14ac:dyDescent="0.2">
      <c r="A414" s="4">
        <v>50</v>
      </c>
      <c r="B414" s="4">
        <v>0</v>
      </c>
      <c r="C414" s="4">
        <v>0</v>
      </c>
      <c r="D414" s="4">
        <v>1</v>
      </c>
      <c r="E414" s="4">
        <v>211</v>
      </c>
      <c r="F414" s="4">
        <f>ROUND(Source!Y387,O414)</f>
        <v>206.6</v>
      </c>
      <c r="G414" s="4" t="s">
        <v>106</v>
      </c>
      <c r="H414" s="4" t="s">
        <v>107</v>
      </c>
      <c r="I414" s="4"/>
      <c r="J414" s="4"/>
      <c r="K414" s="4">
        <v>211</v>
      </c>
      <c r="L414" s="4">
        <v>26</v>
      </c>
      <c r="M414" s="4">
        <v>3</v>
      </c>
      <c r="N414" s="4" t="s">
        <v>3</v>
      </c>
      <c r="O414" s="4">
        <v>2</v>
      </c>
      <c r="P414" s="4"/>
      <c r="Q414" s="4"/>
      <c r="R414" s="4"/>
      <c r="S414" s="4"/>
      <c r="T414" s="4"/>
      <c r="U414" s="4"/>
      <c r="V414" s="4"/>
      <c r="W414" s="4"/>
    </row>
    <row r="415" spans="1:23" x14ac:dyDescent="0.2">
      <c r="A415" s="4">
        <v>50</v>
      </c>
      <c r="B415" s="4">
        <v>0</v>
      </c>
      <c r="C415" s="4">
        <v>0</v>
      </c>
      <c r="D415" s="4">
        <v>1</v>
      </c>
      <c r="E415" s="4">
        <v>224</v>
      </c>
      <c r="F415" s="4">
        <f>ROUND(Source!AR387,O415)</f>
        <v>29354.23</v>
      </c>
      <c r="G415" s="4" t="s">
        <v>108</v>
      </c>
      <c r="H415" s="4" t="s">
        <v>109</v>
      </c>
      <c r="I415" s="4"/>
      <c r="J415" s="4"/>
      <c r="K415" s="4">
        <v>224</v>
      </c>
      <c r="L415" s="4">
        <v>27</v>
      </c>
      <c r="M415" s="4">
        <v>3</v>
      </c>
      <c r="N415" s="4" t="s">
        <v>3</v>
      </c>
      <c r="O415" s="4">
        <v>2</v>
      </c>
      <c r="P415" s="4"/>
      <c r="Q415" s="4"/>
      <c r="R415" s="4"/>
      <c r="S415" s="4"/>
      <c r="T415" s="4"/>
      <c r="U415" s="4"/>
      <c r="V415" s="4"/>
      <c r="W415" s="4"/>
    </row>
    <row r="417" spans="1:206" x14ac:dyDescent="0.2">
      <c r="A417" s="2">
        <v>51</v>
      </c>
      <c r="B417" s="2">
        <f>B242</f>
        <v>1</v>
      </c>
      <c r="C417" s="2">
        <f>A242</f>
        <v>4</v>
      </c>
      <c r="D417" s="2">
        <f>ROW(A242)</f>
        <v>242</v>
      </c>
      <c r="E417" s="2"/>
      <c r="F417" s="2" t="str">
        <f>IF(F242&lt;&gt;"",F242,"")</f>
        <v>Новый раздел</v>
      </c>
      <c r="G417" s="2" t="str">
        <f>IF(G242&lt;&gt;"",G242,"")</f>
        <v>ЛЗ "Тропаревский" - 270 кв.м. кв. 12, выд. 14</v>
      </c>
      <c r="H417" s="2">
        <v>0</v>
      </c>
      <c r="I417" s="2"/>
      <c r="J417" s="2"/>
      <c r="K417" s="2"/>
      <c r="L417" s="2"/>
      <c r="M417" s="2"/>
      <c r="N417" s="2"/>
      <c r="O417" s="2">
        <f t="shared" ref="O417:T417" si="316">ROUND(O257+O299+O339+O387+AB417,2)</f>
        <v>920078.95</v>
      </c>
      <c r="P417" s="2">
        <f t="shared" si="316"/>
        <v>797365.36</v>
      </c>
      <c r="Q417" s="2">
        <f t="shared" si="316"/>
        <v>30031.11</v>
      </c>
      <c r="R417" s="2">
        <f t="shared" si="316"/>
        <v>7558.32</v>
      </c>
      <c r="S417" s="2">
        <f t="shared" si="316"/>
        <v>92682.48</v>
      </c>
      <c r="T417" s="2">
        <f t="shared" si="316"/>
        <v>0</v>
      </c>
      <c r="U417" s="2">
        <f>U257+U299+U339+U387+AH417</f>
        <v>441.80363499999993</v>
      </c>
      <c r="V417" s="2">
        <f>V257+V299+V339+V387+AI417</f>
        <v>0</v>
      </c>
      <c r="W417" s="2">
        <f>ROUND(W257+W299+W339+W387+AJ417,2)</f>
        <v>0</v>
      </c>
      <c r="X417" s="2">
        <f>ROUND(X257+X299+X339+X387+AK417,2)</f>
        <v>64877.74</v>
      </c>
      <c r="Y417" s="2">
        <f>ROUND(Y257+Y299+Y339+Y387+AL417,2)</f>
        <v>9268.25</v>
      </c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>
        <f t="shared" ref="AO417:BD417" si="317">ROUND(AO257+AO299+AO339+AO387+BX417,2)</f>
        <v>0</v>
      </c>
      <c r="AP417" s="2">
        <f t="shared" si="317"/>
        <v>0</v>
      </c>
      <c r="AQ417" s="2">
        <f t="shared" si="317"/>
        <v>0</v>
      </c>
      <c r="AR417" s="2">
        <f t="shared" si="317"/>
        <v>1001773.36</v>
      </c>
      <c r="AS417" s="2">
        <f t="shared" si="317"/>
        <v>111650.58</v>
      </c>
      <c r="AT417" s="2">
        <f t="shared" si="317"/>
        <v>0</v>
      </c>
      <c r="AU417" s="2">
        <f t="shared" si="317"/>
        <v>890122.78</v>
      </c>
      <c r="AV417" s="2">
        <f t="shared" si="317"/>
        <v>797365.36</v>
      </c>
      <c r="AW417" s="2">
        <f t="shared" si="317"/>
        <v>797365.36</v>
      </c>
      <c r="AX417" s="2">
        <f t="shared" si="317"/>
        <v>0</v>
      </c>
      <c r="AY417" s="2">
        <f t="shared" si="317"/>
        <v>797365.36</v>
      </c>
      <c r="AZ417" s="2">
        <f t="shared" si="317"/>
        <v>0</v>
      </c>
      <c r="BA417" s="2">
        <f t="shared" si="317"/>
        <v>0</v>
      </c>
      <c r="BB417" s="2">
        <f t="shared" si="317"/>
        <v>0</v>
      </c>
      <c r="BC417" s="2">
        <f t="shared" si="317"/>
        <v>0</v>
      </c>
      <c r="BD417" s="2">
        <f t="shared" si="317"/>
        <v>0</v>
      </c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3"/>
      <c r="DH417" s="3"/>
      <c r="DI417" s="3"/>
      <c r="DJ417" s="3"/>
      <c r="DK417" s="3"/>
      <c r="DL417" s="3"/>
      <c r="DM417" s="3"/>
      <c r="DN417" s="3"/>
      <c r="DO417" s="3"/>
      <c r="DP417" s="3"/>
      <c r="DQ417" s="3"/>
      <c r="DR417" s="3"/>
      <c r="DS417" s="3"/>
      <c r="DT417" s="3"/>
      <c r="DU417" s="3"/>
      <c r="DV417" s="3"/>
      <c r="DW417" s="3"/>
      <c r="DX417" s="3"/>
      <c r="DY417" s="3"/>
      <c r="DZ417" s="3"/>
      <c r="EA417" s="3"/>
      <c r="EB417" s="3"/>
      <c r="EC417" s="3"/>
      <c r="ED417" s="3"/>
      <c r="EE417" s="3"/>
      <c r="EF417" s="3"/>
      <c r="EG417" s="3"/>
      <c r="EH417" s="3"/>
      <c r="EI417" s="3"/>
      <c r="EJ417" s="3"/>
      <c r="EK417" s="3"/>
      <c r="EL417" s="3"/>
      <c r="EM417" s="3"/>
      <c r="EN417" s="3"/>
      <c r="EO417" s="3"/>
      <c r="EP417" s="3"/>
      <c r="EQ417" s="3"/>
      <c r="ER417" s="3"/>
      <c r="ES417" s="3"/>
      <c r="ET417" s="3"/>
      <c r="EU417" s="3"/>
      <c r="EV417" s="3"/>
      <c r="EW417" s="3"/>
      <c r="EX417" s="3"/>
      <c r="EY417" s="3"/>
      <c r="EZ417" s="3"/>
      <c r="FA417" s="3"/>
      <c r="FB417" s="3"/>
      <c r="FC417" s="3"/>
      <c r="FD417" s="3"/>
      <c r="FE417" s="3"/>
      <c r="FF417" s="3"/>
      <c r="FG417" s="3"/>
      <c r="FH417" s="3"/>
      <c r="FI417" s="3"/>
      <c r="FJ417" s="3"/>
      <c r="FK417" s="3"/>
      <c r="FL417" s="3"/>
      <c r="FM417" s="3"/>
      <c r="FN417" s="3"/>
      <c r="FO417" s="3"/>
      <c r="FP417" s="3"/>
      <c r="FQ417" s="3"/>
      <c r="FR417" s="3"/>
      <c r="FS417" s="3"/>
      <c r="FT417" s="3"/>
      <c r="FU417" s="3"/>
      <c r="FV417" s="3"/>
      <c r="FW417" s="3"/>
      <c r="FX417" s="3"/>
      <c r="FY417" s="3"/>
      <c r="FZ417" s="3"/>
      <c r="GA417" s="3"/>
      <c r="GB417" s="3"/>
      <c r="GC417" s="3"/>
      <c r="GD417" s="3"/>
      <c r="GE417" s="3"/>
      <c r="GF417" s="3"/>
      <c r="GG417" s="3"/>
      <c r="GH417" s="3"/>
      <c r="GI417" s="3"/>
      <c r="GJ417" s="3"/>
      <c r="GK417" s="3"/>
      <c r="GL417" s="3"/>
      <c r="GM417" s="3"/>
      <c r="GN417" s="3"/>
      <c r="GO417" s="3"/>
      <c r="GP417" s="3"/>
      <c r="GQ417" s="3"/>
      <c r="GR417" s="3"/>
      <c r="GS417" s="3"/>
      <c r="GT417" s="3"/>
      <c r="GU417" s="3"/>
      <c r="GV417" s="3"/>
      <c r="GW417" s="3"/>
      <c r="GX417" s="3">
        <v>0</v>
      </c>
    </row>
    <row r="419" spans="1:206" x14ac:dyDescent="0.2">
      <c r="A419" s="4">
        <v>50</v>
      </c>
      <c r="B419" s="4">
        <v>0</v>
      </c>
      <c r="C419" s="4">
        <v>0</v>
      </c>
      <c r="D419" s="4">
        <v>1</v>
      </c>
      <c r="E419" s="4">
        <v>201</v>
      </c>
      <c r="F419" s="4">
        <f>ROUND(Source!O417,O419)</f>
        <v>920078.95</v>
      </c>
      <c r="G419" s="4" t="s">
        <v>56</v>
      </c>
      <c r="H419" s="4" t="s">
        <v>57</v>
      </c>
      <c r="I419" s="4"/>
      <c r="J419" s="4"/>
      <c r="K419" s="4">
        <v>201</v>
      </c>
      <c r="L419" s="4">
        <v>1</v>
      </c>
      <c r="M419" s="4">
        <v>3</v>
      </c>
      <c r="N419" s="4" t="s">
        <v>3</v>
      </c>
      <c r="O419" s="4">
        <v>2</v>
      </c>
      <c r="P419" s="4"/>
      <c r="Q419" s="4"/>
      <c r="R419" s="4"/>
      <c r="S419" s="4"/>
      <c r="T419" s="4"/>
      <c r="U419" s="4"/>
      <c r="V419" s="4"/>
      <c r="W419" s="4"/>
    </row>
    <row r="420" spans="1:206" x14ac:dyDescent="0.2">
      <c r="A420" s="4">
        <v>50</v>
      </c>
      <c r="B420" s="4">
        <v>0</v>
      </c>
      <c r="C420" s="4">
        <v>0</v>
      </c>
      <c r="D420" s="4">
        <v>1</v>
      </c>
      <c r="E420" s="4">
        <v>202</v>
      </c>
      <c r="F420" s="4">
        <f>ROUND(Source!P417,O420)</f>
        <v>797365.36</v>
      </c>
      <c r="G420" s="4" t="s">
        <v>58</v>
      </c>
      <c r="H420" s="4" t="s">
        <v>59</v>
      </c>
      <c r="I420" s="4"/>
      <c r="J420" s="4"/>
      <c r="K420" s="4">
        <v>202</v>
      </c>
      <c r="L420" s="4">
        <v>2</v>
      </c>
      <c r="M420" s="4">
        <v>3</v>
      </c>
      <c r="N420" s="4" t="s">
        <v>3</v>
      </c>
      <c r="O420" s="4">
        <v>2</v>
      </c>
      <c r="P420" s="4"/>
      <c r="Q420" s="4"/>
      <c r="R420" s="4"/>
      <c r="S420" s="4"/>
      <c r="T420" s="4"/>
      <c r="U420" s="4"/>
      <c r="V420" s="4"/>
      <c r="W420" s="4"/>
    </row>
    <row r="421" spans="1:206" x14ac:dyDescent="0.2">
      <c r="A421" s="4">
        <v>50</v>
      </c>
      <c r="B421" s="4">
        <v>0</v>
      </c>
      <c r="C421" s="4">
        <v>0</v>
      </c>
      <c r="D421" s="4">
        <v>1</v>
      </c>
      <c r="E421" s="4">
        <v>222</v>
      </c>
      <c r="F421" s="4">
        <f>ROUND(Source!AO417,O421)</f>
        <v>0</v>
      </c>
      <c r="G421" s="4" t="s">
        <v>60</v>
      </c>
      <c r="H421" s="4" t="s">
        <v>61</v>
      </c>
      <c r="I421" s="4"/>
      <c r="J421" s="4"/>
      <c r="K421" s="4">
        <v>222</v>
      </c>
      <c r="L421" s="4">
        <v>3</v>
      </c>
      <c r="M421" s="4">
        <v>3</v>
      </c>
      <c r="N421" s="4" t="s">
        <v>3</v>
      </c>
      <c r="O421" s="4">
        <v>2</v>
      </c>
      <c r="P421" s="4"/>
      <c r="Q421" s="4"/>
      <c r="R421" s="4"/>
      <c r="S421" s="4"/>
      <c r="T421" s="4"/>
      <c r="U421" s="4"/>
      <c r="V421" s="4"/>
      <c r="W421" s="4"/>
    </row>
    <row r="422" spans="1:206" x14ac:dyDescent="0.2">
      <c r="A422" s="4">
        <v>50</v>
      </c>
      <c r="B422" s="4">
        <v>0</v>
      </c>
      <c r="C422" s="4">
        <v>0</v>
      </c>
      <c r="D422" s="4">
        <v>1</v>
      </c>
      <c r="E422" s="4">
        <v>225</v>
      </c>
      <c r="F422" s="4">
        <f>ROUND(Source!AV417,O422)</f>
        <v>797365.36</v>
      </c>
      <c r="G422" s="4" t="s">
        <v>62</v>
      </c>
      <c r="H422" s="4" t="s">
        <v>63</v>
      </c>
      <c r="I422" s="4"/>
      <c r="J422" s="4"/>
      <c r="K422" s="4">
        <v>225</v>
      </c>
      <c r="L422" s="4">
        <v>4</v>
      </c>
      <c r="M422" s="4">
        <v>3</v>
      </c>
      <c r="N422" s="4" t="s">
        <v>3</v>
      </c>
      <c r="O422" s="4">
        <v>2</v>
      </c>
      <c r="P422" s="4"/>
      <c r="Q422" s="4"/>
      <c r="R422" s="4"/>
      <c r="S422" s="4"/>
      <c r="T422" s="4"/>
      <c r="U422" s="4"/>
      <c r="V422" s="4"/>
      <c r="W422" s="4"/>
    </row>
    <row r="423" spans="1:206" x14ac:dyDescent="0.2">
      <c r="A423" s="4">
        <v>50</v>
      </c>
      <c r="B423" s="4">
        <v>0</v>
      </c>
      <c r="C423" s="4">
        <v>0</v>
      </c>
      <c r="D423" s="4">
        <v>1</v>
      </c>
      <c r="E423" s="4">
        <v>226</v>
      </c>
      <c r="F423" s="4">
        <f>ROUND(Source!AW417,O423)</f>
        <v>797365.36</v>
      </c>
      <c r="G423" s="4" t="s">
        <v>64</v>
      </c>
      <c r="H423" s="4" t="s">
        <v>65</v>
      </c>
      <c r="I423" s="4"/>
      <c r="J423" s="4"/>
      <c r="K423" s="4">
        <v>226</v>
      </c>
      <c r="L423" s="4">
        <v>5</v>
      </c>
      <c r="M423" s="4">
        <v>3</v>
      </c>
      <c r="N423" s="4" t="s">
        <v>3</v>
      </c>
      <c r="O423" s="4">
        <v>2</v>
      </c>
      <c r="P423" s="4"/>
      <c r="Q423" s="4"/>
      <c r="R423" s="4"/>
      <c r="S423" s="4"/>
      <c r="T423" s="4"/>
      <c r="U423" s="4"/>
      <c r="V423" s="4"/>
      <c r="W423" s="4"/>
    </row>
    <row r="424" spans="1:206" x14ac:dyDescent="0.2">
      <c r="A424" s="4">
        <v>50</v>
      </c>
      <c r="B424" s="4">
        <v>0</v>
      </c>
      <c r="C424" s="4">
        <v>0</v>
      </c>
      <c r="D424" s="4">
        <v>1</v>
      </c>
      <c r="E424" s="4">
        <v>227</v>
      </c>
      <c r="F424" s="4">
        <f>ROUND(Source!AX417,O424)</f>
        <v>0</v>
      </c>
      <c r="G424" s="4" t="s">
        <v>66</v>
      </c>
      <c r="H424" s="4" t="s">
        <v>67</v>
      </c>
      <c r="I424" s="4"/>
      <c r="J424" s="4"/>
      <c r="K424" s="4">
        <v>227</v>
      </c>
      <c r="L424" s="4">
        <v>6</v>
      </c>
      <c r="M424" s="4">
        <v>3</v>
      </c>
      <c r="N424" s="4" t="s">
        <v>3</v>
      </c>
      <c r="O424" s="4">
        <v>2</v>
      </c>
      <c r="P424" s="4"/>
      <c r="Q424" s="4"/>
      <c r="R424" s="4"/>
      <c r="S424" s="4"/>
      <c r="T424" s="4"/>
      <c r="U424" s="4"/>
      <c r="V424" s="4"/>
      <c r="W424" s="4"/>
    </row>
    <row r="425" spans="1:206" x14ac:dyDescent="0.2">
      <c r="A425" s="4">
        <v>50</v>
      </c>
      <c r="B425" s="4">
        <v>0</v>
      </c>
      <c r="C425" s="4">
        <v>0</v>
      </c>
      <c r="D425" s="4">
        <v>1</v>
      </c>
      <c r="E425" s="4">
        <v>228</v>
      </c>
      <c r="F425" s="4">
        <f>ROUND(Source!AY417,O425)</f>
        <v>797365.36</v>
      </c>
      <c r="G425" s="4" t="s">
        <v>68</v>
      </c>
      <c r="H425" s="4" t="s">
        <v>69</v>
      </c>
      <c r="I425" s="4"/>
      <c r="J425" s="4"/>
      <c r="K425" s="4">
        <v>228</v>
      </c>
      <c r="L425" s="4">
        <v>7</v>
      </c>
      <c r="M425" s="4">
        <v>3</v>
      </c>
      <c r="N425" s="4" t="s">
        <v>3</v>
      </c>
      <c r="O425" s="4">
        <v>2</v>
      </c>
      <c r="P425" s="4"/>
      <c r="Q425" s="4"/>
      <c r="R425" s="4"/>
      <c r="S425" s="4"/>
      <c r="T425" s="4"/>
      <c r="U425" s="4"/>
      <c r="V425" s="4"/>
      <c r="W425" s="4"/>
    </row>
    <row r="426" spans="1:206" x14ac:dyDescent="0.2">
      <c r="A426" s="4">
        <v>50</v>
      </c>
      <c r="B426" s="4">
        <v>0</v>
      </c>
      <c r="C426" s="4">
        <v>0</v>
      </c>
      <c r="D426" s="4">
        <v>1</v>
      </c>
      <c r="E426" s="4">
        <v>216</v>
      </c>
      <c r="F426" s="4">
        <f>ROUND(Source!AP417,O426)</f>
        <v>0</v>
      </c>
      <c r="G426" s="4" t="s">
        <v>70</v>
      </c>
      <c r="H426" s="4" t="s">
        <v>71</v>
      </c>
      <c r="I426" s="4"/>
      <c r="J426" s="4"/>
      <c r="K426" s="4">
        <v>216</v>
      </c>
      <c r="L426" s="4">
        <v>8</v>
      </c>
      <c r="M426" s="4">
        <v>3</v>
      </c>
      <c r="N426" s="4" t="s">
        <v>3</v>
      </c>
      <c r="O426" s="4">
        <v>2</v>
      </c>
      <c r="P426" s="4"/>
      <c r="Q426" s="4"/>
      <c r="R426" s="4"/>
      <c r="S426" s="4"/>
      <c r="T426" s="4"/>
      <c r="U426" s="4"/>
      <c r="V426" s="4"/>
      <c r="W426" s="4"/>
    </row>
    <row r="427" spans="1:206" x14ac:dyDescent="0.2">
      <c r="A427" s="4">
        <v>50</v>
      </c>
      <c r="B427" s="4">
        <v>0</v>
      </c>
      <c r="C427" s="4">
        <v>0</v>
      </c>
      <c r="D427" s="4">
        <v>1</v>
      </c>
      <c r="E427" s="4">
        <v>223</v>
      </c>
      <c r="F427" s="4">
        <f>ROUND(Source!AQ417,O427)</f>
        <v>0</v>
      </c>
      <c r="G427" s="4" t="s">
        <v>72</v>
      </c>
      <c r="H427" s="4" t="s">
        <v>73</v>
      </c>
      <c r="I427" s="4"/>
      <c r="J427" s="4"/>
      <c r="K427" s="4">
        <v>223</v>
      </c>
      <c r="L427" s="4">
        <v>9</v>
      </c>
      <c r="M427" s="4">
        <v>3</v>
      </c>
      <c r="N427" s="4" t="s">
        <v>3</v>
      </c>
      <c r="O427" s="4">
        <v>2</v>
      </c>
      <c r="P427" s="4"/>
      <c r="Q427" s="4"/>
      <c r="R427" s="4"/>
      <c r="S427" s="4"/>
      <c r="T427" s="4"/>
      <c r="U427" s="4"/>
      <c r="V427" s="4"/>
      <c r="W427" s="4"/>
    </row>
    <row r="428" spans="1:206" x14ac:dyDescent="0.2">
      <c r="A428" s="4">
        <v>50</v>
      </c>
      <c r="B428" s="4">
        <v>0</v>
      </c>
      <c r="C428" s="4">
        <v>0</v>
      </c>
      <c r="D428" s="4">
        <v>1</v>
      </c>
      <c r="E428" s="4">
        <v>229</v>
      </c>
      <c r="F428" s="4">
        <f>ROUND(Source!AZ417,O428)</f>
        <v>0</v>
      </c>
      <c r="G428" s="4" t="s">
        <v>74</v>
      </c>
      <c r="H428" s="4" t="s">
        <v>75</v>
      </c>
      <c r="I428" s="4"/>
      <c r="J428" s="4"/>
      <c r="K428" s="4">
        <v>229</v>
      </c>
      <c r="L428" s="4">
        <v>10</v>
      </c>
      <c r="M428" s="4">
        <v>3</v>
      </c>
      <c r="N428" s="4" t="s">
        <v>3</v>
      </c>
      <c r="O428" s="4">
        <v>2</v>
      </c>
      <c r="P428" s="4"/>
      <c r="Q428" s="4"/>
      <c r="R428" s="4"/>
      <c r="S428" s="4"/>
      <c r="T428" s="4"/>
      <c r="U428" s="4"/>
      <c r="V428" s="4"/>
      <c r="W428" s="4"/>
    </row>
    <row r="429" spans="1:206" x14ac:dyDescent="0.2">
      <c r="A429" s="4">
        <v>50</v>
      </c>
      <c r="B429" s="4">
        <v>0</v>
      </c>
      <c r="C429" s="4">
        <v>0</v>
      </c>
      <c r="D429" s="4">
        <v>1</v>
      </c>
      <c r="E429" s="4">
        <v>203</v>
      </c>
      <c r="F429" s="4">
        <f>ROUND(Source!Q417,O429)</f>
        <v>30031.11</v>
      </c>
      <c r="G429" s="4" t="s">
        <v>76</v>
      </c>
      <c r="H429" s="4" t="s">
        <v>77</v>
      </c>
      <c r="I429" s="4"/>
      <c r="J429" s="4"/>
      <c r="K429" s="4">
        <v>203</v>
      </c>
      <c r="L429" s="4">
        <v>11</v>
      </c>
      <c r="M429" s="4">
        <v>3</v>
      </c>
      <c r="N429" s="4" t="s">
        <v>3</v>
      </c>
      <c r="O429" s="4">
        <v>2</v>
      </c>
      <c r="P429" s="4"/>
      <c r="Q429" s="4"/>
      <c r="R429" s="4"/>
      <c r="S429" s="4"/>
      <c r="T429" s="4"/>
      <c r="U429" s="4"/>
      <c r="V429" s="4"/>
      <c r="W429" s="4"/>
    </row>
    <row r="430" spans="1:206" x14ac:dyDescent="0.2">
      <c r="A430" s="4">
        <v>50</v>
      </c>
      <c r="B430" s="4">
        <v>0</v>
      </c>
      <c r="C430" s="4">
        <v>0</v>
      </c>
      <c r="D430" s="4">
        <v>1</v>
      </c>
      <c r="E430" s="4">
        <v>231</v>
      </c>
      <c r="F430" s="4">
        <f>ROUND(Source!BB417,O430)</f>
        <v>0</v>
      </c>
      <c r="G430" s="4" t="s">
        <v>78</v>
      </c>
      <c r="H430" s="4" t="s">
        <v>79</v>
      </c>
      <c r="I430" s="4"/>
      <c r="J430" s="4"/>
      <c r="K430" s="4">
        <v>231</v>
      </c>
      <c r="L430" s="4">
        <v>12</v>
      </c>
      <c r="M430" s="4">
        <v>3</v>
      </c>
      <c r="N430" s="4" t="s">
        <v>3</v>
      </c>
      <c r="O430" s="4">
        <v>2</v>
      </c>
      <c r="P430" s="4"/>
      <c r="Q430" s="4"/>
      <c r="R430" s="4"/>
      <c r="S430" s="4"/>
      <c r="T430" s="4"/>
      <c r="U430" s="4"/>
      <c r="V430" s="4"/>
      <c r="W430" s="4"/>
    </row>
    <row r="431" spans="1:206" x14ac:dyDescent="0.2">
      <c r="A431" s="4">
        <v>50</v>
      </c>
      <c r="B431" s="4">
        <v>0</v>
      </c>
      <c r="C431" s="4">
        <v>0</v>
      </c>
      <c r="D431" s="4">
        <v>1</v>
      </c>
      <c r="E431" s="4">
        <v>204</v>
      </c>
      <c r="F431" s="4">
        <f>ROUND(Source!R417,O431)</f>
        <v>7558.32</v>
      </c>
      <c r="G431" s="4" t="s">
        <v>80</v>
      </c>
      <c r="H431" s="4" t="s">
        <v>81</v>
      </c>
      <c r="I431" s="4"/>
      <c r="J431" s="4"/>
      <c r="K431" s="4">
        <v>204</v>
      </c>
      <c r="L431" s="4">
        <v>13</v>
      </c>
      <c r="M431" s="4">
        <v>3</v>
      </c>
      <c r="N431" s="4" t="s">
        <v>3</v>
      </c>
      <c r="O431" s="4">
        <v>2</v>
      </c>
      <c r="P431" s="4"/>
      <c r="Q431" s="4"/>
      <c r="R431" s="4"/>
      <c r="S431" s="4"/>
      <c r="T431" s="4"/>
      <c r="U431" s="4"/>
      <c r="V431" s="4"/>
      <c r="W431" s="4"/>
    </row>
    <row r="432" spans="1:206" x14ac:dyDescent="0.2">
      <c r="A432" s="4">
        <v>50</v>
      </c>
      <c r="B432" s="4">
        <v>0</v>
      </c>
      <c r="C432" s="4">
        <v>0</v>
      </c>
      <c r="D432" s="4">
        <v>1</v>
      </c>
      <c r="E432" s="4">
        <v>205</v>
      </c>
      <c r="F432" s="4">
        <f>ROUND(Source!S417,O432)</f>
        <v>92682.48</v>
      </c>
      <c r="G432" s="4" t="s">
        <v>82</v>
      </c>
      <c r="H432" s="4" t="s">
        <v>83</v>
      </c>
      <c r="I432" s="4"/>
      <c r="J432" s="4"/>
      <c r="K432" s="4">
        <v>205</v>
      </c>
      <c r="L432" s="4">
        <v>14</v>
      </c>
      <c r="M432" s="4">
        <v>3</v>
      </c>
      <c r="N432" s="4" t="s">
        <v>3</v>
      </c>
      <c r="O432" s="4">
        <v>2</v>
      </c>
      <c r="P432" s="4"/>
      <c r="Q432" s="4"/>
      <c r="R432" s="4"/>
      <c r="S432" s="4"/>
      <c r="T432" s="4"/>
      <c r="U432" s="4"/>
      <c r="V432" s="4"/>
      <c r="W432" s="4"/>
    </row>
    <row r="433" spans="1:23" x14ac:dyDescent="0.2">
      <c r="A433" s="4">
        <v>50</v>
      </c>
      <c r="B433" s="4">
        <v>0</v>
      </c>
      <c r="C433" s="4">
        <v>0</v>
      </c>
      <c r="D433" s="4">
        <v>1</v>
      </c>
      <c r="E433" s="4">
        <v>232</v>
      </c>
      <c r="F433" s="4">
        <f>ROUND(Source!BC417,O433)</f>
        <v>0</v>
      </c>
      <c r="G433" s="4" t="s">
        <v>84</v>
      </c>
      <c r="H433" s="4" t="s">
        <v>85</v>
      </c>
      <c r="I433" s="4"/>
      <c r="J433" s="4"/>
      <c r="K433" s="4">
        <v>232</v>
      </c>
      <c r="L433" s="4">
        <v>15</v>
      </c>
      <c r="M433" s="4">
        <v>3</v>
      </c>
      <c r="N433" s="4" t="s">
        <v>3</v>
      </c>
      <c r="O433" s="4">
        <v>2</v>
      </c>
      <c r="P433" s="4"/>
      <c r="Q433" s="4"/>
      <c r="R433" s="4"/>
      <c r="S433" s="4"/>
      <c r="T433" s="4"/>
      <c r="U433" s="4"/>
      <c r="V433" s="4"/>
      <c r="W433" s="4"/>
    </row>
    <row r="434" spans="1:23" x14ac:dyDescent="0.2">
      <c r="A434" s="4">
        <v>50</v>
      </c>
      <c r="B434" s="4">
        <v>0</v>
      </c>
      <c r="C434" s="4">
        <v>0</v>
      </c>
      <c r="D434" s="4">
        <v>1</v>
      </c>
      <c r="E434" s="4">
        <v>214</v>
      </c>
      <c r="F434" s="4">
        <f>ROUND(Source!AS417,O434)</f>
        <v>111650.58</v>
      </c>
      <c r="G434" s="4" t="s">
        <v>86</v>
      </c>
      <c r="H434" s="4" t="s">
        <v>87</v>
      </c>
      <c r="I434" s="4"/>
      <c r="J434" s="4"/>
      <c r="K434" s="4">
        <v>214</v>
      </c>
      <c r="L434" s="4">
        <v>16</v>
      </c>
      <c r="M434" s="4">
        <v>3</v>
      </c>
      <c r="N434" s="4" t="s">
        <v>3</v>
      </c>
      <c r="O434" s="4">
        <v>2</v>
      </c>
      <c r="P434" s="4"/>
      <c r="Q434" s="4"/>
      <c r="R434" s="4"/>
      <c r="S434" s="4"/>
      <c r="T434" s="4"/>
      <c r="U434" s="4"/>
      <c r="V434" s="4"/>
      <c r="W434" s="4"/>
    </row>
    <row r="435" spans="1:23" x14ac:dyDescent="0.2">
      <c r="A435" s="4">
        <v>50</v>
      </c>
      <c r="B435" s="4">
        <v>0</v>
      </c>
      <c r="C435" s="4">
        <v>0</v>
      </c>
      <c r="D435" s="4">
        <v>1</v>
      </c>
      <c r="E435" s="4">
        <v>215</v>
      </c>
      <c r="F435" s="4">
        <f>ROUND(Source!AT417,O435)</f>
        <v>0</v>
      </c>
      <c r="G435" s="4" t="s">
        <v>88</v>
      </c>
      <c r="H435" s="4" t="s">
        <v>89</v>
      </c>
      <c r="I435" s="4"/>
      <c r="J435" s="4"/>
      <c r="K435" s="4">
        <v>215</v>
      </c>
      <c r="L435" s="4">
        <v>17</v>
      </c>
      <c r="M435" s="4">
        <v>3</v>
      </c>
      <c r="N435" s="4" t="s">
        <v>3</v>
      </c>
      <c r="O435" s="4">
        <v>2</v>
      </c>
      <c r="P435" s="4"/>
      <c r="Q435" s="4"/>
      <c r="R435" s="4"/>
      <c r="S435" s="4"/>
      <c r="T435" s="4"/>
      <c r="U435" s="4"/>
      <c r="V435" s="4"/>
      <c r="W435" s="4"/>
    </row>
    <row r="436" spans="1:23" x14ac:dyDescent="0.2">
      <c r="A436" s="4">
        <v>50</v>
      </c>
      <c r="B436" s="4">
        <v>0</v>
      </c>
      <c r="C436" s="4">
        <v>0</v>
      </c>
      <c r="D436" s="4">
        <v>1</v>
      </c>
      <c r="E436" s="4">
        <v>217</v>
      </c>
      <c r="F436" s="4">
        <f>ROUND(Source!AU417,O436)</f>
        <v>890122.78</v>
      </c>
      <c r="G436" s="4" t="s">
        <v>90</v>
      </c>
      <c r="H436" s="4" t="s">
        <v>91</v>
      </c>
      <c r="I436" s="4"/>
      <c r="J436" s="4"/>
      <c r="K436" s="4">
        <v>217</v>
      </c>
      <c r="L436" s="4">
        <v>18</v>
      </c>
      <c r="M436" s="4">
        <v>3</v>
      </c>
      <c r="N436" s="4" t="s">
        <v>3</v>
      </c>
      <c r="O436" s="4">
        <v>2</v>
      </c>
      <c r="P436" s="4"/>
      <c r="Q436" s="4"/>
      <c r="R436" s="4"/>
      <c r="S436" s="4"/>
      <c r="T436" s="4"/>
      <c r="U436" s="4"/>
      <c r="V436" s="4"/>
      <c r="W436" s="4"/>
    </row>
    <row r="437" spans="1:23" x14ac:dyDescent="0.2">
      <c r="A437" s="4">
        <v>50</v>
      </c>
      <c r="B437" s="4">
        <v>0</v>
      </c>
      <c r="C437" s="4">
        <v>0</v>
      </c>
      <c r="D437" s="4">
        <v>1</v>
      </c>
      <c r="E437" s="4">
        <v>230</v>
      </c>
      <c r="F437" s="4">
        <f>ROUND(Source!BA417,O437)</f>
        <v>0</v>
      </c>
      <c r="G437" s="4" t="s">
        <v>92</v>
      </c>
      <c r="H437" s="4" t="s">
        <v>93</v>
      </c>
      <c r="I437" s="4"/>
      <c r="J437" s="4"/>
      <c r="K437" s="4">
        <v>230</v>
      </c>
      <c r="L437" s="4">
        <v>19</v>
      </c>
      <c r="M437" s="4">
        <v>3</v>
      </c>
      <c r="N437" s="4" t="s">
        <v>3</v>
      </c>
      <c r="O437" s="4">
        <v>2</v>
      </c>
      <c r="P437" s="4"/>
      <c r="Q437" s="4"/>
      <c r="R437" s="4"/>
      <c r="S437" s="4"/>
      <c r="T437" s="4"/>
      <c r="U437" s="4"/>
      <c r="V437" s="4"/>
      <c r="W437" s="4"/>
    </row>
    <row r="438" spans="1:23" x14ac:dyDescent="0.2">
      <c r="A438" s="4">
        <v>50</v>
      </c>
      <c r="B438" s="4">
        <v>0</v>
      </c>
      <c r="C438" s="4">
        <v>0</v>
      </c>
      <c r="D438" s="4">
        <v>1</v>
      </c>
      <c r="E438" s="4">
        <v>206</v>
      </c>
      <c r="F438" s="4">
        <f>ROUND(Source!T417,O438)</f>
        <v>0</v>
      </c>
      <c r="G438" s="4" t="s">
        <v>94</v>
      </c>
      <c r="H438" s="4" t="s">
        <v>95</v>
      </c>
      <c r="I438" s="4"/>
      <c r="J438" s="4"/>
      <c r="K438" s="4">
        <v>206</v>
      </c>
      <c r="L438" s="4">
        <v>20</v>
      </c>
      <c r="M438" s="4">
        <v>3</v>
      </c>
      <c r="N438" s="4" t="s">
        <v>3</v>
      </c>
      <c r="O438" s="4">
        <v>2</v>
      </c>
      <c r="P438" s="4"/>
      <c r="Q438" s="4"/>
      <c r="R438" s="4"/>
      <c r="S438" s="4"/>
      <c r="T438" s="4"/>
      <c r="U438" s="4"/>
      <c r="V438" s="4"/>
      <c r="W438" s="4"/>
    </row>
    <row r="439" spans="1:23" x14ac:dyDescent="0.2">
      <c r="A439" s="4">
        <v>50</v>
      </c>
      <c r="B439" s="4">
        <v>0</v>
      </c>
      <c r="C439" s="4">
        <v>0</v>
      </c>
      <c r="D439" s="4">
        <v>1</v>
      </c>
      <c r="E439" s="4">
        <v>207</v>
      </c>
      <c r="F439" s="4">
        <f>Source!U417</f>
        <v>441.80363499999993</v>
      </c>
      <c r="G439" s="4" t="s">
        <v>96</v>
      </c>
      <c r="H439" s="4" t="s">
        <v>97</v>
      </c>
      <c r="I439" s="4"/>
      <c r="J439" s="4"/>
      <c r="K439" s="4">
        <v>207</v>
      </c>
      <c r="L439" s="4">
        <v>21</v>
      </c>
      <c r="M439" s="4">
        <v>3</v>
      </c>
      <c r="N439" s="4" t="s">
        <v>3</v>
      </c>
      <c r="O439" s="4">
        <v>-1</v>
      </c>
      <c r="P439" s="4"/>
      <c r="Q439" s="4"/>
      <c r="R439" s="4"/>
      <c r="S439" s="4"/>
      <c r="T439" s="4"/>
      <c r="U439" s="4"/>
      <c r="V439" s="4"/>
      <c r="W439" s="4"/>
    </row>
    <row r="440" spans="1:23" x14ac:dyDescent="0.2">
      <c r="A440" s="4">
        <v>50</v>
      </c>
      <c r="B440" s="4">
        <v>0</v>
      </c>
      <c r="C440" s="4">
        <v>0</v>
      </c>
      <c r="D440" s="4">
        <v>1</v>
      </c>
      <c r="E440" s="4">
        <v>208</v>
      </c>
      <c r="F440" s="4">
        <f>Source!V417</f>
        <v>0</v>
      </c>
      <c r="G440" s="4" t="s">
        <v>98</v>
      </c>
      <c r="H440" s="4" t="s">
        <v>99</v>
      </c>
      <c r="I440" s="4"/>
      <c r="J440" s="4"/>
      <c r="K440" s="4">
        <v>208</v>
      </c>
      <c r="L440" s="4">
        <v>22</v>
      </c>
      <c r="M440" s="4">
        <v>3</v>
      </c>
      <c r="N440" s="4" t="s">
        <v>3</v>
      </c>
      <c r="O440" s="4">
        <v>-1</v>
      </c>
      <c r="P440" s="4"/>
      <c r="Q440" s="4"/>
      <c r="R440" s="4"/>
      <c r="S440" s="4"/>
      <c r="T440" s="4"/>
      <c r="U440" s="4"/>
      <c r="V440" s="4"/>
      <c r="W440" s="4"/>
    </row>
    <row r="441" spans="1:23" x14ac:dyDescent="0.2">
      <c r="A441" s="4">
        <v>50</v>
      </c>
      <c r="B441" s="4">
        <v>0</v>
      </c>
      <c r="C441" s="4">
        <v>0</v>
      </c>
      <c r="D441" s="4">
        <v>1</v>
      </c>
      <c r="E441" s="4">
        <v>209</v>
      </c>
      <c r="F441" s="4">
        <f>ROUND(Source!W417,O441)</f>
        <v>0</v>
      </c>
      <c r="G441" s="4" t="s">
        <v>100</v>
      </c>
      <c r="H441" s="4" t="s">
        <v>101</v>
      </c>
      <c r="I441" s="4"/>
      <c r="J441" s="4"/>
      <c r="K441" s="4">
        <v>209</v>
      </c>
      <c r="L441" s="4">
        <v>23</v>
      </c>
      <c r="M441" s="4">
        <v>3</v>
      </c>
      <c r="N441" s="4" t="s">
        <v>3</v>
      </c>
      <c r="O441" s="4">
        <v>2</v>
      </c>
      <c r="P441" s="4"/>
      <c r="Q441" s="4"/>
      <c r="R441" s="4"/>
      <c r="S441" s="4"/>
      <c r="T441" s="4"/>
      <c r="U441" s="4"/>
      <c r="V441" s="4"/>
      <c r="W441" s="4"/>
    </row>
    <row r="442" spans="1:23" x14ac:dyDescent="0.2">
      <c r="A442" s="4">
        <v>50</v>
      </c>
      <c r="B442" s="4">
        <v>0</v>
      </c>
      <c r="C442" s="4">
        <v>0</v>
      </c>
      <c r="D442" s="4">
        <v>1</v>
      </c>
      <c r="E442" s="4">
        <v>233</v>
      </c>
      <c r="F442" s="4">
        <f>ROUND(Source!BD417,O442)</f>
        <v>0</v>
      </c>
      <c r="G442" s="4" t="s">
        <v>102</v>
      </c>
      <c r="H442" s="4" t="s">
        <v>103</v>
      </c>
      <c r="I442" s="4"/>
      <c r="J442" s="4"/>
      <c r="K442" s="4">
        <v>233</v>
      </c>
      <c r="L442" s="4">
        <v>24</v>
      </c>
      <c r="M442" s="4">
        <v>3</v>
      </c>
      <c r="N442" s="4" t="s">
        <v>3</v>
      </c>
      <c r="O442" s="4">
        <v>2</v>
      </c>
      <c r="P442" s="4"/>
      <c r="Q442" s="4"/>
      <c r="R442" s="4"/>
      <c r="S442" s="4"/>
      <c r="T442" s="4"/>
      <c r="U442" s="4"/>
      <c r="V442" s="4"/>
      <c r="W442" s="4"/>
    </row>
    <row r="443" spans="1:23" x14ac:dyDescent="0.2">
      <c r="A443" s="4">
        <v>50</v>
      </c>
      <c r="B443" s="4">
        <v>0</v>
      </c>
      <c r="C443" s="4">
        <v>0</v>
      </c>
      <c r="D443" s="4">
        <v>1</v>
      </c>
      <c r="E443" s="4">
        <v>210</v>
      </c>
      <c r="F443" s="4">
        <f>ROUND(Source!X417,O443)</f>
        <v>64877.74</v>
      </c>
      <c r="G443" s="4" t="s">
        <v>104</v>
      </c>
      <c r="H443" s="4" t="s">
        <v>105</v>
      </c>
      <c r="I443" s="4"/>
      <c r="J443" s="4"/>
      <c r="K443" s="4">
        <v>210</v>
      </c>
      <c r="L443" s="4">
        <v>25</v>
      </c>
      <c r="M443" s="4">
        <v>3</v>
      </c>
      <c r="N443" s="4" t="s">
        <v>3</v>
      </c>
      <c r="O443" s="4">
        <v>2</v>
      </c>
      <c r="P443" s="4"/>
      <c r="Q443" s="4"/>
      <c r="R443" s="4"/>
      <c r="S443" s="4"/>
      <c r="T443" s="4"/>
      <c r="U443" s="4"/>
      <c r="V443" s="4"/>
      <c r="W443" s="4"/>
    </row>
    <row r="444" spans="1:23" x14ac:dyDescent="0.2">
      <c r="A444" s="4">
        <v>50</v>
      </c>
      <c r="B444" s="4">
        <v>0</v>
      </c>
      <c r="C444" s="4">
        <v>0</v>
      </c>
      <c r="D444" s="4">
        <v>1</v>
      </c>
      <c r="E444" s="4">
        <v>211</v>
      </c>
      <c r="F444" s="4">
        <f>ROUND(Source!Y417,O444)</f>
        <v>9268.25</v>
      </c>
      <c r="G444" s="4" t="s">
        <v>106</v>
      </c>
      <c r="H444" s="4" t="s">
        <v>107</v>
      </c>
      <c r="I444" s="4"/>
      <c r="J444" s="4"/>
      <c r="K444" s="4">
        <v>211</v>
      </c>
      <c r="L444" s="4">
        <v>26</v>
      </c>
      <c r="M444" s="4">
        <v>3</v>
      </c>
      <c r="N444" s="4" t="s">
        <v>3</v>
      </c>
      <c r="O444" s="4">
        <v>2</v>
      </c>
      <c r="P444" s="4"/>
      <c r="Q444" s="4"/>
      <c r="R444" s="4"/>
      <c r="S444" s="4"/>
      <c r="T444" s="4"/>
      <c r="U444" s="4"/>
      <c r="V444" s="4"/>
      <c r="W444" s="4"/>
    </row>
    <row r="445" spans="1:23" x14ac:dyDescent="0.2">
      <c r="A445" s="4">
        <v>50</v>
      </c>
      <c r="B445" s="4">
        <v>0</v>
      </c>
      <c r="C445" s="4">
        <v>0</v>
      </c>
      <c r="D445" s="4">
        <v>1</v>
      </c>
      <c r="E445" s="4">
        <v>224</v>
      </c>
      <c r="F445" s="4">
        <f>ROUND(Source!AR417,O445)</f>
        <v>1001773.36</v>
      </c>
      <c r="G445" s="4" t="s">
        <v>108</v>
      </c>
      <c r="H445" s="4" t="s">
        <v>109</v>
      </c>
      <c r="I445" s="4"/>
      <c r="J445" s="4"/>
      <c r="K445" s="4">
        <v>224</v>
      </c>
      <c r="L445" s="4">
        <v>27</v>
      </c>
      <c r="M445" s="4">
        <v>3</v>
      </c>
      <c r="N445" s="4" t="s">
        <v>3</v>
      </c>
      <c r="O445" s="4">
        <v>2</v>
      </c>
      <c r="P445" s="4"/>
      <c r="Q445" s="4"/>
      <c r="R445" s="4"/>
      <c r="S445" s="4"/>
      <c r="T445" s="4"/>
      <c r="U445" s="4"/>
      <c r="V445" s="4"/>
      <c r="W445" s="4"/>
    </row>
    <row r="446" spans="1:23" x14ac:dyDescent="0.2">
      <c r="A446" s="4">
        <v>50</v>
      </c>
      <c r="B446" s="4">
        <v>1</v>
      </c>
      <c r="C446" s="4">
        <v>0</v>
      </c>
      <c r="D446" s="4">
        <v>2</v>
      </c>
      <c r="E446" s="4">
        <v>0</v>
      </c>
      <c r="F446" s="4">
        <f>ROUND(F445*0.2,O446)</f>
        <v>200354.67</v>
      </c>
      <c r="G446" s="4" t="s">
        <v>227</v>
      </c>
      <c r="H446" s="4" t="s">
        <v>228</v>
      </c>
      <c r="I446" s="4"/>
      <c r="J446" s="4"/>
      <c r="K446" s="4">
        <v>212</v>
      </c>
      <c r="L446" s="4">
        <v>28</v>
      </c>
      <c r="M446" s="4">
        <v>0</v>
      </c>
      <c r="N446" s="4" t="s">
        <v>3</v>
      </c>
      <c r="O446" s="4">
        <v>2</v>
      </c>
      <c r="P446" s="4"/>
      <c r="Q446" s="4"/>
      <c r="R446" s="4"/>
      <c r="S446" s="4"/>
      <c r="T446" s="4"/>
      <c r="U446" s="4"/>
      <c r="V446" s="4"/>
      <c r="W446" s="4"/>
    </row>
    <row r="447" spans="1:23" x14ac:dyDescent="0.2">
      <c r="A447" s="4">
        <v>50</v>
      </c>
      <c r="B447" s="4">
        <v>1</v>
      </c>
      <c r="C447" s="4">
        <v>0</v>
      </c>
      <c r="D447" s="4">
        <v>2</v>
      </c>
      <c r="E447" s="4">
        <v>213</v>
      </c>
      <c r="F447" s="4">
        <f>ROUND(F445+F446,O447)</f>
        <v>1202128.03</v>
      </c>
      <c r="G447" s="4" t="s">
        <v>229</v>
      </c>
      <c r="H447" s="4" t="s">
        <v>230</v>
      </c>
      <c r="I447" s="4"/>
      <c r="J447" s="4"/>
      <c r="K447" s="4">
        <v>212</v>
      </c>
      <c r="L447" s="4">
        <v>29</v>
      </c>
      <c r="M447" s="4">
        <v>0</v>
      </c>
      <c r="N447" s="4" t="s">
        <v>3</v>
      </c>
      <c r="O447" s="4">
        <v>2</v>
      </c>
      <c r="P447" s="4"/>
      <c r="Q447" s="4"/>
      <c r="R447" s="4"/>
      <c r="S447" s="4"/>
      <c r="T447" s="4"/>
      <c r="U447" s="4"/>
      <c r="V447" s="4"/>
      <c r="W447" s="4"/>
    </row>
    <row r="449" spans="1:245" x14ac:dyDescent="0.2">
      <c r="A449" s="1">
        <v>4</v>
      </c>
      <c r="B449" s="1">
        <v>1</v>
      </c>
      <c r="C449" s="1"/>
      <c r="D449" s="1">
        <f>ROW(A626)</f>
        <v>626</v>
      </c>
      <c r="E449" s="1"/>
      <c r="F449" s="1" t="s">
        <v>15</v>
      </c>
      <c r="G449" s="1" t="s">
        <v>269</v>
      </c>
      <c r="H449" s="1" t="s">
        <v>3</v>
      </c>
      <c r="I449" s="1">
        <v>0</v>
      </c>
      <c r="J449" s="1"/>
      <c r="K449" s="1">
        <v>0</v>
      </c>
      <c r="L449" s="1"/>
      <c r="M449" s="1"/>
      <c r="N449" s="1"/>
      <c r="O449" s="1"/>
      <c r="P449" s="1"/>
      <c r="Q449" s="1"/>
      <c r="R449" s="1"/>
      <c r="S449" s="1"/>
      <c r="T449" s="1"/>
      <c r="U449" s="1" t="s">
        <v>3</v>
      </c>
      <c r="V449" s="1">
        <v>0</v>
      </c>
      <c r="W449" s="1"/>
      <c r="X449" s="1"/>
      <c r="Y449" s="1"/>
      <c r="Z449" s="1"/>
      <c r="AA449" s="1"/>
      <c r="AB449" s="1" t="s">
        <v>3</v>
      </c>
      <c r="AC449" s="1" t="s">
        <v>3</v>
      </c>
      <c r="AD449" s="1" t="s">
        <v>3</v>
      </c>
      <c r="AE449" s="1" t="s">
        <v>3</v>
      </c>
      <c r="AF449" s="1" t="s">
        <v>3</v>
      </c>
      <c r="AG449" s="1" t="s">
        <v>3</v>
      </c>
      <c r="AH449" s="1"/>
      <c r="AI449" s="1"/>
      <c r="AJ449" s="1"/>
      <c r="AK449" s="1"/>
      <c r="AL449" s="1"/>
      <c r="AM449" s="1"/>
      <c r="AN449" s="1"/>
      <c r="AO449" s="1"/>
      <c r="AP449" s="1" t="s">
        <v>3</v>
      </c>
      <c r="AQ449" s="1" t="s">
        <v>3</v>
      </c>
      <c r="AR449" s="1" t="s">
        <v>3</v>
      </c>
      <c r="AS449" s="1"/>
      <c r="AT449" s="1"/>
      <c r="AU449" s="1"/>
      <c r="AV449" s="1"/>
      <c r="AW449" s="1"/>
      <c r="AX449" s="1"/>
      <c r="AY449" s="1"/>
      <c r="AZ449" s="1" t="s">
        <v>3</v>
      </c>
      <c r="BA449" s="1"/>
      <c r="BB449" s="1" t="s">
        <v>3</v>
      </c>
      <c r="BC449" s="1" t="s">
        <v>3</v>
      </c>
      <c r="BD449" s="1" t="s">
        <v>3</v>
      </c>
      <c r="BE449" s="1" t="s">
        <v>3</v>
      </c>
      <c r="BF449" s="1" t="s">
        <v>3</v>
      </c>
      <c r="BG449" s="1" t="s">
        <v>3</v>
      </c>
      <c r="BH449" s="1" t="s">
        <v>3</v>
      </c>
      <c r="BI449" s="1" t="s">
        <v>3</v>
      </c>
      <c r="BJ449" s="1" t="s">
        <v>3</v>
      </c>
      <c r="BK449" s="1" t="s">
        <v>3</v>
      </c>
      <c r="BL449" s="1" t="s">
        <v>3</v>
      </c>
      <c r="BM449" s="1" t="s">
        <v>3</v>
      </c>
      <c r="BN449" s="1" t="s">
        <v>3</v>
      </c>
      <c r="BO449" s="1" t="s">
        <v>3</v>
      </c>
      <c r="BP449" s="1" t="s">
        <v>3</v>
      </c>
      <c r="BQ449" s="1"/>
      <c r="BR449" s="1"/>
      <c r="BS449" s="1"/>
      <c r="BT449" s="1"/>
      <c r="BU449" s="1"/>
      <c r="BV449" s="1"/>
      <c r="BW449" s="1"/>
      <c r="BX449" s="1">
        <v>0</v>
      </c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>
        <v>0</v>
      </c>
    </row>
    <row r="451" spans="1:245" x14ac:dyDescent="0.2">
      <c r="A451" s="2">
        <v>52</v>
      </c>
      <c r="B451" s="2">
        <f t="shared" ref="B451:G451" si="318">B626</f>
        <v>1</v>
      </c>
      <c r="C451" s="2">
        <f t="shared" si="318"/>
        <v>4</v>
      </c>
      <c r="D451" s="2">
        <f t="shared" si="318"/>
        <v>449</v>
      </c>
      <c r="E451" s="2">
        <f t="shared" si="318"/>
        <v>0</v>
      </c>
      <c r="F451" s="2" t="str">
        <f t="shared" si="318"/>
        <v>Новый раздел</v>
      </c>
      <c r="G451" s="2" t="str">
        <f t="shared" si="318"/>
        <v>ЛЗ "Теплый Стан" - 171 кв.м (кв. 15, выд. 75)</v>
      </c>
      <c r="H451" s="2"/>
      <c r="I451" s="2"/>
      <c r="J451" s="2"/>
      <c r="K451" s="2"/>
      <c r="L451" s="2"/>
      <c r="M451" s="2"/>
      <c r="N451" s="2"/>
      <c r="O451" s="2">
        <f t="shared" ref="O451:AT451" si="319">O626</f>
        <v>921360.73</v>
      </c>
      <c r="P451" s="2">
        <f t="shared" si="319"/>
        <v>792625.44</v>
      </c>
      <c r="Q451" s="2">
        <f t="shared" si="319"/>
        <v>33749.550000000003</v>
      </c>
      <c r="R451" s="2">
        <f t="shared" si="319"/>
        <v>9774.2900000000009</v>
      </c>
      <c r="S451" s="2">
        <f t="shared" si="319"/>
        <v>94985.74</v>
      </c>
      <c r="T451" s="2">
        <f t="shared" si="319"/>
        <v>0</v>
      </c>
      <c r="U451" s="2">
        <f t="shared" si="319"/>
        <v>451.23350599999998</v>
      </c>
      <c r="V451" s="2">
        <f t="shared" si="319"/>
        <v>0</v>
      </c>
      <c r="W451" s="2">
        <f t="shared" si="319"/>
        <v>0</v>
      </c>
      <c r="X451" s="2">
        <f t="shared" si="319"/>
        <v>66490.03</v>
      </c>
      <c r="Y451" s="2">
        <f t="shared" si="319"/>
        <v>9498.58</v>
      </c>
      <c r="Z451" s="2">
        <f t="shared" si="319"/>
        <v>0</v>
      </c>
      <c r="AA451" s="2">
        <f t="shared" si="319"/>
        <v>0</v>
      </c>
      <c r="AB451" s="2">
        <f t="shared" si="319"/>
        <v>0</v>
      </c>
      <c r="AC451" s="2">
        <f t="shared" si="319"/>
        <v>0</v>
      </c>
      <c r="AD451" s="2">
        <f t="shared" si="319"/>
        <v>0</v>
      </c>
      <c r="AE451" s="2">
        <f t="shared" si="319"/>
        <v>0</v>
      </c>
      <c r="AF451" s="2">
        <f t="shared" si="319"/>
        <v>0</v>
      </c>
      <c r="AG451" s="2">
        <f t="shared" si="319"/>
        <v>0</v>
      </c>
      <c r="AH451" s="2">
        <f t="shared" si="319"/>
        <v>0</v>
      </c>
      <c r="AI451" s="2">
        <f t="shared" si="319"/>
        <v>0</v>
      </c>
      <c r="AJ451" s="2">
        <f t="shared" si="319"/>
        <v>0</v>
      </c>
      <c r="AK451" s="2">
        <f t="shared" si="319"/>
        <v>0</v>
      </c>
      <c r="AL451" s="2">
        <f t="shared" si="319"/>
        <v>0</v>
      </c>
      <c r="AM451" s="2">
        <f t="shared" si="319"/>
        <v>0</v>
      </c>
      <c r="AN451" s="2">
        <f t="shared" si="319"/>
        <v>0</v>
      </c>
      <c r="AO451" s="2">
        <f t="shared" si="319"/>
        <v>0</v>
      </c>
      <c r="AP451" s="2">
        <f t="shared" si="319"/>
        <v>0</v>
      </c>
      <c r="AQ451" s="2">
        <f t="shared" si="319"/>
        <v>0</v>
      </c>
      <c r="AR451" s="2">
        <f t="shared" si="319"/>
        <v>1004165.49</v>
      </c>
      <c r="AS451" s="2">
        <f t="shared" si="319"/>
        <v>111650.58</v>
      </c>
      <c r="AT451" s="2">
        <f t="shared" si="319"/>
        <v>0</v>
      </c>
      <c r="AU451" s="2">
        <f t="shared" ref="AU451:BZ451" si="320">AU626</f>
        <v>892514.91</v>
      </c>
      <c r="AV451" s="2">
        <f t="shared" si="320"/>
        <v>792625.44</v>
      </c>
      <c r="AW451" s="2">
        <f t="shared" si="320"/>
        <v>792625.44</v>
      </c>
      <c r="AX451" s="2">
        <f t="shared" si="320"/>
        <v>0</v>
      </c>
      <c r="AY451" s="2">
        <f t="shared" si="320"/>
        <v>792625.44</v>
      </c>
      <c r="AZ451" s="2">
        <f t="shared" si="320"/>
        <v>0</v>
      </c>
      <c r="BA451" s="2">
        <f t="shared" si="320"/>
        <v>0</v>
      </c>
      <c r="BB451" s="2">
        <f t="shared" si="320"/>
        <v>0</v>
      </c>
      <c r="BC451" s="2">
        <f t="shared" si="320"/>
        <v>0</v>
      </c>
      <c r="BD451" s="2">
        <f t="shared" si="320"/>
        <v>0</v>
      </c>
      <c r="BE451" s="2">
        <f t="shared" si="320"/>
        <v>0</v>
      </c>
      <c r="BF451" s="2">
        <f t="shared" si="320"/>
        <v>0</v>
      </c>
      <c r="BG451" s="2">
        <f t="shared" si="320"/>
        <v>0</v>
      </c>
      <c r="BH451" s="2">
        <f t="shared" si="320"/>
        <v>0</v>
      </c>
      <c r="BI451" s="2">
        <f t="shared" si="320"/>
        <v>0</v>
      </c>
      <c r="BJ451" s="2">
        <f t="shared" si="320"/>
        <v>0</v>
      </c>
      <c r="BK451" s="2">
        <f t="shared" si="320"/>
        <v>0</v>
      </c>
      <c r="BL451" s="2">
        <f t="shared" si="320"/>
        <v>0</v>
      </c>
      <c r="BM451" s="2">
        <f t="shared" si="320"/>
        <v>0</v>
      </c>
      <c r="BN451" s="2">
        <f t="shared" si="320"/>
        <v>0</v>
      </c>
      <c r="BO451" s="2">
        <f t="shared" si="320"/>
        <v>0</v>
      </c>
      <c r="BP451" s="2">
        <f t="shared" si="320"/>
        <v>0</v>
      </c>
      <c r="BQ451" s="2">
        <f t="shared" si="320"/>
        <v>0</v>
      </c>
      <c r="BR451" s="2">
        <f t="shared" si="320"/>
        <v>0</v>
      </c>
      <c r="BS451" s="2">
        <f t="shared" si="320"/>
        <v>0</v>
      </c>
      <c r="BT451" s="2">
        <f t="shared" si="320"/>
        <v>0</v>
      </c>
      <c r="BU451" s="2">
        <f t="shared" si="320"/>
        <v>0</v>
      </c>
      <c r="BV451" s="2">
        <f t="shared" si="320"/>
        <v>0</v>
      </c>
      <c r="BW451" s="2">
        <f t="shared" si="320"/>
        <v>0</v>
      </c>
      <c r="BX451" s="2">
        <f t="shared" si="320"/>
        <v>0</v>
      </c>
      <c r="BY451" s="2">
        <f t="shared" si="320"/>
        <v>0</v>
      </c>
      <c r="BZ451" s="2">
        <f t="shared" si="320"/>
        <v>0</v>
      </c>
      <c r="CA451" s="2">
        <f t="shared" ref="CA451:DF451" si="321">CA626</f>
        <v>0</v>
      </c>
      <c r="CB451" s="2">
        <f t="shared" si="321"/>
        <v>0</v>
      </c>
      <c r="CC451" s="2">
        <f t="shared" si="321"/>
        <v>0</v>
      </c>
      <c r="CD451" s="2">
        <f t="shared" si="321"/>
        <v>0</v>
      </c>
      <c r="CE451" s="2">
        <f t="shared" si="321"/>
        <v>0</v>
      </c>
      <c r="CF451" s="2">
        <f t="shared" si="321"/>
        <v>0</v>
      </c>
      <c r="CG451" s="2">
        <f t="shared" si="321"/>
        <v>0</v>
      </c>
      <c r="CH451" s="2">
        <f t="shared" si="321"/>
        <v>0</v>
      </c>
      <c r="CI451" s="2">
        <f t="shared" si="321"/>
        <v>0</v>
      </c>
      <c r="CJ451" s="2">
        <f t="shared" si="321"/>
        <v>0</v>
      </c>
      <c r="CK451" s="2">
        <f t="shared" si="321"/>
        <v>0</v>
      </c>
      <c r="CL451" s="2">
        <f t="shared" si="321"/>
        <v>0</v>
      </c>
      <c r="CM451" s="2">
        <f t="shared" si="321"/>
        <v>0</v>
      </c>
      <c r="CN451" s="2">
        <f t="shared" si="321"/>
        <v>0</v>
      </c>
      <c r="CO451" s="2">
        <f t="shared" si="321"/>
        <v>0</v>
      </c>
      <c r="CP451" s="2">
        <f t="shared" si="321"/>
        <v>0</v>
      </c>
      <c r="CQ451" s="2">
        <f t="shared" si="321"/>
        <v>0</v>
      </c>
      <c r="CR451" s="2">
        <f t="shared" si="321"/>
        <v>0</v>
      </c>
      <c r="CS451" s="2">
        <f t="shared" si="321"/>
        <v>0</v>
      </c>
      <c r="CT451" s="2">
        <f t="shared" si="321"/>
        <v>0</v>
      </c>
      <c r="CU451" s="2">
        <f t="shared" si="321"/>
        <v>0</v>
      </c>
      <c r="CV451" s="2">
        <f t="shared" si="321"/>
        <v>0</v>
      </c>
      <c r="CW451" s="2">
        <f t="shared" si="321"/>
        <v>0</v>
      </c>
      <c r="CX451" s="2">
        <f t="shared" si="321"/>
        <v>0</v>
      </c>
      <c r="CY451" s="2">
        <f t="shared" si="321"/>
        <v>0</v>
      </c>
      <c r="CZ451" s="2">
        <f t="shared" si="321"/>
        <v>0</v>
      </c>
      <c r="DA451" s="2">
        <f t="shared" si="321"/>
        <v>0</v>
      </c>
      <c r="DB451" s="2">
        <f t="shared" si="321"/>
        <v>0</v>
      </c>
      <c r="DC451" s="2">
        <f t="shared" si="321"/>
        <v>0</v>
      </c>
      <c r="DD451" s="2">
        <f t="shared" si="321"/>
        <v>0</v>
      </c>
      <c r="DE451" s="2">
        <f t="shared" si="321"/>
        <v>0</v>
      </c>
      <c r="DF451" s="2">
        <f t="shared" si="321"/>
        <v>0</v>
      </c>
      <c r="DG451" s="3">
        <f t="shared" ref="DG451:EL451" si="322">DG626</f>
        <v>0</v>
      </c>
      <c r="DH451" s="3">
        <f t="shared" si="322"/>
        <v>0</v>
      </c>
      <c r="DI451" s="3">
        <f t="shared" si="322"/>
        <v>0</v>
      </c>
      <c r="DJ451" s="3">
        <f t="shared" si="322"/>
        <v>0</v>
      </c>
      <c r="DK451" s="3">
        <f t="shared" si="322"/>
        <v>0</v>
      </c>
      <c r="DL451" s="3">
        <f t="shared" si="322"/>
        <v>0</v>
      </c>
      <c r="DM451" s="3">
        <f t="shared" si="322"/>
        <v>0</v>
      </c>
      <c r="DN451" s="3">
        <f t="shared" si="322"/>
        <v>0</v>
      </c>
      <c r="DO451" s="3">
        <f t="shared" si="322"/>
        <v>0</v>
      </c>
      <c r="DP451" s="3">
        <f t="shared" si="322"/>
        <v>0</v>
      </c>
      <c r="DQ451" s="3">
        <f t="shared" si="322"/>
        <v>0</v>
      </c>
      <c r="DR451" s="3">
        <f t="shared" si="322"/>
        <v>0</v>
      </c>
      <c r="DS451" s="3">
        <f t="shared" si="322"/>
        <v>0</v>
      </c>
      <c r="DT451" s="3">
        <f t="shared" si="322"/>
        <v>0</v>
      </c>
      <c r="DU451" s="3">
        <f t="shared" si="322"/>
        <v>0</v>
      </c>
      <c r="DV451" s="3">
        <f t="shared" si="322"/>
        <v>0</v>
      </c>
      <c r="DW451" s="3">
        <f t="shared" si="322"/>
        <v>0</v>
      </c>
      <c r="DX451" s="3">
        <f t="shared" si="322"/>
        <v>0</v>
      </c>
      <c r="DY451" s="3">
        <f t="shared" si="322"/>
        <v>0</v>
      </c>
      <c r="DZ451" s="3">
        <f t="shared" si="322"/>
        <v>0</v>
      </c>
      <c r="EA451" s="3">
        <f t="shared" si="322"/>
        <v>0</v>
      </c>
      <c r="EB451" s="3">
        <f t="shared" si="322"/>
        <v>0</v>
      </c>
      <c r="EC451" s="3">
        <f t="shared" si="322"/>
        <v>0</v>
      </c>
      <c r="ED451" s="3">
        <f t="shared" si="322"/>
        <v>0</v>
      </c>
      <c r="EE451" s="3">
        <f t="shared" si="322"/>
        <v>0</v>
      </c>
      <c r="EF451" s="3">
        <f t="shared" si="322"/>
        <v>0</v>
      </c>
      <c r="EG451" s="3">
        <f t="shared" si="322"/>
        <v>0</v>
      </c>
      <c r="EH451" s="3">
        <f t="shared" si="322"/>
        <v>0</v>
      </c>
      <c r="EI451" s="3">
        <f t="shared" si="322"/>
        <v>0</v>
      </c>
      <c r="EJ451" s="3">
        <f t="shared" si="322"/>
        <v>0</v>
      </c>
      <c r="EK451" s="3">
        <f t="shared" si="322"/>
        <v>0</v>
      </c>
      <c r="EL451" s="3">
        <f t="shared" si="322"/>
        <v>0</v>
      </c>
      <c r="EM451" s="3">
        <f t="shared" ref="EM451:FR451" si="323">EM626</f>
        <v>0</v>
      </c>
      <c r="EN451" s="3">
        <f t="shared" si="323"/>
        <v>0</v>
      </c>
      <c r="EO451" s="3">
        <f t="shared" si="323"/>
        <v>0</v>
      </c>
      <c r="EP451" s="3">
        <f t="shared" si="323"/>
        <v>0</v>
      </c>
      <c r="EQ451" s="3">
        <f t="shared" si="323"/>
        <v>0</v>
      </c>
      <c r="ER451" s="3">
        <f t="shared" si="323"/>
        <v>0</v>
      </c>
      <c r="ES451" s="3">
        <f t="shared" si="323"/>
        <v>0</v>
      </c>
      <c r="ET451" s="3">
        <f t="shared" si="323"/>
        <v>0</v>
      </c>
      <c r="EU451" s="3">
        <f t="shared" si="323"/>
        <v>0</v>
      </c>
      <c r="EV451" s="3">
        <f t="shared" si="323"/>
        <v>0</v>
      </c>
      <c r="EW451" s="3">
        <f t="shared" si="323"/>
        <v>0</v>
      </c>
      <c r="EX451" s="3">
        <f t="shared" si="323"/>
        <v>0</v>
      </c>
      <c r="EY451" s="3">
        <f t="shared" si="323"/>
        <v>0</v>
      </c>
      <c r="EZ451" s="3">
        <f t="shared" si="323"/>
        <v>0</v>
      </c>
      <c r="FA451" s="3">
        <f t="shared" si="323"/>
        <v>0</v>
      </c>
      <c r="FB451" s="3">
        <f t="shared" si="323"/>
        <v>0</v>
      </c>
      <c r="FC451" s="3">
        <f t="shared" si="323"/>
        <v>0</v>
      </c>
      <c r="FD451" s="3">
        <f t="shared" si="323"/>
        <v>0</v>
      </c>
      <c r="FE451" s="3">
        <f t="shared" si="323"/>
        <v>0</v>
      </c>
      <c r="FF451" s="3">
        <f t="shared" si="323"/>
        <v>0</v>
      </c>
      <c r="FG451" s="3">
        <f t="shared" si="323"/>
        <v>0</v>
      </c>
      <c r="FH451" s="3">
        <f t="shared" si="323"/>
        <v>0</v>
      </c>
      <c r="FI451" s="3">
        <f t="shared" si="323"/>
        <v>0</v>
      </c>
      <c r="FJ451" s="3">
        <f t="shared" si="323"/>
        <v>0</v>
      </c>
      <c r="FK451" s="3">
        <f t="shared" si="323"/>
        <v>0</v>
      </c>
      <c r="FL451" s="3">
        <f t="shared" si="323"/>
        <v>0</v>
      </c>
      <c r="FM451" s="3">
        <f t="shared" si="323"/>
        <v>0</v>
      </c>
      <c r="FN451" s="3">
        <f t="shared" si="323"/>
        <v>0</v>
      </c>
      <c r="FO451" s="3">
        <f t="shared" si="323"/>
        <v>0</v>
      </c>
      <c r="FP451" s="3">
        <f t="shared" si="323"/>
        <v>0</v>
      </c>
      <c r="FQ451" s="3">
        <f t="shared" si="323"/>
        <v>0</v>
      </c>
      <c r="FR451" s="3">
        <f t="shared" si="323"/>
        <v>0</v>
      </c>
      <c r="FS451" s="3">
        <f t="shared" ref="FS451:GX451" si="324">FS626</f>
        <v>0</v>
      </c>
      <c r="FT451" s="3">
        <f t="shared" si="324"/>
        <v>0</v>
      </c>
      <c r="FU451" s="3">
        <f t="shared" si="324"/>
        <v>0</v>
      </c>
      <c r="FV451" s="3">
        <f t="shared" si="324"/>
        <v>0</v>
      </c>
      <c r="FW451" s="3">
        <f t="shared" si="324"/>
        <v>0</v>
      </c>
      <c r="FX451" s="3">
        <f t="shared" si="324"/>
        <v>0</v>
      </c>
      <c r="FY451" s="3">
        <f t="shared" si="324"/>
        <v>0</v>
      </c>
      <c r="FZ451" s="3">
        <f t="shared" si="324"/>
        <v>0</v>
      </c>
      <c r="GA451" s="3">
        <f t="shared" si="324"/>
        <v>0</v>
      </c>
      <c r="GB451" s="3">
        <f t="shared" si="324"/>
        <v>0</v>
      </c>
      <c r="GC451" s="3">
        <f t="shared" si="324"/>
        <v>0</v>
      </c>
      <c r="GD451" s="3">
        <f t="shared" si="324"/>
        <v>0</v>
      </c>
      <c r="GE451" s="3">
        <f t="shared" si="324"/>
        <v>0</v>
      </c>
      <c r="GF451" s="3">
        <f t="shared" si="324"/>
        <v>0</v>
      </c>
      <c r="GG451" s="3">
        <f t="shared" si="324"/>
        <v>0</v>
      </c>
      <c r="GH451" s="3">
        <f t="shared" si="324"/>
        <v>0</v>
      </c>
      <c r="GI451" s="3">
        <f t="shared" si="324"/>
        <v>0</v>
      </c>
      <c r="GJ451" s="3">
        <f t="shared" si="324"/>
        <v>0</v>
      </c>
      <c r="GK451" s="3">
        <f t="shared" si="324"/>
        <v>0</v>
      </c>
      <c r="GL451" s="3">
        <f t="shared" si="324"/>
        <v>0</v>
      </c>
      <c r="GM451" s="3">
        <f t="shared" si="324"/>
        <v>0</v>
      </c>
      <c r="GN451" s="3">
        <f t="shared" si="324"/>
        <v>0</v>
      </c>
      <c r="GO451" s="3">
        <f t="shared" si="324"/>
        <v>0</v>
      </c>
      <c r="GP451" s="3">
        <f t="shared" si="324"/>
        <v>0</v>
      </c>
      <c r="GQ451" s="3">
        <f t="shared" si="324"/>
        <v>0</v>
      </c>
      <c r="GR451" s="3">
        <f t="shared" si="324"/>
        <v>0</v>
      </c>
      <c r="GS451" s="3">
        <f t="shared" si="324"/>
        <v>0</v>
      </c>
      <c r="GT451" s="3">
        <f t="shared" si="324"/>
        <v>0</v>
      </c>
      <c r="GU451" s="3">
        <f t="shared" si="324"/>
        <v>0</v>
      </c>
      <c r="GV451" s="3">
        <f t="shared" si="324"/>
        <v>0</v>
      </c>
      <c r="GW451" s="3">
        <f t="shared" si="324"/>
        <v>0</v>
      </c>
      <c r="GX451" s="3">
        <f t="shared" si="324"/>
        <v>0</v>
      </c>
    </row>
    <row r="453" spans="1:245" x14ac:dyDescent="0.2">
      <c r="A453" s="1">
        <v>5</v>
      </c>
      <c r="B453" s="1">
        <v>1</v>
      </c>
      <c r="C453" s="1"/>
      <c r="D453" s="1">
        <f>ROW(A465)</f>
        <v>465</v>
      </c>
      <c r="E453" s="1"/>
      <c r="F453" s="1" t="s">
        <v>17</v>
      </c>
      <c r="G453" s="1" t="s">
        <v>18</v>
      </c>
      <c r="H453" s="1" t="s">
        <v>3</v>
      </c>
      <c r="I453" s="1">
        <v>0</v>
      </c>
      <c r="J453" s="1"/>
      <c r="K453" s="1">
        <v>0</v>
      </c>
      <c r="L453" s="1"/>
      <c r="M453" s="1"/>
      <c r="N453" s="1"/>
      <c r="O453" s="1"/>
      <c r="P453" s="1"/>
      <c r="Q453" s="1"/>
      <c r="R453" s="1"/>
      <c r="S453" s="1"/>
      <c r="T453" s="1"/>
      <c r="U453" s="1" t="s">
        <v>3</v>
      </c>
      <c r="V453" s="1">
        <v>0</v>
      </c>
      <c r="W453" s="1"/>
      <c r="X453" s="1"/>
      <c r="Y453" s="1"/>
      <c r="Z453" s="1"/>
      <c r="AA453" s="1"/>
      <c r="AB453" s="1" t="s">
        <v>3</v>
      </c>
      <c r="AC453" s="1" t="s">
        <v>3</v>
      </c>
      <c r="AD453" s="1" t="s">
        <v>3</v>
      </c>
      <c r="AE453" s="1" t="s">
        <v>3</v>
      </c>
      <c r="AF453" s="1" t="s">
        <v>3</v>
      </c>
      <c r="AG453" s="1" t="s">
        <v>3</v>
      </c>
      <c r="AH453" s="1"/>
      <c r="AI453" s="1"/>
      <c r="AJ453" s="1"/>
      <c r="AK453" s="1"/>
      <c r="AL453" s="1"/>
      <c r="AM453" s="1"/>
      <c r="AN453" s="1"/>
      <c r="AO453" s="1"/>
      <c r="AP453" s="1" t="s">
        <v>3</v>
      </c>
      <c r="AQ453" s="1" t="s">
        <v>3</v>
      </c>
      <c r="AR453" s="1" t="s">
        <v>3</v>
      </c>
      <c r="AS453" s="1"/>
      <c r="AT453" s="1"/>
      <c r="AU453" s="1"/>
      <c r="AV453" s="1"/>
      <c r="AW453" s="1"/>
      <c r="AX453" s="1"/>
      <c r="AY453" s="1"/>
      <c r="AZ453" s="1" t="s">
        <v>3</v>
      </c>
      <c r="BA453" s="1"/>
      <c r="BB453" s="1" t="s">
        <v>3</v>
      </c>
      <c r="BC453" s="1" t="s">
        <v>3</v>
      </c>
      <c r="BD453" s="1" t="s">
        <v>3</v>
      </c>
      <c r="BE453" s="1" t="s">
        <v>3</v>
      </c>
      <c r="BF453" s="1" t="s">
        <v>3</v>
      </c>
      <c r="BG453" s="1" t="s">
        <v>3</v>
      </c>
      <c r="BH453" s="1" t="s">
        <v>3</v>
      </c>
      <c r="BI453" s="1" t="s">
        <v>3</v>
      </c>
      <c r="BJ453" s="1" t="s">
        <v>3</v>
      </c>
      <c r="BK453" s="1" t="s">
        <v>3</v>
      </c>
      <c r="BL453" s="1" t="s">
        <v>3</v>
      </c>
      <c r="BM453" s="1" t="s">
        <v>3</v>
      </c>
      <c r="BN453" s="1" t="s">
        <v>3</v>
      </c>
      <c r="BO453" s="1" t="s">
        <v>3</v>
      </c>
      <c r="BP453" s="1" t="s">
        <v>3</v>
      </c>
      <c r="BQ453" s="1"/>
      <c r="BR453" s="1"/>
      <c r="BS453" s="1"/>
      <c r="BT453" s="1"/>
      <c r="BU453" s="1"/>
      <c r="BV453" s="1"/>
      <c r="BW453" s="1"/>
      <c r="BX453" s="1">
        <v>0</v>
      </c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>
        <v>0</v>
      </c>
    </row>
    <row r="455" spans="1:245" x14ac:dyDescent="0.2">
      <c r="A455" s="2">
        <v>52</v>
      </c>
      <c r="B455" s="2">
        <f t="shared" ref="B455:G455" si="325">B465</f>
        <v>1</v>
      </c>
      <c r="C455" s="2">
        <f t="shared" si="325"/>
        <v>5</v>
      </c>
      <c r="D455" s="2">
        <f t="shared" si="325"/>
        <v>453</v>
      </c>
      <c r="E455" s="2">
        <f t="shared" si="325"/>
        <v>0</v>
      </c>
      <c r="F455" s="2" t="str">
        <f t="shared" si="325"/>
        <v>Новый подраздел</v>
      </c>
      <c r="G455" s="2" t="str">
        <f t="shared" si="325"/>
        <v>Демонтаж</v>
      </c>
      <c r="H455" s="2"/>
      <c r="I455" s="2"/>
      <c r="J455" s="2"/>
      <c r="K455" s="2"/>
      <c r="L455" s="2"/>
      <c r="M455" s="2"/>
      <c r="N455" s="2"/>
      <c r="O455" s="2">
        <f t="shared" ref="O455:AT455" si="326">O465</f>
        <v>346.54</v>
      </c>
      <c r="P455" s="2">
        <f t="shared" si="326"/>
        <v>13.51</v>
      </c>
      <c r="Q455" s="2">
        <f t="shared" si="326"/>
        <v>44.55</v>
      </c>
      <c r="R455" s="2">
        <f t="shared" si="326"/>
        <v>26.4</v>
      </c>
      <c r="S455" s="2">
        <f t="shared" si="326"/>
        <v>288.48</v>
      </c>
      <c r="T455" s="2">
        <f t="shared" si="326"/>
        <v>0</v>
      </c>
      <c r="U455" s="2">
        <f t="shared" si="326"/>
        <v>1.6603649999999999</v>
      </c>
      <c r="V455" s="2">
        <f t="shared" si="326"/>
        <v>0</v>
      </c>
      <c r="W455" s="2">
        <f t="shared" si="326"/>
        <v>0</v>
      </c>
      <c r="X455" s="2">
        <f t="shared" si="326"/>
        <v>201.94</v>
      </c>
      <c r="Y455" s="2">
        <f t="shared" si="326"/>
        <v>28.85</v>
      </c>
      <c r="Z455" s="2">
        <f t="shared" si="326"/>
        <v>0</v>
      </c>
      <c r="AA455" s="2">
        <f t="shared" si="326"/>
        <v>0</v>
      </c>
      <c r="AB455" s="2">
        <f t="shared" si="326"/>
        <v>346.54</v>
      </c>
      <c r="AC455" s="2">
        <f t="shared" si="326"/>
        <v>13.51</v>
      </c>
      <c r="AD455" s="2">
        <f t="shared" si="326"/>
        <v>44.55</v>
      </c>
      <c r="AE455" s="2">
        <f t="shared" si="326"/>
        <v>26.4</v>
      </c>
      <c r="AF455" s="2">
        <f t="shared" si="326"/>
        <v>288.48</v>
      </c>
      <c r="AG455" s="2">
        <f t="shared" si="326"/>
        <v>0</v>
      </c>
      <c r="AH455" s="2">
        <f t="shared" si="326"/>
        <v>1.6603649999999999</v>
      </c>
      <c r="AI455" s="2">
        <f t="shared" si="326"/>
        <v>0</v>
      </c>
      <c r="AJ455" s="2">
        <f t="shared" si="326"/>
        <v>0</v>
      </c>
      <c r="AK455" s="2">
        <f t="shared" si="326"/>
        <v>201.94</v>
      </c>
      <c r="AL455" s="2">
        <f t="shared" si="326"/>
        <v>28.85</v>
      </c>
      <c r="AM455" s="2">
        <f t="shared" si="326"/>
        <v>0</v>
      </c>
      <c r="AN455" s="2">
        <f t="shared" si="326"/>
        <v>0</v>
      </c>
      <c r="AO455" s="2">
        <f t="shared" si="326"/>
        <v>0</v>
      </c>
      <c r="AP455" s="2">
        <f t="shared" si="326"/>
        <v>0</v>
      </c>
      <c r="AQ455" s="2">
        <f t="shared" si="326"/>
        <v>0</v>
      </c>
      <c r="AR455" s="2">
        <f t="shared" si="326"/>
        <v>577.33000000000004</v>
      </c>
      <c r="AS455" s="2">
        <f t="shared" si="326"/>
        <v>0</v>
      </c>
      <c r="AT455" s="2">
        <f t="shared" si="326"/>
        <v>0</v>
      </c>
      <c r="AU455" s="2">
        <f t="shared" ref="AU455:BZ455" si="327">AU465</f>
        <v>577.33000000000004</v>
      </c>
      <c r="AV455" s="2">
        <f t="shared" si="327"/>
        <v>13.51</v>
      </c>
      <c r="AW455" s="2">
        <f t="shared" si="327"/>
        <v>13.51</v>
      </c>
      <c r="AX455" s="2">
        <f t="shared" si="327"/>
        <v>0</v>
      </c>
      <c r="AY455" s="2">
        <f t="shared" si="327"/>
        <v>13.51</v>
      </c>
      <c r="AZ455" s="2">
        <f t="shared" si="327"/>
        <v>0</v>
      </c>
      <c r="BA455" s="2">
        <f t="shared" si="327"/>
        <v>0</v>
      </c>
      <c r="BB455" s="2">
        <f t="shared" si="327"/>
        <v>0</v>
      </c>
      <c r="BC455" s="2">
        <f t="shared" si="327"/>
        <v>0</v>
      </c>
      <c r="BD455" s="2">
        <f t="shared" si="327"/>
        <v>0</v>
      </c>
      <c r="BE455" s="2">
        <f t="shared" si="327"/>
        <v>0</v>
      </c>
      <c r="BF455" s="2">
        <f t="shared" si="327"/>
        <v>0</v>
      </c>
      <c r="BG455" s="2">
        <f t="shared" si="327"/>
        <v>0</v>
      </c>
      <c r="BH455" s="2">
        <f t="shared" si="327"/>
        <v>0</v>
      </c>
      <c r="BI455" s="2">
        <f t="shared" si="327"/>
        <v>0</v>
      </c>
      <c r="BJ455" s="2">
        <f t="shared" si="327"/>
        <v>0</v>
      </c>
      <c r="BK455" s="2">
        <f t="shared" si="327"/>
        <v>0</v>
      </c>
      <c r="BL455" s="2">
        <f t="shared" si="327"/>
        <v>0</v>
      </c>
      <c r="BM455" s="2">
        <f t="shared" si="327"/>
        <v>0</v>
      </c>
      <c r="BN455" s="2">
        <f t="shared" si="327"/>
        <v>0</v>
      </c>
      <c r="BO455" s="2">
        <f t="shared" si="327"/>
        <v>0</v>
      </c>
      <c r="BP455" s="2">
        <f t="shared" si="327"/>
        <v>0</v>
      </c>
      <c r="BQ455" s="2">
        <f t="shared" si="327"/>
        <v>0</v>
      </c>
      <c r="BR455" s="2">
        <f t="shared" si="327"/>
        <v>0</v>
      </c>
      <c r="BS455" s="2">
        <f t="shared" si="327"/>
        <v>0</v>
      </c>
      <c r="BT455" s="2">
        <f t="shared" si="327"/>
        <v>0</v>
      </c>
      <c r="BU455" s="2">
        <f t="shared" si="327"/>
        <v>0</v>
      </c>
      <c r="BV455" s="2">
        <f t="shared" si="327"/>
        <v>0</v>
      </c>
      <c r="BW455" s="2">
        <f t="shared" si="327"/>
        <v>0</v>
      </c>
      <c r="BX455" s="2">
        <f t="shared" si="327"/>
        <v>0</v>
      </c>
      <c r="BY455" s="2">
        <f t="shared" si="327"/>
        <v>0</v>
      </c>
      <c r="BZ455" s="2">
        <f t="shared" si="327"/>
        <v>0</v>
      </c>
      <c r="CA455" s="2">
        <f t="shared" ref="CA455:DF455" si="328">CA465</f>
        <v>577.33000000000004</v>
      </c>
      <c r="CB455" s="2">
        <f t="shared" si="328"/>
        <v>0</v>
      </c>
      <c r="CC455" s="2">
        <f t="shared" si="328"/>
        <v>0</v>
      </c>
      <c r="CD455" s="2">
        <f t="shared" si="328"/>
        <v>577.33000000000004</v>
      </c>
      <c r="CE455" s="2">
        <f t="shared" si="328"/>
        <v>13.51</v>
      </c>
      <c r="CF455" s="2">
        <f t="shared" si="328"/>
        <v>13.51</v>
      </c>
      <c r="CG455" s="2">
        <f t="shared" si="328"/>
        <v>0</v>
      </c>
      <c r="CH455" s="2">
        <f t="shared" si="328"/>
        <v>13.51</v>
      </c>
      <c r="CI455" s="2">
        <f t="shared" si="328"/>
        <v>0</v>
      </c>
      <c r="CJ455" s="2">
        <f t="shared" si="328"/>
        <v>0</v>
      </c>
      <c r="CK455" s="2">
        <f t="shared" si="328"/>
        <v>0</v>
      </c>
      <c r="CL455" s="2">
        <f t="shared" si="328"/>
        <v>0</v>
      </c>
      <c r="CM455" s="2">
        <f t="shared" si="328"/>
        <v>0</v>
      </c>
      <c r="CN455" s="2">
        <f t="shared" si="328"/>
        <v>0</v>
      </c>
      <c r="CO455" s="2">
        <f t="shared" si="328"/>
        <v>0</v>
      </c>
      <c r="CP455" s="2">
        <f t="shared" si="328"/>
        <v>0</v>
      </c>
      <c r="CQ455" s="2">
        <f t="shared" si="328"/>
        <v>0</v>
      </c>
      <c r="CR455" s="2">
        <f t="shared" si="328"/>
        <v>0</v>
      </c>
      <c r="CS455" s="2">
        <f t="shared" si="328"/>
        <v>0</v>
      </c>
      <c r="CT455" s="2">
        <f t="shared" si="328"/>
        <v>0</v>
      </c>
      <c r="CU455" s="2">
        <f t="shared" si="328"/>
        <v>0</v>
      </c>
      <c r="CV455" s="2">
        <f t="shared" si="328"/>
        <v>0</v>
      </c>
      <c r="CW455" s="2">
        <f t="shared" si="328"/>
        <v>0</v>
      </c>
      <c r="CX455" s="2">
        <f t="shared" si="328"/>
        <v>0</v>
      </c>
      <c r="CY455" s="2">
        <f t="shared" si="328"/>
        <v>0</v>
      </c>
      <c r="CZ455" s="2">
        <f t="shared" si="328"/>
        <v>0</v>
      </c>
      <c r="DA455" s="2">
        <f t="shared" si="328"/>
        <v>0</v>
      </c>
      <c r="DB455" s="2">
        <f t="shared" si="328"/>
        <v>0</v>
      </c>
      <c r="DC455" s="2">
        <f t="shared" si="328"/>
        <v>0</v>
      </c>
      <c r="DD455" s="2">
        <f t="shared" si="328"/>
        <v>0</v>
      </c>
      <c r="DE455" s="2">
        <f t="shared" si="328"/>
        <v>0</v>
      </c>
      <c r="DF455" s="2">
        <f t="shared" si="328"/>
        <v>0</v>
      </c>
      <c r="DG455" s="3">
        <f t="shared" ref="DG455:EL455" si="329">DG465</f>
        <v>0</v>
      </c>
      <c r="DH455" s="3">
        <f t="shared" si="329"/>
        <v>0</v>
      </c>
      <c r="DI455" s="3">
        <f t="shared" si="329"/>
        <v>0</v>
      </c>
      <c r="DJ455" s="3">
        <f t="shared" si="329"/>
        <v>0</v>
      </c>
      <c r="DK455" s="3">
        <f t="shared" si="329"/>
        <v>0</v>
      </c>
      <c r="DL455" s="3">
        <f t="shared" si="329"/>
        <v>0</v>
      </c>
      <c r="DM455" s="3">
        <f t="shared" si="329"/>
        <v>0</v>
      </c>
      <c r="DN455" s="3">
        <f t="shared" si="329"/>
        <v>0</v>
      </c>
      <c r="DO455" s="3">
        <f t="shared" si="329"/>
        <v>0</v>
      </c>
      <c r="DP455" s="3">
        <f t="shared" si="329"/>
        <v>0</v>
      </c>
      <c r="DQ455" s="3">
        <f t="shared" si="329"/>
        <v>0</v>
      </c>
      <c r="DR455" s="3">
        <f t="shared" si="329"/>
        <v>0</v>
      </c>
      <c r="DS455" s="3">
        <f t="shared" si="329"/>
        <v>0</v>
      </c>
      <c r="DT455" s="3">
        <f t="shared" si="329"/>
        <v>0</v>
      </c>
      <c r="DU455" s="3">
        <f t="shared" si="329"/>
        <v>0</v>
      </c>
      <c r="DV455" s="3">
        <f t="shared" si="329"/>
        <v>0</v>
      </c>
      <c r="DW455" s="3">
        <f t="shared" si="329"/>
        <v>0</v>
      </c>
      <c r="DX455" s="3">
        <f t="shared" si="329"/>
        <v>0</v>
      </c>
      <c r="DY455" s="3">
        <f t="shared" si="329"/>
        <v>0</v>
      </c>
      <c r="DZ455" s="3">
        <f t="shared" si="329"/>
        <v>0</v>
      </c>
      <c r="EA455" s="3">
        <f t="shared" si="329"/>
        <v>0</v>
      </c>
      <c r="EB455" s="3">
        <f t="shared" si="329"/>
        <v>0</v>
      </c>
      <c r="EC455" s="3">
        <f t="shared" si="329"/>
        <v>0</v>
      </c>
      <c r="ED455" s="3">
        <f t="shared" si="329"/>
        <v>0</v>
      </c>
      <c r="EE455" s="3">
        <f t="shared" si="329"/>
        <v>0</v>
      </c>
      <c r="EF455" s="3">
        <f t="shared" si="329"/>
        <v>0</v>
      </c>
      <c r="EG455" s="3">
        <f t="shared" si="329"/>
        <v>0</v>
      </c>
      <c r="EH455" s="3">
        <f t="shared" si="329"/>
        <v>0</v>
      </c>
      <c r="EI455" s="3">
        <f t="shared" si="329"/>
        <v>0</v>
      </c>
      <c r="EJ455" s="3">
        <f t="shared" si="329"/>
        <v>0</v>
      </c>
      <c r="EK455" s="3">
        <f t="shared" si="329"/>
        <v>0</v>
      </c>
      <c r="EL455" s="3">
        <f t="shared" si="329"/>
        <v>0</v>
      </c>
      <c r="EM455" s="3">
        <f t="shared" ref="EM455:FR455" si="330">EM465</f>
        <v>0</v>
      </c>
      <c r="EN455" s="3">
        <f t="shared" si="330"/>
        <v>0</v>
      </c>
      <c r="EO455" s="3">
        <f t="shared" si="330"/>
        <v>0</v>
      </c>
      <c r="EP455" s="3">
        <f t="shared" si="330"/>
        <v>0</v>
      </c>
      <c r="EQ455" s="3">
        <f t="shared" si="330"/>
        <v>0</v>
      </c>
      <c r="ER455" s="3">
        <f t="shared" si="330"/>
        <v>0</v>
      </c>
      <c r="ES455" s="3">
        <f t="shared" si="330"/>
        <v>0</v>
      </c>
      <c r="ET455" s="3">
        <f t="shared" si="330"/>
        <v>0</v>
      </c>
      <c r="EU455" s="3">
        <f t="shared" si="330"/>
        <v>0</v>
      </c>
      <c r="EV455" s="3">
        <f t="shared" si="330"/>
        <v>0</v>
      </c>
      <c r="EW455" s="3">
        <f t="shared" si="330"/>
        <v>0</v>
      </c>
      <c r="EX455" s="3">
        <f t="shared" si="330"/>
        <v>0</v>
      </c>
      <c r="EY455" s="3">
        <f t="shared" si="330"/>
        <v>0</v>
      </c>
      <c r="EZ455" s="3">
        <f t="shared" si="330"/>
        <v>0</v>
      </c>
      <c r="FA455" s="3">
        <f t="shared" si="330"/>
        <v>0</v>
      </c>
      <c r="FB455" s="3">
        <f t="shared" si="330"/>
        <v>0</v>
      </c>
      <c r="FC455" s="3">
        <f t="shared" si="330"/>
        <v>0</v>
      </c>
      <c r="FD455" s="3">
        <f t="shared" si="330"/>
        <v>0</v>
      </c>
      <c r="FE455" s="3">
        <f t="shared" si="330"/>
        <v>0</v>
      </c>
      <c r="FF455" s="3">
        <f t="shared" si="330"/>
        <v>0</v>
      </c>
      <c r="FG455" s="3">
        <f t="shared" si="330"/>
        <v>0</v>
      </c>
      <c r="FH455" s="3">
        <f t="shared" si="330"/>
        <v>0</v>
      </c>
      <c r="FI455" s="3">
        <f t="shared" si="330"/>
        <v>0</v>
      </c>
      <c r="FJ455" s="3">
        <f t="shared" si="330"/>
        <v>0</v>
      </c>
      <c r="FK455" s="3">
        <f t="shared" si="330"/>
        <v>0</v>
      </c>
      <c r="FL455" s="3">
        <f t="shared" si="330"/>
        <v>0</v>
      </c>
      <c r="FM455" s="3">
        <f t="shared" si="330"/>
        <v>0</v>
      </c>
      <c r="FN455" s="3">
        <f t="shared" si="330"/>
        <v>0</v>
      </c>
      <c r="FO455" s="3">
        <f t="shared" si="330"/>
        <v>0</v>
      </c>
      <c r="FP455" s="3">
        <f t="shared" si="330"/>
        <v>0</v>
      </c>
      <c r="FQ455" s="3">
        <f t="shared" si="330"/>
        <v>0</v>
      </c>
      <c r="FR455" s="3">
        <f t="shared" si="330"/>
        <v>0</v>
      </c>
      <c r="FS455" s="3">
        <f t="shared" ref="FS455:GX455" si="331">FS465</f>
        <v>0</v>
      </c>
      <c r="FT455" s="3">
        <f t="shared" si="331"/>
        <v>0</v>
      </c>
      <c r="FU455" s="3">
        <f t="shared" si="331"/>
        <v>0</v>
      </c>
      <c r="FV455" s="3">
        <f t="shared" si="331"/>
        <v>0</v>
      </c>
      <c r="FW455" s="3">
        <f t="shared" si="331"/>
        <v>0</v>
      </c>
      <c r="FX455" s="3">
        <f t="shared" si="331"/>
        <v>0</v>
      </c>
      <c r="FY455" s="3">
        <f t="shared" si="331"/>
        <v>0</v>
      </c>
      <c r="FZ455" s="3">
        <f t="shared" si="331"/>
        <v>0</v>
      </c>
      <c r="GA455" s="3">
        <f t="shared" si="331"/>
        <v>0</v>
      </c>
      <c r="GB455" s="3">
        <f t="shared" si="331"/>
        <v>0</v>
      </c>
      <c r="GC455" s="3">
        <f t="shared" si="331"/>
        <v>0</v>
      </c>
      <c r="GD455" s="3">
        <f t="shared" si="331"/>
        <v>0</v>
      </c>
      <c r="GE455" s="3">
        <f t="shared" si="331"/>
        <v>0</v>
      </c>
      <c r="GF455" s="3">
        <f t="shared" si="331"/>
        <v>0</v>
      </c>
      <c r="GG455" s="3">
        <f t="shared" si="331"/>
        <v>0</v>
      </c>
      <c r="GH455" s="3">
        <f t="shared" si="331"/>
        <v>0</v>
      </c>
      <c r="GI455" s="3">
        <f t="shared" si="331"/>
        <v>0</v>
      </c>
      <c r="GJ455" s="3">
        <f t="shared" si="331"/>
        <v>0</v>
      </c>
      <c r="GK455" s="3">
        <f t="shared" si="331"/>
        <v>0</v>
      </c>
      <c r="GL455" s="3">
        <f t="shared" si="331"/>
        <v>0</v>
      </c>
      <c r="GM455" s="3">
        <f t="shared" si="331"/>
        <v>0</v>
      </c>
      <c r="GN455" s="3">
        <f t="shared" si="331"/>
        <v>0</v>
      </c>
      <c r="GO455" s="3">
        <f t="shared" si="331"/>
        <v>0</v>
      </c>
      <c r="GP455" s="3">
        <f t="shared" si="331"/>
        <v>0</v>
      </c>
      <c r="GQ455" s="3">
        <f t="shared" si="331"/>
        <v>0</v>
      </c>
      <c r="GR455" s="3">
        <f t="shared" si="331"/>
        <v>0</v>
      </c>
      <c r="GS455" s="3">
        <f t="shared" si="331"/>
        <v>0</v>
      </c>
      <c r="GT455" s="3">
        <f t="shared" si="331"/>
        <v>0</v>
      </c>
      <c r="GU455" s="3">
        <f t="shared" si="331"/>
        <v>0</v>
      </c>
      <c r="GV455" s="3">
        <f t="shared" si="331"/>
        <v>0</v>
      </c>
      <c r="GW455" s="3">
        <f t="shared" si="331"/>
        <v>0</v>
      </c>
      <c r="GX455" s="3">
        <f t="shared" si="331"/>
        <v>0</v>
      </c>
    </row>
    <row r="457" spans="1:245" x14ac:dyDescent="0.2">
      <c r="A457">
        <v>17</v>
      </c>
      <c r="B457">
        <v>1</v>
      </c>
      <c r="C457">
        <f>ROW(SmtRes!A126)</f>
        <v>126</v>
      </c>
      <c r="D457">
        <f>ROW(EtalonRes!A123)</f>
        <v>123</v>
      </c>
      <c r="E457" t="s">
        <v>270</v>
      </c>
      <c r="F457" t="s">
        <v>20</v>
      </c>
      <c r="G457" t="s">
        <v>21</v>
      </c>
      <c r="H457" t="s">
        <v>22</v>
      </c>
      <c r="I457">
        <f>ROUND(((1*2)+(3+3+1)+(3*0.5))/100,9)</f>
        <v>0.105</v>
      </c>
      <c r="J457">
        <v>0</v>
      </c>
      <c r="O457">
        <f t="shared" ref="O457:O463" si="332">ROUND(CP457,2)</f>
        <v>280.32</v>
      </c>
      <c r="P457">
        <f t="shared" ref="P457:P463" si="333">ROUND(CQ457*I457,2)</f>
        <v>0</v>
      </c>
      <c r="Q457">
        <f t="shared" ref="Q457:Q463" si="334">ROUND(CR457*I457,2)</f>
        <v>0.01</v>
      </c>
      <c r="R457">
        <f t="shared" ref="R457:R463" si="335">ROUND(CS457*I457,2)</f>
        <v>0</v>
      </c>
      <c r="S457">
        <f t="shared" ref="S457:S463" si="336">ROUND(CT457*I457,2)</f>
        <v>280.31</v>
      </c>
      <c r="T457">
        <f t="shared" ref="T457:T463" si="337">ROUND(CU457*I457,2)</f>
        <v>0</v>
      </c>
      <c r="U457">
        <f t="shared" ref="U457:U463" si="338">CV457*I457</f>
        <v>1.5907499999999999</v>
      </c>
      <c r="V457">
        <f t="shared" ref="V457:V463" si="339">CW457*I457</f>
        <v>0</v>
      </c>
      <c r="W457">
        <f t="shared" ref="W457:W463" si="340">ROUND(CX457*I457,2)</f>
        <v>0</v>
      </c>
      <c r="X457">
        <f t="shared" ref="X457:Y463" si="341">ROUND(CY457,2)</f>
        <v>196.22</v>
      </c>
      <c r="Y457">
        <f t="shared" si="341"/>
        <v>28.03</v>
      </c>
      <c r="AA457">
        <v>38214492</v>
      </c>
      <c r="AB457">
        <f t="shared" ref="AB457:AB463" si="342">ROUND((AC457+AD457+AF457),6)</f>
        <v>2669.64</v>
      </c>
      <c r="AC457">
        <f>ROUND((ES457),6)</f>
        <v>0</v>
      </c>
      <c r="AD457">
        <f>ROUND((((ET457)-(EU457))+AE457),6)</f>
        <v>0.06</v>
      </c>
      <c r="AE457">
        <f>ROUND((EU457),6)</f>
        <v>0</v>
      </c>
      <c r="AF457">
        <f>ROUND((EV457),6)</f>
        <v>2669.58</v>
      </c>
      <c r="AG457">
        <f t="shared" ref="AG457:AG463" si="343">ROUND((AP457),6)</f>
        <v>0</v>
      </c>
      <c r="AH457">
        <f>(EW457)</f>
        <v>15.15</v>
      </c>
      <c r="AI457">
        <f>(EX457)</f>
        <v>0</v>
      </c>
      <c r="AJ457">
        <f t="shared" ref="AJ457:AJ463" si="344">(AS457)</f>
        <v>0</v>
      </c>
      <c r="AK457">
        <v>2669.64</v>
      </c>
      <c r="AL457">
        <v>0</v>
      </c>
      <c r="AM457">
        <v>0.06</v>
      </c>
      <c r="AN457">
        <v>0</v>
      </c>
      <c r="AO457">
        <v>2669.58</v>
      </c>
      <c r="AP457">
        <v>0</v>
      </c>
      <c r="AQ457">
        <v>15.15</v>
      </c>
      <c r="AR457">
        <v>0</v>
      </c>
      <c r="AS457">
        <v>0</v>
      </c>
      <c r="AT457">
        <v>70</v>
      </c>
      <c r="AU457">
        <v>10</v>
      </c>
      <c r="AV457">
        <v>1</v>
      </c>
      <c r="AW457">
        <v>1</v>
      </c>
      <c r="AZ457">
        <v>1</v>
      </c>
      <c r="BA457">
        <v>1</v>
      </c>
      <c r="BB457">
        <v>1</v>
      </c>
      <c r="BC457">
        <v>1</v>
      </c>
      <c r="BD457" t="s">
        <v>3</v>
      </c>
      <c r="BE457" t="s">
        <v>3</v>
      </c>
      <c r="BF457" t="s">
        <v>3</v>
      </c>
      <c r="BG457" t="s">
        <v>3</v>
      </c>
      <c r="BH457">
        <v>0</v>
      </c>
      <c r="BI457">
        <v>4</v>
      </c>
      <c r="BJ457" t="s">
        <v>23</v>
      </c>
      <c r="BM457">
        <v>0</v>
      </c>
      <c r="BN457">
        <v>0</v>
      </c>
      <c r="BO457" t="s">
        <v>3</v>
      </c>
      <c r="BP457">
        <v>0</v>
      </c>
      <c r="BQ457">
        <v>1</v>
      </c>
      <c r="BR457">
        <v>0</v>
      </c>
      <c r="BS457">
        <v>1</v>
      </c>
      <c r="BT457">
        <v>1</v>
      </c>
      <c r="BU457">
        <v>1</v>
      </c>
      <c r="BV457">
        <v>1</v>
      </c>
      <c r="BW457">
        <v>1</v>
      </c>
      <c r="BX457">
        <v>1</v>
      </c>
      <c r="BY457" t="s">
        <v>3</v>
      </c>
      <c r="BZ457">
        <v>70</v>
      </c>
      <c r="CA457">
        <v>10</v>
      </c>
      <c r="CE457">
        <v>0</v>
      </c>
      <c r="CF457">
        <v>0</v>
      </c>
      <c r="CG457">
        <v>0</v>
      </c>
      <c r="CM457">
        <v>0</v>
      </c>
      <c r="CN457" t="s">
        <v>3</v>
      </c>
      <c r="CO457">
        <v>0</v>
      </c>
      <c r="CP457">
        <f t="shared" ref="CP457:CP463" si="345">(P457+Q457+S457)</f>
        <v>280.32</v>
      </c>
      <c r="CQ457">
        <f t="shared" ref="CQ457:CQ463" si="346">(AC457*BC457*AW457)</f>
        <v>0</v>
      </c>
      <c r="CR457">
        <f>((((ET457)*BB457-(EU457)*BS457)+AE457*BS457)*AV457)</f>
        <v>0.06</v>
      </c>
      <c r="CS457">
        <f t="shared" ref="CS457:CS463" si="347">(AE457*BS457*AV457)</f>
        <v>0</v>
      </c>
      <c r="CT457">
        <f t="shared" ref="CT457:CT463" si="348">(AF457*BA457*AV457)</f>
        <v>2669.58</v>
      </c>
      <c r="CU457">
        <f t="shared" ref="CU457:CU463" si="349">AG457</f>
        <v>0</v>
      </c>
      <c r="CV457">
        <f t="shared" ref="CV457:CV463" si="350">(AH457*AV457)</f>
        <v>15.15</v>
      </c>
      <c r="CW457">
        <f t="shared" ref="CW457:CX463" si="351">AI457</f>
        <v>0</v>
      </c>
      <c r="CX457">
        <f t="shared" si="351"/>
        <v>0</v>
      </c>
      <c r="CY457">
        <f t="shared" ref="CY457:CY463" si="352">((S457*BZ457)/100)</f>
        <v>196.21700000000001</v>
      </c>
      <c r="CZ457">
        <f t="shared" ref="CZ457:CZ463" si="353">((S457*CA457)/100)</f>
        <v>28.030999999999999</v>
      </c>
      <c r="DC457" t="s">
        <v>3</v>
      </c>
      <c r="DD457" t="s">
        <v>3</v>
      </c>
      <c r="DE457" t="s">
        <v>3</v>
      </c>
      <c r="DF457" t="s">
        <v>3</v>
      </c>
      <c r="DG457" t="s">
        <v>3</v>
      </c>
      <c r="DH457" t="s">
        <v>3</v>
      </c>
      <c r="DI457" t="s">
        <v>3</v>
      </c>
      <c r="DJ457" t="s">
        <v>3</v>
      </c>
      <c r="DK457" t="s">
        <v>3</v>
      </c>
      <c r="DL457" t="s">
        <v>3</v>
      </c>
      <c r="DM457" t="s">
        <v>3</v>
      </c>
      <c r="DN457">
        <v>0</v>
      </c>
      <c r="DO457">
        <v>0</v>
      </c>
      <c r="DP457">
        <v>1</v>
      </c>
      <c r="DQ457">
        <v>1</v>
      </c>
      <c r="DU457">
        <v>1005</v>
      </c>
      <c r="DV457" t="s">
        <v>22</v>
      </c>
      <c r="DW457" t="s">
        <v>22</v>
      </c>
      <c r="DX457">
        <v>100</v>
      </c>
      <c r="EE457">
        <v>38628631</v>
      </c>
      <c r="EF457">
        <v>1</v>
      </c>
      <c r="EG457" t="s">
        <v>24</v>
      </c>
      <c r="EH457">
        <v>0</v>
      </c>
      <c r="EI457" t="s">
        <v>3</v>
      </c>
      <c r="EJ457">
        <v>4</v>
      </c>
      <c r="EK457">
        <v>0</v>
      </c>
      <c r="EL457" t="s">
        <v>25</v>
      </c>
      <c r="EM457" t="s">
        <v>26</v>
      </c>
      <c r="EO457" t="s">
        <v>3</v>
      </c>
      <c r="EQ457">
        <v>0</v>
      </c>
      <c r="ER457">
        <v>2669.64</v>
      </c>
      <c r="ES457">
        <v>0</v>
      </c>
      <c r="ET457">
        <v>0.06</v>
      </c>
      <c r="EU457">
        <v>0</v>
      </c>
      <c r="EV457">
        <v>2669.58</v>
      </c>
      <c r="EW457">
        <v>15.15</v>
      </c>
      <c r="EX457">
        <v>0</v>
      </c>
      <c r="EY457">
        <v>0</v>
      </c>
      <c r="FQ457">
        <v>0</v>
      </c>
      <c r="FR457">
        <f t="shared" ref="FR457:FR463" si="354">ROUND(IF(AND(BH457=3,BI457=3),P457,0),2)</f>
        <v>0</v>
      </c>
      <c r="FS457">
        <v>0</v>
      </c>
      <c r="FX457">
        <v>70</v>
      </c>
      <c r="FY457">
        <v>10</v>
      </c>
      <c r="GA457" t="s">
        <v>3</v>
      </c>
      <c r="GD457">
        <v>0</v>
      </c>
      <c r="GF457">
        <v>-52895716</v>
      </c>
      <c r="GG457">
        <v>2</v>
      </c>
      <c r="GH457">
        <v>1</v>
      </c>
      <c r="GI457">
        <v>-2</v>
      </c>
      <c r="GJ457">
        <v>0</v>
      </c>
      <c r="GK457">
        <f>ROUND(R457*(R12)/100,2)</f>
        <v>0</v>
      </c>
      <c r="GL457">
        <f t="shared" ref="GL457:GL463" si="355">ROUND(IF(AND(BH457=3,BI457=3,FS457&lt;&gt;0),P457,0),2)</f>
        <v>0</v>
      </c>
      <c r="GM457">
        <f>ROUND(O457+X457+Y457+GK457,2)+GX457</f>
        <v>504.57</v>
      </c>
      <c r="GN457">
        <f>IF(OR(BI457=0,BI457=1),ROUND(O457+X457+Y457+GK457,2),0)</f>
        <v>0</v>
      </c>
      <c r="GO457">
        <f>IF(BI457=2,ROUND(O457+X457+Y457+GK457,2),0)</f>
        <v>0</v>
      </c>
      <c r="GP457">
        <f>IF(BI457=4,ROUND(O457+X457+Y457+GK457,2)+GX457,0)</f>
        <v>504.57</v>
      </c>
      <c r="GR457">
        <v>0</v>
      </c>
      <c r="GS457">
        <v>3</v>
      </c>
      <c r="GT457">
        <v>0</v>
      </c>
      <c r="GU457" t="s">
        <v>3</v>
      </c>
      <c r="GV457">
        <f t="shared" ref="GV457:GV463" si="356">ROUND((GT457),6)</f>
        <v>0</v>
      </c>
      <c r="GW457">
        <v>1</v>
      </c>
      <c r="GX457">
        <f t="shared" ref="GX457:GX463" si="357">ROUND(HC457*I457,2)</f>
        <v>0</v>
      </c>
      <c r="HA457">
        <v>0</v>
      </c>
      <c r="HB457">
        <v>0</v>
      </c>
      <c r="HC457">
        <f t="shared" ref="HC457:HC463" si="358">GV457*GW457</f>
        <v>0</v>
      </c>
      <c r="HE457" t="s">
        <v>3</v>
      </c>
      <c r="HF457" t="s">
        <v>3</v>
      </c>
      <c r="IK457">
        <v>0</v>
      </c>
    </row>
    <row r="458" spans="1:245" x14ac:dyDescent="0.2">
      <c r="A458">
        <v>17</v>
      </c>
      <c r="B458">
        <v>1</v>
      </c>
      <c r="E458" t="s">
        <v>271</v>
      </c>
      <c r="F458" t="s">
        <v>28</v>
      </c>
      <c r="G458" t="s">
        <v>29</v>
      </c>
      <c r="H458" t="s">
        <v>30</v>
      </c>
      <c r="I458">
        <v>0</v>
      </c>
      <c r="J458">
        <v>0</v>
      </c>
      <c r="O458">
        <f t="shared" si="332"/>
        <v>0</v>
      </c>
      <c r="P458">
        <f t="shared" si="333"/>
        <v>0</v>
      </c>
      <c r="Q458">
        <f t="shared" si="334"/>
        <v>0</v>
      </c>
      <c r="R458">
        <f t="shared" si="335"/>
        <v>0</v>
      </c>
      <c r="S458">
        <f t="shared" si="336"/>
        <v>0</v>
      </c>
      <c r="T458">
        <f t="shared" si="337"/>
        <v>0</v>
      </c>
      <c r="U458">
        <f t="shared" si="338"/>
        <v>0</v>
      </c>
      <c r="V458">
        <f t="shared" si="339"/>
        <v>0</v>
      </c>
      <c r="W458">
        <f t="shared" si="340"/>
        <v>0</v>
      </c>
      <c r="X458">
        <f t="shared" si="341"/>
        <v>0</v>
      </c>
      <c r="Y458">
        <f t="shared" si="341"/>
        <v>0</v>
      </c>
      <c r="AA458">
        <v>38214492</v>
      </c>
      <c r="AB458">
        <f t="shared" si="342"/>
        <v>5321.74</v>
      </c>
      <c r="AC458">
        <f>ROUND(((ES458*0)),6)</f>
        <v>0</v>
      </c>
      <c r="AD458">
        <f>ROUND(((((ET458*0.2))-((EU458*0.2)))+AE458),6)</f>
        <v>144.864</v>
      </c>
      <c r="AE458">
        <f>ROUND(((EU458*0.2)),6)</f>
        <v>5.5679999999999996</v>
      </c>
      <c r="AF458">
        <f>ROUND(((EV458*0.2)),6)</f>
        <v>5176.8760000000002</v>
      </c>
      <c r="AG458">
        <f t="shared" si="343"/>
        <v>0</v>
      </c>
      <c r="AH458">
        <f>((EW458*0.2))</f>
        <v>22.080000000000002</v>
      </c>
      <c r="AI458">
        <f>((EX458*0.2))</f>
        <v>0</v>
      </c>
      <c r="AJ458">
        <f t="shared" si="344"/>
        <v>0</v>
      </c>
      <c r="AK458">
        <v>107108.08</v>
      </c>
      <c r="AL458">
        <v>80499.38</v>
      </c>
      <c r="AM458">
        <v>724.32</v>
      </c>
      <c r="AN458">
        <v>27.84</v>
      </c>
      <c r="AO458">
        <v>25884.38</v>
      </c>
      <c r="AP458">
        <v>0</v>
      </c>
      <c r="AQ458">
        <v>110.4</v>
      </c>
      <c r="AR458">
        <v>0</v>
      </c>
      <c r="AS458">
        <v>0</v>
      </c>
      <c r="AT458">
        <v>70</v>
      </c>
      <c r="AU458">
        <v>10</v>
      </c>
      <c r="AV458">
        <v>1</v>
      </c>
      <c r="AW458">
        <v>1</v>
      </c>
      <c r="AZ458">
        <v>1</v>
      </c>
      <c r="BA458">
        <v>1</v>
      </c>
      <c r="BB458">
        <v>1</v>
      </c>
      <c r="BC458">
        <v>1</v>
      </c>
      <c r="BD458" t="s">
        <v>3</v>
      </c>
      <c r="BE458" t="s">
        <v>3</v>
      </c>
      <c r="BF458" t="s">
        <v>3</v>
      </c>
      <c r="BG458" t="s">
        <v>3</v>
      </c>
      <c r="BH458">
        <v>0</v>
      </c>
      <c r="BI458">
        <v>4</v>
      </c>
      <c r="BJ458" t="s">
        <v>31</v>
      </c>
      <c r="BM458">
        <v>0</v>
      </c>
      <c r="BN458">
        <v>0</v>
      </c>
      <c r="BO458" t="s">
        <v>3</v>
      </c>
      <c r="BP458">
        <v>0</v>
      </c>
      <c r="BQ458">
        <v>1</v>
      </c>
      <c r="BR458">
        <v>0</v>
      </c>
      <c r="BS458">
        <v>1</v>
      </c>
      <c r="BT458">
        <v>1</v>
      </c>
      <c r="BU458">
        <v>1</v>
      </c>
      <c r="BV458">
        <v>1</v>
      </c>
      <c r="BW458">
        <v>1</v>
      </c>
      <c r="BX458">
        <v>1</v>
      </c>
      <c r="BY458" t="s">
        <v>3</v>
      </c>
      <c r="BZ458">
        <v>70</v>
      </c>
      <c r="CA458">
        <v>10</v>
      </c>
      <c r="CE458">
        <v>0</v>
      </c>
      <c r="CF458">
        <v>0</v>
      </c>
      <c r="CG458">
        <v>0</v>
      </c>
      <c r="CM458">
        <v>0</v>
      </c>
      <c r="CN458" t="s">
        <v>3</v>
      </c>
      <c r="CO458">
        <v>0</v>
      </c>
      <c r="CP458">
        <f t="shared" si="345"/>
        <v>0</v>
      </c>
      <c r="CQ458">
        <f t="shared" si="346"/>
        <v>0</v>
      </c>
      <c r="CR458">
        <f>(((((ET458*0.2))*BB458-((EU458*0.2))*BS458)+AE458*BS458)*AV458)</f>
        <v>144.864</v>
      </c>
      <c r="CS458">
        <f t="shared" si="347"/>
        <v>5.5679999999999996</v>
      </c>
      <c r="CT458">
        <f t="shared" si="348"/>
        <v>5176.8760000000002</v>
      </c>
      <c r="CU458">
        <f t="shared" si="349"/>
        <v>0</v>
      </c>
      <c r="CV458">
        <f t="shared" si="350"/>
        <v>22.080000000000002</v>
      </c>
      <c r="CW458">
        <f t="shared" si="351"/>
        <v>0</v>
      </c>
      <c r="CX458">
        <f t="shared" si="351"/>
        <v>0</v>
      </c>
      <c r="CY458">
        <f t="shared" si="352"/>
        <v>0</v>
      </c>
      <c r="CZ458">
        <f t="shared" si="353"/>
        <v>0</v>
      </c>
      <c r="DC458" t="s">
        <v>3</v>
      </c>
      <c r="DD458" t="s">
        <v>32</v>
      </c>
      <c r="DE458" t="s">
        <v>33</v>
      </c>
      <c r="DF458" t="s">
        <v>33</v>
      </c>
      <c r="DG458" t="s">
        <v>33</v>
      </c>
      <c r="DH458" t="s">
        <v>3</v>
      </c>
      <c r="DI458" t="s">
        <v>33</v>
      </c>
      <c r="DJ458" t="s">
        <v>33</v>
      </c>
      <c r="DK458" t="s">
        <v>3</v>
      </c>
      <c r="DL458" t="s">
        <v>3</v>
      </c>
      <c r="DM458" t="s">
        <v>3</v>
      </c>
      <c r="DN458">
        <v>0</v>
      </c>
      <c r="DO458">
        <v>0</v>
      </c>
      <c r="DP458">
        <v>1</v>
      </c>
      <c r="DQ458">
        <v>1</v>
      </c>
      <c r="DU458">
        <v>1009</v>
      </c>
      <c r="DV458" t="s">
        <v>30</v>
      </c>
      <c r="DW458" t="s">
        <v>30</v>
      </c>
      <c r="DX458">
        <v>1000</v>
      </c>
      <c r="EE458">
        <v>38628631</v>
      </c>
      <c r="EF458">
        <v>1</v>
      </c>
      <c r="EG458" t="s">
        <v>24</v>
      </c>
      <c r="EH458">
        <v>0</v>
      </c>
      <c r="EI458" t="s">
        <v>3</v>
      </c>
      <c r="EJ458">
        <v>4</v>
      </c>
      <c r="EK458">
        <v>0</v>
      </c>
      <c r="EL458" t="s">
        <v>25</v>
      </c>
      <c r="EM458" t="s">
        <v>26</v>
      </c>
      <c r="EO458" t="s">
        <v>3</v>
      </c>
      <c r="EQ458">
        <v>0</v>
      </c>
      <c r="ER458">
        <v>107108.08</v>
      </c>
      <c r="ES458">
        <v>80499.38</v>
      </c>
      <c r="ET458">
        <v>724.32</v>
      </c>
      <c r="EU458">
        <v>27.84</v>
      </c>
      <c r="EV458">
        <v>25884.38</v>
      </c>
      <c r="EW458">
        <v>110.4</v>
      </c>
      <c r="EX458">
        <v>0</v>
      </c>
      <c r="EY458">
        <v>0</v>
      </c>
      <c r="FQ458">
        <v>0</v>
      </c>
      <c r="FR458">
        <f t="shared" si="354"/>
        <v>0</v>
      </c>
      <c r="FS458">
        <v>0</v>
      </c>
      <c r="FX458">
        <v>70</v>
      </c>
      <c r="FY458">
        <v>10</v>
      </c>
      <c r="GA458" t="s">
        <v>3</v>
      </c>
      <c r="GD458">
        <v>0</v>
      </c>
      <c r="GF458">
        <v>-1500878806</v>
      </c>
      <c r="GG458">
        <v>2</v>
      </c>
      <c r="GH458">
        <v>1</v>
      </c>
      <c r="GI458">
        <v>-2</v>
      </c>
      <c r="GJ458">
        <v>0</v>
      </c>
      <c r="GK458">
        <f>ROUND(R458*(R12)/100,2)</f>
        <v>0</v>
      </c>
      <c r="GL458">
        <f t="shared" si="355"/>
        <v>0</v>
      </c>
      <c r="GM458">
        <f>ROUND(O458+X458+Y458+GK458,2)+GX458</f>
        <v>0</v>
      </c>
      <c r="GN458">
        <f>IF(OR(BI458=0,BI458=1),ROUND(O458+X458+Y458+GK458,2),0)</f>
        <v>0</v>
      </c>
      <c r="GO458">
        <f>IF(BI458=2,ROUND(O458+X458+Y458+GK458,2),0)</f>
        <v>0</v>
      </c>
      <c r="GP458">
        <f>IF(BI458=4,ROUND(O458+X458+Y458+GK458,2)+GX458,0)</f>
        <v>0</v>
      </c>
      <c r="GR458">
        <v>0</v>
      </c>
      <c r="GS458">
        <v>0</v>
      </c>
      <c r="GT458">
        <v>0</v>
      </c>
      <c r="GU458" t="s">
        <v>3</v>
      </c>
      <c r="GV458">
        <f t="shared" si="356"/>
        <v>0</v>
      </c>
      <c r="GW458">
        <v>1</v>
      </c>
      <c r="GX458">
        <f t="shared" si="357"/>
        <v>0</v>
      </c>
      <c r="HA458">
        <v>0</v>
      </c>
      <c r="HB458">
        <v>0</v>
      </c>
      <c r="HC458">
        <f t="shared" si="358"/>
        <v>0</v>
      </c>
      <c r="HE458" t="s">
        <v>3</v>
      </c>
      <c r="HF458" t="s">
        <v>3</v>
      </c>
      <c r="IK458">
        <v>0</v>
      </c>
    </row>
    <row r="459" spans="1:245" x14ac:dyDescent="0.2">
      <c r="A459">
        <v>17</v>
      </c>
      <c r="B459">
        <v>1</v>
      </c>
      <c r="C459">
        <f>ROW(SmtRes!A127)</f>
        <v>127</v>
      </c>
      <c r="D459">
        <f>ROW(EtalonRes!A124)</f>
        <v>124</v>
      </c>
      <c r="E459" t="s">
        <v>272</v>
      </c>
      <c r="F459" t="s">
        <v>35</v>
      </c>
      <c r="G459" t="s">
        <v>36</v>
      </c>
      <c r="H459" t="s">
        <v>30</v>
      </c>
      <c r="I459">
        <v>6.8250000000000005E-2</v>
      </c>
      <c r="J459">
        <v>0</v>
      </c>
      <c r="O459">
        <f t="shared" si="332"/>
        <v>8.17</v>
      </c>
      <c r="P459">
        <f t="shared" si="333"/>
        <v>0</v>
      </c>
      <c r="Q459">
        <f t="shared" si="334"/>
        <v>0</v>
      </c>
      <c r="R459">
        <f t="shared" si="335"/>
        <v>0</v>
      </c>
      <c r="S459">
        <f t="shared" si="336"/>
        <v>8.17</v>
      </c>
      <c r="T459">
        <f t="shared" si="337"/>
        <v>0</v>
      </c>
      <c r="U459">
        <f t="shared" si="338"/>
        <v>6.961500000000001E-2</v>
      </c>
      <c r="V459">
        <f t="shared" si="339"/>
        <v>0</v>
      </c>
      <c r="W459">
        <f t="shared" si="340"/>
        <v>0</v>
      </c>
      <c r="X459">
        <f t="shared" si="341"/>
        <v>5.72</v>
      </c>
      <c r="Y459">
        <f t="shared" si="341"/>
        <v>0.82</v>
      </c>
      <c r="AA459">
        <v>38214492</v>
      </c>
      <c r="AB459">
        <f t="shared" si="342"/>
        <v>119.69</v>
      </c>
      <c r="AC459">
        <f>ROUND((ES459),6)</f>
        <v>0</v>
      </c>
      <c r="AD459">
        <f>ROUND((((ET459)-(EU459))+AE459),6)</f>
        <v>0</v>
      </c>
      <c r="AE459">
        <f t="shared" ref="AE459:AF461" si="359">ROUND((EU459),6)</f>
        <v>0</v>
      </c>
      <c r="AF459">
        <f t="shared" si="359"/>
        <v>119.69</v>
      </c>
      <c r="AG459">
        <f t="shared" si="343"/>
        <v>0</v>
      </c>
      <c r="AH459">
        <f t="shared" ref="AH459:AI461" si="360">(EW459)</f>
        <v>1.02</v>
      </c>
      <c r="AI459">
        <f t="shared" si="360"/>
        <v>0</v>
      </c>
      <c r="AJ459">
        <f t="shared" si="344"/>
        <v>0</v>
      </c>
      <c r="AK459">
        <v>119.69</v>
      </c>
      <c r="AL459">
        <v>0</v>
      </c>
      <c r="AM459">
        <v>0</v>
      </c>
      <c r="AN459">
        <v>0</v>
      </c>
      <c r="AO459">
        <v>119.69</v>
      </c>
      <c r="AP459">
        <v>0</v>
      </c>
      <c r="AQ459">
        <v>1.02</v>
      </c>
      <c r="AR459">
        <v>0</v>
      </c>
      <c r="AS459">
        <v>0</v>
      </c>
      <c r="AT459">
        <v>70</v>
      </c>
      <c r="AU459">
        <v>10</v>
      </c>
      <c r="AV459">
        <v>1</v>
      </c>
      <c r="AW459">
        <v>1</v>
      </c>
      <c r="AZ459">
        <v>1</v>
      </c>
      <c r="BA459">
        <v>1</v>
      </c>
      <c r="BB459">
        <v>1</v>
      </c>
      <c r="BC459">
        <v>1</v>
      </c>
      <c r="BD459" t="s">
        <v>3</v>
      </c>
      <c r="BE459" t="s">
        <v>3</v>
      </c>
      <c r="BF459" t="s">
        <v>3</v>
      </c>
      <c r="BG459" t="s">
        <v>3</v>
      </c>
      <c r="BH459">
        <v>0</v>
      </c>
      <c r="BI459">
        <v>4</v>
      </c>
      <c r="BJ459" t="s">
        <v>37</v>
      </c>
      <c r="BM459">
        <v>0</v>
      </c>
      <c r="BN459">
        <v>0</v>
      </c>
      <c r="BO459" t="s">
        <v>3</v>
      </c>
      <c r="BP459">
        <v>0</v>
      </c>
      <c r="BQ459">
        <v>1</v>
      </c>
      <c r="BR459">
        <v>0</v>
      </c>
      <c r="BS459">
        <v>1</v>
      </c>
      <c r="BT459">
        <v>1</v>
      </c>
      <c r="BU459">
        <v>1</v>
      </c>
      <c r="BV459">
        <v>1</v>
      </c>
      <c r="BW459">
        <v>1</v>
      </c>
      <c r="BX459">
        <v>1</v>
      </c>
      <c r="BY459" t="s">
        <v>3</v>
      </c>
      <c r="BZ459">
        <v>70</v>
      </c>
      <c r="CA459">
        <v>10</v>
      </c>
      <c r="CE459">
        <v>0</v>
      </c>
      <c r="CF459">
        <v>0</v>
      </c>
      <c r="CG459">
        <v>0</v>
      </c>
      <c r="CM459">
        <v>0</v>
      </c>
      <c r="CN459" t="s">
        <v>3</v>
      </c>
      <c r="CO459">
        <v>0</v>
      </c>
      <c r="CP459">
        <f t="shared" si="345"/>
        <v>8.17</v>
      </c>
      <c r="CQ459">
        <f t="shared" si="346"/>
        <v>0</v>
      </c>
      <c r="CR459">
        <f>((((ET459)*BB459-(EU459)*BS459)+AE459*BS459)*AV459)</f>
        <v>0</v>
      </c>
      <c r="CS459">
        <f t="shared" si="347"/>
        <v>0</v>
      </c>
      <c r="CT459">
        <f t="shared" si="348"/>
        <v>119.69</v>
      </c>
      <c r="CU459">
        <f t="shared" si="349"/>
        <v>0</v>
      </c>
      <c r="CV459">
        <f t="shared" si="350"/>
        <v>1.02</v>
      </c>
      <c r="CW459">
        <f t="shared" si="351"/>
        <v>0</v>
      </c>
      <c r="CX459">
        <f t="shared" si="351"/>
        <v>0</v>
      </c>
      <c r="CY459">
        <f t="shared" si="352"/>
        <v>5.7189999999999994</v>
      </c>
      <c r="CZ459">
        <f t="shared" si="353"/>
        <v>0.81700000000000006</v>
      </c>
      <c r="DC459" t="s">
        <v>3</v>
      </c>
      <c r="DD459" t="s">
        <v>3</v>
      </c>
      <c r="DE459" t="s">
        <v>3</v>
      </c>
      <c r="DF459" t="s">
        <v>3</v>
      </c>
      <c r="DG459" t="s">
        <v>3</v>
      </c>
      <c r="DH459" t="s">
        <v>3</v>
      </c>
      <c r="DI459" t="s">
        <v>3</v>
      </c>
      <c r="DJ459" t="s">
        <v>3</v>
      </c>
      <c r="DK459" t="s">
        <v>3</v>
      </c>
      <c r="DL459" t="s">
        <v>3</v>
      </c>
      <c r="DM459" t="s">
        <v>3</v>
      </c>
      <c r="DN459">
        <v>0</v>
      </c>
      <c r="DO459">
        <v>0</v>
      </c>
      <c r="DP459">
        <v>1</v>
      </c>
      <c r="DQ459">
        <v>1</v>
      </c>
      <c r="DU459">
        <v>1009</v>
      </c>
      <c r="DV459" t="s">
        <v>30</v>
      </c>
      <c r="DW459" t="s">
        <v>30</v>
      </c>
      <c r="DX459">
        <v>1000</v>
      </c>
      <c r="EE459">
        <v>38628631</v>
      </c>
      <c r="EF459">
        <v>1</v>
      </c>
      <c r="EG459" t="s">
        <v>24</v>
      </c>
      <c r="EH459">
        <v>0</v>
      </c>
      <c r="EI459" t="s">
        <v>3</v>
      </c>
      <c r="EJ459">
        <v>4</v>
      </c>
      <c r="EK459">
        <v>0</v>
      </c>
      <c r="EL459" t="s">
        <v>25</v>
      </c>
      <c r="EM459" t="s">
        <v>26</v>
      </c>
      <c r="EO459" t="s">
        <v>3</v>
      </c>
      <c r="EQ459">
        <v>0</v>
      </c>
      <c r="ER459">
        <v>119.69</v>
      </c>
      <c r="ES459">
        <v>0</v>
      </c>
      <c r="ET459">
        <v>0</v>
      </c>
      <c r="EU459">
        <v>0</v>
      </c>
      <c r="EV459">
        <v>119.69</v>
      </c>
      <c r="EW459">
        <v>1.02</v>
      </c>
      <c r="EX459">
        <v>0</v>
      </c>
      <c r="EY459">
        <v>0</v>
      </c>
      <c r="FQ459">
        <v>0</v>
      </c>
      <c r="FR459">
        <f t="shared" si="354"/>
        <v>0</v>
      </c>
      <c r="FS459">
        <v>0</v>
      </c>
      <c r="FX459">
        <v>70</v>
      </c>
      <c r="FY459">
        <v>10</v>
      </c>
      <c r="GA459" t="s">
        <v>3</v>
      </c>
      <c r="GD459">
        <v>0</v>
      </c>
      <c r="GF459">
        <v>1555540630</v>
      </c>
      <c r="GG459">
        <v>2</v>
      </c>
      <c r="GH459">
        <v>1</v>
      </c>
      <c r="GI459">
        <v>-2</v>
      </c>
      <c r="GJ459">
        <v>0</v>
      </c>
      <c r="GK459">
        <f>ROUND(R459*(R12)/100,2)</f>
        <v>0</v>
      </c>
      <c r="GL459">
        <f t="shared" si="355"/>
        <v>0</v>
      </c>
      <c r="GM459">
        <f>ROUND(O459+X459+Y459+GK459,2)+GX459</f>
        <v>14.71</v>
      </c>
      <c r="GN459">
        <f>IF(OR(BI459=0,BI459=1),ROUND(O459+X459+Y459+GK459,2),0)</f>
        <v>0</v>
      </c>
      <c r="GO459">
        <f>IF(BI459=2,ROUND(O459+X459+Y459+GK459,2),0)</f>
        <v>0</v>
      </c>
      <c r="GP459">
        <f>IF(BI459=4,ROUND(O459+X459+Y459+GK459,2)+GX459,0)</f>
        <v>14.71</v>
      </c>
      <c r="GR459">
        <v>0</v>
      </c>
      <c r="GS459">
        <v>3</v>
      </c>
      <c r="GT459">
        <v>0</v>
      </c>
      <c r="GU459" t="s">
        <v>3</v>
      </c>
      <c r="GV459">
        <f t="shared" si="356"/>
        <v>0</v>
      </c>
      <c r="GW459">
        <v>1</v>
      </c>
      <c r="GX459">
        <f t="shared" si="357"/>
        <v>0</v>
      </c>
      <c r="HA459">
        <v>0</v>
      </c>
      <c r="HB459">
        <v>0</v>
      </c>
      <c r="HC459">
        <f t="shared" si="358"/>
        <v>0</v>
      </c>
      <c r="HE459" t="s">
        <v>3</v>
      </c>
      <c r="HF459" t="s">
        <v>3</v>
      </c>
      <c r="IK459">
        <v>0</v>
      </c>
    </row>
    <row r="460" spans="1:245" x14ac:dyDescent="0.2">
      <c r="A460">
        <v>17</v>
      </c>
      <c r="B460">
        <v>1</v>
      </c>
      <c r="C460">
        <f>ROW(SmtRes!A129)</f>
        <v>129</v>
      </c>
      <c r="D460">
        <f>ROW(EtalonRes!A126)</f>
        <v>126</v>
      </c>
      <c r="E460" t="s">
        <v>273</v>
      </c>
      <c r="F460" t="s">
        <v>39</v>
      </c>
      <c r="G460" t="s">
        <v>40</v>
      </c>
      <c r="H460" t="s">
        <v>30</v>
      </c>
      <c r="I460">
        <v>0</v>
      </c>
      <c r="J460">
        <v>0</v>
      </c>
      <c r="O460">
        <f t="shared" si="332"/>
        <v>0</v>
      </c>
      <c r="P460">
        <f t="shared" si="333"/>
        <v>0</v>
      </c>
      <c r="Q460">
        <f t="shared" si="334"/>
        <v>0</v>
      </c>
      <c r="R460">
        <f t="shared" si="335"/>
        <v>0</v>
      </c>
      <c r="S460">
        <f t="shared" si="336"/>
        <v>0</v>
      </c>
      <c r="T460">
        <f t="shared" si="337"/>
        <v>0</v>
      </c>
      <c r="U460">
        <f t="shared" si="338"/>
        <v>0</v>
      </c>
      <c r="V460">
        <f t="shared" si="339"/>
        <v>0</v>
      </c>
      <c r="W460">
        <f t="shared" si="340"/>
        <v>0</v>
      </c>
      <c r="X460">
        <f t="shared" si="341"/>
        <v>0</v>
      </c>
      <c r="Y460">
        <f t="shared" si="341"/>
        <v>0</v>
      </c>
      <c r="AA460">
        <v>38214492</v>
      </c>
      <c r="AB460">
        <f t="shared" si="342"/>
        <v>62.5</v>
      </c>
      <c r="AC460">
        <f>ROUND((ES460),6)</f>
        <v>0</v>
      </c>
      <c r="AD460">
        <f>ROUND((((ET460)-(EU460))+AE460),6)</f>
        <v>62.5</v>
      </c>
      <c r="AE460">
        <f t="shared" si="359"/>
        <v>37.020000000000003</v>
      </c>
      <c r="AF460">
        <f t="shared" si="359"/>
        <v>0</v>
      </c>
      <c r="AG460">
        <f t="shared" si="343"/>
        <v>0</v>
      </c>
      <c r="AH460">
        <f t="shared" si="360"/>
        <v>0</v>
      </c>
      <c r="AI460">
        <f t="shared" si="360"/>
        <v>0</v>
      </c>
      <c r="AJ460">
        <f t="shared" si="344"/>
        <v>0</v>
      </c>
      <c r="AK460">
        <v>62.5</v>
      </c>
      <c r="AL460">
        <v>0</v>
      </c>
      <c r="AM460">
        <v>62.5</v>
      </c>
      <c r="AN460">
        <v>37.020000000000003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1</v>
      </c>
      <c r="AW460">
        <v>1</v>
      </c>
      <c r="AZ460">
        <v>1</v>
      </c>
      <c r="BA460">
        <v>1</v>
      </c>
      <c r="BB460">
        <v>1</v>
      </c>
      <c r="BC460">
        <v>1</v>
      </c>
      <c r="BD460" t="s">
        <v>3</v>
      </c>
      <c r="BE460" t="s">
        <v>3</v>
      </c>
      <c r="BF460" t="s">
        <v>3</v>
      </c>
      <c r="BG460" t="s">
        <v>3</v>
      </c>
      <c r="BH460">
        <v>0</v>
      </c>
      <c r="BI460">
        <v>4</v>
      </c>
      <c r="BJ460" t="s">
        <v>41</v>
      </c>
      <c r="BM460">
        <v>1</v>
      </c>
      <c r="BN460">
        <v>0</v>
      </c>
      <c r="BO460" t="s">
        <v>3</v>
      </c>
      <c r="BP460">
        <v>0</v>
      </c>
      <c r="BQ460">
        <v>1</v>
      </c>
      <c r="BR460">
        <v>0</v>
      </c>
      <c r="BS460">
        <v>1</v>
      </c>
      <c r="BT460">
        <v>1</v>
      </c>
      <c r="BU460">
        <v>1</v>
      </c>
      <c r="BV460">
        <v>1</v>
      </c>
      <c r="BW460">
        <v>1</v>
      </c>
      <c r="BX460">
        <v>1</v>
      </c>
      <c r="BY460" t="s">
        <v>3</v>
      </c>
      <c r="BZ460">
        <v>0</v>
      </c>
      <c r="CA460">
        <v>0</v>
      </c>
      <c r="CE460">
        <v>0</v>
      </c>
      <c r="CF460">
        <v>0</v>
      </c>
      <c r="CG460">
        <v>0</v>
      </c>
      <c r="CM460">
        <v>0</v>
      </c>
      <c r="CN460" t="s">
        <v>3</v>
      </c>
      <c r="CO460">
        <v>0</v>
      </c>
      <c r="CP460">
        <f t="shared" si="345"/>
        <v>0</v>
      </c>
      <c r="CQ460">
        <f t="shared" si="346"/>
        <v>0</v>
      </c>
      <c r="CR460">
        <f>((((ET460)*BB460-(EU460)*BS460)+AE460*BS460)*AV460)</f>
        <v>62.5</v>
      </c>
      <c r="CS460">
        <f t="shared" si="347"/>
        <v>37.020000000000003</v>
      </c>
      <c r="CT460">
        <f t="shared" si="348"/>
        <v>0</v>
      </c>
      <c r="CU460">
        <f t="shared" si="349"/>
        <v>0</v>
      </c>
      <c r="CV460">
        <f t="shared" si="350"/>
        <v>0</v>
      </c>
      <c r="CW460">
        <f t="shared" si="351"/>
        <v>0</v>
      </c>
      <c r="CX460">
        <f t="shared" si="351"/>
        <v>0</v>
      </c>
      <c r="CY460">
        <f t="shared" si="352"/>
        <v>0</v>
      </c>
      <c r="CZ460">
        <f t="shared" si="353"/>
        <v>0</v>
      </c>
      <c r="DC460" t="s">
        <v>3</v>
      </c>
      <c r="DD460" t="s">
        <v>3</v>
      </c>
      <c r="DE460" t="s">
        <v>3</v>
      </c>
      <c r="DF460" t="s">
        <v>3</v>
      </c>
      <c r="DG460" t="s">
        <v>3</v>
      </c>
      <c r="DH460" t="s">
        <v>3</v>
      </c>
      <c r="DI460" t="s">
        <v>3</v>
      </c>
      <c r="DJ460" t="s">
        <v>3</v>
      </c>
      <c r="DK460" t="s">
        <v>3</v>
      </c>
      <c r="DL460" t="s">
        <v>3</v>
      </c>
      <c r="DM460" t="s">
        <v>3</v>
      </c>
      <c r="DN460">
        <v>0</v>
      </c>
      <c r="DO460">
        <v>0</v>
      </c>
      <c r="DP460">
        <v>1</v>
      </c>
      <c r="DQ460">
        <v>1</v>
      </c>
      <c r="DU460">
        <v>1009</v>
      </c>
      <c r="DV460" t="s">
        <v>30</v>
      </c>
      <c r="DW460" t="s">
        <v>30</v>
      </c>
      <c r="DX460">
        <v>1000</v>
      </c>
      <c r="EE460">
        <v>38628633</v>
      </c>
      <c r="EF460">
        <v>1</v>
      </c>
      <c r="EG460" t="s">
        <v>24</v>
      </c>
      <c r="EH460">
        <v>0</v>
      </c>
      <c r="EI460" t="s">
        <v>3</v>
      </c>
      <c r="EJ460">
        <v>4</v>
      </c>
      <c r="EK460">
        <v>1</v>
      </c>
      <c r="EL460" t="s">
        <v>42</v>
      </c>
      <c r="EM460" t="s">
        <v>26</v>
      </c>
      <c r="EO460" t="s">
        <v>3</v>
      </c>
      <c r="EQ460">
        <v>0</v>
      </c>
      <c r="ER460">
        <v>62.5</v>
      </c>
      <c r="ES460">
        <v>0</v>
      </c>
      <c r="ET460">
        <v>62.5</v>
      </c>
      <c r="EU460">
        <v>37.020000000000003</v>
      </c>
      <c r="EV460">
        <v>0</v>
      </c>
      <c r="EW460">
        <v>0</v>
      </c>
      <c r="EX460">
        <v>0</v>
      </c>
      <c r="EY460">
        <v>0</v>
      </c>
      <c r="FQ460">
        <v>0</v>
      </c>
      <c r="FR460">
        <f t="shared" si="354"/>
        <v>0</v>
      </c>
      <c r="FS460">
        <v>0</v>
      </c>
      <c r="FX460">
        <v>0</v>
      </c>
      <c r="FY460">
        <v>0</v>
      </c>
      <c r="GA460" t="s">
        <v>3</v>
      </c>
      <c r="GD460">
        <v>1</v>
      </c>
      <c r="GF460">
        <v>-283681225</v>
      </c>
      <c r="GG460">
        <v>2</v>
      </c>
      <c r="GH460">
        <v>1</v>
      </c>
      <c r="GI460">
        <v>-2</v>
      </c>
      <c r="GJ460">
        <v>0</v>
      </c>
      <c r="GK460">
        <v>0</v>
      </c>
      <c r="GL460">
        <f t="shared" si="355"/>
        <v>0</v>
      </c>
      <c r="GM460">
        <f>ROUND(O460+X460+Y460,2)+GX460</f>
        <v>0</v>
      </c>
      <c r="GN460">
        <f>IF(OR(BI460=0,BI460=1),ROUND(O460+X460+Y460,2),0)</f>
        <v>0</v>
      </c>
      <c r="GO460">
        <f>IF(BI460=2,ROUND(O460+X460+Y460,2),0)</f>
        <v>0</v>
      </c>
      <c r="GP460">
        <f>IF(BI460=4,ROUND(O460+X460+Y460,2)+GX460,0)</f>
        <v>0</v>
      </c>
      <c r="GR460">
        <v>0</v>
      </c>
      <c r="GS460">
        <v>3</v>
      </c>
      <c r="GT460">
        <v>0</v>
      </c>
      <c r="GU460" t="s">
        <v>3</v>
      </c>
      <c r="GV460">
        <f t="shared" si="356"/>
        <v>0</v>
      </c>
      <c r="GW460">
        <v>1</v>
      </c>
      <c r="GX460">
        <f t="shared" si="357"/>
        <v>0</v>
      </c>
      <c r="HA460">
        <v>0</v>
      </c>
      <c r="HB460">
        <v>0</v>
      </c>
      <c r="HC460">
        <f t="shared" si="358"/>
        <v>0</v>
      </c>
      <c r="HE460" t="s">
        <v>3</v>
      </c>
      <c r="HF460" t="s">
        <v>3</v>
      </c>
      <c r="IK460">
        <v>0</v>
      </c>
    </row>
    <row r="461" spans="1:245" x14ac:dyDescent="0.2">
      <c r="A461">
        <v>17</v>
      </c>
      <c r="B461">
        <v>1</v>
      </c>
      <c r="C461">
        <f>ROW(SmtRes!A131)</f>
        <v>131</v>
      </c>
      <c r="D461">
        <f>ROW(EtalonRes!A128)</f>
        <v>128</v>
      </c>
      <c r="E461" t="s">
        <v>274</v>
      </c>
      <c r="F461" t="s">
        <v>44</v>
      </c>
      <c r="G461" t="s">
        <v>45</v>
      </c>
      <c r="H461" t="s">
        <v>30</v>
      </c>
      <c r="I461">
        <f>ROUND(I34,9)</f>
        <v>6.8250000000000005E-2</v>
      </c>
      <c r="J461">
        <v>0</v>
      </c>
      <c r="O461">
        <f t="shared" si="332"/>
        <v>12.24</v>
      </c>
      <c r="P461">
        <f t="shared" si="333"/>
        <v>0</v>
      </c>
      <c r="Q461">
        <f t="shared" si="334"/>
        <v>12.24</v>
      </c>
      <c r="R461">
        <f t="shared" si="335"/>
        <v>7.25</v>
      </c>
      <c r="S461">
        <f t="shared" si="336"/>
        <v>0</v>
      </c>
      <c r="T461">
        <f t="shared" si="337"/>
        <v>0</v>
      </c>
      <c r="U461">
        <f t="shared" si="338"/>
        <v>0</v>
      </c>
      <c r="V461">
        <f t="shared" si="339"/>
        <v>0</v>
      </c>
      <c r="W461">
        <f t="shared" si="340"/>
        <v>0</v>
      </c>
      <c r="X461">
        <f t="shared" si="341"/>
        <v>0</v>
      </c>
      <c r="Y461">
        <f t="shared" si="341"/>
        <v>0</v>
      </c>
      <c r="AA461">
        <v>38214492</v>
      </c>
      <c r="AB461">
        <f t="shared" si="342"/>
        <v>179.4</v>
      </c>
      <c r="AC461">
        <f>ROUND((ES461),6)</f>
        <v>0</v>
      </c>
      <c r="AD461">
        <f>ROUND((((ET461)-(EU461))+AE461),6)</f>
        <v>179.4</v>
      </c>
      <c r="AE461">
        <f t="shared" si="359"/>
        <v>106.2</v>
      </c>
      <c r="AF461">
        <f t="shared" si="359"/>
        <v>0</v>
      </c>
      <c r="AG461">
        <f t="shared" si="343"/>
        <v>0</v>
      </c>
      <c r="AH461">
        <f t="shared" si="360"/>
        <v>0</v>
      </c>
      <c r="AI461">
        <f t="shared" si="360"/>
        <v>0</v>
      </c>
      <c r="AJ461">
        <f t="shared" si="344"/>
        <v>0</v>
      </c>
      <c r="AK461">
        <v>179.4</v>
      </c>
      <c r="AL461">
        <v>0</v>
      </c>
      <c r="AM461">
        <v>179.4</v>
      </c>
      <c r="AN461">
        <v>106.2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1</v>
      </c>
      <c r="AW461">
        <v>1</v>
      </c>
      <c r="AZ461">
        <v>1</v>
      </c>
      <c r="BA461">
        <v>1</v>
      </c>
      <c r="BB461">
        <v>1</v>
      </c>
      <c r="BC461">
        <v>1</v>
      </c>
      <c r="BD461" t="s">
        <v>3</v>
      </c>
      <c r="BE461" t="s">
        <v>3</v>
      </c>
      <c r="BF461" t="s">
        <v>3</v>
      </c>
      <c r="BG461" t="s">
        <v>3</v>
      </c>
      <c r="BH461">
        <v>0</v>
      </c>
      <c r="BI461">
        <v>4</v>
      </c>
      <c r="BJ461" t="s">
        <v>46</v>
      </c>
      <c r="BM461">
        <v>1</v>
      </c>
      <c r="BN461">
        <v>0</v>
      </c>
      <c r="BO461" t="s">
        <v>3</v>
      </c>
      <c r="BP461">
        <v>0</v>
      </c>
      <c r="BQ461">
        <v>1</v>
      </c>
      <c r="BR461">
        <v>0</v>
      </c>
      <c r="BS461">
        <v>1</v>
      </c>
      <c r="BT461">
        <v>1</v>
      </c>
      <c r="BU461">
        <v>1</v>
      </c>
      <c r="BV461">
        <v>1</v>
      </c>
      <c r="BW461">
        <v>1</v>
      </c>
      <c r="BX461">
        <v>1</v>
      </c>
      <c r="BY461" t="s">
        <v>3</v>
      </c>
      <c r="BZ461">
        <v>0</v>
      </c>
      <c r="CA461">
        <v>0</v>
      </c>
      <c r="CE461">
        <v>0</v>
      </c>
      <c r="CF461">
        <v>0</v>
      </c>
      <c r="CG461">
        <v>0</v>
      </c>
      <c r="CM461">
        <v>0</v>
      </c>
      <c r="CN461" t="s">
        <v>3</v>
      </c>
      <c r="CO461">
        <v>0</v>
      </c>
      <c r="CP461">
        <f t="shared" si="345"/>
        <v>12.24</v>
      </c>
      <c r="CQ461">
        <f t="shared" si="346"/>
        <v>0</v>
      </c>
      <c r="CR461">
        <f>((((ET461)*BB461-(EU461)*BS461)+AE461*BS461)*AV461)</f>
        <v>179.4</v>
      </c>
      <c r="CS461">
        <f t="shared" si="347"/>
        <v>106.2</v>
      </c>
      <c r="CT461">
        <f t="shared" si="348"/>
        <v>0</v>
      </c>
      <c r="CU461">
        <f t="shared" si="349"/>
        <v>0</v>
      </c>
      <c r="CV461">
        <f t="shared" si="350"/>
        <v>0</v>
      </c>
      <c r="CW461">
        <f t="shared" si="351"/>
        <v>0</v>
      </c>
      <c r="CX461">
        <f t="shared" si="351"/>
        <v>0</v>
      </c>
      <c r="CY461">
        <f t="shared" si="352"/>
        <v>0</v>
      </c>
      <c r="CZ461">
        <f t="shared" si="353"/>
        <v>0</v>
      </c>
      <c r="DC461" t="s">
        <v>3</v>
      </c>
      <c r="DD461" t="s">
        <v>3</v>
      </c>
      <c r="DE461" t="s">
        <v>3</v>
      </c>
      <c r="DF461" t="s">
        <v>3</v>
      </c>
      <c r="DG461" t="s">
        <v>3</v>
      </c>
      <c r="DH461" t="s">
        <v>3</v>
      </c>
      <c r="DI461" t="s">
        <v>3</v>
      </c>
      <c r="DJ461" t="s">
        <v>3</v>
      </c>
      <c r="DK461" t="s">
        <v>3</v>
      </c>
      <c r="DL461" t="s">
        <v>3</v>
      </c>
      <c r="DM461" t="s">
        <v>3</v>
      </c>
      <c r="DN461">
        <v>0</v>
      </c>
      <c r="DO461">
        <v>0</v>
      </c>
      <c r="DP461">
        <v>1</v>
      </c>
      <c r="DQ461">
        <v>1</v>
      </c>
      <c r="DU461">
        <v>1009</v>
      </c>
      <c r="DV461" t="s">
        <v>30</v>
      </c>
      <c r="DW461" t="s">
        <v>30</v>
      </c>
      <c r="DX461">
        <v>1000</v>
      </c>
      <c r="EE461">
        <v>38628633</v>
      </c>
      <c r="EF461">
        <v>1</v>
      </c>
      <c r="EG461" t="s">
        <v>24</v>
      </c>
      <c r="EH461">
        <v>0</v>
      </c>
      <c r="EI461" t="s">
        <v>3</v>
      </c>
      <c r="EJ461">
        <v>4</v>
      </c>
      <c r="EK461">
        <v>1</v>
      </c>
      <c r="EL461" t="s">
        <v>42</v>
      </c>
      <c r="EM461" t="s">
        <v>26</v>
      </c>
      <c r="EO461" t="s">
        <v>3</v>
      </c>
      <c r="EQ461">
        <v>0</v>
      </c>
      <c r="ER461">
        <v>179.4</v>
      </c>
      <c r="ES461">
        <v>0</v>
      </c>
      <c r="ET461">
        <v>179.4</v>
      </c>
      <c r="EU461">
        <v>106.2</v>
      </c>
      <c r="EV461">
        <v>0</v>
      </c>
      <c r="EW461">
        <v>0</v>
      </c>
      <c r="EX461">
        <v>0</v>
      </c>
      <c r="EY461">
        <v>0</v>
      </c>
      <c r="FQ461">
        <v>0</v>
      </c>
      <c r="FR461">
        <f t="shared" si="354"/>
        <v>0</v>
      </c>
      <c r="FS461">
        <v>0</v>
      </c>
      <c r="FX461">
        <v>0</v>
      </c>
      <c r="FY461">
        <v>0</v>
      </c>
      <c r="GA461" t="s">
        <v>3</v>
      </c>
      <c r="GD461">
        <v>1</v>
      </c>
      <c r="GF461">
        <v>1779235029</v>
      </c>
      <c r="GG461">
        <v>2</v>
      </c>
      <c r="GH461">
        <v>1</v>
      </c>
      <c r="GI461">
        <v>-2</v>
      </c>
      <c r="GJ461">
        <v>0</v>
      </c>
      <c r="GK461">
        <v>0</v>
      </c>
      <c r="GL461">
        <f t="shared" si="355"/>
        <v>0</v>
      </c>
      <c r="GM461">
        <f>ROUND(O461+X461+Y461,2)+GX461</f>
        <v>12.24</v>
      </c>
      <c r="GN461">
        <f>IF(OR(BI461=0,BI461=1),ROUND(O461+X461+Y461,2),0)</f>
        <v>0</v>
      </c>
      <c r="GO461">
        <f>IF(BI461=2,ROUND(O461+X461+Y461,2),0)</f>
        <v>0</v>
      </c>
      <c r="GP461">
        <f>IF(BI461=4,ROUND(O461+X461+Y461,2)+GX461,0)</f>
        <v>12.24</v>
      </c>
      <c r="GR461">
        <v>0</v>
      </c>
      <c r="GS461">
        <v>3</v>
      </c>
      <c r="GT461">
        <v>0</v>
      </c>
      <c r="GU461" t="s">
        <v>3</v>
      </c>
      <c r="GV461">
        <f t="shared" si="356"/>
        <v>0</v>
      </c>
      <c r="GW461">
        <v>1</v>
      </c>
      <c r="GX461">
        <f t="shared" si="357"/>
        <v>0</v>
      </c>
      <c r="HA461">
        <v>0</v>
      </c>
      <c r="HB461">
        <v>0</v>
      </c>
      <c r="HC461">
        <f t="shared" si="358"/>
        <v>0</v>
      </c>
      <c r="HE461" t="s">
        <v>3</v>
      </c>
      <c r="HF461" t="s">
        <v>3</v>
      </c>
      <c r="IK461">
        <v>0</v>
      </c>
    </row>
    <row r="462" spans="1:245" x14ac:dyDescent="0.2">
      <c r="A462">
        <v>17</v>
      </c>
      <c r="B462">
        <v>1</v>
      </c>
      <c r="C462">
        <f>ROW(SmtRes!A133)</f>
        <v>133</v>
      </c>
      <c r="D462">
        <f>ROW(EtalonRes!A130)</f>
        <v>130</v>
      </c>
      <c r="E462" t="s">
        <v>275</v>
      </c>
      <c r="F462" t="s">
        <v>48</v>
      </c>
      <c r="G462" t="s">
        <v>49</v>
      </c>
      <c r="H462" t="s">
        <v>30</v>
      </c>
      <c r="I462">
        <f>ROUND(I36,9)</f>
        <v>6.8250000000000005E-2</v>
      </c>
      <c r="J462">
        <v>0</v>
      </c>
      <c r="O462">
        <f t="shared" si="332"/>
        <v>32.299999999999997</v>
      </c>
      <c r="P462">
        <f t="shared" si="333"/>
        <v>0</v>
      </c>
      <c r="Q462">
        <f t="shared" si="334"/>
        <v>32.299999999999997</v>
      </c>
      <c r="R462">
        <f t="shared" si="335"/>
        <v>19.149999999999999</v>
      </c>
      <c r="S462">
        <f t="shared" si="336"/>
        <v>0</v>
      </c>
      <c r="T462">
        <f t="shared" si="337"/>
        <v>0</v>
      </c>
      <c r="U462">
        <f t="shared" si="338"/>
        <v>0</v>
      </c>
      <c r="V462">
        <f t="shared" si="339"/>
        <v>0</v>
      </c>
      <c r="W462">
        <f t="shared" si="340"/>
        <v>0</v>
      </c>
      <c r="X462">
        <f t="shared" si="341"/>
        <v>0</v>
      </c>
      <c r="Y462">
        <f t="shared" si="341"/>
        <v>0</v>
      </c>
      <c r="AA462">
        <v>38214492</v>
      </c>
      <c r="AB462">
        <f t="shared" si="342"/>
        <v>473.28</v>
      </c>
      <c r="AC462">
        <f>ROUND(((ES462*16)),6)</f>
        <v>0</v>
      </c>
      <c r="AD462">
        <f>ROUND(((((ET462*16))-((EU462*16)))+AE462),6)</f>
        <v>473.28</v>
      </c>
      <c r="AE462">
        <f>ROUND(((EU462*16)),6)</f>
        <v>280.64</v>
      </c>
      <c r="AF462">
        <f>ROUND(((EV462*16)),6)</f>
        <v>0</v>
      </c>
      <c r="AG462">
        <f t="shared" si="343"/>
        <v>0</v>
      </c>
      <c r="AH462">
        <f>((EW462*16))</f>
        <v>0</v>
      </c>
      <c r="AI462">
        <f>((EX462*16))</f>
        <v>0</v>
      </c>
      <c r="AJ462">
        <f t="shared" si="344"/>
        <v>0</v>
      </c>
      <c r="AK462">
        <v>29.58</v>
      </c>
      <c r="AL462">
        <v>0</v>
      </c>
      <c r="AM462">
        <v>29.58</v>
      </c>
      <c r="AN462">
        <v>17.54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1</v>
      </c>
      <c r="AW462">
        <v>1</v>
      </c>
      <c r="AZ462">
        <v>1</v>
      </c>
      <c r="BA462">
        <v>1</v>
      </c>
      <c r="BB462">
        <v>1</v>
      </c>
      <c r="BC462">
        <v>1</v>
      </c>
      <c r="BD462" t="s">
        <v>3</v>
      </c>
      <c r="BE462" t="s">
        <v>3</v>
      </c>
      <c r="BF462" t="s">
        <v>3</v>
      </c>
      <c r="BG462" t="s">
        <v>3</v>
      </c>
      <c r="BH462">
        <v>0</v>
      </c>
      <c r="BI462">
        <v>4</v>
      </c>
      <c r="BJ462" t="s">
        <v>50</v>
      </c>
      <c r="BM462">
        <v>1</v>
      </c>
      <c r="BN462">
        <v>0</v>
      </c>
      <c r="BO462" t="s">
        <v>3</v>
      </c>
      <c r="BP462">
        <v>0</v>
      </c>
      <c r="BQ462">
        <v>1</v>
      </c>
      <c r="BR462">
        <v>0</v>
      </c>
      <c r="BS462">
        <v>1</v>
      </c>
      <c r="BT462">
        <v>1</v>
      </c>
      <c r="BU462">
        <v>1</v>
      </c>
      <c r="BV462">
        <v>1</v>
      </c>
      <c r="BW462">
        <v>1</v>
      </c>
      <c r="BX462">
        <v>1</v>
      </c>
      <c r="BY462" t="s">
        <v>3</v>
      </c>
      <c r="BZ462">
        <v>0</v>
      </c>
      <c r="CA462">
        <v>0</v>
      </c>
      <c r="CE462">
        <v>0</v>
      </c>
      <c r="CF462">
        <v>0</v>
      </c>
      <c r="CG462">
        <v>0</v>
      </c>
      <c r="CM462">
        <v>0</v>
      </c>
      <c r="CN462" t="s">
        <v>3</v>
      </c>
      <c r="CO462">
        <v>0</v>
      </c>
      <c r="CP462">
        <f t="shared" si="345"/>
        <v>32.299999999999997</v>
      </c>
      <c r="CQ462">
        <f t="shared" si="346"/>
        <v>0</v>
      </c>
      <c r="CR462">
        <f>(((((ET462*16))*BB462-((EU462*16))*BS462)+AE462*BS462)*AV462)</f>
        <v>473.28</v>
      </c>
      <c r="CS462">
        <f t="shared" si="347"/>
        <v>280.64</v>
      </c>
      <c r="CT462">
        <f t="shared" si="348"/>
        <v>0</v>
      </c>
      <c r="CU462">
        <f t="shared" si="349"/>
        <v>0</v>
      </c>
      <c r="CV462">
        <f t="shared" si="350"/>
        <v>0</v>
      </c>
      <c r="CW462">
        <f t="shared" si="351"/>
        <v>0</v>
      </c>
      <c r="CX462">
        <f t="shared" si="351"/>
        <v>0</v>
      </c>
      <c r="CY462">
        <f t="shared" si="352"/>
        <v>0</v>
      </c>
      <c r="CZ462">
        <f t="shared" si="353"/>
        <v>0</v>
      </c>
      <c r="DC462" t="s">
        <v>3</v>
      </c>
      <c r="DD462" t="s">
        <v>201</v>
      </c>
      <c r="DE462" t="s">
        <v>201</v>
      </c>
      <c r="DF462" t="s">
        <v>201</v>
      </c>
      <c r="DG462" t="s">
        <v>201</v>
      </c>
      <c r="DH462" t="s">
        <v>3</v>
      </c>
      <c r="DI462" t="s">
        <v>201</v>
      </c>
      <c r="DJ462" t="s">
        <v>201</v>
      </c>
      <c r="DK462" t="s">
        <v>3</v>
      </c>
      <c r="DL462" t="s">
        <v>3</v>
      </c>
      <c r="DM462" t="s">
        <v>3</v>
      </c>
      <c r="DN462">
        <v>0</v>
      </c>
      <c r="DO462">
        <v>0</v>
      </c>
      <c r="DP462">
        <v>1</v>
      </c>
      <c r="DQ462">
        <v>1</v>
      </c>
      <c r="DU462">
        <v>1009</v>
      </c>
      <c r="DV462" t="s">
        <v>30</v>
      </c>
      <c r="DW462" t="s">
        <v>30</v>
      </c>
      <c r="DX462">
        <v>1000</v>
      </c>
      <c r="EE462">
        <v>38628633</v>
      </c>
      <c r="EF462">
        <v>1</v>
      </c>
      <c r="EG462" t="s">
        <v>24</v>
      </c>
      <c r="EH462">
        <v>0</v>
      </c>
      <c r="EI462" t="s">
        <v>3</v>
      </c>
      <c r="EJ462">
        <v>4</v>
      </c>
      <c r="EK462">
        <v>1</v>
      </c>
      <c r="EL462" t="s">
        <v>42</v>
      </c>
      <c r="EM462" t="s">
        <v>26</v>
      </c>
      <c r="EO462" t="s">
        <v>3</v>
      </c>
      <c r="EQ462">
        <v>0</v>
      </c>
      <c r="ER462">
        <v>29.58</v>
      </c>
      <c r="ES462">
        <v>0</v>
      </c>
      <c r="ET462">
        <v>29.58</v>
      </c>
      <c r="EU462">
        <v>17.54</v>
      </c>
      <c r="EV462">
        <v>0</v>
      </c>
      <c r="EW462">
        <v>0</v>
      </c>
      <c r="EX462">
        <v>0</v>
      </c>
      <c r="EY462">
        <v>0</v>
      </c>
      <c r="FQ462">
        <v>0</v>
      </c>
      <c r="FR462">
        <f t="shared" si="354"/>
        <v>0</v>
      </c>
      <c r="FS462">
        <v>0</v>
      </c>
      <c r="FX462">
        <v>0</v>
      </c>
      <c r="FY462">
        <v>0</v>
      </c>
      <c r="GA462" t="s">
        <v>3</v>
      </c>
      <c r="GD462">
        <v>1</v>
      </c>
      <c r="GF462">
        <v>-576512497</v>
      </c>
      <c r="GG462">
        <v>2</v>
      </c>
      <c r="GH462">
        <v>1</v>
      </c>
      <c r="GI462">
        <v>-2</v>
      </c>
      <c r="GJ462">
        <v>0</v>
      </c>
      <c r="GK462">
        <v>0</v>
      </c>
      <c r="GL462">
        <f t="shared" si="355"/>
        <v>0</v>
      </c>
      <c r="GM462">
        <f>ROUND(O462+X462+Y462,2)+GX462</f>
        <v>32.299999999999997</v>
      </c>
      <c r="GN462">
        <f>IF(OR(BI462=0,BI462=1),ROUND(O462+X462+Y462,2),0)</f>
        <v>0</v>
      </c>
      <c r="GO462">
        <f>IF(BI462=2,ROUND(O462+X462+Y462,2),0)</f>
        <v>0</v>
      </c>
      <c r="GP462">
        <f>IF(BI462=4,ROUND(O462+X462+Y462,2)+GX462,0)</f>
        <v>32.299999999999997</v>
      </c>
      <c r="GR462">
        <v>0</v>
      </c>
      <c r="GS462">
        <v>3</v>
      </c>
      <c r="GT462">
        <v>0</v>
      </c>
      <c r="GU462" t="s">
        <v>3</v>
      </c>
      <c r="GV462">
        <f t="shared" si="356"/>
        <v>0</v>
      </c>
      <c r="GW462">
        <v>1</v>
      </c>
      <c r="GX462">
        <f t="shared" si="357"/>
        <v>0</v>
      </c>
      <c r="HA462">
        <v>0</v>
      </c>
      <c r="HB462">
        <v>0</v>
      </c>
      <c r="HC462">
        <f t="shared" si="358"/>
        <v>0</v>
      </c>
      <c r="HE462" t="s">
        <v>3</v>
      </c>
      <c r="HF462" t="s">
        <v>3</v>
      </c>
      <c r="IK462">
        <v>0</v>
      </c>
    </row>
    <row r="463" spans="1:245" x14ac:dyDescent="0.2">
      <c r="A463">
        <v>17</v>
      </c>
      <c r="B463">
        <v>1</v>
      </c>
      <c r="E463" t="s">
        <v>276</v>
      </c>
      <c r="F463" t="s">
        <v>53</v>
      </c>
      <c r="G463" t="s">
        <v>54</v>
      </c>
      <c r="H463" t="s">
        <v>30</v>
      </c>
      <c r="I463">
        <v>6.8250000000000005E-2</v>
      </c>
      <c r="J463">
        <v>0</v>
      </c>
      <c r="O463">
        <f t="shared" si="332"/>
        <v>13.51</v>
      </c>
      <c r="P463">
        <f t="shared" si="333"/>
        <v>13.51</v>
      </c>
      <c r="Q463">
        <f t="shared" si="334"/>
        <v>0</v>
      </c>
      <c r="R463">
        <f t="shared" si="335"/>
        <v>0</v>
      </c>
      <c r="S463">
        <f t="shared" si="336"/>
        <v>0</v>
      </c>
      <c r="T463">
        <f t="shared" si="337"/>
        <v>0</v>
      </c>
      <c r="U463">
        <f t="shared" si="338"/>
        <v>0</v>
      </c>
      <c r="V463">
        <f t="shared" si="339"/>
        <v>0</v>
      </c>
      <c r="W463">
        <f t="shared" si="340"/>
        <v>0</v>
      </c>
      <c r="X463">
        <f t="shared" si="341"/>
        <v>0</v>
      </c>
      <c r="Y463">
        <f t="shared" si="341"/>
        <v>0</v>
      </c>
      <c r="AA463">
        <v>38214492</v>
      </c>
      <c r="AB463">
        <f t="shared" si="342"/>
        <v>197.96</v>
      </c>
      <c r="AC463">
        <f>ROUND((ES463),6)</f>
        <v>197.96</v>
      </c>
      <c r="AD463">
        <f>ROUND((((ET463)-(EU463))+AE463),6)</f>
        <v>0</v>
      </c>
      <c r="AE463">
        <f>ROUND((EU463),6)</f>
        <v>0</v>
      </c>
      <c r="AF463">
        <f>ROUND((EV463),6)</f>
        <v>0</v>
      </c>
      <c r="AG463">
        <f t="shared" si="343"/>
        <v>0</v>
      </c>
      <c r="AH463">
        <f>(EW463)</f>
        <v>0</v>
      </c>
      <c r="AI463">
        <f>(EX463)</f>
        <v>0</v>
      </c>
      <c r="AJ463">
        <f t="shared" si="344"/>
        <v>0</v>
      </c>
      <c r="AK463">
        <v>197.96</v>
      </c>
      <c r="AL463">
        <v>197.96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70</v>
      </c>
      <c r="AU463">
        <v>10</v>
      </c>
      <c r="AV463">
        <v>1</v>
      </c>
      <c r="AW463">
        <v>1</v>
      </c>
      <c r="AZ463">
        <v>1</v>
      </c>
      <c r="BA463">
        <v>1</v>
      </c>
      <c r="BB463">
        <v>1</v>
      </c>
      <c r="BC463">
        <v>1</v>
      </c>
      <c r="BD463" t="s">
        <v>3</v>
      </c>
      <c r="BE463" t="s">
        <v>3</v>
      </c>
      <c r="BF463" t="s">
        <v>3</v>
      </c>
      <c r="BG463" t="s">
        <v>3</v>
      </c>
      <c r="BH463">
        <v>3</v>
      </c>
      <c r="BI463">
        <v>4</v>
      </c>
      <c r="BJ463" t="s">
        <v>55</v>
      </c>
      <c r="BM463">
        <v>0</v>
      </c>
      <c r="BN463">
        <v>0</v>
      </c>
      <c r="BO463" t="s">
        <v>3</v>
      </c>
      <c r="BP463">
        <v>0</v>
      </c>
      <c r="BQ463">
        <v>1</v>
      </c>
      <c r="BR463">
        <v>0</v>
      </c>
      <c r="BS463">
        <v>1</v>
      </c>
      <c r="BT463">
        <v>1</v>
      </c>
      <c r="BU463">
        <v>1</v>
      </c>
      <c r="BV463">
        <v>1</v>
      </c>
      <c r="BW463">
        <v>1</v>
      </c>
      <c r="BX463">
        <v>1</v>
      </c>
      <c r="BY463" t="s">
        <v>3</v>
      </c>
      <c r="BZ463">
        <v>70</v>
      </c>
      <c r="CA463">
        <v>10</v>
      </c>
      <c r="CE463">
        <v>0</v>
      </c>
      <c r="CF463">
        <v>0</v>
      </c>
      <c r="CG463">
        <v>0</v>
      </c>
      <c r="CM463">
        <v>0</v>
      </c>
      <c r="CN463" t="s">
        <v>3</v>
      </c>
      <c r="CO463">
        <v>0</v>
      </c>
      <c r="CP463">
        <f t="shared" si="345"/>
        <v>13.51</v>
      </c>
      <c r="CQ463">
        <f t="shared" si="346"/>
        <v>197.96</v>
      </c>
      <c r="CR463">
        <f>((((ET463)*BB463-(EU463)*BS463)+AE463*BS463)*AV463)</f>
        <v>0</v>
      </c>
      <c r="CS463">
        <f t="shared" si="347"/>
        <v>0</v>
      </c>
      <c r="CT463">
        <f t="shared" si="348"/>
        <v>0</v>
      </c>
      <c r="CU463">
        <f t="shared" si="349"/>
        <v>0</v>
      </c>
      <c r="CV463">
        <f t="shared" si="350"/>
        <v>0</v>
      </c>
      <c r="CW463">
        <f t="shared" si="351"/>
        <v>0</v>
      </c>
      <c r="CX463">
        <f t="shared" si="351"/>
        <v>0</v>
      </c>
      <c r="CY463">
        <f t="shared" si="352"/>
        <v>0</v>
      </c>
      <c r="CZ463">
        <f t="shared" si="353"/>
        <v>0</v>
      </c>
      <c r="DC463" t="s">
        <v>3</v>
      </c>
      <c r="DD463" t="s">
        <v>3</v>
      </c>
      <c r="DE463" t="s">
        <v>3</v>
      </c>
      <c r="DF463" t="s">
        <v>3</v>
      </c>
      <c r="DG463" t="s">
        <v>3</v>
      </c>
      <c r="DH463" t="s">
        <v>3</v>
      </c>
      <c r="DI463" t="s">
        <v>3</v>
      </c>
      <c r="DJ463" t="s">
        <v>3</v>
      </c>
      <c r="DK463" t="s">
        <v>3</v>
      </c>
      <c r="DL463" t="s">
        <v>3</v>
      </c>
      <c r="DM463" t="s">
        <v>3</v>
      </c>
      <c r="DN463">
        <v>0</v>
      </c>
      <c r="DO463">
        <v>0</v>
      </c>
      <c r="DP463">
        <v>1</v>
      </c>
      <c r="DQ463">
        <v>1</v>
      </c>
      <c r="DU463">
        <v>1009</v>
      </c>
      <c r="DV463" t="s">
        <v>30</v>
      </c>
      <c r="DW463" t="s">
        <v>30</v>
      </c>
      <c r="DX463">
        <v>1000</v>
      </c>
      <c r="EE463">
        <v>38628631</v>
      </c>
      <c r="EF463">
        <v>1</v>
      </c>
      <c r="EG463" t="s">
        <v>24</v>
      </c>
      <c r="EH463">
        <v>0</v>
      </c>
      <c r="EI463" t="s">
        <v>3</v>
      </c>
      <c r="EJ463">
        <v>4</v>
      </c>
      <c r="EK463">
        <v>0</v>
      </c>
      <c r="EL463" t="s">
        <v>25</v>
      </c>
      <c r="EM463" t="s">
        <v>26</v>
      </c>
      <c r="EO463" t="s">
        <v>3</v>
      </c>
      <c r="EQ463">
        <v>0</v>
      </c>
      <c r="ER463">
        <v>197.96</v>
      </c>
      <c r="ES463">
        <v>197.96</v>
      </c>
      <c r="ET463">
        <v>0</v>
      </c>
      <c r="EU463">
        <v>0</v>
      </c>
      <c r="EV463">
        <v>0</v>
      </c>
      <c r="EW463">
        <v>0</v>
      </c>
      <c r="EX463">
        <v>0</v>
      </c>
      <c r="EY463">
        <v>0</v>
      </c>
      <c r="FQ463">
        <v>0</v>
      </c>
      <c r="FR463">
        <f t="shared" si="354"/>
        <v>0</v>
      </c>
      <c r="FS463">
        <v>0</v>
      </c>
      <c r="FX463">
        <v>70</v>
      </c>
      <c r="FY463">
        <v>10</v>
      </c>
      <c r="GA463" t="s">
        <v>3</v>
      </c>
      <c r="GD463">
        <v>0</v>
      </c>
      <c r="GF463">
        <v>-1219268023</v>
      </c>
      <c r="GG463">
        <v>2</v>
      </c>
      <c r="GH463">
        <v>1</v>
      </c>
      <c r="GI463">
        <v>-2</v>
      </c>
      <c r="GJ463">
        <v>0</v>
      </c>
      <c r="GK463">
        <f>ROUND(R463*(R12)/100,2)</f>
        <v>0</v>
      </c>
      <c r="GL463">
        <f t="shared" si="355"/>
        <v>0</v>
      </c>
      <c r="GM463">
        <f>ROUND(O463+X463+Y463+GK463,2)+GX463</f>
        <v>13.51</v>
      </c>
      <c r="GN463">
        <f>IF(OR(BI463=0,BI463=1),ROUND(O463+X463+Y463+GK463,2),0)</f>
        <v>0</v>
      </c>
      <c r="GO463">
        <f>IF(BI463=2,ROUND(O463+X463+Y463+GK463,2),0)</f>
        <v>0</v>
      </c>
      <c r="GP463">
        <f>IF(BI463=4,ROUND(O463+X463+Y463+GK463,2)+GX463,0)</f>
        <v>13.51</v>
      </c>
      <c r="GR463">
        <v>0</v>
      </c>
      <c r="GS463">
        <v>3</v>
      </c>
      <c r="GT463">
        <v>0</v>
      </c>
      <c r="GU463" t="s">
        <v>3</v>
      </c>
      <c r="GV463">
        <f t="shared" si="356"/>
        <v>0</v>
      </c>
      <c r="GW463">
        <v>1</v>
      </c>
      <c r="GX463">
        <f t="shared" si="357"/>
        <v>0</v>
      </c>
      <c r="HA463">
        <v>0</v>
      </c>
      <c r="HB463">
        <v>0</v>
      </c>
      <c r="HC463">
        <f t="shared" si="358"/>
        <v>0</v>
      </c>
      <c r="HE463" t="s">
        <v>3</v>
      </c>
      <c r="HF463" t="s">
        <v>3</v>
      </c>
      <c r="IK463">
        <v>0</v>
      </c>
    </row>
    <row r="465" spans="1:206" x14ac:dyDescent="0.2">
      <c r="A465" s="2">
        <v>51</v>
      </c>
      <c r="B465" s="2">
        <f>B453</f>
        <v>1</v>
      </c>
      <c r="C465" s="2">
        <f>A453</f>
        <v>5</v>
      </c>
      <c r="D465" s="2">
        <f>ROW(A453)</f>
        <v>453</v>
      </c>
      <c r="E465" s="2"/>
      <c r="F465" s="2" t="str">
        <f>IF(F453&lt;&gt;"",F453,"")</f>
        <v>Новый подраздел</v>
      </c>
      <c r="G465" s="2" t="str">
        <f>IF(G453&lt;&gt;"",G453,"")</f>
        <v>Демонтаж</v>
      </c>
      <c r="H465" s="2">
        <v>0</v>
      </c>
      <c r="I465" s="2"/>
      <c r="J465" s="2"/>
      <c r="K465" s="2"/>
      <c r="L465" s="2"/>
      <c r="M465" s="2"/>
      <c r="N465" s="2"/>
      <c r="O465" s="2">
        <f t="shared" ref="O465:T465" si="361">ROUND(AB465,2)</f>
        <v>346.54</v>
      </c>
      <c r="P465" s="2">
        <f t="shared" si="361"/>
        <v>13.51</v>
      </c>
      <c r="Q465" s="2">
        <f t="shared" si="361"/>
        <v>44.55</v>
      </c>
      <c r="R465" s="2">
        <f t="shared" si="361"/>
        <v>26.4</v>
      </c>
      <c r="S465" s="2">
        <f t="shared" si="361"/>
        <v>288.48</v>
      </c>
      <c r="T465" s="2">
        <f t="shared" si="361"/>
        <v>0</v>
      </c>
      <c r="U465" s="2">
        <f>AH465</f>
        <v>1.6603649999999999</v>
      </c>
      <c r="V465" s="2">
        <f>AI465</f>
        <v>0</v>
      </c>
      <c r="W465" s="2">
        <f>ROUND(AJ465,2)</f>
        <v>0</v>
      </c>
      <c r="X465" s="2">
        <f>ROUND(AK465,2)</f>
        <v>201.94</v>
      </c>
      <c r="Y465" s="2">
        <f>ROUND(AL465,2)</f>
        <v>28.85</v>
      </c>
      <c r="Z465" s="2"/>
      <c r="AA465" s="2"/>
      <c r="AB465" s="2">
        <f>ROUND(SUMIF(AA457:AA463,"=38214492",O457:O463),2)</f>
        <v>346.54</v>
      </c>
      <c r="AC465" s="2">
        <f>ROUND(SUMIF(AA457:AA463,"=38214492",P457:P463),2)</f>
        <v>13.51</v>
      </c>
      <c r="AD465" s="2">
        <f>ROUND(SUMIF(AA457:AA463,"=38214492",Q457:Q463),2)</f>
        <v>44.55</v>
      </c>
      <c r="AE465" s="2">
        <f>ROUND(SUMIF(AA457:AA463,"=38214492",R457:R463),2)</f>
        <v>26.4</v>
      </c>
      <c r="AF465" s="2">
        <f>ROUND(SUMIF(AA457:AA463,"=38214492",S457:S463),2)</f>
        <v>288.48</v>
      </c>
      <c r="AG465" s="2">
        <f>ROUND(SUMIF(AA457:AA463,"=38214492",T457:T463),2)</f>
        <v>0</v>
      </c>
      <c r="AH465" s="2">
        <f>SUMIF(AA457:AA463,"=38214492",U457:U463)</f>
        <v>1.6603649999999999</v>
      </c>
      <c r="AI465" s="2">
        <f>SUMIF(AA457:AA463,"=38214492",V457:V463)</f>
        <v>0</v>
      </c>
      <c r="AJ465" s="2">
        <f>ROUND(SUMIF(AA457:AA463,"=38214492",W457:W463),2)</f>
        <v>0</v>
      </c>
      <c r="AK465" s="2">
        <f>ROUND(SUMIF(AA457:AA463,"=38214492",X457:X463),2)</f>
        <v>201.94</v>
      </c>
      <c r="AL465" s="2">
        <f>ROUND(SUMIF(AA457:AA463,"=38214492",Y457:Y463),2)</f>
        <v>28.85</v>
      </c>
      <c r="AM465" s="2"/>
      <c r="AN465" s="2"/>
      <c r="AO465" s="2">
        <f t="shared" ref="AO465:BD465" si="362">ROUND(BX465,2)</f>
        <v>0</v>
      </c>
      <c r="AP465" s="2">
        <f t="shared" si="362"/>
        <v>0</v>
      </c>
      <c r="AQ465" s="2">
        <f t="shared" si="362"/>
        <v>0</v>
      </c>
      <c r="AR465" s="2">
        <f t="shared" si="362"/>
        <v>577.33000000000004</v>
      </c>
      <c r="AS465" s="2">
        <f t="shared" si="362"/>
        <v>0</v>
      </c>
      <c r="AT465" s="2">
        <f t="shared" si="362"/>
        <v>0</v>
      </c>
      <c r="AU465" s="2">
        <f t="shared" si="362"/>
        <v>577.33000000000004</v>
      </c>
      <c r="AV465" s="2">
        <f t="shared" si="362"/>
        <v>13.51</v>
      </c>
      <c r="AW465" s="2">
        <f t="shared" si="362"/>
        <v>13.51</v>
      </c>
      <c r="AX465" s="2">
        <f t="shared" si="362"/>
        <v>0</v>
      </c>
      <c r="AY465" s="2">
        <f t="shared" si="362"/>
        <v>13.51</v>
      </c>
      <c r="AZ465" s="2">
        <f t="shared" si="362"/>
        <v>0</v>
      </c>
      <c r="BA465" s="2">
        <f t="shared" si="362"/>
        <v>0</v>
      </c>
      <c r="BB465" s="2">
        <f t="shared" si="362"/>
        <v>0</v>
      </c>
      <c r="BC465" s="2">
        <f t="shared" si="362"/>
        <v>0</v>
      </c>
      <c r="BD465" s="2">
        <f t="shared" si="362"/>
        <v>0</v>
      </c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>
        <f>ROUND(SUMIF(AA457:AA463,"=38214492",FQ457:FQ463),2)</f>
        <v>0</v>
      </c>
      <c r="BY465" s="2">
        <f>ROUND(SUMIF(AA457:AA463,"=38214492",FR457:FR463),2)</f>
        <v>0</v>
      </c>
      <c r="BZ465" s="2">
        <f>ROUND(SUMIF(AA457:AA463,"=38214492",GL457:GL463),2)</f>
        <v>0</v>
      </c>
      <c r="CA465" s="2">
        <f>ROUND(SUMIF(AA457:AA463,"=38214492",GM457:GM463),2)</f>
        <v>577.33000000000004</v>
      </c>
      <c r="CB465" s="2">
        <f>ROUND(SUMIF(AA457:AA463,"=38214492",GN457:GN463),2)</f>
        <v>0</v>
      </c>
      <c r="CC465" s="2">
        <f>ROUND(SUMIF(AA457:AA463,"=38214492",GO457:GO463),2)</f>
        <v>0</v>
      </c>
      <c r="CD465" s="2">
        <f>ROUND(SUMIF(AA457:AA463,"=38214492",GP457:GP463),2)</f>
        <v>577.33000000000004</v>
      </c>
      <c r="CE465" s="2">
        <f>AC465-BX465</f>
        <v>13.51</v>
      </c>
      <c r="CF465" s="2">
        <f>AC465-BY465</f>
        <v>13.51</v>
      </c>
      <c r="CG465" s="2">
        <f>BX465-BZ465</f>
        <v>0</v>
      </c>
      <c r="CH465" s="2">
        <f>AC465-BX465-BY465+BZ465</f>
        <v>13.51</v>
      </c>
      <c r="CI465" s="2">
        <f>BY465-BZ465</f>
        <v>0</v>
      </c>
      <c r="CJ465" s="2">
        <f>ROUND(SUMIF(AA457:AA463,"=38214492",GX457:GX463),2)</f>
        <v>0</v>
      </c>
      <c r="CK465" s="2">
        <f>ROUND(SUMIF(AA457:AA463,"=38214492",GY457:GY463),2)</f>
        <v>0</v>
      </c>
      <c r="CL465" s="2">
        <f>ROUND(SUMIF(AA457:AA463,"=38214492",GZ457:GZ463),2)</f>
        <v>0</v>
      </c>
      <c r="CM465" s="2">
        <f>ROUND(SUMIF(AA457:AA463,"=38214492",HD457:HD463),2)</f>
        <v>0</v>
      </c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3"/>
      <c r="DH465" s="3"/>
      <c r="DI465" s="3"/>
      <c r="DJ465" s="3"/>
      <c r="DK465" s="3"/>
      <c r="DL465" s="3"/>
      <c r="DM465" s="3"/>
      <c r="DN465" s="3"/>
      <c r="DO465" s="3"/>
      <c r="DP465" s="3"/>
      <c r="DQ465" s="3"/>
      <c r="DR465" s="3"/>
      <c r="DS465" s="3"/>
      <c r="DT465" s="3"/>
      <c r="DU465" s="3"/>
      <c r="DV465" s="3"/>
      <c r="DW465" s="3"/>
      <c r="DX465" s="3"/>
      <c r="DY465" s="3"/>
      <c r="DZ465" s="3"/>
      <c r="EA465" s="3"/>
      <c r="EB465" s="3"/>
      <c r="EC465" s="3"/>
      <c r="ED465" s="3"/>
      <c r="EE465" s="3"/>
      <c r="EF465" s="3"/>
      <c r="EG465" s="3"/>
      <c r="EH465" s="3"/>
      <c r="EI465" s="3"/>
      <c r="EJ465" s="3"/>
      <c r="EK465" s="3"/>
      <c r="EL465" s="3"/>
      <c r="EM465" s="3"/>
      <c r="EN465" s="3"/>
      <c r="EO465" s="3"/>
      <c r="EP465" s="3"/>
      <c r="EQ465" s="3"/>
      <c r="ER465" s="3"/>
      <c r="ES465" s="3"/>
      <c r="ET465" s="3"/>
      <c r="EU465" s="3"/>
      <c r="EV465" s="3"/>
      <c r="EW465" s="3"/>
      <c r="EX465" s="3"/>
      <c r="EY465" s="3"/>
      <c r="EZ465" s="3"/>
      <c r="FA465" s="3"/>
      <c r="FB465" s="3"/>
      <c r="FC465" s="3"/>
      <c r="FD465" s="3"/>
      <c r="FE465" s="3"/>
      <c r="FF465" s="3"/>
      <c r="FG465" s="3"/>
      <c r="FH465" s="3"/>
      <c r="FI465" s="3"/>
      <c r="FJ465" s="3"/>
      <c r="FK465" s="3"/>
      <c r="FL465" s="3"/>
      <c r="FM465" s="3"/>
      <c r="FN465" s="3"/>
      <c r="FO465" s="3"/>
      <c r="FP465" s="3"/>
      <c r="FQ465" s="3"/>
      <c r="FR465" s="3"/>
      <c r="FS465" s="3"/>
      <c r="FT465" s="3"/>
      <c r="FU465" s="3"/>
      <c r="FV465" s="3"/>
      <c r="FW465" s="3"/>
      <c r="FX465" s="3"/>
      <c r="FY465" s="3"/>
      <c r="FZ465" s="3"/>
      <c r="GA465" s="3"/>
      <c r="GB465" s="3"/>
      <c r="GC465" s="3"/>
      <c r="GD465" s="3"/>
      <c r="GE465" s="3"/>
      <c r="GF465" s="3"/>
      <c r="GG465" s="3"/>
      <c r="GH465" s="3"/>
      <c r="GI465" s="3"/>
      <c r="GJ465" s="3"/>
      <c r="GK465" s="3"/>
      <c r="GL465" s="3"/>
      <c r="GM465" s="3"/>
      <c r="GN465" s="3"/>
      <c r="GO465" s="3"/>
      <c r="GP465" s="3"/>
      <c r="GQ465" s="3"/>
      <c r="GR465" s="3"/>
      <c r="GS465" s="3"/>
      <c r="GT465" s="3"/>
      <c r="GU465" s="3"/>
      <c r="GV465" s="3"/>
      <c r="GW465" s="3"/>
      <c r="GX465" s="3">
        <v>0</v>
      </c>
    </row>
    <row r="467" spans="1:206" x14ac:dyDescent="0.2">
      <c r="A467" s="4">
        <v>50</v>
      </c>
      <c r="B467" s="4">
        <v>0</v>
      </c>
      <c r="C467" s="4">
        <v>0</v>
      </c>
      <c r="D467" s="4">
        <v>1</v>
      </c>
      <c r="E467" s="4">
        <v>201</v>
      </c>
      <c r="F467" s="4">
        <f>ROUND(Source!O465,O467)</f>
        <v>346.54</v>
      </c>
      <c r="G467" s="4" t="s">
        <v>56</v>
      </c>
      <c r="H467" s="4" t="s">
        <v>57</v>
      </c>
      <c r="I467" s="4"/>
      <c r="J467" s="4"/>
      <c r="K467" s="4">
        <v>201</v>
      </c>
      <c r="L467" s="4">
        <v>1</v>
      </c>
      <c r="M467" s="4">
        <v>3</v>
      </c>
      <c r="N467" s="4" t="s">
        <v>3</v>
      </c>
      <c r="O467" s="4">
        <v>2</v>
      </c>
      <c r="P467" s="4"/>
      <c r="Q467" s="4"/>
      <c r="R467" s="4"/>
      <c r="S467" s="4"/>
      <c r="T467" s="4"/>
      <c r="U467" s="4"/>
      <c r="V467" s="4"/>
      <c r="W467" s="4"/>
    </row>
    <row r="468" spans="1:206" x14ac:dyDescent="0.2">
      <c r="A468" s="4">
        <v>50</v>
      </c>
      <c r="B468" s="4">
        <v>0</v>
      </c>
      <c r="C468" s="4">
        <v>0</v>
      </c>
      <c r="D468" s="4">
        <v>1</v>
      </c>
      <c r="E468" s="4">
        <v>202</v>
      </c>
      <c r="F468" s="4">
        <f>ROUND(Source!P465,O468)</f>
        <v>13.51</v>
      </c>
      <c r="G468" s="4" t="s">
        <v>58</v>
      </c>
      <c r="H468" s="4" t="s">
        <v>59</v>
      </c>
      <c r="I468" s="4"/>
      <c r="J468" s="4"/>
      <c r="K468" s="4">
        <v>202</v>
      </c>
      <c r="L468" s="4">
        <v>2</v>
      </c>
      <c r="M468" s="4">
        <v>3</v>
      </c>
      <c r="N468" s="4" t="s">
        <v>3</v>
      </c>
      <c r="O468" s="4">
        <v>2</v>
      </c>
      <c r="P468" s="4"/>
      <c r="Q468" s="4"/>
      <c r="R468" s="4"/>
      <c r="S468" s="4"/>
      <c r="T468" s="4"/>
      <c r="U468" s="4"/>
      <c r="V468" s="4"/>
      <c r="W468" s="4"/>
    </row>
    <row r="469" spans="1:206" x14ac:dyDescent="0.2">
      <c r="A469" s="4">
        <v>50</v>
      </c>
      <c r="B469" s="4">
        <v>0</v>
      </c>
      <c r="C469" s="4">
        <v>0</v>
      </c>
      <c r="D469" s="4">
        <v>1</v>
      </c>
      <c r="E469" s="4">
        <v>222</v>
      </c>
      <c r="F469" s="4">
        <f>ROUND(Source!AO465,O469)</f>
        <v>0</v>
      </c>
      <c r="G469" s="4" t="s">
        <v>60</v>
      </c>
      <c r="H469" s="4" t="s">
        <v>61</v>
      </c>
      <c r="I469" s="4"/>
      <c r="J469" s="4"/>
      <c r="K469" s="4">
        <v>222</v>
      </c>
      <c r="L469" s="4">
        <v>3</v>
      </c>
      <c r="M469" s="4">
        <v>3</v>
      </c>
      <c r="N469" s="4" t="s">
        <v>3</v>
      </c>
      <c r="O469" s="4">
        <v>2</v>
      </c>
      <c r="P469" s="4"/>
      <c r="Q469" s="4"/>
      <c r="R469" s="4"/>
      <c r="S469" s="4"/>
      <c r="T469" s="4"/>
      <c r="U469" s="4"/>
      <c r="V469" s="4"/>
      <c r="W469" s="4"/>
    </row>
    <row r="470" spans="1:206" x14ac:dyDescent="0.2">
      <c r="A470" s="4">
        <v>50</v>
      </c>
      <c r="B470" s="4">
        <v>0</v>
      </c>
      <c r="C470" s="4">
        <v>0</v>
      </c>
      <c r="D470" s="4">
        <v>1</v>
      </c>
      <c r="E470" s="4">
        <v>225</v>
      </c>
      <c r="F470" s="4">
        <f>ROUND(Source!AV465,O470)</f>
        <v>13.51</v>
      </c>
      <c r="G470" s="4" t="s">
        <v>62</v>
      </c>
      <c r="H470" s="4" t="s">
        <v>63</v>
      </c>
      <c r="I470" s="4"/>
      <c r="J470" s="4"/>
      <c r="K470" s="4">
        <v>225</v>
      </c>
      <c r="L470" s="4">
        <v>4</v>
      </c>
      <c r="M470" s="4">
        <v>3</v>
      </c>
      <c r="N470" s="4" t="s">
        <v>3</v>
      </c>
      <c r="O470" s="4">
        <v>2</v>
      </c>
      <c r="P470" s="4"/>
      <c r="Q470" s="4"/>
      <c r="R470" s="4"/>
      <c r="S470" s="4"/>
      <c r="T470" s="4"/>
      <c r="U470" s="4"/>
      <c r="V470" s="4"/>
      <c r="W470" s="4"/>
    </row>
    <row r="471" spans="1:206" x14ac:dyDescent="0.2">
      <c r="A471" s="4">
        <v>50</v>
      </c>
      <c r="B471" s="4">
        <v>0</v>
      </c>
      <c r="C471" s="4">
        <v>0</v>
      </c>
      <c r="D471" s="4">
        <v>1</v>
      </c>
      <c r="E471" s="4">
        <v>226</v>
      </c>
      <c r="F471" s="4">
        <f>ROUND(Source!AW465,O471)</f>
        <v>13.51</v>
      </c>
      <c r="G471" s="4" t="s">
        <v>64</v>
      </c>
      <c r="H471" s="4" t="s">
        <v>65</v>
      </c>
      <c r="I471" s="4"/>
      <c r="J471" s="4"/>
      <c r="K471" s="4">
        <v>226</v>
      </c>
      <c r="L471" s="4">
        <v>5</v>
      </c>
      <c r="M471" s="4">
        <v>3</v>
      </c>
      <c r="N471" s="4" t="s">
        <v>3</v>
      </c>
      <c r="O471" s="4">
        <v>2</v>
      </c>
      <c r="P471" s="4"/>
      <c r="Q471" s="4"/>
      <c r="R471" s="4"/>
      <c r="S471" s="4"/>
      <c r="T471" s="4"/>
      <c r="U471" s="4"/>
      <c r="V471" s="4"/>
      <c r="W471" s="4"/>
    </row>
    <row r="472" spans="1:206" x14ac:dyDescent="0.2">
      <c r="A472" s="4">
        <v>50</v>
      </c>
      <c r="B472" s="4">
        <v>0</v>
      </c>
      <c r="C472" s="4">
        <v>0</v>
      </c>
      <c r="D472" s="4">
        <v>1</v>
      </c>
      <c r="E472" s="4">
        <v>227</v>
      </c>
      <c r="F472" s="4">
        <f>ROUND(Source!AX465,O472)</f>
        <v>0</v>
      </c>
      <c r="G472" s="4" t="s">
        <v>66</v>
      </c>
      <c r="H472" s="4" t="s">
        <v>67</v>
      </c>
      <c r="I472" s="4"/>
      <c r="J472" s="4"/>
      <c r="K472" s="4">
        <v>227</v>
      </c>
      <c r="L472" s="4">
        <v>6</v>
      </c>
      <c r="M472" s="4">
        <v>3</v>
      </c>
      <c r="N472" s="4" t="s">
        <v>3</v>
      </c>
      <c r="O472" s="4">
        <v>2</v>
      </c>
      <c r="P472" s="4"/>
      <c r="Q472" s="4"/>
      <c r="R472" s="4"/>
      <c r="S472" s="4"/>
      <c r="T472" s="4"/>
      <c r="U472" s="4"/>
      <c r="V472" s="4"/>
      <c r="W472" s="4"/>
    </row>
    <row r="473" spans="1:206" x14ac:dyDescent="0.2">
      <c r="A473" s="4">
        <v>50</v>
      </c>
      <c r="B473" s="4">
        <v>0</v>
      </c>
      <c r="C473" s="4">
        <v>0</v>
      </c>
      <c r="D473" s="4">
        <v>1</v>
      </c>
      <c r="E473" s="4">
        <v>228</v>
      </c>
      <c r="F473" s="4">
        <f>ROUND(Source!AY465,O473)</f>
        <v>13.51</v>
      </c>
      <c r="G473" s="4" t="s">
        <v>68</v>
      </c>
      <c r="H473" s="4" t="s">
        <v>69</v>
      </c>
      <c r="I473" s="4"/>
      <c r="J473" s="4"/>
      <c r="K473" s="4">
        <v>228</v>
      </c>
      <c r="L473" s="4">
        <v>7</v>
      </c>
      <c r="M473" s="4">
        <v>3</v>
      </c>
      <c r="N473" s="4" t="s">
        <v>3</v>
      </c>
      <c r="O473" s="4">
        <v>2</v>
      </c>
      <c r="P473" s="4"/>
      <c r="Q473" s="4"/>
      <c r="R473" s="4"/>
      <c r="S473" s="4"/>
      <c r="T473" s="4"/>
      <c r="U473" s="4"/>
      <c r="V473" s="4"/>
      <c r="W473" s="4"/>
    </row>
    <row r="474" spans="1:206" x14ac:dyDescent="0.2">
      <c r="A474" s="4">
        <v>50</v>
      </c>
      <c r="B474" s="4">
        <v>0</v>
      </c>
      <c r="C474" s="4">
        <v>0</v>
      </c>
      <c r="D474" s="4">
        <v>1</v>
      </c>
      <c r="E474" s="4">
        <v>216</v>
      </c>
      <c r="F474" s="4">
        <f>ROUND(Source!AP465,O474)</f>
        <v>0</v>
      </c>
      <c r="G474" s="4" t="s">
        <v>70</v>
      </c>
      <c r="H474" s="4" t="s">
        <v>71</v>
      </c>
      <c r="I474" s="4"/>
      <c r="J474" s="4"/>
      <c r="K474" s="4">
        <v>216</v>
      </c>
      <c r="L474" s="4">
        <v>8</v>
      </c>
      <c r="M474" s="4">
        <v>3</v>
      </c>
      <c r="N474" s="4" t="s">
        <v>3</v>
      </c>
      <c r="O474" s="4">
        <v>2</v>
      </c>
      <c r="P474" s="4"/>
      <c r="Q474" s="4"/>
      <c r="R474" s="4"/>
      <c r="S474" s="4"/>
      <c r="T474" s="4"/>
      <c r="U474" s="4"/>
      <c r="V474" s="4"/>
      <c r="W474" s="4"/>
    </row>
    <row r="475" spans="1:206" x14ac:dyDescent="0.2">
      <c r="A475" s="4">
        <v>50</v>
      </c>
      <c r="B475" s="4">
        <v>0</v>
      </c>
      <c r="C475" s="4">
        <v>0</v>
      </c>
      <c r="D475" s="4">
        <v>1</v>
      </c>
      <c r="E475" s="4">
        <v>223</v>
      </c>
      <c r="F475" s="4">
        <f>ROUND(Source!AQ465,O475)</f>
        <v>0</v>
      </c>
      <c r="G475" s="4" t="s">
        <v>72</v>
      </c>
      <c r="H475" s="4" t="s">
        <v>73</v>
      </c>
      <c r="I475" s="4"/>
      <c r="J475" s="4"/>
      <c r="K475" s="4">
        <v>223</v>
      </c>
      <c r="L475" s="4">
        <v>9</v>
      </c>
      <c r="M475" s="4">
        <v>3</v>
      </c>
      <c r="N475" s="4" t="s">
        <v>3</v>
      </c>
      <c r="O475" s="4">
        <v>2</v>
      </c>
      <c r="P475" s="4"/>
      <c r="Q475" s="4"/>
      <c r="R475" s="4"/>
      <c r="S475" s="4"/>
      <c r="T475" s="4"/>
      <c r="U475" s="4"/>
      <c r="V475" s="4"/>
      <c r="W475" s="4"/>
    </row>
    <row r="476" spans="1:206" x14ac:dyDescent="0.2">
      <c r="A476" s="4">
        <v>50</v>
      </c>
      <c r="B476" s="4">
        <v>0</v>
      </c>
      <c r="C476" s="4">
        <v>0</v>
      </c>
      <c r="D476" s="4">
        <v>1</v>
      </c>
      <c r="E476" s="4">
        <v>229</v>
      </c>
      <c r="F476" s="4">
        <f>ROUND(Source!AZ465,O476)</f>
        <v>0</v>
      </c>
      <c r="G476" s="4" t="s">
        <v>74</v>
      </c>
      <c r="H476" s="4" t="s">
        <v>75</v>
      </c>
      <c r="I476" s="4"/>
      <c r="J476" s="4"/>
      <c r="K476" s="4">
        <v>229</v>
      </c>
      <c r="L476" s="4">
        <v>10</v>
      </c>
      <c r="M476" s="4">
        <v>3</v>
      </c>
      <c r="N476" s="4" t="s">
        <v>3</v>
      </c>
      <c r="O476" s="4">
        <v>2</v>
      </c>
      <c r="P476" s="4"/>
      <c r="Q476" s="4"/>
      <c r="R476" s="4"/>
      <c r="S476" s="4"/>
      <c r="T476" s="4"/>
      <c r="U476" s="4"/>
      <c r="V476" s="4"/>
      <c r="W476" s="4"/>
    </row>
    <row r="477" spans="1:206" x14ac:dyDescent="0.2">
      <c r="A477" s="4">
        <v>50</v>
      </c>
      <c r="B477" s="4">
        <v>0</v>
      </c>
      <c r="C477" s="4">
        <v>0</v>
      </c>
      <c r="D477" s="4">
        <v>1</v>
      </c>
      <c r="E477" s="4">
        <v>203</v>
      </c>
      <c r="F477" s="4">
        <f>ROUND(Source!Q465,O477)</f>
        <v>44.55</v>
      </c>
      <c r="G477" s="4" t="s">
        <v>76</v>
      </c>
      <c r="H477" s="4" t="s">
        <v>77</v>
      </c>
      <c r="I477" s="4"/>
      <c r="J477" s="4"/>
      <c r="K477" s="4">
        <v>203</v>
      </c>
      <c r="L477" s="4">
        <v>11</v>
      </c>
      <c r="M477" s="4">
        <v>3</v>
      </c>
      <c r="N477" s="4" t="s">
        <v>3</v>
      </c>
      <c r="O477" s="4">
        <v>2</v>
      </c>
      <c r="P477" s="4"/>
      <c r="Q477" s="4"/>
      <c r="R477" s="4"/>
      <c r="S477" s="4"/>
      <c r="T477" s="4"/>
      <c r="U477" s="4"/>
      <c r="V477" s="4"/>
      <c r="W477" s="4"/>
    </row>
    <row r="478" spans="1:206" x14ac:dyDescent="0.2">
      <c r="A478" s="4">
        <v>50</v>
      </c>
      <c r="B478" s="4">
        <v>0</v>
      </c>
      <c r="C478" s="4">
        <v>0</v>
      </c>
      <c r="D478" s="4">
        <v>1</v>
      </c>
      <c r="E478" s="4">
        <v>231</v>
      </c>
      <c r="F478" s="4">
        <f>ROUND(Source!BB465,O478)</f>
        <v>0</v>
      </c>
      <c r="G478" s="4" t="s">
        <v>78</v>
      </c>
      <c r="H478" s="4" t="s">
        <v>79</v>
      </c>
      <c r="I478" s="4"/>
      <c r="J478" s="4"/>
      <c r="K478" s="4">
        <v>231</v>
      </c>
      <c r="L478" s="4">
        <v>12</v>
      </c>
      <c r="M478" s="4">
        <v>3</v>
      </c>
      <c r="N478" s="4" t="s">
        <v>3</v>
      </c>
      <c r="O478" s="4">
        <v>2</v>
      </c>
      <c r="P478" s="4"/>
      <c r="Q478" s="4"/>
      <c r="R478" s="4"/>
      <c r="S478" s="4"/>
      <c r="T478" s="4"/>
      <c r="U478" s="4"/>
      <c r="V478" s="4"/>
      <c r="W478" s="4"/>
    </row>
    <row r="479" spans="1:206" x14ac:dyDescent="0.2">
      <c r="A479" s="4">
        <v>50</v>
      </c>
      <c r="B479" s="4">
        <v>0</v>
      </c>
      <c r="C479" s="4">
        <v>0</v>
      </c>
      <c r="D479" s="4">
        <v>1</v>
      </c>
      <c r="E479" s="4">
        <v>204</v>
      </c>
      <c r="F479" s="4">
        <f>ROUND(Source!R465,O479)</f>
        <v>26.4</v>
      </c>
      <c r="G479" s="4" t="s">
        <v>80</v>
      </c>
      <c r="H479" s="4" t="s">
        <v>81</v>
      </c>
      <c r="I479" s="4"/>
      <c r="J479" s="4"/>
      <c r="K479" s="4">
        <v>204</v>
      </c>
      <c r="L479" s="4">
        <v>13</v>
      </c>
      <c r="M479" s="4">
        <v>3</v>
      </c>
      <c r="N479" s="4" t="s">
        <v>3</v>
      </c>
      <c r="O479" s="4">
        <v>2</v>
      </c>
      <c r="P479" s="4"/>
      <c r="Q479" s="4"/>
      <c r="R479" s="4"/>
      <c r="S479" s="4"/>
      <c r="T479" s="4"/>
      <c r="U479" s="4"/>
      <c r="V479" s="4"/>
      <c r="W479" s="4"/>
    </row>
    <row r="480" spans="1:206" x14ac:dyDescent="0.2">
      <c r="A480" s="4">
        <v>50</v>
      </c>
      <c r="B480" s="4">
        <v>0</v>
      </c>
      <c r="C480" s="4">
        <v>0</v>
      </c>
      <c r="D480" s="4">
        <v>1</v>
      </c>
      <c r="E480" s="4">
        <v>205</v>
      </c>
      <c r="F480" s="4">
        <f>ROUND(Source!S465,O480)</f>
        <v>288.48</v>
      </c>
      <c r="G480" s="4" t="s">
        <v>82</v>
      </c>
      <c r="H480" s="4" t="s">
        <v>83</v>
      </c>
      <c r="I480" s="4"/>
      <c r="J480" s="4"/>
      <c r="K480" s="4">
        <v>205</v>
      </c>
      <c r="L480" s="4">
        <v>14</v>
      </c>
      <c r="M480" s="4">
        <v>3</v>
      </c>
      <c r="N480" s="4" t="s">
        <v>3</v>
      </c>
      <c r="O480" s="4">
        <v>2</v>
      </c>
      <c r="P480" s="4"/>
      <c r="Q480" s="4"/>
      <c r="R480" s="4"/>
      <c r="S480" s="4"/>
      <c r="T480" s="4"/>
      <c r="U480" s="4"/>
      <c r="V480" s="4"/>
      <c r="W480" s="4"/>
    </row>
    <row r="481" spans="1:88" x14ac:dyDescent="0.2">
      <c r="A481" s="4">
        <v>50</v>
      </c>
      <c r="B481" s="4">
        <v>0</v>
      </c>
      <c r="C481" s="4">
        <v>0</v>
      </c>
      <c r="D481" s="4">
        <v>1</v>
      </c>
      <c r="E481" s="4">
        <v>232</v>
      </c>
      <c r="F481" s="4">
        <f>ROUND(Source!BC465,O481)</f>
        <v>0</v>
      </c>
      <c r="G481" s="4" t="s">
        <v>84</v>
      </c>
      <c r="H481" s="4" t="s">
        <v>85</v>
      </c>
      <c r="I481" s="4"/>
      <c r="J481" s="4"/>
      <c r="K481" s="4">
        <v>232</v>
      </c>
      <c r="L481" s="4">
        <v>15</v>
      </c>
      <c r="M481" s="4">
        <v>3</v>
      </c>
      <c r="N481" s="4" t="s">
        <v>3</v>
      </c>
      <c r="O481" s="4">
        <v>2</v>
      </c>
      <c r="P481" s="4"/>
      <c r="Q481" s="4"/>
      <c r="R481" s="4"/>
      <c r="S481" s="4"/>
      <c r="T481" s="4"/>
      <c r="U481" s="4"/>
      <c r="V481" s="4"/>
      <c r="W481" s="4"/>
    </row>
    <row r="482" spans="1:88" x14ac:dyDescent="0.2">
      <c r="A482" s="4">
        <v>50</v>
      </c>
      <c r="B482" s="4">
        <v>0</v>
      </c>
      <c r="C482" s="4">
        <v>0</v>
      </c>
      <c r="D482" s="4">
        <v>1</v>
      </c>
      <c r="E482" s="4">
        <v>214</v>
      </c>
      <c r="F482" s="4">
        <f>ROUND(Source!AS465,O482)</f>
        <v>0</v>
      </c>
      <c r="G482" s="4" t="s">
        <v>86</v>
      </c>
      <c r="H482" s="4" t="s">
        <v>87</v>
      </c>
      <c r="I482" s="4"/>
      <c r="J482" s="4"/>
      <c r="K482" s="4">
        <v>214</v>
      </c>
      <c r="L482" s="4">
        <v>16</v>
      </c>
      <c r="M482" s="4">
        <v>3</v>
      </c>
      <c r="N482" s="4" t="s">
        <v>3</v>
      </c>
      <c r="O482" s="4">
        <v>2</v>
      </c>
      <c r="P482" s="4"/>
      <c r="Q482" s="4"/>
      <c r="R482" s="4"/>
      <c r="S482" s="4"/>
      <c r="T482" s="4"/>
      <c r="U482" s="4"/>
      <c r="V482" s="4"/>
      <c r="W482" s="4"/>
    </row>
    <row r="483" spans="1:88" x14ac:dyDescent="0.2">
      <c r="A483" s="4">
        <v>50</v>
      </c>
      <c r="B483" s="4">
        <v>0</v>
      </c>
      <c r="C483" s="4">
        <v>0</v>
      </c>
      <c r="D483" s="4">
        <v>1</v>
      </c>
      <c r="E483" s="4">
        <v>215</v>
      </c>
      <c r="F483" s="4">
        <f>ROUND(Source!AT465,O483)</f>
        <v>0</v>
      </c>
      <c r="G483" s="4" t="s">
        <v>88</v>
      </c>
      <c r="H483" s="4" t="s">
        <v>89</v>
      </c>
      <c r="I483" s="4"/>
      <c r="J483" s="4"/>
      <c r="K483" s="4">
        <v>215</v>
      </c>
      <c r="L483" s="4">
        <v>17</v>
      </c>
      <c r="M483" s="4">
        <v>3</v>
      </c>
      <c r="N483" s="4" t="s">
        <v>3</v>
      </c>
      <c r="O483" s="4">
        <v>2</v>
      </c>
      <c r="P483" s="4"/>
      <c r="Q483" s="4"/>
      <c r="R483" s="4"/>
      <c r="S483" s="4"/>
      <c r="T483" s="4"/>
      <c r="U483" s="4"/>
      <c r="V483" s="4"/>
      <c r="W483" s="4"/>
    </row>
    <row r="484" spans="1:88" x14ac:dyDescent="0.2">
      <c r="A484" s="4">
        <v>50</v>
      </c>
      <c r="B484" s="4">
        <v>0</v>
      </c>
      <c r="C484" s="4">
        <v>0</v>
      </c>
      <c r="D484" s="4">
        <v>1</v>
      </c>
      <c r="E484" s="4">
        <v>217</v>
      </c>
      <c r="F484" s="4">
        <f>ROUND(Source!AU465,O484)</f>
        <v>577.33000000000004</v>
      </c>
      <c r="G484" s="4" t="s">
        <v>90</v>
      </c>
      <c r="H484" s="4" t="s">
        <v>91</v>
      </c>
      <c r="I484" s="4"/>
      <c r="J484" s="4"/>
      <c r="K484" s="4">
        <v>217</v>
      </c>
      <c r="L484" s="4">
        <v>18</v>
      </c>
      <c r="M484" s="4">
        <v>3</v>
      </c>
      <c r="N484" s="4" t="s">
        <v>3</v>
      </c>
      <c r="O484" s="4">
        <v>2</v>
      </c>
      <c r="P484" s="4"/>
      <c r="Q484" s="4"/>
      <c r="R484" s="4"/>
      <c r="S484" s="4"/>
      <c r="T484" s="4"/>
      <c r="U484" s="4"/>
      <c r="V484" s="4"/>
      <c r="W484" s="4"/>
    </row>
    <row r="485" spans="1:88" x14ac:dyDescent="0.2">
      <c r="A485" s="4">
        <v>50</v>
      </c>
      <c r="B485" s="4">
        <v>0</v>
      </c>
      <c r="C485" s="4">
        <v>0</v>
      </c>
      <c r="D485" s="4">
        <v>1</v>
      </c>
      <c r="E485" s="4">
        <v>230</v>
      </c>
      <c r="F485" s="4">
        <f>ROUND(Source!BA465,O485)</f>
        <v>0</v>
      </c>
      <c r="G485" s="4" t="s">
        <v>92</v>
      </c>
      <c r="H485" s="4" t="s">
        <v>93</v>
      </c>
      <c r="I485" s="4"/>
      <c r="J485" s="4"/>
      <c r="K485" s="4">
        <v>230</v>
      </c>
      <c r="L485" s="4">
        <v>19</v>
      </c>
      <c r="M485" s="4">
        <v>3</v>
      </c>
      <c r="N485" s="4" t="s">
        <v>3</v>
      </c>
      <c r="O485" s="4">
        <v>2</v>
      </c>
      <c r="P485" s="4"/>
      <c r="Q485" s="4"/>
      <c r="R485" s="4"/>
      <c r="S485" s="4"/>
      <c r="T485" s="4"/>
      <c r="U485" s="4"/>
      <c r="V485" s="4"/>
      <c r="W485" s="4"/>
    </row>
    <row r="486" spans="1:88" x14ac:dyDescent="0.2">
      <c r="A486" s="4">
        <v>50</v>
      </c>
      <c r="B486" s="4">
        <v>0</v>
      </c>
      <c r="C486" s="4">
        <v>0</v>
      </c>
      <c r="D486" s="4">
        <v>1</v>
      </c>
      <c r="E486" s="4">
        <v>206</v>
      </c>
      <c r="F486" s="4">
        <f>ROUND(Source!T465,O486)</f>
        <v>0</v>
      </c>
      <c r="G486" s="4" t="s">
        <v>94</v>
      </c>
      <c r="H486" s="4" t="s">
        <v>95</v>
      </c>
      <c r="I486" s="4"/>
      <c r="J486" s="4"/>
      <c r="K486" s="4">
        <v>206</v>
      </c>
      <c r="L486" s="4">
        <v>20</v>
      </c>
      <c r="M486" s="4">
        <v>3</v>
      </c>
      <c r="N486" s="4" t="s">
        <v>3</v>
      </c>
      <c r="O486" s="4">
        <v>2</v>
      </c>
      <c r="P486" s="4"/>
      <c r="Q486" s="4"/>
      <c r="R486" s="4"/>
      <c r="S486" s="4"/>
      <c r="T486" s="4"/>
      <c r="U486" s="4"/>
      <c r="V486" s="4"/>
      <c r="W486" s="4"/>
    </row>
    <row r="487" spans="1:88" x14ac:dyDescent="0.2">
      <c r="A487" s="4">
        <v>50</v>
      </c>
      <c r="B487" s="4">
        <v>0</v>
      </c>
      <c r="C487" s="4">
        <v>0</v>
      </c>
      <c r="D487" s="4">
        <v>1</v>
      </c>
      <c r="E487" s="4">
        <v>207</v>
      </c>
      <c r="F487" s="4">
        <f>Source!U465</f>
        <v>1.6603649999999999</v>
      </c>
      <c r="G487" s="4" t="s">
        <v>96</v>
      </c>
      <c r="H487" s="4" t="s">
        <v>97</v>
      </c>
      <c r="I487" s="4"/>
      <c r="J487" s="4"/>
      <c r="K487" s="4">
        <v>207</v>
      </c>
      <c r="L487" s="4">
        <v>21</v>
      </c>
      <c r="M487" s="4">
        <v>3</v>
      </c>
      <c r="N487" s="4" t="s">
        <v>3</v>
      </c>
      <c r="O487" s="4">
        <v>-1</v>
      </c>
      <c r="P487" s="4"/>
      <c r="Q487" s="4"/>
      <c r="R487" s="4"/>
      <c r="S487" s="4"/>
      <c r="T487" s="4"/>
      <c r="U487" s="4"/>
      <c r="V487" s="4"/>
      <c r="W487" s="4"/>
    </row>
    <row r="488" spans="1:88" x14ac:dyDescent="0.2">
      <c r="A488" s="4">
        <v>50</v>
      </c>
      <c r="B488" s="4">
        <v>0</v>
      </c>
      <c r="C488" s="4">
        <v>0</v>
      </c>
      <c r="D488" s="4">
        <v>1</v>
      </c>
      <c r="E488" s="4">
        <v>208</v>
      </c>
      <c r="F488" s="4">
        <f>Source!V465</f>
        <v>0</v>
      </c>
      <c r="G488" s="4" t="s">
        <v>98</v>
      </c>
      <c r="H488" s="4" t="s">
        <v>99</v>
      </c>
      <c r="I488" s="4"/>
      <c r="J488" s="4"/>
      <c r="K488" s="4">
        <v>208</v>
      </c>
      <c r="L488" s="4">
        <v>22</v>
      </c>
      <c r="M488" s="4">
        <v>3</v>
      </c>
      <c r="N488" s="4" t="s">
        <v>3</v>
      </c>
      <c r="O488" s="4">
        <v>-1</v>
      </c>
      <c r="P488" s="4"/>
      <c r="Q488" s="4"/>
      <c r="R488" s="4"/>
      <c r="S488" s="4"/>
      <c r="T488" s="4"/>
      <c r="U488" s="4"/>
      <c r="V488" s="4"/>
      <c r="W488" s="4"/>
    </row>
    <row r="489" spans="1:88" x14ac:dyDescent="0.2">
      <c r="A489" s="4">
        <v>50</v>
      </c>
      <c r="B489" s="4">
        <v>0</v>
      </c>
      <c r="C489" s="4">
        <v>0</v>
      </c>
      <c r="D489" s="4">
        <v>1</v>
      </c>
      <c r="E489" s="4">
        <v>209</v>
      </c>
      <c r="F489" s="4">
        <f>ROUND(Source!W465,O489)</f>
        <v>0</v>
      </c>
      <c r="G489" s="4" t="s">
        <v>100</v>
      </c>
      <c r="H489" s="4" t="s">
        <v>101</v>
      </c>
      <c r="I489" s="4"/>
      <c r="J489" s="4"/>
      <c r="K489" s="4">
        <v>209</v>
      </c>
      <c r="L489" s="4">
        <v>23</v>
      </c>
      <c r="M489" s="4">
        <v>3</v>
      </c>
      <c r="N489" s="4" t="s">
        <v>3</v>
      </c>
      <c r="O489" s="4">
        <v>2</v>
      </c>
      <c r="P489" s="4"/>
      <c r="Q489" s="4"/>
      <c r="R489" s="4"/>
      <c r="S489" s="4"/>
      <c r="T489" s="4"/>
      <c r="U489" s="4"/>
      <c r="V489" s="4"/>
      <c r="W489" s="4"/>
    </row>
    <row r="490" spans="1:88" x14ac:dyDescent="0.2">
      <c r="A490" s="4">
        <v>50</v>
      </c>
      <c r="B490" s="4">
        <v>0</v>
      </c>
      <c r="C490" s="4">
        <v>0</v>
      </c>
      <c r="D490" s="4">
        <v>1</v>
      </c>
      <c r="E490" s="4">
        <v>233</v>
      </c>
      <c r="F490" s="4">
        <f>ROUND(Source!BD465,O490)</f>
        <v>0</v>
      </c>
      <c r="G490" s="4" t="s">
        <v>102</v>
      </c>
      <c r="H490" s="4" t="s">
        <v>103</v>
      </c>
      <c r="I490" s="4"/>
      <c r="J490" s="4"/>
      <c r="K490" s="4">
        <v>233</v>
      </c>
      <c r="L490" s="4">
        <v>24</v>
      </c>
      <c r="M490" s="4">
        <v>3</v>
      </c>
      <c r="N490" s="4" t="s">
        <v>3</v>
      </c>
      <c r="O490" s="4">
        <v>2</v>
      </c>
      <c r="P490" s="4"/>
      <c r="Q490" s="4"/>
      <c r="R490" s="4"/>
      <c r="S490" s="4"/>
      <c r="T490" s="4"/>
      <c r="U490" s="4"/>
      <c r="V490" s="4"/>
      <c r="W490" s="4"/>
    </row>
    <row r="491" spans="1:88" x14ac:dyDescent="0.2">
      <c r="A491" s="4">
        <v>50</v>
      </c>
      <c r="B491" s="4">
        <v>0</v>
      </c>
      <c r="C491" s="4">
        <v>0</v>
      </c>
      <c r="D491" s="4">
        <v>1</v>
      </c>
      <c r="E491" s="4">
        <v>210</v>
      </c>
      <c r="F491" s="4">
        <f>ROUND(Source!X465,O491)</f>
        <v>201.94</v>
      </c>
      <c r="G491" s="4" t="s">
        <v>104</v>
      </c>
      <c r="H491" s="4" t="s">
        <v>105</v>
      </c>
      <c r="I491" s="4"/>
      <c r="J491" s="4"/>
      <c r="K491" s="4">
        <v>210</v>
      </c>
      <c r="L491" s="4">
        <v>25</v>
      </c>
      <c r="M491" s="4">
        <v>3</v>
      </c>
      <c r="N491" s="4" t="s">
        <v>3</v>
      </c>
      <c r="O491" s="4">
        <v>2</v>
      </c>
      <c r="P491" s="4"/>
      <c r="Q491" s="4"/>
      <c r="R491" s="4"/>
      <c r="S491" s="4"/>
      <c r="T491" s="4"/>
      <c r="U491" s="4"/>
      <c r="V491" s="4"/>
      <c r="W491" s="4"/>
    </row>
    <row r="492" spans="1:88" x14ac:dyDescent="0.2">
      <c r="A492" s="4">
        <v>50</v>
      </c>
      <c r="B492" s="4">
        <v>0</v>
      </c>
      <c r="C492" s="4">
        <v>0</v>
      </c>
      <c r="D492" s="4">
        <v>1</v>
      </c>
      <c r="E492" s="4">
        <v>211</v>
      </c>
      <c r="F492" s="4">
        <f>ROUND(Source!Y465,O492)</f>
        <v>28.85</v>
      </c>
      <c r="G492" s="4" t="s">
        <v>106</v>
      </c>
      <c r="H492" s="4" t="s">
        <v>107</v>
      </c>
      <c r="I492" s="4"/>
      <c r="J492" s="4"/>
      <c r="K492" s="4">
        <v>211</v>
      </c>
      <c r="L492" s="4">
        <v>26</v>
      </c>
      <c r="M492" s="4">
        <v>3</v>
      </c>
      <c r="N492" s="4" t="s">
        <v>3</v>
      </c>
      <c r="O492" s="4">
        <v>2</v>
      </c>
      <c r="P492" s="4"/>
      <c r="Q492" s="4"/>
      <c r="R492" s="4"/>
      <c r="S492" s="4"/>
      <c r="T492" s="4"/>
      <c r="U492" s="4"/>
      <c r="V492" s="4"/>
      <c r="W492" s="4"/>
    </row>
    <row r="493" spans="1:88" x14ac:dyDescent="0.2">
      <c r="A493" s="4">
        <v>50</v>
      </c>
      <c r="B493" s="4">
        <v>0</v>
      </c>
      <c r="C493" s="4">
        <v>0</v>
      </c>
      <c r="D493" s="4">
        <v>1</v>
      </c>
      <c r="E493" s="4">
        <v>224</v>
      </c>
      <c r="F493" s="4">
        <f>ROUND(Source!AR465,O493)</f>
        <v>577.33000000000004</v>
      </c>
      <c r="G493" s="4" t="s">
        <v>108</v>
      </c>
      <c r="H493" s="4" t="s">
        <v>109</v>
      </c>
      <c r="I493" s="4"/>
      <c r="J493" s="4"/>
      <c r="K493" s="4">
        <v>224</v>
      </c>
      <c r="L493" s="4">
        <v>27</v>
      </c>
      <c r="M493" s="4">
        <v>3</v>
      </c>
      <c r="N493" s="4" t="s">
        <v>3</v>
      </c>
      <c r="O493" s="4">
        <v>2</v>
      </c>
      <c r="P493" s="4"/>
      <c r="Q493" s="4"/>
      <c r="R493" s="4"/>
      <c r="S493" s="4"/>
      <c r="T493" s="4"/>
      <c r="U493" s="4"/>
      <c r="V493" s="4"/>
      <c r="W493" s="4"/>
    </row>
    <row r="495" spans="1:88" x14ac:dyDescent="0.2">
      <c r="A495" s="1">
        <v>5</v>
      </c>
      <c r="B495" s="1">
        <v>1</v>
      </c>
      <c r="C495" s="1"/>
      <c r="D495" s="1">
        <f>ROW(A507)</f>
        <v>507</v>
      </c>
      <c r="E495" s="1"/>
      <c r="F495" s="1" t="s">
        <v>17</v>
      </c>
      <c r="G495" s="1" t="s">
        <v>110</v>
      </c>
      <c r="H495" s="1" t="s">
        <v>3</v>
      </c>
      <c r="I495" s="1">
        <v>0</v>
      </c>
      <c r="J495" s="1"/>
      <c r="K495" s="1">
        <v>0</v>
      </c>
      <c r="L495" s="1"/>
      <c r="M495" s="1"/>
      <c r="N495" s="1"/>
      <c r="O495" s="1"/>
      <c r="P495" s="1"/>
      <c r="Q495" s="1"/>
      <c r="R495" s="1"/>
      <c r="S495" s="1"/>
      <c r="T495" s="1"/>
      <c r="U495" s="1" t="s">
        <v>3</v>
      </c>
      <c r="V495" s="1">
        <v>0</v>
      </c>
      <c r="W495" s="1"/>
      <c r="X495" s="1"/>
      <c r="Y495" s="1"/>
      <c r="Z495" s="1"/>
      <c r="AA495" s="1"/>
      <c r="AB495" s="1" t="s">
        <v>3</v>
      </c>
      <c r="AC495" s="1" t="s">
        <v>3</v>
      </c>
      <c r="AD495" s="1" t="s">
        <v>3</v>
      </c>
      <c r="AE495" s="1" t="s">
        <v>3</v>
      </c>
      <c r="AF495" s="1" t="s">
        <v>3</v>
      </c>
      <c r="AG495" s="1" t="s">
        <v>3</v>
      </c>
      <c r="AH495" s="1"/>
      <c r="AI495" s="1"/>
      <c r="AJ495" s="1"/>
      <c r="AK495" s="1"/>
      <c r="AL495" s="1"/>
      <c r="AM495" s="1"/>
      <c r="AN495" s="1"/>
      <c r="AO495" s="1"/>
      <c r="AP495" s="1" t="s">
        <v>3</v>
      </c>
      <c r="AQ495" s="1" t="s">
        <v>3</v>
      </c>
      <c r="AR495" s="1" t="s">
        <v>3</v>
      </c>
      <c r="AS495" s="1"/>
      <c r="AT495" s="1"/>
      <c r="AU495" s="1"/>
      <c r="AV495" s="1"/>
      <c r="AW495" s="1"/>
      <c r="AX495" s="1"/>
      <c r="AY495" s="1"/>
      <c r="AZ495" s="1" t="s">
        <v>3</v>
      </c>
      <c r="BA495" s="1"/>
      <c r="BB495" s="1" t="s">
        <v>3</v>
      </c>
      <c r="BC495" s="1" t="s">
        <v>3</v>
      </c>
      <c r="BD495" s="1" t="s">
        <v>3</v>
      </c>
      <c r="BE495" s="1" t="s">
        <v>3</v>
      </c>
      <c r="BF495" s="1" t="s">
        <v>3</v>
      </c>
      <c r="BG495" s="1" t="s">
        <v>3</v>
      </c>
      <c r="BH495" s="1" t="s">
        <v>3</v>
      </c>
      <c r="BI495" s="1" t="s">
        <v>3</v>
      </c>
      <c r="BJ495" s="1" t="s">
        <v>3</v>
      </c>
      <c r="BK495" s="1" t="s">
        <v>3</v>
      </c>
      <c r="BL495" s="1" t="s">
        <v>3</v>
      </c>
      <c r="BM495" s="1" t="s">
        <v>3</v>
      </c>
      <c r="BN495" s="1" t="s">
        <v>3</v>
      </c>
      <c r="BO495" s="1" t="s">
        <v>3</v>
      </c>
      <c r="BP495" s="1" t="s">
        <v>3</v>
      </c>
      <c r="BQ495" s="1"/>
      <c r="BR495" s="1"/>
      <c r="BS495" s="1"/>
      <c r="BT495" s="1"/>
      <c r="BU495" s="1"/>
      <c r="BV495" s="1"/>
      <c r="BW495" s="1"/>
      <c r="BX495" s="1">
        <v>0</v>
      </c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>
        <v>0</v>
      </c>
    </row>
    <row r="497" spans="1:245" x14ac:dyDescent="0.2">
      <c r="A497" s="2">
        <v>52</v>
      </c>
      <c r="B497" s="2">
        <f t="shared" ref="B497:G497" si="363">B507</f>
        <v>1</v>
      </c>
      <c r="C497" s="2">
        <f t="shared" si="363"/>
        <v>5</v>
      </c>
      <c r="D497" s="2">
        <f t="shared" si="363"/>
        <v>495</v>
      </c>
      <c r="E497" s="2">
        <f t="shared" si="363"/>
        <v>0</v>
      </c>
      <c r="F497" s="2" t="str">
        <f t="shared" si="363"/>
        <v>Новый подраздел</v>
      </c>
      <c r="G497" s="2" t="str">
        <f t="shared" si="363"/>
        <v>Установка оборудования для выгула собак</v>
      </c>
      <c r="H497" s="2"/>
      <c r="I497" s="2"/>
      <c r="J497" s="2"/>
      <c r="K497" s="2"/>
      <c r="L497" s="2"/>
      <c r="M497" s="2"/>
      <c r="N497" s="2"/>
      <c r="O497" s="2">
        <f t="shared" ref="O497:AT497" si="364">O507</f>
        <v>118718.89</v>
      </c>
      <c r="P497" s="2">
        <f t="shared" si="364"/>
        <v>111650.58</v>
      </c>
      <c r="Q497" s="2">
        <f t="shared" si="364"/>
        <v>0</v>
      </c>
      <c r="R497" s="2">
        <f t="shared" si="364"/>
        <v>0</v>
      </c>
      <c r="S497" s="2">
        <f t="shared" si="364"/>
        <v>7068.31</v>
      </c>
      <c r="T497" s="2">
        <f t="shared" si="364"/>
        <v>0</v>
      </c>
      <c r="U497" s="2">
        <f t="shared" si="364"/>
        <v>28.842000000000002</v>
      </c>
      <c r="V497" s="2">
        <f t="shared" si="364"/>
        <v>0</v>
      </c>
      <c r="W497" s="2">
        <f t="shared" si="364"/>
        <v>0</v>
      </c>
      <c r="X497" s="2">
        <f t="shared" si="364"/>
        <v>4947.82</v>
      </c>
      <c r="Y497" s="2">
        <f t="shared" si="364"/>
        <v>706.83</v>
      </c>
      <c r="Z497" s="2">
        <f t="shared" si="364"/>
        <v>0</v>
      </c>
      <c r="AA497" s="2">
        <f t="shared" si="364"/>
        <v>0</v>
      </c>
      <c r="AB497" s="2">
        <f t="shared" si="364"/>
        <v>118718.89</v>
      </c>
      <c r="AC497" s="2">
        <f t="shared" si="364"/>
        <v>111650.58</v>
      </c>
      <c r="AD497" s="2">
        <f t="shared" si="364"/>
        <v>0</v>
      </c>
      <c r="AE497" s="2">
        <f t="shared" si="364"/>
        <v>0</v>
      </c>
      <c r="AF497" s="2">
        <f t="shared" si="364"/>
        <v>7068.31</v>
      </c>
      <c r="AG497" s="2">
        <f t="shared" si="364"/>
        <v>0</v>
      </c>
      <c r="AH497" s="2">
        <f t="shared" si="364"/>
        <v>28.842000000000002</v>
      </c>
      <c r="AI497" s="2">
        <f t="shared" si="364"/>
        <v>0</v>
      </c>
      <c r="AJ497" s="2">
        <f t="shared" si="364"/>
        <v>0</v>
      </c>
      <c r="AK497" s="2">
        <f t="shared" si="364"/>
        <v>4947.82</v>
      </c>
      <c r="AL497" s="2">
        <f t="shared" si="364"/>
        <v>706.83</v>
      </c>
      <c r="AM497" s="2">
        <f t="shared" si="364"/>
        <v>0</v>
      </c>
      <c r="AN497" s="2">
        <f t="shared" si="364"/>
        <v>0</v>
      </c>
      <c r="AO497" s="2">
        <f t="shared" si="364"/>
        <v>0</v>
      </c>
      <c r="AP497" s="2">
        <f t="shared" si="364"/>
        <v>0</v>
      </c>
      <c r="AQ497" s="2">
        <f t="shared" si="364"/>
        <v>0</v>
      </c>
      <c r="AR497" s="2">
        <f t="shared" si="364"/>
        <v>124373.54</v>
      </c>
      <c r="AS497" s="2">
        <f t="shared" si="364"/>
        <v>111650.58</v>
      </c>
      <c r="AT497" s="2">
        <f t="shared" si="364"/>
        <v>0</v>
      </c>
      <c r="AU497" s="2">
        <f t="shared" ref="AU497:BZ497" si="365">AU507</f>
        <v>12722.96</v>
      </c>
      <c r="AV497" s="2">
        <f t="shared" si="365"/>
        <v>111650.58</v>
      </c>
      <c r="AW497" s="2">
        <f t="shared" si="365"/>
        <v>111650.58</v>
      </c>
      <c r="AX497" s="2">
        <f t="shared" si="365"/>
        <v>0</v>
      </c>
      <c r="AY497" s="2">
        <f t="shared" si="365"/>
        <v>111650.58</v>
      </c>
      <c r="AZ497" s="2">
        <f t="shared" si="365"/>
        <v>0</v>
      </c>
      <c r="BA497" s="2">
        <f t="shared" si="365"/>
        <v>0</v>
      </c>
      <c r="BB497" s="2">
        <f t="shared" si="365"/>
        <v>0</v>
      </c>
      <c r="BC497" s="2">
        <f t="shared" si="365"/>
        <v>0</v>
      </c>
      <c r="BD497" s="2">
        <f t="shared" si="365"/>
        <v>0</v>
      </c>
      <c r="BE497" s="2">
        <f t="shared" si="365"/>
        <v>0</v>
      </c>
      <c r="BF497" s="2">
        <f t="shared" si="365"/>
        <v>0</v>
      </c>
      <c r="BG497" s="2">
        <f t="shared" si="365"/>
        <v>0</v>
      </c>
      <c r="BH497" s="2">
        <f t="shared" si="365"/>
        <v>0</v>
      </c>
      <c r="BI497" s="2">
        <f t="shared" si="365"/>
        <v>0</v>
      </c>
      <c r="BJ497" s="2">
        <f t="shared" si="365"/>
        <v>0</v>
      </c>
      <c r="BK497" s="2">
        <f t="shared" si="365"/>
        <v>0</v>
      </c>
      <c r="BL497" s="2">
        <f t="shared" si="365"/>
        <v>0</v>
      </c>
      <c r="BM497" s="2">
        <f t="shared" si="365"/>
        <v>0</v>
      </c>
      <c r="BN497" s="2">
        <f t="shared" si="365"/>
        <v>0</v>
      </c>
      <c r="BO497" s="2">
        <f t="shared" si="365"/>
        <v>0</v>
      </c>
      <c r="BP497" s="2">
        <f t="shared" si="365"/>
        <v>0</v>
      </c>
      <c r="BQ497" s="2">
        <f t="shared" si="365"/>
        <v>0</v>
      </c>
      <c r="BR497" s="2">
        <f t="shared" si="365"/>
        <v>0</v>
      </c>
      <c r="BS497" s="2">
        <f t="shared" si="365"/>
        <v>0</v>
      </c>
      <c r="BT497" s="2">
        <f t="shared" si="365"/>
        <v>0</v>
      </c>
      <c r="BU497" s="2">
        <f t="shared" si="365"/>
        <v>0</v>
      </c>
      <c r="BV497" s="2">
        <f t="shared" si="365"/>
        <v>0</v>
      </c>
      <c r="BW497" s="2">
        <f t="shared" si="365"/>
        <v>0</v>
      </c>
      <c r="BX497" s="2">
        <f t="shared" si="365"/>
        <v>0</v>
      </c>
      <c r="BY497" s="2">
        <f t="shared" si="365"/>
        <v>0</v>
      </c>
      <c r="BZ497" s="2">
        <f t="shared" si="365"/>
        <v>0</v>
      </c>
      <c r="CA497" s="2">
        <f t="shared" ref="CA497:DF497" si="366">CA507</f>
        <v>124373.54</v>
      </c>
      <c r="CB497" s="2">
        <f t="shared" si="366"/>
        <v>111650.58</v>
      </c>
      <c r="CC497" s="2">
        <f t="shared" si="366"/>
        <v>0</v>
      </c>
      <c r="CD497" s="2">
        <f t="shared" si="366"/>
        <v>12722.96</v>
      </c>
      <c r="CE497" s="2">
        <f t="shared" si="366"/>
        <v>111650.58</v>
      </c>
      <c r="CF497" s="2">
        <f t="shared" si="366"/>
        <v>111650.58</v>
      </c>
      <c r="CG497" s="2">
        <f t="shared" si="366"/>
        <v>0</v>
      </c>
      <c r="CH497" s="2">
        <f t="shared" si="366"/>
        <v>111650.58</v>
      </c>
      <c r="CI497" s="2">
        <f t="shared" si="366"/>
        <v>0</v>
      </c>
      <c r="CJ497" s="2">
        <f t="shared" si="366"/>
        <v>0</v>
      </c>
      <c r="CK497" s="2">
        <f t="shared" si="366"/>
        <v>0</v>
      </c>
      <c r="CL497" s="2">
        <f t="shared" si="366"/>
        <v>0</v>
      </c>
      <c r="CM497" s="2">
        <f t="shared" si="366"/>
        <v>0</v>
      </c>
      <c r="CN497" s="2">
        <f t="shared" si="366"/>
        <v>0</v>
      </c>
      <c r="CO497" s="2">
        <f t="shared" si="366"/>
        <v>0</v>
      </c>
      <c r="CP497" s="2">
        <f t="shared" si="366"/>
        <v>0</v>
      </c>
      <c r="CQ497" s="2">
        <f t="shared" si="366"/>
        <v>0</v>
      </c>
      <c r="CR497" s="2">
        <f t="shared" si="366"/>
        <v>0</v>
      </c>
      <c r="CS497" s="2">
        <f t="shared" si="366"/>
        <v>0</v>
      </c>
      <c r="CT497" s="2">
        <f t="shared" si="366"/>
        <v>0</v>
      </c>
      <c r="CU497" s="2">
        <f t="shared" si="366"/>
        <v>0</v>
      </c>
      <c r="CV497" s="2">
        <f t="shared" si="366"/>
        <v>0</v>
      </c>
      <c r="CW497" s="2">
        <f t="shared" si="366"/>
        <v>0</v>
      </c>
      <c r="CX497" s="2">
        <f t="shared" si="366"/>
        <v>0</v>
      </c>
      <c r="CY497" s="2">
        <f t="shared" si="366"/>
        <v>0</v>
      </c>
      <c r="CZ497" s="2">
        <f t="shared" si="366"/>
        <v>0</v>
      </c>
      <c r="DA497" s="2">
        <f t="shared" si="366"/>
        <v>0</v>
      </c>
      <c r="DB497" s="2">
        <f t="shared" si="366"/>
        <v>0</v>
      </c>
      <c r="DC497" s="2">
        <f t="shared" si="366"/>
        <v>0</v>
      </c>
      <c r="DD497" s="2">
        <f t="shared" si="366"/>
        <v>0</v>
      </c>
      <c r="DE497" s="2">
        <f t="shared" si="366"/>
        <v>0</v>
      </c>
      <c r="DF497" s="2">
        <f t="shared" si="366"/>
        <v>0</v>
      </c>
      <c r="DG497" s="3">
        <f t="shared" ref="DG497:EL497" si="367">DG507</f>
        <v>0</v>
      </c>
      <c r="DH497" s="3">
        <f t="shared" si="367"/>
        <v>0</v>
      </c>
      <c r="DI497" s="3">
        <f t="shared" si="367"/>
        <v>0</v>
      </c>
      <c r="DJ497" s="3">
        <f t="shared" si="367"/>
        <v>0</v>
      </c>
      <c r="DK497" s="3">
        <f t="shared" si="367"/>
        <v>0</v>
      </c>
      <c r="DL497" s="3">
        <f t="shared" si="367"/>
        <v>0</v>
      </c>
      <c r="DM497" s="3">
        <f t="shared" si="367"/>
        <v>0</v>
      </c>
      <c r="DN497" s="3">
        <f t="shared" si="367"/>
        <v>0</v>
      </c>
      <c r="DO497" s="3">
        <f t="shared" si="367"/>
        <v>0</v>
      </c>
      <c r="DP497" s="3">
        <f t="shared" si="367"/>
        <v>0</v>
      </c>
      <c r="DQ497" s="3">
        <f t="shared" si="367"/>
        <v>0</v>
      </c>
      <c r="DR497" s="3">
        <f t="shared" si="367"/>
        <v>0</v>
      </c>
      <c r="DS497" s="3">
        <f t="shared" si="367"/>
        <v>0</v>
      </c>
      <c r="DT497" s="3">
        <f t="shared" si="367"/>
        <v>0</v>
      </c>
      <c r="DU497" s="3">
        <f t="shared" si="367"/>
        <v>0</v>
      </c>
      <c r="DV497" s="3">
        <f t="shared" si="367"/>
        <v>0</v>
      </c>
      <c r="DW497" s="3">
        <f t="shared" si="367"/>
        <v>0</v>
      </c>
      <c r="DX497" s="3">
        <f t="shared" si="367"/>
        <v>0</v>
      </c>
      <c r="DY497" s="3">
        <f t="shared" si="367"/>
        <v>0</v>
      </c>
      <c r="DZ497" s="3">
        <f t="shared" si="367"/>
        <v>0</v>
      </c>
      <c r="EA497" s="3">
        <f t="shared" si="367"/>
        <v>0</v>
      </c>
      <c r="EB497" s="3">
        <f t="shared" si="367"/>
        <v>0</v>
      </c>
      <c r="EC497" s="3">
        <f t="shared" si="367"/>
        <v>0</v>
      </c>
      <c r="ED497" s="3">
        <f t="shared" si="367"/>
        <v>0</v>
      </c>
      <c r="EE497" s="3">
        <f t="shared" si="367"/>
        <v>0</v>
      </c>
      <c r="EF497" s="3">
        <f t="shared" si="367"/>
        <v>0</v>
      </c>
      <c r="EG497" s="3">
        <f t="shared" si="367"/>
        <v>0</v>
      </c>
      <c r="EH497" s="3">
        <f t="shared" si="367"/>
        <v>0</v>
      </c>
      <c r="EI497" s="3">
        <f t="shared" si="367"/>
        <v>0</v>
      </c>
      <c r="EJ497" s="3">
        <f t="shared" si="367"/>
        <v>0</v>
      </c>
      <c r="EK497" s="3">
        <f t="shared" si="367"/>
        <v>0</v>
      </c>
      <c r="EL497" s="3">
        <f t="shared" si="367"/>
        <v>0</v>
      </c>
      <c r="EM497" s="3">
        <f t="shared" ref="EM497:FR497" si="368">EM507</f>
        <v>0</v>
      </c>
      <c r="EN497" s="3">
        <f t="shared" si="368"/>
        <v>0</v>
      </c>
      <c r="EO497" s="3">
        <f t="shared" si="368"/>
        <v>0</v>
      </c>
      <c r="EP497" s="3">
        <f t="shared" si="368"/>
        <v>0</v>
      </c>
      <c r="EQ497" s="3">
        <f t="shared" si="368"/>
        <v>0</v>
      </c>
      <c r="ER497" s="3">
        <f t="shared" si="368"/>
        <v>0</v>
      </c>
      <c r="ES497" s="3">
        <f t="shared" si="368"/>
        <v>0</v>
      </c>
      <c r="ET497" s="3">
        <f t="shared" si="368"/>
        <v>0</v>
      </c>
      <c r="EU497" s="3">
        <f t="shared" si="368"/>
        <v>0</v>
      </c>
      <c r="EV497" s="3">
        <f t="shared" si="368"/>
        <v>0</v>
      </c>
      <c r="EW497" s="3">
        <f t="shared" si="368"/>
        <v>0</v>
      </c>
      <c r="EX497" s="3">
        <f t="shared" si="368"/>
        <v>0</v>
      </c>
      <c r="EY497" s="3">
        <f t="shared" si="368"/>
        <v>0</v>
      </c>
      <c r="EZ497" s="3">
        <f t="shared" si="368"/>
        <v>0</v>
      </c>
      <c r="FA497" s="3">
        <f t="shared" si="368"/>
        <v>0</v>
      </c>
      <c r="FB497" s="3">
        <f t="shared" si="368"/>
        <v>0</v>
      </c>
      <c r="FC497" s="3">
        <f t="shared" si="368"/>
        <v>0</v>
      </c>
      <c r="FD497" s="3">
        <f t="shared" si="368"/>
        <v>0</v>
      </c>
      <c r="FE497" s="3">
        <f t="shared" si="368"/>
        <v>0</v>
      </c>
      <c r="FF497" s="3">
        <f t="shared" si="368"/>
        <v>0</v>
      </c>
      <c r="FG497" s="3">
        <f t="shared" si="368"/>
        <v>0</v>
      </c>
      <c r="FH497" s="3">
        <f t="shared" si="368"/>
        <v>0</v>
      </c>
      <c r="FI497" s="3">
        <f t="shared" si="368"/>
        <v>0</v>
      </c>
      <c r="FJ497" s="3">
        <f t="shared" si="368"/>
        <v>0</v>
      </c>
      <c r="FK497" s="3">
        <f t="shared" si="368"/>
        <v>0</v>
      </c>
      <c r="FL497" s="3">
        <f t="shared" si="368"/>
        <v>0</v>
      </c>
      <c r="FM497" s="3">
        <f t="shared" si="368"/>
        <v>0</v>
      </c>
      <c r="FN497" s="3">
        <f t="shared" si="368"/>
        <v>0</v>
      </c>
      <c r="FO497" s="3">
        <f t="shared" si="368"/>
        <v>0</v>
      </c>
      <c r="FP497" s="3">
        <f t="shared" si="368"/>
        <v>0</v>
      </c>
      <c r="FQ497" s="3">
        <f t="shared" si="368"/>
        <v>0</v>
      </c>
      <c r="FR497" s="3">
        <f t="shared" si="368"/>
        <v>0</v>
      </c>
      <c r="FS497" s="3">
        <f t="shared" ref="FS497:GX497" si="369">FS507</f>
        <v>0</v>
      </c>
      <c r="FT497" s="3">
        <f t="shared" si="369"/>
        <v>0</v>
      </c>
      <c r="FU497" s="3">
        <f t="shared" si="369"/>
        <v>0</v>
      </c>
      <c r="FV497" s="3">
        <f t="shared" si="369"/>
        <v>0</v>
      </c>
      <c r="FW497" s="3">
        <f t="shared" si="369"/>
        <v>0</v>
      </c>
      <c r="FX497" s="3">
        <f t="shared" si="369"/>
        <v>0</v>
      </c>
      <c r="FY497" s="3">
        <f t="shared" si="369"/>
        <v>0</v>
      </c>
      <c r="FZ497" s="3">
        <f t="shared" si="369"/>
        <v>0</v>
      </c>
      <c r="GA497" s="3">
        <f t="shared" si="369"/>
        <v>0</v>
      </c>
      <c r="GB497" s="3">
        <f t="shared" si="369"/>
        <v>0</v>
      </c>
      <c r="GC497" s="3">
        <f t="shared" si="369"/>
        <v>0</v>
      </c>
      <c r="GD497" s="3">
        <f t="shared" si="369"/>
        <v>0</v>
      </c>
      <c r="GE497" s="3">
        <f t="shared" si="369"/>
        <v>0</v>
      </c>
      <c r="GF497" s="3">
        <f t="shared" si="369"/>
        <v>0</v>
      </c>
      <c r="GG497" s="3">
        <f t="shared" si="369"/>
        <v>0</v>
      </c>
      <c r="GH497" s="3">
        <f t="shared" si="369"/>
        <v>0</v>
      </c>
      <c r="GI497" s="3">
        <f t="shared" si="369"/>
        <v>0</v>
      </c>
      <c r="GJ497" s="3">
        <f t="shared" si="369"/>
        <v>0</v>
      </c>
      <c r="GK497" s="3">
        <f t="shared" si="369"/>
        <v>0</v>
      </c>
      <c r="GL497" s="3">
        <f t="shared" si="369"/>
        <v>0</v>
      </c>
      <c r="GM497" s="3">
        <f t="shared" si="369"/>
        <v>0</v>
      </c>
      <c r="GN497" s="3">
        <f t="shared" si="369"/>
        <v>0</v>
      </c>
      <c r="GO497" s="3">
        <f t="shared" si="369"/>
        <v>0</v>
      </c>
      <c r="GP497" s="3">
        <f t="shared" si="369"/>
        <v>0</v>
      </c>
      <c r="GQ497" s="3">
        <f t="shared" si="369"/>
        <v>0</v>
      </c>
      <c r="GR497" s="3">
        <f t="shared" si="369"/>
        <v>0</v>
      </c>
      <c r="GS497" s="3">
        <f t="shared" si="369"/>
        <v>0</v>
      </c>
      <c r="GT497" s="3">
        <f t="shared" si="369"/>
        <v>0</v>
      </c>
      <c r="GU497" s="3">
        <f t="shared" si="369"/>
        <v>0</v>
      </c>
      <c r="GV497" s="3">
        <f t="shared" si="369"/>
        <v>0</v>
      </c>
      <c r="GW497" s="3">
        <f t="shared" si="369"/>
        <v>0</v>
      </c>
      <c r="GX497" s="3">
        <f t="shared" si="369"/>
        <v>0</v>
      </c>
    </row>
    <row r="499" spans="1:245" x14ac:dyDescent="0.2">
      <c r="A499">
        <v>17</v>
      </c>
      <c r="B499">
        <v>1</v>
      </c>
      <c r="C499">
        <f>ROW(SmtRes!A138)</f>
        <v>138</v>
      </c>
      <c r="D499">
        <f>ROW(EtalonRes!A135)</f>
        <v>135</v>
      </c>
      <c r="E499" t="s">
        <v>277</v>
      </c>
      <c r="F499" t="s">
        <v>112</v>
      </c>
      <c r="G499" t="s">
        <v>239</v>
      </c>
      <c r="H499" t="s">
        <v>30</v>
      </c>
      <c r="I499">
        <v>0.33</v>
      </c>
      <c r="J499">
        <v>0</v>
      </c>
      <c r="O499">
        <f t="shared" ref="O499:O505" si="370">ROUND(CP499,2)</f>
        <v>7068.31</v>
      </c>
      <c r="P499">
        <f t="shared" ref="P499:P505" si="371">ROUND(CQ499*I499,2)</f>
        <v>0</v>
      </c>
      <c r="Q499">
        <f t="shared" ref="Q499:Q505" si="372">ROUND(CR499*I499,2)</f>
        <v>0</v>
      </c>
      <c r="R499">
        <f t="shared" ref="R499:R505" si="373">ROUND(CS499*I499,2)</f>
        <v>0</v>
      </c>
      <c r="S499">
        <f t="shared" ref="S499:S505" si="374">ROUND(CT499*I499,2)</f>
        <v>7068.31</v>
      </c>
      <c r="T499">
        <f t="shared" ref="T499:T505" si="375">ROUND(CU499*I499,2)</f>
        <v>0</v>
      </c>
      <c r="U499">
        <f t="shared" ref="U499:U505" si="376">CV499*I499</f>
        <v>28.842000000000002</v>
      </c>
      <c r="V499">
        <f t="shared" ref="V499:V505" si="377">CW499*I499</f>
        <v>0</v>
      </c>
      <c r="W499">
        <f t="shared" ref="W499:W505" si="378">ROUND(CX499*I499,2)</f>
        <v>0</v>
      </c>
      <c r="X499">
        <f t="shared" ref="X499:Y505" si="379">ROUND(CY499,2)</f>
        <v>4947.82</v>
      </c>
      <c r="Y499">
        <f t="shared" si="379"/>
        <v>706.83</v>
      </c>
      <c r="AA499">
        <v>38214492</v>
      </c>
      <c r="AB499">
        <f t="shared" ref="AB499:AB505" si="380">ROUND((AC499+AD499+AF499),6)</f>
        <v>21419.119999999999</v>
      </c>
      <c r="AC499">
        <f>ROUND(((ES499*0)),6)</f>
        <v>0</v>
      </c>
      <c r="AD499">
        <f>ROUND(((((ET499*0))-((EU499*0)))+AE499),6)</f>
        <v>0</v>
      </c>
      <c r="AE499">
        <f>ROUND(((EU499*0)),6)</f>
        <v>0</v>
      </c>
      <c r="AF499">
        <f t="shared" ref="AF499:AF505" si="381">ROUND((EV499),6)</f>
        <v>21419.119999999999</v>
      </c>
      <c r="AG499">
        <f t="shared" ref="AG499:AG505" si="382">ROUND((AP499),6)</f>
        <v>0</v>
      </c>
      <c r="AH499">
        <f t="shared" ref="AH499:AH505" si="383">(EW499)</f>
        <v>87.4</v>
      </c>
      <c r="AI499">
        <f>((EX499*0))</f>
        <v>0</v>
      </c>
      <c r="AJ499">
        <f t="shared" ref="AJ499:AJ505" si="384">(AS499)</f>
        <v>0</v>
      </c>
      <c r="AK499">
        <v>97500</v>
      </c>
      <c r="AL499">
        <v>75491.69</v>
      </c>
      <c r="AM499">
        <v>589.19000000000005</v>
      </c>
      <c r="AN499">
        <v>24.51</v>
      </c>
      <c r="AO499">
        <v>21419.119999999999</v>
      </c>
      <c r="AP499">
        <v>0</v>
      </c>
      <c r="AQ499">
        <v>87.4</v>
      </c>
      <c r="AR499">
        <v>0</v>
      </c>
      <c r="AS499">
        <v>0</v>
      </c>
      <c r="AT499">
        <v>70</v>
      </c>
      <c r="AU499">
        <v>10</v>
      </c>
      <c r="AV499">
        <v>1</v>
      </c>
      <c r="AW499">
        <v>1</v>
      </c>
      <c r="AZ499">
        <v>1</v>
      </c>
      <c r="BA499">
        <v>1</v>
      </c>
      <c r="BB499">
        <v>1</v>
      </c>
      <c r="BC499">
        <v>1</v>
      </c>
      <c r="BD499" t="s">
        <v>3</v>
      </c>
      <c r="BE499" t="s">
        <v>3</v>
      </c>
      <c r="BF499" t="s">
        <v>3</v>
      </c>
      <c r="BG499" t="s">
        <v>3</v>
      </c>
      <c r="BH499">
        <v>0</v>
      </c>
      <c r="BI499">
        <v>4</v>
      </c>
      <c r="BJ499" t="s">
        <v>114</v>
      </c>
      <c r="BM499">
        <v>0</v>
      </c>
      <c r="BN499">
        <v>0</v>
      </c>
      <c r="BO499" t="s">
        <v>3</v>
      </c>
      <c r="BP499">
        <v>0</v>
      </c>
      <c r="BQ499">
        <v>1</v>
      </c>
      <c r="BR499">
        <v>0</v>
      </c>
      <c r="BS499">
        <v>1</v>
      </c>
      <c r="BT499">
        <v>1</v>
      </c>
      <c r="BU499">
        <v>1</v>
      </c>
      <c r="BV499">
        <v>1</v>
      </c>
      <c r="BW499">
        <v>1</v>
      </c>
      <c r="BX499">
        <v>1</v>
      </c>
      <c r="BY499" t="s">
        <v>3</v>
      </c>
      <c r="BZ499">
        <v>70</v>
      </c>
      <c r="CA499">
        <v>10</v>
      </c>
      <c r="CE499">
        <v>0</v>
      </c>
      <c r="CF499">
        <v>0</v>
      </c>
      <c r="CG499">
        <v>0</v>
      </c>
      <c r="CM499">
        <v>0</v>
      </c>
      <c r="CN499" t="s">
        <v>3</v>
      </c>
      <c r="CO499">
        <v>0</v>
      </c>
      <c r="CP499">
        <f t="shared" ref="CP499:CP505" si="385">(P499+Q499+S499)</f>
        <v>7068.31</v>
      </c>
      <c r="CQ499">
        <f t="shared" ref="CQ499:CQ505" si="386">(AC499*BC499*AW499)</f>
        <v>0</v>
      </c>
      <c r="CR499">
        <f>(((((ET499*0))*BB499-((EU499*0))*BS499)+AE499*BS499)*AV499)</f>
        <v>0</v>
      </c>
      <c r="CS499">
        <f t="shared" ref="CS499:CS505" si="387">(AE499*BS499*AV499)</f>
        <v>0</v>
      </c>
      <c r="CT499">
        <f t="shared" ref="CT499:CT505" si="388">(AF499*BA499*AV499)</f>
        <v>21419.119999999999</v>
      </c>
      <c r="CU499">
        <f t="shared" ref="CU499:CU505" si="389">AG499</f>
        <v>0</v>
      </c>
      <c r="CV499">
        <f t="shared" ref="CV499:CV505" si="390">(AH499*AV499)</f>
        <v>87.4</v>
      </c>
      <c r="CW499">
        <f t="shared" ref="CW499:CX505" si="391">AI499</f>
        <v>0</v>
      </c>
      <c r="CX499">
        <f t="shared" si="391"/>
        <v>0</v>
      </c>
      <c r="CY499">
        <f t="shared" ref="CY499:CY505" si="392">((S499*BZ499)/100)</f>
        <v>4947.817</v>
      </c>
      <c r="CZ499">
        <f t="shared" ref="CZ499:CZ505" si="393">((S499*CA499)/100)</f>
        <v>706.83100000000002</v>
      </c>
      <c r="DC499" t="s">
        <v>3</v>
      </c>
      <c r="DD499" t="s">
        <v>32</v>
      </c>
      <c r="DE499" t="s">
        <v>32</v>
      </c>
      <c r="DF499" t="s">
        <v>32</v>
      </c>
      <c r="DG499" t="s">
        <v>3</v>
      </c>
      <c r="DH499" t="s">
        <v>3</v>
      </c>
      <c r="DI499" t="s">
        <v>3</v>
      </c>
      <c r="DJ499" t="s">
        <v>32</v>
      </c>
      <c r="DK499" t="s">
        <v>3</v>
      </c>
      <c r="DL499" t="s">
        <v>3</v>
      </c>
      <c r="DM499" t="s">
        <v>3</v>
      </c>
      <c r="DN499">
        <v>0</v>
      </c>
      <c r="DO499">
        <v>0</v>
      </c>
      <c r="DP499">
        <v>1</v>
      </c>
      <c r="DQ499">
        <v>1</v>
      </c>
      <c r="DU499">
        <v>1009</v>
      </c>
      <c r="DV499" t="s">
        <v>30</v>
      </c>
      <c r="DW499" t="s">
        <v>30</v>
      </c>
      <c r="DX499">
        <v>1000</v>
      </c>
      <c r="EE499">
        <v>38628631</v>
      </c>
      <c r="EF499">
        <v>1</v>
      </c>
      <c r="EG499" t="s">
        <v>24</v>
      </c>
      <c r="EH499">
        <v>0</v>
      </c>
      <c r="EI499" t="s">
        <v>3</v>
      </c>
      <c r="EJ499">
        <v>4</v>
      </c>
      <c r="EK499">
        <v>0</v>
      </c>
      <c r="EL499" t="s">
        <v>25</v>
      </c>
      <c r="EM499" t="s">
        <v>26</v>
      </c>
      <c r="EO499" t="s">
        <v>3</v>
      </c>
      <c r="EQ499">
        <v>0</v>
      </c>
      <c r="ER499">
        <v>97500</v>
      </c>
      <c r="ES499">
        <v>75491.69</v>
      </c>
      <c r="ET499">
        <v>589.19000000000005</v>
      </c>
      <c r="EU499">
        <v>24.51</v>
      </c>
      <c r="EV499">
        <v>21419.119999999999</v>
      </c>
      <c r="EW499">
        <v>87.4</v>
      </c>
      <c r="EX499">
        <v>0</v>
      </c>
      <c r="EY499">
        <v>0</v>
      </c>
      <c r="FQ499">
        <v>0</v>
      </c>
      <c r="FR499">
        <f t="shared" ref="FR499:FR505" si="394">ROUND(IF(AND(BH499=3,BI499=3),P499,0),2)</f>
        <v>0</v>
      </c>
      <c r="FS499">
        <v>0</v>
      </c>
      <c r="FX499">
        <v>70</v>
      </c>
      <c r="FY499">
        <v>10</v>
      </c>
      <c r="GA499" t="s">
        <v>3</v>
      </c>
      <c r="GD499">
        <v>0</v>
      </c>
      <c r="GF499">
        <v>-1767418442</v>
      </c>
      <c r="GG499">
        <v>2</v>
      </c>
      <c r="GH499">
        <v>1</v>
      </c>
      <c r="GI499">
        <v>-2</v>
      </c>
      <c r="GJ499">
        <v>0</v>
      </c>
      <c r="GK499">
        <f>ROUND(R499*(R12)/100,2)</f>
        <v>0</v>
      </c>
      <c r="GL499">
        <f t="shared" ref="GL499:GL505" si="395">ROUND(IF(AND(BH499=3,BI499=3,FS499&lt;&gt;0),P499,0),2)</f>
        <v>0</v>
      </c>
      <c r="GM499">
        <f t="shared" ref="GM499:GM505" si="396">ROUND(O499+X499+Y499+GK499,2)+GX499</f>
        <v>12722.96</v>
      </c>
      <c r="GN499">
        <f t="shared" ref="GN499:GN505" si="397">IF(OR(BI499=0,BI499=1),ROUND(O499+X499+Y499+GK499,2),0)</f>
        <v>0</v>
      </c>
      <c r="GO499">
        <f t="shared" ref="GO499:GO505" si="398">IF(BI499=2,ROUND(O499+X499+Y499+GK499,2),0)</f>
        <v>0</v>
      </c>
      <c r="GP499">
        <f t="shared" ref="GP499:GP505" si="399">IF(BI499=4,ROUND(O499+X499+Y499+GK499,2)+GX499,0)</f>
        <v>12722.96</v>
      </c>
      <c r="GR499">
        <v>0</v>
      </c>
      <c r="GS499">
        <v>3</v>
      </c>
      <c r="GT499">
        <v>0</v>
      </c>
      <c r="GU499" t="s">
        <v>3</v>
      </c>
      <c r="GV499">
        <f t="shared" ref="GV499:GV505" si="400">ROUND((GT499),6)</f>
        <v>0</v>
      </c>
      <c r="GW499">
        <v>1</v>
      </c>
      <c r="GX499">
        <f t="shared" ref="GX499:GX505" si="401">ROUND(HC499*I499,2)</f>
        <v>0</v>
      </c>
      <c r="HA499">
        <v>0</v>
      </c>
      <c r="HB499">
        <v>0</v>
      </c>
      <c r="HC499">
        <f t="shared" ref="HC499:HC505" si="402">GV499*GW499</f>
        <v>0</v>
      </c>
      <c r="HE499" t="s">
        <v>3</v>
      </c>
      <c r="HF499" t="s">
        <v>3</v>
      </c>
      <c r="IK499">
        <v>0</v>
      </c>
    </row>
    <row r="500" spans="1:245" x14ac:dyDescent="0.2">
      <c r="A500">
        <v>17</v>
      </c>
      <c r="B500">
        <v>1</v>
      </c>
      <c r="E500" t="s">
        <v>278</v>
      </c>
      <c r="F500" t="s">
        <v>129</v>
      </c>
      <c r="G500" t="s">
        <v>151</v>
      </c>
      <c r="H500" t="s">
        <v>123</v>
      </c>
      <c r="I500">
        <v>1</v>
      </c>
      <c r="J500">
        <v>0</v>
      </c>
      <c r="O500">
        <f t="shared" si="370"/>
        <v>29364.73</v>
      </c>
      <c r="P500">
        <f t="shared" si="371"/>
        <v>29364.73</v>
      </c>
      <c r="Q500">
        <f t="shared" si="372"/>
        <v>0</v>
      </c>
      <c r="R500">
        <f t="shared" si="373"/>
        <v>0</v>
      </c>
      <c r="S500">
        <f t="shared" si="374"/>
        <v>0</v>
      </c>
      <c r="T500">
        <f t="shared" si="375"/>
        <v>0</v>
      </c>
      <c r="U500">
        <f t="shared" si="376"/>
        <v>0</v>
      </c>
      <c r="V500">
        <f t="shared" si="377"/>
        <v>0</v>
      </c>
      <c r="W500">
        <f t="shared" si="378"/>
        <v>0</v>
      </c>
      <c r="X500">
        <f t="shared" si="379"/>
        <v>0</v>
      </c>
      <c r="Y500">
        <f t="shared" si="379"/>
        <v>0</v>
      </c>
      <c r="AA500">
        <v>38214492</v>
      </c>
      <c r="AB500">
        <f t="shared" si="380"/>
        <v>29364.73</v>
      </c>
      <c r="AC500">
        <f t="shared" ref="AC500:AC505" si="403">ROUND((ES500),6)</f>
        <v>29364.73</v>
      </c>
      <c r="AD500">
        <f t="shared" ref="AD500:AD505" si="404">ROUND((((ET500)-(EU500))+AE500),6)</f>
        <v>0</v>
      </c>
      <c r="AE500">
        <f t="shared" ref="AE500:AE505" si="405">ROUND((EU500),6)</f>
        <v>0</v>
      </c>
      <c r="AF500">
        <f t="shared" si="381"/>
        <v>0</v>
      </c>
      <c r="AG500">
        <f t="shared" si="382"/>
        <v>0</v>
      </c>
      <c r="AH500">
        <f t="shared" si="383"/>
        <v>0</v>
      </c>
      <c r="AI500">
        <f t="shared" ref="AI500:AI505" si="406">(EX500)</f>
        <v>0</v>
      </c>
      <c r="AJ500">
        <f t="shared" si="384"/>
        <v>0</v>
      </c>
      <c r="AK500">
        <v>29364.73</v>
      </c>
      <c r="AL500">
        <v>29364.73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1</v>
      </c>
      <c r="AW500">
        <v>1</v>
      </c>
      <c r="AZ500">
        <v>1</v>
      </c>
      <c r="BA500">
        <v>1</v>
      </c>
      <c r="BB500">
        <v>1</v>
      </c>
      <c r="BC500">
        <v>1</v>
      </c>
      <c r="BD500" t="s">
        <v>3</v>
      </c>
      <c r="BE500" t="s">
        <v>3</v>
      </c>
      <c r="BF500" t="s">
        <v>3</v>
      </c>
      <c r="BG500" t="s">
        <v>3</v>
      </c>
      <c r="BH500">
        <v>3</v>
      </c>
      <c r="BI500">
        <v>1</v>
      </c>
      <c r="BJ500" t="s">
        <v>3</v>
      </c>
      <c r="BM500">
        <v>6001</v>
      </c>
      <c r="BN500">
        <v>0</v>
      </c>
      <c r="BO500" t="s">
        <v>3</v>
      </c>
      <c r="BP500">
        <v>0</v>
      </c>
      <c r="BQ500">
        <v>0</v>
      </c>
      <c r="BR500">
        <v>0</v>
      </c>
      <c r="BS500">
        <v>1</v>
      </c>
      <c r="BT500">
        <v>1</v>
      </c>
      <c r="BU500">
        <v>1</v>
      </c>
      <c r="BV500">
        <v>1</v>
      </c>
      <c r="BW500">
        <v>1</v>
      </c>
      <c r="BX500">
        <v>1</v>
      </c>
      <c r="BY500" t="s">
        <v>3</v>
      </c>
      <c r="BZ500">
        <v>0</v>
      </c>
      <c r="CA500">
        <v>0</v>
      </c>
      <c r="CE500">
        <v>0</v>
      </c>
      <c r="CF500">
        <v>0</v>
      </c>
      <c r="CG500">
        <v>0</v>
      </c>
      <c r="CM500">
        <v>0</v>
      </c>
      <c r="CN500" t="s">
        <v>3</v>
      </c>
      <c r="CO500">
        <v>0</v>
      </c>
      <c r="CP500">
        <f t="shared" si="385"/>
        <v>29364.73</v>
      </c>
      <c r="CQ500">
        <f t="shared" si="386"/>
        <v>29364.73</v>
      </c>
      <c r="CR500">
        <f t="shared" ref="CR500:CR505" si="407">((((ET500)*BB500-(EU500)*BS500)+AE500*BS500)*AV500)</f>
        <v>0</v>
      </c>
      <c r="CS500">
        <f t="shared" si="387"/>
        <v>0</v>
      </c>
      <c r="CT500">
        <f t="shared" si="388"/>
        <v>0</v>
      </c>
      <c r="CU500">
        <f t="shared" si="389"/>
        <v>0</v>
      </c>
      <c r="CV500">
        <f t="shared" si="390"/>
        <v>0</v>
      </c>
      <c r="CW500">
        <f t="shared" si="391"/>
        <v>0</v>
      </c>
      <c r="CX500">
        <f t="shared" si="391"/>
        <v>0</v>
      </c>
      <c r="CY500">
        <f t="shared" si="392"/>
        <v>0</v>
      </c>
      <c r="CZ500">
        <f t="shared" si="393"/>
        <v>0</v>
      </c>
      <c r="DC500" t="s">
        <v>3</v>
      </c>
      <c r="DD500" t="s">
        <v>3</v>
      </c>
      <c r="DE500" t="s">
        <v>3</v>
      </c>
      <c r="DF500" t="s">
        <v>3</v>
      </c>
      <c r="DG500" t="s">
        <v>3</v>
      </c>
      <c r="DH500" t="s">
        <v>3</v>
      </c>
      <c r="DI500" t="s">
        <v>3</v>
      </c>
      <c r="DJ500" t="s">
        <v>3</v>
      </c>
      <c r="DK500" t="s">
        <v>3</v>
      </c>
      <c r="DL500" t="s">
        <v>3</v>
      </c>
      <c r="DM500" t="s">
        <v>3</v>
      </c>
      <c r="DN500">
        <v>0</v>
      </c>
      <c r="DO500">
        <v>0</v>
      </c>
      <c r="DP500">
        <v>1</v>
      </c>
      <c r="DQ500">
        <v>1</v>
      </c>
      <c r="DU500">
        <v>1010</v>
      </c>
      <c r="DV500" t="s">
        <v>123</v>
      </c>
      <c r="DW500" t="s">
        <v>123</v>
      </c>
      <c r="DX500">
        <v>1</v>
      </c>
      <c r="EE500">
        <v>38661473</v>
      </c>
      <c r="EF500">
        <v>0</v>
      </c>
      <c r="EG500" t="s">
        <v>130</v>
      </c>
      <c r="EH500">
        <v>0</v>
      </c>
      <c r="EI500" t="s">
        <v>3</v>
      </c>
      <c r="EJ500">
        <v>1</v>
      </c>
      <c r="EK500">
        <v>6001</v>
      </c>
      <c r="EL500" t="s">
        <v>131</v>
      </c>
      <c r="EM500" t="s">
        <v>130</v>
      </c>
      <c r="EO500" t="s">
        <v>3</v>
      </c>
      <c r="EQ500">
        <v>0</v>
      </c>
      <c r="ER500">
        <v>29364.73</v>
      </c>
      <c r="ES500">
        <v>29364.73</v>
      </c>
      <c r="ET500">
        <v>0</v>
      </c>
      <c r="EU500">
        <v>0</v>
      </c>
      <c r="EV500">
        <v>0</v>
      </c>
      <c r="EW500">
        <v>0</v>
      </c>
      <c r="EX500">
        <v>0</v>
      </c>
      <c r="EY500">
        <v>0</v>
      </c>
      <c r="EZ500">
        <v>5</v>
      </c>
      <c r="FC500">
        <v>1</v>
      </c>
      <c r="FD500">
        <v>18</v>
      </c>
      <c r="FF500">
        <v>35237.67</v>
      </c>
      <c r="FQ500">
        <v>0</v>
      </c>
      <c r="FR500">
        <f t="shared" si="394"/>
        <v>0</v>
      </c>
      <c r="FS500">
        <v>0</v>
      </c>
      <c r="FX500">
        <v>0</v>
      </c>
      <c r="FY500">
        <v>0</v>
      </c>
      <c r="GA500" t="s">
        <v>152</v>
      </c>
      <c r="GD500">
        <v>0</v>
      </c>
      <c r="GF500">
        <v>-295362686</v>
      </c>
      <c r="GG500">
        <v>2</v>
      </c>
      <c r="GH500">
        <v>3</v>
      </c>
      <c r="GI500">
        <v>-2</v>
      </c>
      <c r="GJ500">
        <v>0</v>
      </c>
      <c r="GK500">
        <f>ROUND(R500*(R12)/100,2)</f>
        <v>0</v>
      </c>
      <c r="GL500">
        <f t="shared" si="395"/>
        <v>0</v>
      </c>
      <c r="GM500">
        <f t="shared" si="396"/>
        <v>29364.73</v>
      </c>
      <c r="GN500">
        <f t="shared" si="397"/>
        <v>29364.73</v>
      </c>
      <c r="GO500">
        <f t="shared" si="398"/>
        <v>0</v>
      </c>
      <c r="GP500">
        <f t="shared" si="399"/>
        <v>0</v>
      </c>
      <c r="GR500">
        <v>1</v>
      </c>
      <c r="GS500">
        <v>1</v>
      </c>
      <c r="GT500">
        <v>0</v>
      </c>
      <c r="GU500" t="s">
        <v>3</v>
      </c>
      <c r="GV500">
        <f t="shared" si="400"/>
        <v>0</v>
      </c>
      <c r="GW500">
        <v>1</v>
      </c>
      <c r="GX500">
        <f t="shared" si="401"/>
        <v>0</v>
      </c>
      <c r="HA500">
        <v>0</v>
      </c>
      <c r="HB500">
        <v>0</v>
      </c>
      <c r="HC500">
        <f t="shared" si="402"/>
        <v>0</v>
      </c>
      <c r="HE500" t="s">
        <v>153</v>
      </c>
      <c r="HF500" t="s">
        <v>153</v>
      </c>
      <c r="IK500">
        <v>0</v>
      </c>
    </row>
    <row r="501" spans="1:245" x14ac:dyDescent="0.2">
      <c r="A501">
        <v>17</v>
      </c>
      <c r="B501">
        <v>1</v>
      </c>
      <c r="E501" t="s">
        <v>279</v>
      </c>
      <c r="F501" t="s">
        <v>129</v>
      </c>
      <c r="G501" t="s">
        <v>155</v>
      </c>
      <c r="H501" t="s">
        <v>123</v>
      </c>
      <c r="I501">
        <v>1</v>
      </c>
      <c r="J501">
        <v>0</v>
      </c>
      <c r="O501">
        <f t="shared" si="370"/>
        <v>18699.73</v>
      </c>
      <c r="P501">
        <f t="shared" si="371"/>
        <v>18699.73</v>
      </c>
      <c r="Q501">
        <f t="shared" si="372"/>
        <v>0</v>
      </c>
      <c r="R501">
        <f t="shared" si="373"/>
        <v>0</v>
      </c>
      <c r="S501">
        <f t="shared" si="374"/>
        <v>0</v>
      </c>
      <c r="T501">
        <f t="shared" si="375"/>
        <v>0</v>
      </c>
      <c r="U501">
        <f t="shared" si="376"/>
        <v>0</v>
      </c>
      <c r="V501">
        <f t="shared" si="377"/>
        <v>0</v>
      </c>
      <c r="W501">
        <f t="shared" si="378"/>
        <v>0</v>
      </c>
      <c r="X501">
        <f t="shared" si="379"/>
        <v>0</v>
      </c>
      <c r="Y501">
        <f t="shared" si="379"/>
        <v>0</v>
      </c>
      <c r="AA501">
        <v>38214492</v>
      </c>
      <c r="AB501">
        <f t="shared" si="380"/>
        <v>18699.73</v>
      </c>
      <c r="AC501">
        <f t="shared" si="403"/>
        <v>18699.73</v>
      </c>
      <c r="AD501">
        <f t="shared" si="404"/>
        <v>0</v>
      </c>
      <c r="AE501">
        <f t="shared" si="405"/>
        <v>0</v>
      </c>
      <c r="AF501">
        <f t="shared" si="381"/>
        <v>0</v>
      </c>
      <c r="AG501">
        <f t="shared" si="382"/>
        <v>0</v>
      </c>
      <c r="AH501">
        <f t="shared" si="383"/>
        <v>0</v>
      </c>
      <c r="AI501">
        <f t="shared" si="406"/>
        <v>0</v>
      </c>
      <c r="AJ501">
        <f t="shared" si="384"/>
        <v>0</v>
      </c>
      <c r="AK501">
        <v>18699.73</v>
      </c>
      <c r="AL501">
        <v>18699.73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1</v>
      </c>
      <c r="AW501">
        <v>1</v>
      </c>
      <c r="AZ501">
        <v>1</v>
      </c>
      <c r="BA501">
        <v>1</v>
      </c>
      <c r="BB501">
        <v>1</v>
      </c>
      <c r="BC501">
        <v>1</v>
      </c>
      <c r="BD501" t="s">
        <v>3</v>
      </c>
      <c r="BE501" t="s">
        <v>3</v>
      </c>
      <c r="BF501" t="s">
        <v>3</v>
      </c>
      <c r="BG501" t="s">
        <v>3</v>
      </c>
      <c r="BH501">
        <v>3</v>
      </c>
      <c r="BI501">
        <v>1</v>
      </c>
      <c r="BJ501" t="s">
        <v>3</v>
      </c>
      <c r="BM501">
        <v>6001</v>
      </c>
      <c r="BN501">
        <v>0</v>
      </c>
      <c r="BO501" t="s">
        <v>3</v>
      </c>
      <c r="BP501">
        <v>0</v>
      </c>
      <c r="BQ501">
        <v>0</v>
      </c>
      <c r="BR501">
        <v>0</v>
      </c>
      <c r="BS501">
        <v>1</v>
      </c>
      <c r="BT501">
        <v>1</v>
      </c>
      <c r="BU501">
        <v>1</v>
      </c>
      <c r="BV501">
        <v>1</v>
      </c>
      <c r="BW501">
        <v>1</v>
      </c>
      <c r="BX501">
        <v>1</v>
      </c>
      <c r="BY501" t="s">
        <v>3</v>
      </c>
      <c r="BZ501">
        <v>0</v>
      </c>
      <c r="CA501">
        <v>0</v>
      </c>
      <c r="CE501">
        <v>0</v>
      </c>
      <c r="CF501">
        <v>0</v>
      </c>
      <c r="CG501">
        <v>0</v>
      </c>
      <c r="CM501">
        <v>0</v>
      </c>
      <c r="CN501" t="s">
        <v>3</v>
      </c>
      <c r="CO501">
        <v>0</v>
      </c>
      <c r="CP501">
        <f t="shared" si="385"/>
        <v>18699.73</v>
      </c>
      <c r="CQ501">
        <f t="shared" si="386"/>
        <v>18699.73</v>
      </c>
      <c r="CR501">
        <f t="shared" si="407"/>
        <v>0</v>
      </c>
      <c r="CS501">
        <f t="shared" si="387"/>
        <v>0</v>
      </c>
      <c r="CT501">
        <f t="shared" si="388"/>
        <v>0</v>
      </c>
      <c r="CU501">
        <f t="shared" si="389"/>
        <v>0</v>
      </c>
      <c r="CV501">
        <f t="shared" si="390"/>
        <v>0</v>
      </c>
      <c r="CW501">
        <f t="shared" si="391"/>
        <v>0</v>
      </c>
      <c r="CX501">
        <f t="shared" si="391"/>
        <v>0</v>
      </c>
      <c r="CY501">
        <f t="shared" si="392"/>
        <v>0</v>
      </c>
      <c r="CZ501">
        <f t="shared" si="393"/>
        <v>0</v>
      </c>
      <c r="DC501" t="s">
        <v>3</v>
      </c>
      <c r="DD501" t="s">
        <v>3</v>
      </c>
      <c r="DE501" t="s">
        <v>3</v>
      </c>
      <c r="DF501" t="s">
        <v>3</v>
      </c>
      <c r="DG501" t="s">
        <v>3</v>
      </c>
      <c r="DH501" t="s">
        <v>3</v>
      </c>
      <c r="DI501" t="s">
        <v>3</v>
      </c>
      <c r="DJ501" t="s">
        <v>3</v>
      </c>
      <c r="DK501" t="s">
        <v>3</v>
      </c>
      <c r="DL501" t="s">
        <v>3</v>
      </c>
      <c r="DM501" t="s">
        <v>3</v>
      </c>
      <c r="DN501">
        <v>0</v>
      </c>
      <c r="DO501">
        <v>0</v>
      </c>
      <c r="DP501">
        <v>1</v>
      </c>
      <c r="DQ501">
        <v>1</v>
      </c>
      <c r="DU501">
        <v>1010</v>
      </c>
      <c r="DV501" t="s">
        <v>123</v>
      </c>
      <c r="DW501" t="s">
        <v>123</v>
      </c>
      <c r="DX501">
        <v>1</v>
      </c>
      <c r="EE501">
        <v>38661473</v>
      </c>
      <c r="EF501">
        <v>0</v>
      </c>
      <c r="EG501" t="s">
        <v>130</v>
      </c>
      <c r="EH501">
        <v>0</v>
      </c>
      <c r="EI501" t="s">
        <v>3</v>
      </c>
      <c r="EJ501">
        <v>1</v>
      </c>
      <c r="EK501">
        <v>6001</v>
      </c>
      <c r="EL501" t="s">
        <v>131</v>
      </c>
      <c r="EM501" t="s">
        <v>130</v>
      </c>
      <c r="EO501" t="s">
        <v>3</v>
      </c>
      <c r="EQ501">
        <v>0</v>
      </c>
      <c r="ER501">
        <v>18699.73</v>
      </c>
      <c r="ES501">
        <v>18699.73</v>
      </c>
      <c r="ET501">
        <v>0</v>
      </c>
      <c r="EU501">
        <v>0</v>
      </c>
      <c r="EV501">
        <v>0</v>
      </c>
      <c r="EW501">
        <v>0</v>
      </c>
      <c r="EX501">
        <v>0</v>
      </c>
      <c r="EY501">
        <v>0</v>
      </c>
      <c r="EZ501">
        <v>5</v>
      </c>
      <c r="FC501">
        <v>1</v>
      </c>
      <c r="FD501">
        <v>18</v>
      </c>
      <c r="FF501">
        <v>22439.67</v>
      </c>
      <c r="FQ501">
        <v>0</v>
      </c>
      <c r="FR501">
        <f t="shared" si="394"/>
        <v>0</v>
      </c>
      <c r="FS501">
        <v>0</v>
      </c>
      <c r="FX501">
        <v>0</v>
      </c>
      <c r="FY501">
        <v>0</v>
      </c>
      <c r="GA501" t="s">
        <v>156</v>
      </c>
      <c r="GD501">
        <v>0</v>
      </c>
      <c r="GF501">
        <v>918400748</v>
      </c>
      <c r="GG501">
        <v>2</v>
      </c>
      <c r="GH501">
        <v>3</v>
      </c>
      <c r="GI501">
        <v>-2</v>
      </c>
      <c r="GJ501">
        <v>0</v>
      </c>
      <c r="GK501">
        <f>ROUND(R501*(R12)/100,2)</f>
        <v>0</v>
      </c>
      <c r="GL501">
        <f t="shared" si="395"/>
        <v>0</v>
      </c>
      <c r="GM501">
        <f t="shared" si="396"/>
        <v>18699.73</v>
      </c>
      <c r="GN501">
        <f t="shared" si="397"/>
        <v>18699.73</v>
      </c>
      <c r="GO501">
        <f t="shared" si="398"/>
        <v>0</v>
      </c>
      <c r="GP501">
        <f t="shared" si="399"/>
        <v>0</v>
      </c>
      <c r="GR501">
        <v>1</v>
      </c>
      <c r="GS501">
        <v>1</v>
      </c>
      <c r="GT501">
        <v>0</v>
      </c>
      <c r="GU501" t="s">
        <v>3</v>
      </c>
      <c r="GV501">
        <f t="shared" si="400"/>
        <v>0</v>
      </c>
      <c r="GW501">
        <v>1</v>
      </c>
      <c r="GX501">
        <f t="shared" si="401"/>
        <v>0</v>
      </c>
      <c r="HA501">
        <v>0</v>
      </c>
      <c r="HB501">
        <v>0</v>
      </c>
      <c r="HC501">
        <f t="shared" si="402"/>
        <v>0</v>
      </c>
      <c r="HE501" t="s">
        <v>153</v>
      </c>
      <c r="HF501" t="s">
        <v>153</v>
      </c>
      <c r="IK501">
        <v>0</v>
      </c>
    </row>
    <row r="502" spans="1:245" x14ac:dyDescent="0.2">
      <c r="A502">
        <v>17</v>
      </c>
      <c r="B502">
        <v>1</v>
      </c>
      <c r="E502" t="s">
        <v>280</v>
      </c>
      <c r="F502" t="s">
        <v>129</v>
      </c>
      <c r="G502" t="s">
        <v>158</v>
      </c>
      <c r="H502" t="s">
        <v>123</v>
      </c>
      <c r="I502">
        <v>1</v>
      </c>
      <c r="J502">
        <v>0</v>
      </c>
      <c r="O502">
        <f t="shared" si="370"/>
        <v>17050</v>
      </c>
      <c r="P502">
        <f t="shared" si="371"/>
        <v>17050</v>
      </c>
      <c r="Q502">
        <f t="shared" si="372"/>
        <v>0</v>
      </c>
      <c r="R502">
        <f t="shared" si="373"/>
        <v>0</v>
      </c>
      <c r="S502">
        <f t="shared" si="374"/>
        <v>0</v>
      </c>
      <c r="T502">
        <f t="shared" si="375"/>
        <v>0</v>
      </c>
      <c r="U502">
        <f t="shared" si="376"/>
        <v>0</v>
      </c>
      <c r="V502">
        <f t="shared" si="377"/>
        <v>0</v>
      </c>
      <c r="W502">
        <f t="shared" si="378"/>
        <v>0</v>
      </c>
      <c r="X502">
        <f t="shared" si="379"/>
        <v>0</v>
      </c>
      <c r="Y502">
        <f t="shared" si="379"/>
        <v>0</v>
      </c>
      <c r="AA502">
        <v>38214492</v>
      </c>
      <c r="AB502">
        <f t="shared" si="380"/>
        <v>17050</v>
      </c>
      <c r="AC502">
        <f t="shared" si="403"/>
        <v>17050</v>
      </c>
      <c r="AD502">
        <f t="shared" si="404"/>
        <v>0</v>
      </c>
      <c r="AE502">
        <f t="shared" si="405"/>
        <v>0</v>
      </c>
      <c r="AF502">
        <f t="shared" si="381"/>
        <v>0</v>
      </c>
      <c r="AG502">
        <f t="shared" si="382"/>
        <v>0</v>
      </c>
      <c r="AH502">
        <f t="shared" si="383"/>
        <v>0</v>
      </c>
      <c r="AI502">
        <f t="shared" si="406"/>
        <v>0</v>
      </c>
      <c r="AJ502">
        <f t="shared" si="384"/>
        <v>0</v>
      </c>
      <c r="AK502">
        <v>17050</v>
      </c>
      <c r="AL502">
        <v>17050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1</v>
      </c>
      <c r="AW502">
        <v>1</v>
      </c>
      <c r="AZ502">
        <v>1</v>
      </c>
      <c r="BA502">
        <v>1</v>
      </c>
      <c r="BB502">
        <v>1</v>
      </c>
      <c r="BC502">
        <v>1</v>
      </c>
      <c r="BD502" t="s">
        <v>3</v>
      </c>
      <c r="BE502" t="s">
        <v>3</v>
      </c>
      <c r="BF502" t="s">
        <v>3</v>
      </c>
      <c r="BG502" t="s">
        <v>3</v>
      </c>
      <c r="BH502">
        <v>3</v>
      </c>
      <c r="BI502">
        <v>1</v>
      </c>
      <c r="BJ502" t="s">
        <v>3</v>
      </c>
      <c r="BM502">
        <v>6001</v>
      </c>
      <c r="BN502">
        <v>0</v>
      </c>
      <c r="BO502" t="s">
        <v>3</v>
      </c>
      <c r="BP502">
        <v>0</v>
      </c>
      <c r="BQ502">
        <v>0</v>
      </c>
      <c r="BR502">
        <v>0</v>
      </c>
      <c r="BS502">
        <v>1</v>
      </c>
      <c r="BT502">
        <v>1</v>
      </c>
      <c r="BU502">
        <v>1</v>
      </c>
      <c r="BV502">
        <v>1</v>
      </c>
      <c r="BW502">
        <v>1</v>
      </c>
      <c r="BX502">
        <v>1</v>
      </c>
      <c r="BY502" t="s">
        <v>3</v>
      </c>
      <c r="BZ502">
        <v>0</v>
      </c>
      <c r="CA502">
        <v>0</v>
      </c>
      <c r="CE502">
        <v>0</v>
      </c>
      <c r="CF502">
        <v>0</v>
      </c>
      <c r="CG502">
        <v>0</v>
      </c>
      <c r="CM502">
        <v>0</v>
      </c>
      <c r="CN502" t="s">
        <v>3</v>
      </c>
      <c r="CO502">
        <v>0</v>
      </c>
      <c r="CP502">
        <f t="shared" si="385"/>
        <v>17050</v>
      </c>
      <c r="CQ502">
        <f t="shared" si="386"/>
        <v>17050</v>
      </c>
      <c r="CR502">
        <f t="shared" si="407"/>
        <v>0</v>
      </c>
      <c r="CS502">
        <f t="shared" si="387"/>
        <v>0</v>
      </c>
      <c r="CT502">
        <f t="shared" si="388"/>
        <v>0</v>
      </c>
      <c r="CU502">
        <f t="shared" si="389"/>
        <v>0</v>
      </c>
      <c r="CV502">
        <f t="shared" si="390"/>
        <v>0</v>
      </c>
      <c r="CW502">
        <f t="shared" si="391"/>
        <v>0</v>
      </c>
      <c r="CX502">
        <f t="shared" si="391"/>
        <v>0</v>
      </c>
      <c r="CY502">
        <f t="shared" si="392"/>
        <v>0</v>
      </c>
      <c r="CZ502">
        <f t="shared" si="393"/>
        <v>0</v>
      </c>
      <c r="DC502" t="s">
        <v>3</v>
      </c>
      <c r="DD502" t="s">
        <v>3</v>
      </c>
      <c r="DE502" t="s">
        <v>3</v>
      </c>
      <c r="DF502" t="s">
        <v>3</v>
      </c>
      <c r="DG502" t="s">
        <v>3</v>
      </c>
      <c r="DH502" t="s">
        <v>3</v>
      </c>
      <c r="DI502" t="s">
        <v>3</v>
      </c>
      <c r="DJ502" t="s">
        <v>3</v>
      </c>
      <c r="DK502" t="s">
        <v>3</v>
      </c>
      <c r="DL502" t="s">
        <v>3</v>
      </c>
      <c r="DM502" t="s">
        <v>3</v>
      </c>
      <c r="DN502">
        <v>0</v>
      </c>
      <c r="DO502">
        <v>0</v>
      </c>
      <c r="DP502">
        <v>1</v>
      </c>
      <c r="DQ502">
        <v>1</v>
      </c>
      <c r="DU502">
        <v>1010</v>
      </c>
      <c r="DV502" t="s">
        <v>123</v>
      </c>
      <c r="DW502" t="s">
        <v>123</v>
      </c>
      <c r="DX502">
        <v>1</v>
      </c>
      <c r="EE502">
        <v>38661473</v>
      </c>
      <c r="EF502">
        <v>0</v>
      </c>
      <c r="EG502" t="s">
        <v>130</v>
      </c>
      <c r="EH502">
        <v>0</v>
      </c>
      <c r="EI502" t="s">
        <v>3</v>
      </c>
      <c r="EJ502">
        <v>1</v>
      </c>
      <c r="EK502">
        <v>6001</v>
      </c>
      <c r="EL502" t="s">
        <v>131</v>
      </c>
      <c r="EM502" t="s">
        <v>130</v>
      </c>
      <c r="EO502" t="s">
        <v>3</v>
      </c>
      <c r="EQ502">
        <v>0</v>
      </c>
      <c r="ER502">
        <v>17050</v>
      </c>
      <c r="ES502">
        <v>17050</v>
      </c>
      <c r="ET502">
        <v>0</v>
      </c>
      <c r="EU502">
        <v>0</v>
      </c>
      <c r="EV502">
        <v>0</v>
      </c>
      <c r="EW502">
        <v>0</v>
      </c>
      <c r="EX502">
        <v>0</v>
      </c>
      <c r="EY502">
        <v>0</v>
      </c>
      <c r="EZ502">
        <v>5</v>
      </c>
      <c r="FC502">
        <v>1</v>
      </c>
      <c r="FD502">
        <v>18</v>
      </c>
      <c r="FF502">
        <v>20460</v>
      </c>
      <c r="FQ502">
        <v>0</v>
      </c>
      <c r="FR502">
        <f t="shared" si="394"/>
        <v>0</v>
      </c>
      <c r="FS502">
        <v>0</v>
      </c>
      <c r="FX502">
        <v>0</v>
      </c>
      <c r="FY502">
        <v>0</v>
      </c>
      <c r="GA502" t="s">
        <v>159</v>
      </c>
      <c r="GD502">
        <v>0</v>
      </c>
      <c r="GF502">
        <v>557786794</v>
      </c>
      <c r="GG502">
        <v>2</v>
      </c>
      <c r="GH502">
        <v>3</v>
      </c>
      <c r="GI502">
        <v>-2</v>
      </c>
      <c r="GJ502">
        <v>0</v>
      </c>
      <c r="GK502">
        <f>ROUND(R502*(R12)/100,2)</f>
        <v>0</v>
      </c>
      <c r="GL502">
        <f t="shared" si="395"/>
        <v>0</v>
      </c>
      <c r="GM502">
        <f t="shared" si="396"/>
        <v>17050</v>
      </c>
      <c r="GN502">
        <f t="shared" si="397"/>
        <v>17050</v>
      </c>
      <c r="GO502">
        <f t="shared" si="398"/>
        <v>0</v>
      </c>
      <c r="GP502">
        <f t="shared" si="399"/>
        <v>0</v>
      </c>
      <c r="GR502">
        <v>1</v>
      </c>
      <c r="GS502">
        <v>1</v>
      </c>
      <c r="GT502">
        <v>0</v>
      </c>
      <c r="GU502" t="s">
        <v>3</v>
      </c>
      <c r="GV502">
        <f t="shared" si="400"/>
        <v>0</v>
      </c>
      <c r="GW502">
        <v>1</v>
      </c>
      <c r="GX502">
        <f t="shared" si="401"/>
        <v>0</v>
      </c>
      <c r="HA502">
        <v>0</v>
      </c>
      <c r="HB502">
        <v>0</v>
      </c>
      <c r="HC502">
        <f t="shared" si="402"/>
        <v>0</v>
      </c>
      <c r="HE502" t="s">
        <v>153</v>
      </c>
      <c r="HF502" t="s">
        <v>153</v>
      </c>
      <c r="IK502">
        <v>0</v>
      </c>
    </row>
    <row r="503" spans="1:245" x14ac:dyDescent="0.2">
      <c r="A503">
        <v>17</v>
      </c>
      <c r="B503">
        <v>1</v>
      </c>
      <c r="E503" t="s">
        <v>281</v>
      </c>
      <c r="F503" t="s">
        <v>129</v>
      </c>
      <c r="G503" t="s">
        <v>161</v>
      </c>
      <c r="H503" t="s">
        <v>123</v>
      </c>
      <c r="I503">
        <v>1</v>
      </c>
      <c r="J503">
        <v>0</v>
      </c>
      <c r="O503">
        <f t="shared" si="370"/>
        <v>17277.78</v>
      </c>
      <c r="P503">
        <f t="shared" si="371"/>
        <v>17277.78</v>
      </c>
      <c r="Q503">
        <f t="shared" si="372"/>
        <v>0</v>
      </c>
      <c r="R503">
        <f t="shared" si="373"/>
        <v>0</v>
      </c>
      <c r="S503">
        <f t="shared" si="374"/>
        <v>0</v>
      </c>
      <c r="T503">
        <f t="shared" si="375"/>
        <v>0</v>
      </c>
      <c r="U503">
        <f t="shared" si="376"/>
        <v>0</v>
      </c>
      <c r="V503">
        <f t="shared" si="377"/>
        <v>0</v>
      </c>
      <c r="W503">
        <f t="shared" si="378"/>
        <v>0</v>
      </c>
      <c r="X503">
        <f t="shared" si="379"/>
        <v>0</v>
      </c>
      <c r="Y503">
        <f t="shared" si="379"/>
        <v>0</v>
      </c>
      <c r="AA503">
        <v>38214492</v>
      </c>
      <c r="AB503">
        <f t="shared" si="380"/>
        <v>17277.78</v>
      </c>
      <c r="AC503">
        <f t="shared" si="403"/>
        <v>17277.78</v>
      </c>
      <c r="AD503">
        <f t="shared" si="404"/>
        <v>0</v>
      </c>
      <c r="AE503">
        <f t="shared" si="405"/>
        <v>0</v>
      </c>
      <c r="AF503">
        <f t="shared" si="381"/>
        <v>0</v>
      </c>
      <c r="AG503">
        <f t="shared" si="382"/>
        <v>0</v>
      </c>
      <c r="AH503">
        <f t="shared" si="383"/>
        <v>0</v>
      </c>
      <c r="AI503">
        <f t="shared" si="406"/>
        <v>0</v>
      </c>
      <c r="AJ503">
        <f t="shared" si="384"/>
        <v>0</v>
      </c>
      <c r="AK503">
        <v>17277.78</v>
      </c>
      <c r="AL503">
        <v>17277.78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1</v>
      </c>
      <c r="AW503">
        <v>1</v>
      </c>
      <c r="AZ503">
        <v>1</v>
      </c>
      <c r="BA503">
        <v>1</v>
      </c>
      <c r="BB503">
        <v>1</v>
      </c>
      <c r="BC503">
        <v>1</v>
      </c>
      <c r="BD503" t="s">
        <v>3</v>
      </c>
      <c r="BE503" t="s">
        <v>3</v>
      </c>
      <c r="BF503" t="s">
        <v>3</v>
      </c>
      <c r="BG503" t="s">
        <v>3</v>
      </c>
      <c r="BH503">
        <v>3</v>
      </c>
      <c r="BI503">
        <v>1</v>
      </c>
      <c r="BJ503" t="s">
        <v>3</v>
      </c>
      <c r="BM503">
        <v>6001</v>
      </c>
      <c r="BN503">
        <v>0</v>
      </c>
      <c r="BO503" t="s">
        <v>3</v>
      </c>
      <c r="BP503">
        <v>0</v>
      </c>
      <c r="BQ503">
        <v>0</v>
      </c>
      <c r="BR503">
        <v>0</v>
      </c>
      <c r="BS503">
        <v>1</v>
      </c>
      <c r="BT503">
        <v>1</v>
      </c>
      <c r="BU503">
        <v>1</v>
      </c>
      <c r="BV503">
        <v>1</v>
      </c>
      <c r="BW503">
        <v>1</v>
      </c>
      <c r="BX503">
        <v>1</v>
      </c>
      <c r="BY503" t="s">
        <v>3</v>
      </c>
      <c r="BZ503">
        <v>0</v>
      </c>
      <c r="CA503">
        <v>0</v>
      </c>
      <c r="CE503">
        <v>0</v>
      </c>
      <c r="CF503">
        <v>0</v>
      </c>
      <c r="CG503">
        <v>0</v>
      </c>
      <c r="CM503">
        <v>0</v>
      </c>
      <c r="CN503" t="s">
        <v>3</v>
      </c>
      <c r="CO503">
        <v>0</v>
      </c>
      <c r="CP503">
        <f t="shared" si="385"/>
        <v>17277.78</v>
      </c>
      <c r="CQ503">
        <f t="shared" si="386"/>
        <v>17277.78</v>
      </c>
      <c r="CR503">
        <f t="shared" si="407"/>
        <v>0</v>
      </c>
      <c r="CS503">
        <f t="shared" si="387"/>
        <v>0</v>
      </c>
      <c r="CT503">
        <f t="shared" si="388"/>
        <v>0</v>
      </c>
      <c r="CU503">
        <f t="shared" si="389"/>
        <v>0</v>
      </c>
      <c r="CV503">
        <f t="shared" si="390"/>
        <v>0</v>
      </c>
      <c r="CW503">
        <f t="shared" si="391"/>
        <v>0</v>
      </c>
      <c r="CX503">
        <f t="shared" si="391"/>
        <v>0</v>
      </c>
      <c r="CY503">
        <f t="shared" si="392"/>
        <v>0</v>
      </c>
      <c r="CZ503">
        <f t="shared" si="393"/>
        <v>0</v>
      </c>
      <c r="DC503" t="s">
        <v>3</v>
      </c>
      <c r="DD503" t="s">
        <v>3</v>
      </c>
      <c r="DE503" t="s">
        <v>3</v>
      </c>
      <c r="DF503" t="s">
        <v>3</v>
      </c>
      <c r="DG503" t="s">
        <v>3</v>
      </c>
      <c r="DH503" t="s">
        <v>3</v>
      </c>
      <c r="DI503" t="s">
        <v>3</v>
      </c>
      <c r="DJ503" t="s">
        <v>3</v>
      </c>
      <c r="DK503" t="s">
        <v>3</v>
      </c>
      <c r="DL503" t="s">
        <v>3</v>
      </c>
      <c r="DM503" t="s">
        <v>3</v>
      </c>
      <c r="DN503">
        <v>0</v>
      </c>
      <c r="DO503">
        <v>0</v>
      </c>
      <c r="DP503">
        <v>1</v>
      </c>
      <c r="DQ503">
        <v>1</v>
      </c>
      <c r="DU503">
        <v>1010</v>
      </c>
      <c r="DV503" t="s">
        <v>123</v>
      </c>
      <c r="DW503" t="s">
        <v>123</v>
      </c>
      <c r="DX503">
        <v>1</v>
      </c>
      <c r="EE503">
        <v>38661473</v>
      </c>
      <c r="EF503">
        <v>0</v>
      </c>
      <c r="EG503" t="s">
        <v>130</v>
      </c>
      <c r="EH503">
        <v>0</v>
      </c>
      <c r="EI503" t="s">
        <v>3</v>
      </c>
      <c r="EJ503">
        <v>1</v>
      </c>
      <c r="EK503">
        <v>6001</v>
      </c>
      <c r="EL503" t="s">
        <v>131</v>
      </c>
      <c r="EM503" t="s">
        <v>130</v>
      </c>
      <c r="EO503" t="s">
        <v>3</v>
      </c>
      <c r="EQ503">
        <v>0</v>
      </c>
      <c r="ER503">
        <v>17277.78</v>
      </c>
      <c r="ES503">
        <v>17277.78</v>
      </c>
      <c r="ET503">
        <v>0</v>
      </c>
      <c r="EU503">
        <v>0</v>
      </c>
      <c r="EV503">
        <v>0</v>
      </c>
      <c r="EW503">
        <v>0</v>
      </c>
      <c r="EX503">
        <v>0</v>
      </c>
      <c r="EY503">
        <v>0</v>
      </c>
      <c r="EZ503">
        <v>5</v>
      </c>
      <c r="FC503">
        <v>1</v>
      </c>
      <c r="FD503">
        <v>18</v>
      </c>
      <c r="FF503">
        <v>20733.330000000002</v>
      </c>
      <c r="FQ503">
        <v>0</v>
      </c>
      <c r="FR503">
        <f t="shared" si="394"/>
        <v>0</v>
      </c>
      <c r="FS503">
        <v>0</v>
      </c>
      <c r="FX503">
        <v>0</v>
      </c>
      <c r="FY503">
        <v>0</v>
      </c>
      <c r="GA503" t="s">
        <v>162</v>
      </c>
      <c r="GD503">
        <v>0</v>
      </c>
      <c r="GF503">
        <v>942564012</v>
      </c>
      <c r="GG503">
        <v>2</v>
      </c>
      <c r="GH503">
        <v>3</v>
      </c>
      <c r="GI503">
        <v>-2</v>
      </c>
      <c r="GJ503">
        <v>0</v>
      </c>
      <c r="GK503">
        <f>ROUND(R503*(R12)/100,2)</f>
        <v>0</v>
      </c>
      <c r="GL503">
        <f t="shared" si="395"/>
        <v>0</v>
      </c>
      <c r="GM503">
        <f t="shared" si="396"/>
        <v>17277.78</v>
      </c>
      <c r="GN503">
        <f t="shared" si="397"/>
        <v>17277.78</v>
      </c>
      <c r="GO503">
        <f t="shared" si="398"/>
        <v>0</v>
      </c>
      <c r="GP503">
        <f t="shared" si="399"/>
        <v>0</v>
      </c>
      <c r="GR503">
        <v>1</v>
      </c>
      <c r="GS503">
        <v>1</v>
      </c>
      <c r="GT503">
        <v>0</v>
      </c>
      <c r="GU503" t="s">
        <v>3</v>
      </c>
      <c r="GV503">
        <f t="shared" si="400"/>
        <v>0</v>
      </c>
      <c r="GW503">
        <v>1</v>
      </c>
      <c r="GX503">
        <f t="shared" si="401"/>
        <v>0</v>
      </c>
      <c r="HA503">
        <v>0</v>
      </c>
      <c r="HB503">
        <v>0</v>
      </c>
      <c r="HC503">
        <f t="shared" si="402"/>
        <v>0</v>
      </c>
      <c r="HE503" t="s">
        <v>153</v>
      </c>
      <c r="HF503" t="s">
        <v>153</v>
      </c>
      <c r="IK503">
        <v>0</v>
      </c>
    </row>
    <row r="504" spans="1:245" x14ac:dyDescent="0.2">
      <c r="A504">
        <v>17</v>
      </c>
      <c r="B504">
        <v>1</v>
      </c>
      <c r="E504" t="s">
        <v>282</v>
      </c>
      <c r="F504" t="s">
        <v>129</v>
      </c>
      <c r="G504" t="s">
        <v>164</v>
      </c>
      <c r="H504" t="s">
        <v>123</v>
      </c>
      <c r="I504">
        <v>1</v>
      </c>
      <c r="J504">
        <v>0</v>
      </c>
      <c r="O504">
        <f t="shared" si="370"/>
        <v>19411.11</v>
      </c>
      <c r="P504">
        <f t="shared" si="371"/>
        <v>19411.11</v>
      </c>
      <c r="Q504">
        <f t="shared" si="372"/>
        <v>0</v>
      </c>
      <c r="R504">
        <f t="shared" si="373"/>
        <v>0</v>
      </c>
      <c r="S504">
        <f t="shared" si="374"/>
        <v>0</v>
      </c>
      <c r="T504">
        <f t="shared" si="375"/>
        <v>0</v>
      </c>
      <c r="U504">
        <f t="shared" si="376"/>
        <v>0</v>
      </c>
      <c r="V504">
        <f t="shared" si="377"/>
        <v>0</v>
      </c>
      <c r="W504">
        <f t="shared" si="378"/>
        <v>0</v>
      </c>
      <c r="X504">
        <f t="shared" si="379"/>
        <v>0</v>
      </c>
      <c r="Y504">
        <f t="shared" si="379"/>
        <v>0</v>
      </c>
      <c r="AA504">
        <v>38214492</v>
      </c>
      <c r="AB504">
        <f t="shared" si="380"/>
        <v>19411.11</v>
      </c>
      <c r="AC504">
        <f t="shared" si="403"/>
        <v>19411.11</v>
      </c>
      <c r="AD504">
        <f t="shared" si="404"/>
        <v>0</v>
      </c>
      <c r="AE504">
        <f t="shared" si="405"/>
        <v>0</v>
      </c>
      <c r="AF504">
        <f t="shared" si="381"/>
        <v>0</v>
      </c>
      <c r="AG504">
        <f t="shared" si="382"/>
        <v>0</v>
      </c>
      <c r="AH504">
        <f t="shared" si="383"/>
        <v>0</v>
      </c>
      <c r="AI504">
        <f t="shared" si="406"/>
        <v>0</v>
      </c>
      <c r="AJ504">
        <f t="shared" si="384"/>
        <v>0</v>
      </c>
      <c r="AK504">
        <v>19411.11</v>
      </c>
      <c r="AL504">
        <v>19411.11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1</v>
      </c>
      <c r="AW504">
        <v>1</v>
      </c>
      <c r="AZ504">
        <v>1</v>
      </c>
      <c r="BA504">
        <v>1</v>
      </c>
      <c r="BB504">
        <v>1</v>
      </c>
      <c r="BC504">
        <v>1</v>
      </c>
      <c r="BD504" t="s">
        <v>3</v>
      </c>
      <c r="BE504" t="s">
        <v>3</v>
      </c>
      <c r="BF504" t="s">
        <v>3</v>
      </c>
      <c r="BG504" t="s">
        <v>3</v>
      </c>
      <c r="BH504">
        <v>3</v>
      </c>
      <c r="BI504">
        <v>1</v>
      </c>
      <c r="BJ504" t="s">
        <v>3</v>
      </c>
      <c r="BM504">
        <v>6001</v>
      </c>
      <c r="BN504">
        <v>0</v>
      </c>
      <c r="BO504" t="s">
        <v>3</v>
      </c>
      <c r="BP504">
        <v>0</v>
      </c>
      <c r="BQ504">
        <v>0</v>
      </c>
      <c r="BR504">
        <v>0</v>
      </c>
      <c r="BS504">
        <v>1</v>
      </c>
      <c r="BT504">
        <v>1</v>
      </c>
      <c r="BU504">
        <v>1</v>
      </c>
      <c r="BV504">
        <v>1</v>
      </c>
      <c r="BW504">
        <v>1</v>
      </c>
      <c r="BX504">
        <v>1</v>
      </c>
      <c r="BY504" t="s">
        <v>3</v>
      </c>
      <c r="BZ504">
        <v>0</v>
      </c>
      <c r="CA504">
        <v>0</v>
      </c>
      <c r="CE504">
        <v>0</v>
      </c>
      <c r="CF504">
        <v>0</v>
      </c>
      <c r="CG504">
        <v>0</v>
      </c>
      <c r="CM504">
        <v>0</v>
      </c>
      <c r="CN504" t="s">
        <v>3</v>
      </c>
      <c r="CO504">
        <v>0</v>
      </c>
      <c r="CP504">
        <f t="shared" si="385"/>
        <v>19411.11</v>
      </c>
      <c r="CQ504">
        <f t="shared" si="386"/>
        <v>19411.11</v>
      </c>
      <c r="CR504">
        <f t="shared" si="407"/>
        <v>0</v>
      </c>
      <c r="CS504">
        <f t="shared" si="387"/>
        <v>0</v>
      </c>
      <c r="CT504">
        <f t="shared" si="388"/>
        <v>0</v>
      </c>
      <c r="CU504">
        <f t="shared" si="389"/>
        <v>0</v>
      </c>
      <c r="CV504">
        <f t="shared" si="390"/>
        <v>0</v>
      </c>
      <c r="CW504">
        <f t="shared" si="391"/>
        <v>0</v>
      </c>
      <c r="CX504">
        <f t="shared" si="391"/>
        <v>0</v>
      </c>
      <c r="CY504">
        <f t="shared" si="392"/>
        <v>0</v>
      </c>
      <c r="CZ504">
        <f t="shared" si="393"/>
        <v>0</v>
      </c>
      <c r="DC504" t="s">
        <v>3</v>
      </c>
      <c r="DD504" t="s">
        <v>3</v>
      </c>
      <c r="DE504" t="s">
        <v>3</v>
      </c>
      <c r="DF504" t="s">
        <v>3</v>
      </c>
      <c r="DG504" t="s">
        <v>3</v>
      </c>
      <c r="DH504" t="s">
        <v>3</v>
      </c>
      <c r="DI504" t="s">
        <v>3</v>
      </c>
      <c r="DJ504" t="s">
        <v>3</v>
      </c>
      <c r="DK504" t="s">
        <v>3</v>
      </c>
      <c r="DL504" t="s">
        <v>3</v>
      </c>
      <c r="DM504" t="s">
        <v>3</v>
      </c>
      <c r="DN504">
        <v>0</v>
      </c>
      <c r="DO504">
        <v>0</v>
      </c>
      <c r="DP504">
        <v>1</v>
      </c>
      <c r="DQ504">
        <v>1</v>
      </c>
      <c r="DU504">
        <v>1010</v>
      </c>
      <c r="DV504" t="s">
        <v>123</v>
      </c>
      <c r="DW504" t="s">
        <v>123</v>
      </c>
      <c r="DX504">
        <v>1</v>
      </c>
      <c r="EE504">
        <v>38661473</v>
      </c>
      <c r="EF504">
        <v>0</v>
      </c>
      <c r="EG504" t="s">
        <v>130</v>
      </c>
      <c r="EH504">
        <v>0</v>
      </c>
      <c r="EI504" t="s">
        <v>3</v>
      </c>
      <c r="EJ504">
        <v>1</v>
      </c>
      <c r="EK504">
        <v>6001</v>
      </c>
      <c r="EL504" t="s">
        <v>131</v>
      </c>
      <c r="EM504" t="s">
        <v>130</v>
      </c>
      <c r="EO504" t="s">
        <v>3</v>
      </c>
      <c r="EQ504">
        <v>0</v>
      </c>
      <c r="ER504">
        <v>19411.11</v>
      </c>
      <c r="ES504">
        <v>19411.11</v>
      </c>
      <c r="ET504">
        <v>0</v>
      </c>
      <c r="EU504">
        <v>0</v>
      </c>
      <c r="EV504">
        <v>0</v>
      </c>
      <c r="EW504">
        <v>0</v>
      </c>
      <c r="EX504">
        <v>0</v>
      </c>
      <c r="EY504">
        <v>0</v>
      </c>
      <c r="EZ504">
        <v>5</v>
      </c>
      <c r="FC504">
        <v>1</v>
      </c>
      <c r="FD504">
        <v>18</v>
      </c>
      <c r="FF504">
        <v>23293.33</v>
      </c>
      <c r="FQ504">
        <v>0</v>
      </c>
      <c r="FR504">
        <f t="shared" si="394"/>
        <v>0</v>
      </c>
      <c r="FS504">
        <v>0</v>
      </c>
      <c r="FX504">
        <v>0</v>
      </c>
      <c r="FY504">
        <v>0</v>
      </c>
      <c r="GA504" t="s">
        <v>165</v>
      </c>
      <c r="GD504">
        <v>0</v>
      </c>
      <c r="GF504">
        <v>846467407</v>
      </c>
      <c r="GG504">
        <v>2</v>
      </c>
      <c r="GH504">
        <v>3</v>
      </c>
      <c r="GI504">
        <v>-2</v>
      </c>
      <c r="GJ504">
        <v>0</v>
      </c>
      <c r="GK504">
        <f>ROUND(R504*(R12)/100,2)</f>
        <v>0</v>
      </c>
      <c r="GL504">
        <f t="shared" si="395"/>
        <v>0</v>
      </c>
      <c r="GM504">
        <f t="shared" si="396"/>
        <v>19411.11</v>
      </c>
      <c r="GN504">
        <f t="shared" si="397"/>
        <v>19411.11</v>
      </c>
      <c r="GO504">
        <f t="shared" si="398"/>
        <v>0</v>
      </c>
      <c r="GP504">
        <f t="shared" si="399"/>
        <v>0</v>
      </c>
      <c r="GR504">
        <v>1</v>
      </c>
      <c r="GS504">
        <v>1</v>
      </c>
      <c r="GT504">
        <v>0</v>
      </c>
      <c r="GU504" t="s">
        <v>3</v>
      </c>
      <c r="GV504">
        <f t="shared" si="400"/>
        <v>0</v>
      </c>
      <c r="GW504">
        <v>1</v>
      </c>
      <c r="GX504">
        <f t="shared" si="401"/>
        <v>0</v>
      </c>
      <c r="HA504">
        <v>0</v>
      </c>
      <c r="HB504">
        <v>0</v>
      </c>
      <c r="HC504">
        <f t="shared" si="402"/>
        <v>0</v>
      </c>
      <c r="HE504" t="s">
        <v>153</v>
      </c>
      <c r="HF504" t="s">
        <v>153</v>
      </c>
      <c r="IK504">
        <v>0</v>
      </c>
    </row>
    <row r="505" spans="1:245" x14ac:dyDescent="0.2">
      <c r="A505">
        <v>17</v>
      </c>
      <c r="B505">
        <v>1</v>
      </c>
      <c r="E505" t="s">
        <v>283</v>
      </c>
      <c r="F505" t="s">
        <v>129</v>
      </c>
      <c r="G505" t="s">
        <v>167</v>
      </c>
      <c r="H505" t="s">
        <v>123</v>
      </c>
      <c r="I505">
        <v>1</v>
      </c>
      <c r="J505">
        <v>0</v>
      </c>
      <c r="O505">
        <f t="shared" si="370"/>
        <v>9847.23</v>
      </c>
      <c r="P505">
        <f t="shared" si="371"/>
        <v>9847.23</v>
      </c>
      <c r="Q505">
        <f t="shared" si="372"/>
        <v>0</v>
      </c>
      <c r="R505">
        <f t="shared" si="373"/>
        <v>0</v>
      </c>
      <c r="S505">
        <f t="shared" si="374"/>
        <v>0</v>
      </c>
      <c r="T505">
        <f t="shared" si="375"/>
        <v>0</v>
      </c>
      <c r="U505">
        <f t="shared" si="376"/>
        <v>0</v>
      </c>
      <c r="V505">
        <f t="shared" si="377"/>
        <v>0</v>
      </c>
      <c r="W505">
        <f t="shared" si="378"/>
        <v>0</v>
      </c>
      <c r="X505">
        <f t="shared" si="379"/>
        <v>0</v>
      </c>
      <c r="Y505">
        <f t="shared" si="379"/>
        <v>0</v>
      </c>
      <c r="AA505">
        <v>38214492</v>
      </c>
      <c r="AB505">
        <f t="shared" si="380"/>
        <v>9847.23</v>
      </c>
      <c r="AC505">
        <f t="shared" si="403"/>
        <v>9847.23</v>
      </c>
      <c r="AD505">
        <f t="shared" si="404"/>
        <v>0</v>
      </c>
      <c r="AE505">
        <f t="shared" si="405"/>
        <v>0</v>
      </c>
      <c r="AF505">
        <f t="shared" si="381"/>
        <v>0</v>
      </c>
      <c r="AG505">
        <f t="shared" si="382"/>
        <v>0</v>
      </c>
      <c r="AH505">
        <f t="shared" si="383"/>
        <v>0</v>
      </c>
      <c r="AI505">
        <f t="shared" si="406"/>
        <v>0</v>
      </c>
      <c r="AJ505">
        <f t="shared" si="384"/>
        <v>0</v>
      </c>
      <c r="AK505">
        <v>9847.23</v>
      </c>
      <c r="AL505">
        <v>9847.23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1</v>
      </c>
      <c r="AW505">
        <v>1</v>
      </c>
      <c r="AZ505">
        <v>1</v>
      </c>
      <c r="BA505">
        <v>1</v>
      </c>
      <c r="BB505">
        <v>1</v>
      </c>
      <c r="BC505">
        <v>1</v>
      </c>
      <c r="BD505" t="s">
        <v>3</v>
      </c>
      <c r="BE505" t="s">
        <v>3</v>
      </c>
      <c r="BF505" t="s">
        <v>3</v>
      </c>
      <c r="BG505" t="s">
        <v>3</v>
      </c>
      <c r="BH505">
        <v>3</v>
      </c>
      <c r="BI505">
        <v>1</v>
      </c>
      <c r="BJ505" t="s">
        <v>3</v>
      </c>
      <c r="BM505">
        <v>6001</v>
      </c>
      <c r="BN505">
        <v>0</v>
      </c>
      <c r="BO505" t="s">
        <v>3</v>
      </c>
      <c r="BP505">
        <v>0</v>
      </c>
      <c r="BQ505">
        <v>0</v>
      </c>
      <c r="BR505">
        <v>0</v>
      </c>
      <c r="BS505">
        <v>1</v>
      </c>
      <c r="BT505">
        <v>1</v>
      </c>
      <c r="BU505">
        <v>1</v>
      </c>
      <c r="BV505">
        <v>1</v>
      </c>
      <c r="BW505">
        <v>1</v>
      </c>
      <c r="BX505">
        <v>1</v>
      </c>
      <c r="BY505" t="s">
        <v>3</v>
      </c>
      <c r="BZ505">
        <v>0</v>
      </c>
      <c r="CA505">
        <v>0</v>
      </c>
      <c r="CE505">
        <v>0</v>
      </c>
      <c r="CF505">
        <v>0</v>
      </c>
      <c r="CG505">
        <v>0</v>
      </c>
      <c r="CM505">
        <v>0</v>
      </c>
      <c r="CN505" t="s">
        <v>3</v>
      </c>
      <c r="CO505">
        <v>0</v>
      </c>
      <c r="CP505">
        <f t="shared" si="385"/>
        <v>9847.23</v>
      </c>
      <c r="CQ505">
        <f t="shared" si="386"/>
        <v>9847.23</v>
      </c>
      <c r="CR505">
        <f t="shared" si="407"/>
        <v>0</v>
      </c>
      <c r="CS505">
        <f t="shared" si="387"/>
        <v>0</v>
      </c>
      <c r="CT505">
        <f t="shared" si="388"/>
        <v>0</v>
      </c>
      <c r="CU505">
        <f t="shared" si="389"/>
        <v>0</v>
      </c>
      <c r="CV505">
        <f t="shared" si="390"/>
        <v>0</v>
      </c>
      <c r="CW505">
        <f t="shared" si="391"/>
        <v>0</v>
      </c>
      <c r="CX505">
        <f t="shared" si="391"/>
        <v>0</v>
      </c>
      <c r="CY505">
        <f t="shared" si="392"/>
        <v>0</v>
      </c>
      <c r="CZ505">
        <f t="shared" si="393"/>
        <v>0</v>
      </c>
      <c r="DC505" t="s">
        <v>3</v>
      </c>
      <c r="DD505" t="s">
        <v>3</v>
      </c>
      <c r="DE505" t="s">
        <v>3</v>
      </c>
      <c r="DF505" t="s">
        <v>3</v>
      </c>
      <c r="DG505" t="s">
        <v>3</v>
      </c>
      <c r="DH505" t="s">
        <v>3</v>
      </c>
      <c r="DI505" t="s">
        <v>3</v>
      </c>
      <c r="DJ505" t="s">
        <v>3</v>
      </c>
      <c r="DK505" t="s">
        <v>3</v>
      </c>
      <c r="DL505" t="s">
        <v>3</v>
      </c>
      <c r="DM505" t="s">
        <v>3</v>
      </c>
      <c r="DN505">
        <v>0</v>
      </c>
      <c r="DO505">
        <v>0</v>
      </c>
      <c r="DP505">
        <v>1</v>
      </c>
      <c r="DQ505">
        <v>1</v>
      </c>
      <c r="DU505">
        <v>1010</v>
      </c>
      <c r="DV505" t="s">
        <v>123</v>
      </c>
      <c r="DW505" t="s">
        <v>123</v>
      </c>
      <c r="DX505">
        <v>1</v>
      </c>
      <c r="EE505">
        <v>38661473</v>
      </c>
      <c r="EF505">
        <v>0</v>
      </c>
      <c r="EG505" t="s">
        <v>130</v>
      </c>
      <c r="EH505">
        <v>0</v>
      </c>
      <c r="EI505" t="s">
        <v>3</v>
      </c>
      <c r="EJ505">
        <v>1</v>
      </c>
      <c r="EK505">
        <v>6001</v>
      </c>
      <c r="EL505" t="s">
        <v>131</v>
      </c>
      <c r="EM505" t="s">
        <v>130</v>
      </c>
      <c r="EO505" t="s">
        <v>3</v>
      </c>
      <c r="EQ505">
        <v>0</v>
      </c>
      <c r="ER505">
        <v>9847.23</v>
      </c>
      <c r="ES505">
        <v>9847.23</v>
      </c>
      <c r="ET505">
        <v>0</v>
      </c>
      <c r="EU505">
        <v>0</v>
      </c>
      <c r="EV505">
        <v>0</v>
      </c>
      <c r="EW505">
        <v>0</v>
      </c>
      <c r="EX505">
        <v>0</v>
      </c>
      <c r="EY505">
        <v>0</v>
      </c>
      <c r="EZ505">
        <v>5</v>
      </c>
      <c r="FC505">
        <v>1</v>
      </c>
      <c r="FD505">
        <v>18</v>
      </c>
      <c r="FF505">
        <v>11816.67</v>
      </c>
      <c r="FQ505">
        <v>0</v>
      </c>
      <c r="FR505">
        <f t="shared" si="394"/>
        <v>0</v>
      </c>
      <c r="FS505">
        <v>0</v>
      </c>
      <c r="FX505">
        <v>0</v>
      </c>
      <c r="FY505">
        <v>0</v>
      </c>
      <c r="GA505" t="s">
        <v>168</v>
      </c>
      <c r="GD505">
        <v>0</v>
      </c>
      <c r="GF505">
        <v>1342366151</v>
      </c>
      <c r="GG505">
        <v>2</v>
      </c>
      <c r="GH505">
        <v>3</v>
      </c>
      <c r="GI505">
        <v>-2</v>
      </c>
      <c r="GJ505">
        <v>0</v>
      </c>
      <c r="GK505">
        <f>ROUND(R505*(R12)/100,2)</f>
        <v>0</v>
      </c>
      <c r="GL505">
        <f t="shared" si="395"/>
        <v>0</v>
      </c>
      <c r="GM505">
        <f t="shared" si="396"/>
        <v>9847.23</v>
      </c>
      <c r="GN505">
        <f t="shared" si="397"/>
        <v>9847.23</v>
      </c>
      <c r="GO505">
        <f t="shared" si="398"/>
        <v>0</v>
      </c>
      <c r="GP505">
        <f t="shared" si="399"/>
        <v>0</v>
      </c>
      <c r="GR505">
        <v>1</v>
      </c>
      <c r="GS505">
        <v>1</v>
      </c>
      <c r="GT505">
        <v>0</v>
      </c>
      <c r="GU505" t="s">
        <v>3</v>
      </c>
      <c r="GV505">
        <f t="shared" si="400"/>
        <v>0</v>
      </c>
      <c r="GW505">
        <v>1</v>
      </c>
      <c r="GX505">
        <f t="shared" si="401"/>
        <v>0</v>
      </c>
      <c r="HA505">
        <v>0</v>
      </c>
      <c r="HB505">
        <v>0</v>
      </c>
      <c r="HC505">
        <f t="shared" si="402"/>
        <v>0</v>
      </c>
      <c r="HE505" t="s">
        <v>153</v>
      </c>
      <c r="HF505" t="s">
        <v>153</v>
      </c>
      <c r="IK505">
        <v>0</v>
      </c>
    </row>
    <row r="507" spans="1:245" x14ac:dyDescent="0.2">
      <c r="A507" s="2">
        <v>51</v>
      </c>
      <c r="B507" s="2">
        <f>B495</f>
        <v>1</v>
      </c>
      <c r="C507" s="2">
        <f>A495</f>
        <v>5</v>
      </c>
      <c r="D507" s="2">
        <f>ROW(A495)</f>
        <v>495</v>
      </c>
      <c r="E507" s="2"/>
      <c r="F507" s="2" t="str">
        <f>IF(F495&lt;&gt;"",F495,"")</f>
        <v>Новый подраздел</v>
      </c>
      <c r="G507" s="2" t="str">
        <f>IF(G495&lt;&gt;"",G495,"")</f>
        <v>Установка оборудования для выгула собак</v>
      </c>
      <c r="H507" s="2">
        <v>0</v>
      </c>
      <c r="I507" s="2"/>
      <c r="J507" s="2"/>
      <c r="K507" s="2"/>
      <c r="L507" s="2"/>
      <c r="M507" s="2"/>
      <c r="N507" s="2"/>
      <c r="O507" s="2">
        <f t="shared" ref="O507:T507" si="408">ROUND(AB507,2)</f>
        <v>118718.89</v>
      </c>
      <c r="P507" s="2">
        <f t="shared" si="408"/>
        <v>111650.58</v>
      </c>
      <c r="Q507" s="2">
        <f t="shared" si="408"/>
        <v>0</v>
      </c>
      <c r="R507" s="2">
        <f t="shared" si="408"/>
        <v>0</v>
      </c>
      <c r="S507" s="2">
        <f t="shared" si="408"/>
        <v>7068.31</v>
      </c>
      <c r="T507" s="2">
        <f t="shared" si="408"/>
        <v>0</v>
      </c>
      <c r="U507" s="2">
        <f>AH507</f>
        <v>28.842000000000002</v>
      </c>
      <c r="V507" s="2">
        <f>AI507</f>
        <v>0</v>
      </c>
      <c r="W507" s="2">
        <f>ROUND(AJ507,2)</f>
        <v>0</v>
      </c>
      <c r="X507" s="2">
        <f>ROUND(AK507,2)</f>
        <v>4947.82</v>
      </c>
      <c r="Y507" s="2">
        <f>ROUND(AL507,2)</f>
        <v>706.83</v>
      </c>
      <c r="Z507" s="2"/>
      <c r="AA507" s="2"/>
      <c r="AB507" s="2">
        <f>ROUND(SUMIF(AA499:AA505,"=38214492",O499:O505),2)</f>
        <v>118718.89</v>
      </c>
      <c r="AC507" s="2">
        <f>ROUND(SUMIF(AA499:AA505,"=38214492",P499:P505),2)</f>
        <v>111650.58</v>
      </c>
      <c r="AD507" s="2">
        <f>ROUND(SUMIF(AA499:AA505,"=38214492",Q499:Q505),2)</f>
        <v>0</v>
      </c>
      <c r="AE507" s="2">
        <f>ROUND(SUMIF(AA499:AA505,"=38214492",R499:R505),2)</f>
        <v>0</v>
      </c>
      <c r="AF507" s="2">
        <f>ROUND(SUMIF(AA499:AA505,"=38214492",S499:S505),2)</f>
        <v>7068.31</v>
      </c>
      <c r="AG507" s="2">
        <f>ROUND(SUMIF(AA499:AA505,"=38214492",T499:T505),2)</f>
        <v>0</v>
      </c>
      <c r="AH507" s="2">
        <f>SUMIF(AA499:AA505,"=38214492",U499:U505)</f>
        <v>28.842000000000002</v>
      </c>
      <c r="AI507" s="2">
        <f>SUMIF(AA499:AA505,"=38214492",V499:V505)</f>
        <v>0</v>
      </c>
      <c r="AJ507" s="2">
        <f>ROUND(SUMIF(AA499:AA505,"=38214492",W499:W505),2)</f>
        <v>0</v>
      </c>
      <c r="AK507" s="2">
        <f>ROUND(SUMIF(AA499:AA505,"=38214492",X499:X505),2)</f>
        <v>4947.82</v>
      </c>
      <c r="AL507" s="2">
        <f>ROUND(SUMIF(AA499:AA505,"=38214492",Y499:Y505),2)</f>
        <v>706.83</v>
      </c>
      <c r="AM507" s="2"/>
      <c r="AN507" s="2"/>
      <c r="AO507" s="2">
        <f t="shared" ref="AO507:BD507" si="409">ROUND(BX507,2)</f>
        <v>0</v>
      </c>
      <c r="AP507" s="2">
        <f t="shared" si="409"/>
        <v>0</v>
      </c>
      <c r="AQ507" s="2">
        <f t="shared" si="409"/>
        <v>0</v>
      </c>
      <c r="AR507" s="2">
        <f t="shared" si="409"/>
        <v>124373.54</v>
      </c>
      <c r="AS507" s="2">
        <f t="shared" si="409"/>
        <v>111650.58</v>
      </c>
      <c r="AT507" s="2">
        <f t="shared" si="409"/>
        <v>0</v>
      </c>
      <c r="AU507" s="2">
        <f t="shared" si="409"/>
        <v>12722.96</v>
      </c>
      <c r="AV507" s="2">
        <f t="shared" si="409"/>
        <v>111650.58</v>
      </c>
      <c r="AW507" s="2">
        <f t="shared" si="409"/>
        <v>111650.58</v>
      </c>
      <c r="AX507" s="2">
        <f t="shared" si="409"/>
        <v>0</v>
      </c>
      <c r="AY507" s="2">
        <f t="shared" si="409"/>
        <v>111650.58</v>
      </c>
      <c r="AZ507" s="2">
        <f t="shared" si="409"/>
        <v>0</v>
      </c>
      <c r="BA507" s="2">
        <f t="shared" si="409"/>
        <v>0</v>
      </c>
      <c r="BB507" s="2">
        <f t="shared" si="409"/>
        <v>0</v>
      </c>
      <c r="BC507" s="2">
        <f t="shared" si="409"/>
        <v>0</v>
      </c>
      <c r="BD507" s="2">
        <f t="shared" si="409"/>
        <v>0</v>
      </c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>
        <f>ROUND(SUMIF(AA499:AA505,"=38214492",FQ499:FQ505),2)</f>
        <v>0</v>
      </c>
      <c r="BY507" s="2">
        <f>ROUND(SUMIF(AA499:AA505,"=38214492",FR499:FR505),2)</f>
        <v>0</v>
      </c>
      <c r="BZ507" s="2">
        <f>ROUND(SUMIF(AA499:AA505,"=38214492",GL499:GL505),2)</f>
        <v>0</v>
      </c>
      <c r="CA507" s="2">
        <f>ROUND(SUMIF(AA499:AA505,"=38214492",GM499:GM505),2)</f>
        <v>124373.54</v>
      </c>
      <c r="CB507" s="2">
        <f>ROUND(SUMIF(AA499:AA505,"=38214492",GN499:GN505),2)</f>
        <v>111650.58</v>
      </c>
      <c r="CC507" s="2">
        <f>ROUND(SUMIF(AA499:AA505,"=38214492",GO499:GO505),2)</f>
        <v>0</v>
      </c>
      <c r="CD507" s="2">
        <f>ROUND(SUMIF(AA499:AA505,"=38214492",GP499:GP505),2)</f>
        <v>12722.96</v>
      </c>
      <c r="CE507" s="2">
        <f>AC507-BX507</f>
        <v>111650.58</v>
      </c>
      <c r="CF507" s="2">
        <f>AC507-BY507</f>
        <v>111650.58</v>
      </c>
      <c r="CG507" s="2">
        <f>BX507-BZ507</f>
        <v>0</v>
      </c>
      <c r="CH507" s="2">
        <f>AC507-BX507-BY507+BZ507</f>
        <v>111650.58</v>
      </c>
      <c r="CI507" s="2">
        <f>BY507-BZ507</f>
        <v>0</v>
      </c>
      <c r="CJ507" s="2">
        <f>ROUND(SUMIF(AA499:AA505,"=38214492",GX499:GX505),2)</f>
        <v>0</v>
      </c>
      <c r="CK507" s="2">
        <f>ROUND(SUMIF(AA499:AA505,"=38214492",GY499:GY505),2)</f>
        <v>0</v>
      </c>
      <c r="CL507" s="2">
        <f>ROUND(SUMIF(AA499:AA505,"=38214492",GZ499:GZ505),2)</f>
        <v>0</v>
      </c>
      <c r="CM507" s="2">
        <f>ROUND(SUMIF(AA499:AA505,"=38214492",HD499:HD505),2)</f>
        <v>0</v>
      </c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3"/>
      <c r="DH507" s="3"/>
      <c r="DI507" s="3"/>
      <c r="DJ507" s="3"/>
      <c r="DK507" s="3"/>
      <c r="DL507" s="3"/>
      <c r="DM507" s="3"/>
      <c r="DN507" s="3"/>
      <c r="DO507" s="3"/>
      <c r="DP507" s="3"/>
      <c r="DQ507" s="3"/>
      <c r="DR507" s="3"/>
      <c r="DS507" s="3"/>
      <c r="DT507" s="3"/>
      <c r="DU507" s="3"/>
      <c r="DV507" s="3"/>
      <c r="DW507" s="3"/>
      <c r="DX507" s="3"/>
      <c r="DY507" s="3"/>
      <c r="DZ507" s="3"/>
      <c r="EA507" s="3"/>
      <c r="EB507" s="3"/>
      <c r="EC507" s="3"/>
      <c r="ED507" s="3"/>
      <c r="EE507" s="3"/>
      <c r="EF507" s="3"/>
      <c r="EG507" s="3"/>
      <c r="EH507" s="3"/>
      <c r="EI507" s="3"/>
      <c r="EJ507" s="3"/>
      <c r="EK507" s="3"/>
      <c r="EL507" s="3"/>
      <c r="EM507" s="3"/>
      <c r="EN507" s="3"/>
      <c r="EO507" s="3"/>
      <c r="EP507" s="3"/>
      <c r="EQ507" s="3"/>
      <c r="ER507" s="3"/>
      <c r="ES507" s="3"/>
      <c r="ET507" s="3"/>
      <c r="EU507" s="3"/>
      <c r="EV507" s="3"/>
      <c r="EW507" s="3"/>
      <c r="EX507" s="3"/>
      <c r="EY507" s="3"/>
      <c r="EZ507" s="3"/>
      <c r="FA507" s="3"/>
      <c r="FB507" s="3"/>
      <c r="FC507" s="3"/>
      <c r="FD507" s="3"/>
      <c r="FE507" s="3"/>
      <c r="FF507" s="3"/>
      <c r="FG507" s="3"/>
      <c r="FH507" s="3"/>
      <c r="FI507" s="3"/>
      <c r="FJ507" s="3"/>
      <c r="FK507" s="3"/>
      <c r="FL507" s="3"/>
      <c r="FM507" s="3"/>
      <c r="FN507" s="3"/>
      <c r="FO507" s="3"/>
      <c r="FP507" s="3"/>
      <c r="FQ507" s="3"/>
      <c r="FR507" s="3"/>
      <c r="FS507" s="3"/>
      <c r="FT507" s="3"/>
      <c r="FU507" s="3"/>
      <c r="FV507" s="3"/>
      <c r="FW507" s="3"/>
      <c r="FX507" s="3"/>
      <c r="FY507" s="3"/>
      <c r="FZ507" s="3"/>
      <c r="GA507" s="3"/>
      <c r="GB507" s="3"/>
      <c r="GC507" s="3"/>
      <c r="GD507" s="3"/>
      <c r="GE507" s="3"/>
      <c r="GF507" s="3"/>
      <c r="GG507" s="3"/>
      <c r="GH507" s="3"/>
      <c r="GI507" s="3"/>
      <c r="GJ507" s="3"/>
      <c r="GK507" s="3"/>
      <c r="GL507" s="3"/>
      <c r="GM507" s="3"/>
      <c r="GN507" s="3"/>
      <c r="GO507" s="3"/>
      <c r="GP507" s="3"/>
      <c r="GQ507" s="3"/>
      <c r="GR507" s="3"/>
      <c r="GS507" s="3"/>
      <c r="GT507" s="3"/>
      <c r="GU507" s="3"/>
      <c r="GV507" s="3"/>
      <c r="GW507" s="3"/>
      <c r="GX507" s="3">
        <v>0</v>
      </c>
    </row>
    <row r="509" spans="1:245" x14ac:dyDescent="0.2">
      <c r="A509" s="4">
        <v>50</v>
      </c>
      <c r="B509" s="4">
        <v>0</v>
      </c>
      <c r="C509" s="4">
        <v>0</v>
      </c>
      <c r="D509" s="4">
        <v>1</v>
      </c>
      <c r="E509" s="4">
        <v>201</v>
      </c>
      <c r="F509" s="4">
        <f>ROUND(Source!O507,O509)</f>
        <v>118718.89</v>
      </c>
      <c r="G509" s="4" t="s">
        <v>56</v>
      </c>
      <c r="H509" s="4" t="s">
        <v>57</v>
      </c>
      <c r="I509" s="4"/>
      <c r="J509" s="4"/>
      <c r="K509" s="4">
        <v>201</v>
      </c>
      <c r="L509" s="4">
        <v>1</v>
      </c>
      <c r="M509" s="4">
        <v>3</v>
      </c>
      <c r="N509" s="4" t="s">
        <v>3</v>
      </c>
      <c r="O509" s="4">
        <v>2</v>
      </c>
      <c r="P509" s="4"/>
      <c r="Q509" s="4"/>
      <c r="R509" s="4"/>
      <c r="S509" s="4"/>
      <c r="T509" s="4"/>
      <c r="U509" s="4"/>
      <c r="V509" s="4"/>
      <c r="W509" s="4"/>
    </row>
    <row r="510" spans="1:245" x14ac:dyDescent="0.2">
      <c r="A510" s="4">
        <v>50</v>
      </c>
      <c r="B510" s="4">
        <v>0</v>
      </c>
      <c r="C510" s="4">
        <v>0</v>
      </c>
      <c r="D510" s="4">
        <v>1</v>
      </c>
      <c r="E510" s="4">
        <v>202</v>
      </c>
      <c r="F510" s="4">
        <f>ROUND(Source!P507,O510)</f>
        <v>111650.58</v>
      </c>
      <c r="G510" s="4" t="s">
        <v>58</v>
      </c>
      <c r="H510" s="4" t="s">
        <v>59</v>
      </c>
      <c r="I510" s="4"/>
      <c r="J510" s="4"/>
      <c r="K510" s="4">
        <v>202</v>
      </c>
      <c r="L510" s="4">
        <v>2</v>
      </c>
      <c r="M510" s="4">
        <v>3</v>
      </c>
      <c r="N510" s="4" t="s">
        <v>3</v>
      </c>
      <c r="O510" s="4">
        <v>2</v>
      </c>
      <c r="P510" s="4"/>
      <c r="Q510" s="4"/>
      <c r="R510" s="4"/>
      <c r="S510" s="4"/>
      <c r="T510" s="4"/>
      <c r="U510" s="4"/>
      <c r="V510" s="4"/>
      <c r="W510" s="4"/>
    </row>
    <row r="511" spans="1:245" x14ac:dyDescent="0.2">
      <c r="A511" s="4">
        <v>50</v>
      </c>
      <c r="B511" s="4">
        <v>0</v>
      </c>
      <c r="C511" s="4">
        <v>0</v>
      </c>
      <c r="D511" s="4">
        <v>1</v>
      </c>
      <c r="E511" s="4">
        <v>222</v>
      </c>
      <c r="F511" s="4">
        <f>ROUND(Source!AO507,O511)</f>
        <v>0</v>
      </c>
      <c r="G511" s="4" t="s">
        <v>60</v>
      </c>
      <c r="H511" s="4" t="s">
        <v>61</v>
      </c>
      <c r="I511" s="4"/>
      <c r="J511" s="4"/>
      <c r="K511" s="4">
        <v>222</v>
      </c>
      <c r="L511" s="4">
        <v>3</v>
      </c>
      <c r="M511" s="4">
        <v>3</v>
      </c>
      <c r="N511" s="4" t="s">
        <v>3</v>
      </c>
      <c r="O511" s="4">
        <v>2</v>
      </c>
      <c r="P511" s="4"/>
      <c r="Q511" s="4"/>
      <c r="R511" s="4"/>
      <c r="S511" s="4"/>
      <c r="T511" s="4"/>
      <c r="U511" s="4"/>
      <c r="V511" s="4"/>
      <c r="W511" s="4"/>
    </row>
    <row r="512" spans="1:245" x14ac:dyDescent="0.2">
      <c r="A512" s="4">
        <v>50</v>
      </c>
      <c r="B512" s="4">
        <v>0</v>
      </c>
      <c r="C512" s="4">
        <v>0</v>
      </c>
      <c r="D512" s="4">
        <v>1</v>
      </c>
      <c r="E512" s="4">
        <v>225</v>
      </c>
      <c r="F512" s="4">
        <f>ROUND(Source!AV507,O512)</f>
        <v>111650.58</v>
      </c>
      <c r="G512" s="4" t="s">
        <v>62</v>
      </c>
      <c r="H512" s="4" t="s">
        <v>63</v>
      </c>
      <c r="I512" s="4"/>
      <c r="J512" s="4"/>
      <c r="K512" s="4">
        <v>225</v>
      </c>
      <c r="L512" s="4">
        <v>4</v>
      </c>
      <c r="M512" s="4">
        <v>3</v>
      </c>
      <c r="N512" s="4" t="s">
        <v>3</v>
      </c>
      <c r="O512" s="4">
        <v>2</v>
      </c>
      <c r="P512" s="4"/>
      <c r="Q512" s="4"/>
      <c r="R512" s="4"/>
      <c r="S512" s="4"/>
      <c r="T512" s="4"/>
      <c r="U512" s="4"/>
      <c r="V512" s="4"/>
      <c r="W512" s="4"/>
    </row>
    <row r="513" spans="1:23" x14ac:dyDescent="0.2">
      <c r="A513" s="4">
        <v>50</v>
      </c>
      <c r="B513" s="4">
        <v>0</v>
      </c>
      <c r="C513" s="4">
        <v>0</v>
      </c>
      <c r="D513" s="4">
        <v>1</v>
      </c>
      <c r="E513" s="4">
        <v>226</v>
      </c>
      <c r="F513" s="4">
        <f>ROUND(Source!AW507,O513)</f>
        <v>111650.58</v>
      </c>
      <c r="G513" s="4" t="s">
        <v>64</v>
      </c>
      <c r="H513" s="4" t="s">
        <v>65</v>
      </c>
      <c r="I513" s="4"/>
      <c r="J513" s="4"/>
      <c r="K513" s="4">
        <v>226</v>
      </c>
      <c r="L513" s="4">
        <v>5</v>
      </c>
      <c r="M513" s="4">
        <v>3</v>
      </c>
      <c r="N513" s="4" t="s">
        <v>3</v>
      </c>
      <c r="O513" s="4">
        <v>2</v>
      </c>
      <c r="P513" s="4"/>
      <c r="Q513" s="4"/>
      <c r="R513" s="4"/>
      <c r="S513" s="4"/>
      <c r="T513" s="4"/>
      <c r="U513" s="4"/>
      <c r="V513" s="4"/>
      <c r="W513" s="4"/>
    </row>
    <row r="514" spans="1:23" x14ac:dyDescent="0.2">
      <c r="A514" s="4">
        <v>50</v>
      </c>
      <c r="B514" s="4">
        <v>0</v>
      </c>
      <c r="C514" s="4">
        <v>0</v>
      </c>
      <c r="D514" s="4">
        <v>1</v>
      </c>
      <c r="E514" s="4">
        <v>227</v>
      </c>
      <c r="F514" s="4">
        <f>ROUND(Source!AX507,O514)</f>
        <v>0</v>
      </c>
      <c r="G514" s="4" t="s">
        <v>66</v>
      </c>
      <c r="H514" s="4" t="s">
        <v>67</v>
      </c>
      <c r="I514" s="4"/>
      <c r="J514" s="4"/>
      <c r="K514" s="4">
        <v>227</v>
      </c>
      <c r="L514" s="4">
        <v>6</v>
      </c>
      <c r="M514" s="4">
        <v>3</v>
      </c>
      <c r="N514" s="4" t="s">
        <v>3</v>
      </c>
      <c r="O514" s="4">
        <v>2</v>
      </c>
      <c r="P514" s="4"/>
      <c r="Q514" s="4"/>
      <c r="R514" s="4"/>
      <c r="S514" s="4"/>
      <c r="T514" s="4"/>
      <c r="U514" s="4"/>
      <c r="V514" s="4"/>
      <c r="W514" s="4"/>
    </row>
    <row r="515" spans="1:23" x14ac:dyDescent="0.2">
      <c r="A515" s="4">
        <v>50</v>
      </c>
      <c r="B515" s="4">
        <v>0</v>
      </c>
      <c r="C515" s="4">
        <v>0</v>
      </c>
      <c r="D515" s="4">
        <v>1</v>
      </c>
      <c r="E515" s="4">
        <v>228</v>
      </c>
      <c r="F515" s="4">
        <f>ROUND(Source!AY507,O515)</f>
        <v>111650.58</v>
      </c>
      <c r="G515" s="4" t="s">
        <v>68</v>
      </c>
      <c r="H515" s="4" t="s">
        <v>69</v>
      </c>
      <c r="I515" s="4"/>
      <c r="J515" s="4"/>
      <c r="K515" s="4">
        <v>228</v>
      </c>
      <c r="L515" s="4">
        <v>7</v>
      </c>
      <c r="M515" s="4">
        <v>3</v>
      </c>
      <c r="N515" s="4" t="s">
        <v>3</v>
      </c>
      <c r="O515" s="4">
        <v>2</v>
      </c>
      <c r="P515" s="4"/>
      <c r="Q515" s="4"/>
      <c r="R515" s="4"/>
      <c r="S515" s="4"/>
      <c r="T515" s="4"/>
      <c r="U515" s="4"/>
      <c r="V515" s="4"/>
      <c r="W515" s="4"/>
    </row>
    <row r="516" spans="1:23" x14ac:dyDescent="0.2">
      <c r="A516" s="4">
        <v>50</v>
      </c>
      <c r="B516" s="4">
        <v>0</v>
      </c>
      <c r="C516" s="4">
        <v>0</v>
      </c>
      <c r="D516" s="4">
        <v>1</v>
      </c>
      <c r="E516" s="4">
        <v>216</v>
      </c>
      <c r="F516" s="4">
        <f>ROUND(Source!AP507,O516)</f>
        <v>0</v>
      </c>
      <c r="G516" s="4" t="s">
        <v>70</v>
      </c>
      <c r="H516" s="4" t="s">
        <v>71</v>
      </c>
      <c r="I516" s="4"/>
      <c r="J516" s="4"/>
      <c r="K516" s="4">
        <v>216</v>
      </c>
      <c r="L516" s="4">
        <v>8</v>
      </c>
      <c r="M516" s="4">
        <v>3</v>
      </c>
      <c r="N516" s="4" t="s">
        <v>3</v>
      </c>
      <c r="O516" s="4">
        <v>2</v>
      </c>
      <c r="P516" s="4"/>
      <c r="Q516" s="4"/>
      <c r="R516" s="4"/>
      <c r="S516" s="4"/>
      <c r="T516" s="4"/>
      <c r="U516" s="4"/>
      <c r="V516" s="4"/>
      <c r="W516" s="4"/>
    </row>
    <row r="517" spans="1:23" x14ac:dyDescent="0.2">
      <c r="A517" s="4">
        <v>50</v>
      </c>
      <c r="B517" s="4">
        <v>0</v>
      </c>
      <c r="C517" s="4">
        <v>0</v>
      </c>
      <c r="D517" s="4">
        <v>1</v>
      </c>
      <c r="E517" s="4">
        <v>223</v>
      </c>
      <c r="F517" s="4">
        <f>ROUND(Source!AQ507,O517)</f>
        <v>0</v>
      </c>
      <c r="G517" s="4" t="s">
        <v>72</v>
      </c>
      <c r="H517" s="4" t="s">
        <v>73</v>
      </c>
      <c r="I517" s="4"/>
      <c r="J517" s="4"/>
      <c r="K517" s="4">
        <v>223</v>
      </c>
      <c r="L517" s="4">
        <v>9</v>
      </c>
      <c r="M517" s="4">
        <v>3</v>
      </c>
      <c r="N517" s="4" t="s">
        <v>3</v>
      </c>
      <c r="O517" s="4">
        <v>2</v>
      </c>
      <c r="P517" s="4"/>
      <c r="Q517" s="4"/>
      <c r="R517" s="4"/>
      <c r="S517" s="4"/>
      <c r="T517" s="4"/>
      <c r="U517" s="4"/>
      <c r="V517" s="4"/>
      <c r="W517" s="4"/>
    </row>
    <row r="518" spans="1:23" x14ac:dyDescent="0.2">
      <c r="A518" s="4">
        <v>50</v>
      </c>
      <c r="B518" s="4">
        <v>0</v>
      </c>
      <c r="C518" s="4">
        <v>0</v>
      </c>
      <c r="D518" s="4">
        <v>1</v>
      </c>
      <c r="E518" s="4">
        <v>229</v>
      </c>
      <c r="F518" s="4">
        <f>ROUND(Source!AZ507,O518)</f>
        <v>0</v>
      </c>
      <c r="G518" s="4" t="s">
        <v>74</v>
      </c>
      <c r="H518" s="4" t="s">
        <v>75</v>
      </c>
      <c r="I518" s="4"/>
      <c r="J518" s="4"/>
      <c r="K518" s="4">
        <v>229</v>
      </c>
      <c r="L518" s="4">
        <v>10</v>
      </c>
      <c r="M518" s="4">
        <v>3</v>
      </c>
      <c r="N518" s="4" t="s">
        <v>3</v>
      </c>
      <c r="O518" s="4">
        <v>2</v>
      </c>
      <c r="P518" s="4"/>
      <c r="Q518" s="4"/>
      <c r="R518" s="4"/>
      <c r="S518" s="4"/>
      <c r="T518" s="4"/>
      <c r="U518" s="4"/>
      <c r="V518" s="4"/>
      <c r="W518" s="4"/>
    </row>
    <row r="519" spans="1:23" x14ac:dyDescent="0.2">
      <c r="A519" s="4">
        <v>50</v>
      </c>
      <c r="B519" s="4">
        <v>0</v>
      </c>
      <c r="C519" s="4">
        <v>0</v>
      </c>
      <c r="D519" s="4">
        <v>1</v>
      </c>
      <c r="E519" s="4">
        <v>203</v>
      </c>
      <c r="F519" s="4">
        <f>ROUND(Source!Q507,O519)</f>
        <v>0</v>
      </c>
      <c r="G519" s="4" t="s">
        <v>76</v>
      </c>
      <c r="H519" s="4" t="s">
        <v>77</v>
      </c>
      <c r="I519" s="4"/>
      <c r="J519" s="4"/>
      <c r="K519" s="4">
        <v>203</v>
      </c>
      <c r="L519" s="4">
        <v>11</v>
      </c>
      <c r="M519" s="4">
        <v>3</v>
      </c>
      <c r="N519" s="4" t="s">
        <v>3</v>
      </c>
      <c r="O519" s="4">
        <v>2</v>
      </c>
      <c r="P519" s="4"/>
      <c r="Q519" s="4"/>
      <c r="R519" s="4"/>
      <c r="S519" s="4"/>
      <c r="T519" s="4"/>
      <c r="U519" s="4"/>
      <c r="V519" s="4"/>
      <c r="W519" s="4"/>
    </row>
    <row r="520" spans="1:23" x14ac:dyDescent="0.2">
      <c r="A520" s="4">
        <v>50</v>
      </c>
      <c r="B520" s="4">
        <v>0</v>
      </c>
      <c r="C520" s="4">
        <v>0</v>
      </c>
      <c r="D520" s="4">
        <v>1</v>
      </c>
      <c r="E520" s="4">
        <v>231</v>
      </c>
      <c r="F520" s="4">
        <f>ROUND(Source!BB507,O520)</f>
        <v>0</v>
      </c>
      <c r="G520" s="4" t="s">
        <v>78</v>
      </c>
      <c r="H520" s="4" t="s">
        <v>79</v>
      </c>
      <c r="I520" s="4"/>
      <c r="J520" s="4"/>
      <c r="K520" s="4">
        <v>231</v>
      </c>
      <c r="L520" s="4">
        <v>12</v>
      </c>
      <c r="M520" s="4">
        <v>3</v>
      </c>
      <c r="N520" s="4" t="s">
        <v>3</v>
      </c>
      <c r="O520" s="4">
        <v>2</v>
      </c>
      <c r="P520" s="4"/>
      <c r="Q520" s="4"/>
      <c r="R520" s="4"/>
      <c r="S520" s="4"/>
      <c r="T520" s="4"/>
      <c r="U520" s="4"/>
      <c r="V520" s="4"/>
      <c r="W520" s="4"/>
    </row>
    <row r="521" spans="1:23" x14ac:dyDescent="0.2">
      <c r="A521" s="4">
        <v>50</v>
      </c>
      <c r="B521" s="4">
        <v>0</v>
      </c>
      <c r="C521" s="4">
        <v>0</v>
      </c>
      <c r="D521" s="4">
        <v>1</v>
      </c>
      <c r="E521" s="4">
        <v>204</v>
      </c>
      <c r="F521" s="4">
        <f>ROUND(Source!R507,O521)</f>
        <v>0</v>
      </c>
      <c r="G521" s="4" t="s">
        <v>80</v>
      </c>
      <c r="H521" s="4" t="s">
        <v>81</v>
      </c>
      <c r="I521" s="4"/>
      <c r="J521" s="4"/>
      <c r="K521" s="4">
        <v>204</v>
      </c>
      <c r="L521" s="4">
        <v>13</v>
      </c>
      <c r="M521" s="4">
        <v>3</v>
      </c>
      <c r="N521" s="4" t="s">
        <v>3</v>
      </c>
      <c r="O521" s="4">
        <v>2</v>
      </c>
      <c r="P521" s="4"/>
      <c r="Q521" s="4"/>
      <c r="R521" s="4"/>
      <c r="S521" s="4"/>
      <c r="T521" s="4"/>
      <c r="U521" s="4"/>
      <c r="V521" s="4"/>
      <c r="W521" s="4"/>
    </row>
    <row r="522" spans="1:23" x14ac:dyDescent="0.2">
      <c r="A522" s="4">
        <v>50</v>
      </c>
      <c r="B522" s="4">
        <v>0</v>
      </c>
      <c r="C522" s="4">
        <v>0</v>
      </c>
      <c r="D522" s="4">
        <v>1</v>
      </c>
      <c r="E522" s="4">
        <v>205</v>
      </c>
      <c r="F522" s="4">
        <f>ROUND(Source!S507,O522)</f>
        <v>7068.31</v>
      </c>
      <c r="G522" s="4" t="s">
        <v>82</v>
      </c>
      <c r="H522" s="4" t="s">
        <v>83</v>
      </c>
      <c r="I522" s="4"/>
      <c r="J522" s="4"/>
      <c r="K522" s="4">
        <v>205</v>
      </c>
      <c r="L522" s="4">
        <v>14</v>
      </c>
      <c r="M522" s="4">
        <v>3</v>
      </c>
      <c r="N522" s="4" t="s">
        <v>3</v>
      </c>
      <c r="O522" s="4">
        <v>2</v>
      </c>
      <c r="P522" s="4"/>
      <c r="Q522" s="4"/>
      <c r="R522" s="4"/>
      <c r="S522" s="4"/>
      <c r="T522" s="4"/>
      <c r="U522" s="4"/>
      <c r="V522" s="4"/>
      <c r="W522" s="4"/>
    </row>
    <row r="523" spans="1:23" x14ac:dyDescent="0.2">
      <c r="A523" s="4">
        <v>50</v>
      </c>
      <c r="B523" s="4">
        <v>0</v>
      </c>
      <c r="C523" s="4">
        <v>0</v>
      </c>
      <c r="D523" s="4">
        <v>1</v>
      </c>
      <c r="E523" s="4">
        <v>232</v>
      </c>
      <c r="F523" s="4">
        <f>ROUND(Source!BC507,O523)</f>
        <v>0</v>
      </c>
      <c r="G523" s="4" t="s">
        <v>84</v>
      </c>
      <c r="H523" s="4" t="s">
        <v>85</v>
      </c>
      <c r="I523" s="4"/>
      <c r="J523" s="4"/>
      <c r="K523" s="4">
        <v>232</v>
      </c>
      <c r="L523" s="4">
        <v>15</v>
      </c>
      <c r="M523" s="4">
        <v>3</v>
      </c>
      <c r="N523" s="4" t="s">
        <v>3</v>
      </c>
      <c r="O523" s="4">
        <v>2</v>
      </c>
      <c r="P523" s="4"/>
      <c r="Q523" s="4"/>
      <c r="R523" s="4"/>
      <c r="S523" s="4"/>
      <c r="T523" s="4"/>
      <c r="U523" s="4"/>
      <c r="V523" s="4"/>
      <c r="W523" s="4"/>
    </row>
    <row r="524" spans="1:23" x14ac:dyDescent="0.2">
      <c r="A524" s="4">
        <v>50</v>
      </c>
      <c r="B524" s="4">
        <v>0</v>
      </c>
      <c r="C524" s="4">
        <v>0</v>
      </c>
      <c r="D524" s="4">
        <v>1</v>
      </c>
      <c r="E524" s="4">
        <v>214</v>
      </c>
      <c r="F524" s="4">
        <f>ROUND(Source!AS507,O524)</f>
        <v>111650.58</v>
      </c>
      <c r="G524" s="4" t="s">
        <v>86</v>
      </c>
      <c r="H524" s="4" t="s">
        <v>87</v>
      </c>
      <c r="I524" s="4"/>
      <c r="J524" s="4"/>
      <c r="K524" s="4">
        <v>214</v>
      </c>
      <c r="L524" s="4">
        <v>16</v>
      </c>
      <c r="M524" s="4">
        <v>3</v>
      </c>
      <c r="N524" s="4" t="s">
        <v>3</v>
      </c>
      <c r="O524" s="4">
        <v>2</v>
      </c>
      <c r="P524" s="4"/>
      <c r="Q524" s="4"/>
      <c r="R524" s="4"/>
      <c r="S524" s="4"/>
      <c r="T524" s="4"/>
      <c r="U524" s="4"/>
      <c r="V524" s="4"/>
      <c r="W524" s="4"/>
    </row>
    <row r="525" spans="1:23" x14ac:dyDescent="0.2">
      <c r="A525" s="4">
        <v>50</v>
      </c>
      <c r="B525" s="4">
        <v>0</v>
      </c>
      <c r="C525" s="4">
        <v>0</v>
      </c>
      <c r="D525" s="4">
        <v>1</v>
      </c>
      <c r="E525" s="4">
        <v>215</v>
      </c>
      <c r="F525" s="4">
        <f>ROUND(Source!AT507,O525)</f>
        <v>0</v>
      </c>
      <c r="G525" s="4" t="s">
        <v>88</v>
      </c>
      <c r="H525" s="4" t="s">
        <v>89</v>
      </c>
      <c r="I525" s="4"/>
      <c r="J525" s="4"/>
      <c r="K525" s="4">
        <v>215</v>
      </c>
      <c r="L525" s="4">
        <v>17</v>
      </c>
      <c r="M525" s="4">
        <v>3</v>
      </c>
      <c r="N525" s="4" t="s">
        <v>3</v>
      </c>
      <c r="O525" s="4">
        <v>2</v>
      </c>
      <c r="P525" s="4"/>
      <c r="Q525" s="4"/>
      <c r="R525" s="4"/>
      <c r="S525" s="4"/>
      <c r="T525" s="4"/>
      <c r="U525" s="4"/>
      <c r="V525" s="4"/>
      <c r="W525" s="4"/>
    </row>
    <row r="526" spans="1:23" x14ac:dyDescent="0.2">
      <c r="A526" s="4">
        <v>50</v>
      </c>
      <c r="B526" s="4">
        <v>0</v>
      </c>
      <c r="C526" s="4">
        <v>0</v>
      </c>
      <c r="D526" s="4">
        <v>1</v>
      </c>
      <c r="E526" s="4">
        <v>217</v>
      </c>
      <c r="F526" s="4">
        <f>ROUND(Source!AU507,O526)</f>
        <v>12722.96</v>
      </c>
      <c r="G526" s="4" t="s">
        <v>90</v>
      </c>
      <c r="H526" s="4" t="s">
        <v>91</v>
      </c>
      <c r="I526" s="4"/>
      <c r="J526" s="4"/>
      <c r="K526" s="4">
        <v>217</v>
      </c>
      <c r="L526" s="4">
        <v>18</v>
      </c>
      <c r="M526" s="4">
        <v>3</v>
      </c>
      <c r="N526" s="4" t="s">
        <v>3</v>
      </c>
      <c r="O526" s="4">
        <v>2</v>
      </c>
      <c r="P526" s="4"/>
      <c r="Q526" s="4"/>
      <c r="R526" s="4"/>
      <c r="S526" s="4"/>
      <c r="T526" s="4"/>
      <c r="U526" s="4"/>
      <c r="V526" s="4"/>
      <c r="W526" s="4"/>
    </row>
    <row r="527" spans="1:23" x14ac:dyDescent="0.2">
      <c r="A527" s="4">
        <v>50</v>
      </c>
      <c r="B527" s="4">
        <v>0</v>
      </c>
      <c r="C527" s="4">
        <v>0</v>
      </c>
      <c r="D527" s="4">
        <v>1</v>
      </c>
      <c r="E527" s="4">
        <v>230</v>
      </c>
      <c r="F527" s="4">
        <f>ROUND(Source!BA507,O527)</f>
        <v>0</v>
      </c>
      <c r="G527" s="4" t="s">
        <v>92</v>
      </c>
      <c r="H527" s="4" t="s">
        <v>93</v>
      </c>
      <c r="I527" s="4"/>
      <c r="J527" s="4"/>
      <c r="K527" s="4">
        <v>230</v>
      </c>
      <c r="L527" s="4">
        <v>19</v>
      </c>
      <c r="M527" s="4">
        <v>3</v>
      </c>
      <c r="N527" s="4" t="s">
        <v>3</v>
      </c>
      <c r="O527" s="4">
        <v>2</v>
      </c>
      <c r="P527" s="4"/>
      <c r="Q527" s="4"/>
      <c r="R527" s="4"/>
      <c r="S527" s="4"/>
      <c r="T527" s="4"/>
      <c r="U527" s="4"/>
      <c r="V527" s="4"/>
      <c r="W527" s="4"/>
    </row>
    <row r="528" spans="1:23" x14ac:dyDescent="0.2">
      <c r="A528" s="4">
        <v>50</v>
      </c>
      <c r="B528" s="4">
        <v>0</v>
      </c>
      <c r="C528" s="4">
        <v>0</v>
      </c>
      <c r="D528" s="4">
        <v>1</v>
      </c>
      <c r="E528" s="4">
        <v>206</v>
      </c>
      <c r="F528" s="4">
        <f>ROUND(Source!T507,O528)</f>
        <v>0</v>
      </c>
      <c r="G528" s="4" t="s">
        <v>94</v>
      </c>
      <c r="H528" s="4" t="s">
        <v>95</v>
      </c>
      <c r="I528" s="4"/>
      <c r="J528" s="4"/>
      <c r="K528" s="4">
        <v>206</v>
      </c>
      <c r="L528" s="4">
        <v>20</v>
      </c>
      <c r="M528" s="4">
        <v>3</v>
      </c>
      <c r="N528" s="4" t="s">
        <v>3</v>
      </c>
      <c r="O528" s="4">
        <v>2</v>
      </c>
      <c r="P528" s="4"/>
      <c r="Q528" s="4"/>
      <c r="R528" s="4"/>
      <c r="S528" s="4"/>
      <c r="T528" s="4"/>
      <c r="U528" s="4"/>
      <c r="V528" s="4"/>
      <c r="W528" s="4"/>
    </row>
    <row r="529" spans="1:245" x14ac:dyDescent="0.2">
      <c r="A529" s="4">
        <v>50</v>
      </c>
      <c r="B529" s="4">
        <v>0</v>
      </c>
      <c r="C529" s="4">
        <v>0</v>
      </c>
      <c r="D529" s="4">
        <v>1</v>
      </c>
      <c r="E529" s="4">
        <v>207</v>
      </c>
      <c r="F529" s="4">
        <f>Source!U507</f>
        <v>28.842000000000002</v>
      </c>
      <c r="G529" s="4" t="s">
        <v>96</v>
      </c>
      <c r="H529" s="4" t="s">
        <v>97</v>
      </c>
      <c r="I529" s="4"/>
      <c r="J529" s="4"/>
      <c r="K529" s="4">
        <v>207</v>
      </c>
      <c r="L529" s="4">
        <v>21</v>
      </c>
      <c r="M529" s="4">
        <v>3</v>
      </c>
      <c r="N529" s="4" t="s">
        <v>3</v>
      </c>
      <c r="O529" s="4">
        <v>-1</v>
      </c>
      <c r="P529" s="4"/>
      <c r="Q529" s="4"/>
      <c r="R529" s="4"/>
      <c r="S529" s="4"/>
      <c r="T529" s="4"/>
      <c r="U529" s="4"/>
      <c r="V529" s="4"/>
      <c r="W529" s="4"/>
    </row>
    <row r="530" spans="1:245" x14ac:dyDescent="0.2">
      <c r="A530" s="4">
        <v>50</v>
      </c>
      <c r="B530" s="4">
        <v>0</v>
      </c>
      <c r="C530" s="4">
        <v>0</v>
      </c>
      <c r="D530" s="4">
        <v>1</v>
      </c>
      <c r="E530" s="4">
        <v>208</v>
      </c>
      <c r="F530" s="4">
        <f>Source!V507</f>
        <v>0</v>
      </c>
      <c r="G530" s="4" t="s">
        <v>98</v>
      </c>
      <c r="H530" s="4" t="s">
        <v>99</v>
      </c>
      <c r="I530" s="4"/>
      <c r="J530" s="4"/>
      <c r="K530" s="4">
        <v>208</v>
      </c>
      <c r="L530" s="4">
        <v>22</v>
      </c>
      <c r="M530" s="4">
        <v>3</v>
      </c>
      <c r="N530" s="4" t="s">
        <v>3</v>
      </c>
      <c r="O530" s="4">
        <v>-1</v>
      </c>
      <c r="P530" s="4"/>
      <c r="Q530" s="4"/>
      <c r="R530" s="4"/>
      <c r="S530" s="4"/>
      <c r="T530" s="4"/>
      <c r="U530" s="4"/>
      <c r="V530" s="4"/>
      <c r="W530" s="4"/>
    </row>
    <row r="531" spans="1:245" x14ac:dyDescent="0.2">
      <c r="A531" s="4">
        <v>50</v>
      </c>
      <c r="B531" s="4">
        <v>0</v>
      </c>
      <c r="C531" s="4">
        <v>0</v>
      </c>
      <c r="D531" s="4">
        <v>1</v>
      </c>
      <c r="E531" s="4">
        <v>209</v>
      </c>
      <c r="F531" s="4">
        <f>ROUND(Source!W507,O531)</f>
        <v>0</v>
      </c>
      <c r="G531" s="4" t="s">
        <v>100</v>
      </c>
      <c r="H531" s="4" t="s">
        <v>101</v>
      </c>
      <c r="I531" s="4"/>
      <c r="J531" s="4"/>
      <c r="K531" s="4">
        <v>209</v>
      </c>
      <c r="L531" s="4">
        <v>23</v>
      </c>
      <c r="M531" s="4">
        <v>3</v>
      </c>
      <c r="N531" s="4" t="s">
        <v>3</v>
      </c>
      <c r="O531" s="4">
        <v>2</v>
      </c>
      <c r="P531" s="4"/>
      <c r="Q531" s="4"/>
      <c r="R531" s="4"/>
      <c r="S531" s="4"/>
      <c r="T531" s="4"/>
      <c r="U531" s="4"/>
      <c r="V531" s="4"/>
      <c r="W531" s="4"/>
    </row>
    <row r="532" spans="1:245" x14ac:dyDescent="0.2">
      <c r="A532" s="4">
        <v>50</v>
      </c>
      <c r="B532" s="4">
        <v>0</v>
      </c>
      <c r="C532" s="4">
        <v>0</v>
      </c>
      <c r="D532" s="4">
        <v>1</v>
      </c>
      <c r="E532" s="4">
        <v>233</v>
      </c>
      <c r="F532" s="4">
        <f>ROUND(Source!BD507,O532)</f>
        <v>0</v>
      </c>
      <c r="G532" s="4" t="s">
        <v>102</v>
      </c>
      <c r="H532" s="4" t="s">
        <v>103</v>
      </c>
      <c r="I532" s="4"/>
      <c r="J532" s="4"/>
      <c r="K532" s="4">
        <v>233</v>
      </c>
      <c r="L532" s="4">
        <v>24</v>
      </c>
      <c r="M532" s="4">
        <v>3</v>
      </c>
      <c r="N532" s="4" t="s">
        <v>3</v>
      </c>
      <c r="O532" s="4">
        <v>2</v>
      </c>
      <c r="P532" s="4"/>
      <c r="Q532" s="4"/>
      <c r="R532" s="4"/>
      <c r="S532" s="4"/>
      <c r="T532" s="4"/>
      <c r="U532" s="4"/>
      <c r="V532" s="4"/>
      <c r="W532" s="4"/>
    </row>
    <row r="533" spans="1:245" x14ac:dyDescent="0.2">
      <c r="A533" s="4">
        <v>50</v>
      </c>
      <c r="B533" s="4">
        <v>0</v>
      </c>
      <c r="C533" s="4">
        <v>0</v>
      </c>
      <c r="D533" s="4">
        <v>1</v>
      </c>
      <c r="E533" s="4">
        <v>210</v>
      </c>
      <c r="F533" s="4">
        <f>ROUND(Source!X507,O533)</f>
        <v>4947.82</v>
      </c>
      <c r="G533" s="4" t="s">
        <v>104</v>
      </c>
      <c r="H533" s="4" t="s">
        <v>105</v>
      </c>
      <c r="I533" s="4"/>
      <c r="J533" s="4"/>
      <c r="K533" s="4">
        <v>210</v>
      </c>
      <c r="L533" s="4">
        <v>25</v>
      </c>
      <c r="M533" s="4">
        <v>3</v>
      </c>
      <c r="N533" s="4" t="s">
        <v>3</v>
      </c>
      <c r="O533" s="4">
        <v>2</v>
      </c>
      <c r="P533" s="4"/>
      <c r="Q533" s="4"/>
      <c r="R533" s="4"/>
      <c r="S533" s="4"/>
      <c r="T533" s="4"/>
      <c r="U533" s="4"/>
      <c r="V533" s="4"/>
      <c r="W533" s="4"/>
    </row>
    <row r="534" spans="1:245" x14ac:dyDescent="0.2">
      <c r="A534" s="4">
        <v>50</v>
      </c>
      <c r="B534" s="4">
        <v>0</v>
      </c>
      <c r="C534" s="4">
        <v>0</v>
      </c>
      <c r="D534" s="4">
        <v>1</v>
      </c>
      <c r="E534" s="4">
        <v>211</v>
      </c>
      <c r="F534" s="4">
        <f>ROUND(Source!Y507,O534)</f>
        <v>706.83</v>
      </c>
      <c r="G534" s="4" t="s">
        <v>106</v>
      </c>
      <c r="H534" s="4" t="s">
        <v>107</v>
      </c>
      <c r="I534" s="4"/>
      <c r="J534" s="4"/>
      <c r="K534" s="4">
        <v>211</v>
      </c>
      <c r="L534" s="4">
        <v>26</v>
      </c>
      <c r="M534" s="4">
        <v>3</v>
      </c>
      <c r="N534" s="4" t="s">
        <v>3</v>
      </c>
      <c r="O534" s="4">
        <v>2</v>
      </c>
      <c r="P534" s="4"/>
      <c r="Q534" s="4"/>
      <c r="R534" s="4"/>
      <c r="S534" s="4"/>
      <c r="T534" s="4"/>
      <c r="U534" s="4"/>
      <c r="V534" s="4"/>
      <c r="W534" s="4"/>
    </row>
    <row r="535" spans="1:245" x14ac:dyDescent="0.2">
      <c r="A535" s="4">
        <v>50</v>
      </c>
      <c r="B535" s="4">
        <v>0</v>
      </c>
      <c r="C535" s="4">
        <v>0</v>
      </c>
      <c r="D535" s="4">
        <v>1</v>
      </c>
      <c r="E535" s="4">
        <v>224</v>
      </c>
      <c r="F535" s="4">
        <f>ROUND(Source!AR507,O535)</f>
        <v>124373.54</v>
      </c>
      <c r="G535" s="4" t="s">
        <v>108</v>
      </c>
      <c r="H535" s="4" t="s">
        <v>109</v>
      </c>
      <c r="I535" s="4"/>
      <c r="J535" s="4"/>
      <c r="K535" s="4">
        <v>224</v>
      </c>
      <c r="L535" s="4">
        <v>27</v>
      </c>
      <c r="M535" s="4">
        <v>3</v>
      </c>
      <c r="N535" s="4" t="s">
        <v>3</v>
      </c>
      <c r="O535" s="4">
        <v>2</v>
      </c>
      <c r="P535" s="4"/>
      <c r="Q535" s="4"/>
      <c r="R535" s="4"/>
      <c r="S535" s="4"/>
      <c r="T535" s="4"/>
      <c r="U535" s="4"/>
      <c r="V535" s="4"/>
      <c r="W535" s="4"/>
    </row>
    <row r="537" spans="1:245" x14ac:dyDescent="0.2">
      <c r="A537" s="1">
        <v>5</v>
      </c>
      <c r="B537" s="1">
        <v>1</v>
      </c>
      <c r="C537" s="1"/>
      <c r="D537" s="1">
        <f>ROW(A548)</f>
        <v>548</v>
      </c>
      <c r="E537" s="1"/>
      <c r="F537" s="1" t="s">
        <v>17</v>
      </c>
      <c r="G537" s="1" t="s">
        <v>169</v>
      </c>
      <c r="H537" s="1" t="s">
        <v>3</v>
      </c>
      <c r="I537" s="1">
        <v>0</v>
      </c>
      <c r="J537" s="1"/>
      <c r="K537" s="1">
        <v>0</v>
      </c>
      <c r="L537" s="1"/>
      <c r="M537" s="1"/>
      <c r="N537" s="1"/>
      <c r="O537" s="1"/>
      <c r="P537" s="1"/>
      <c r="Q537" s="1"/>
      <c r="R537" s="1"/>
      <c r="S537" s="1"/>
      <c r="T537" s="1"/>
      <c r="U537" s="1" t="s">
        <v>3</v>
      </c>
      <c r="V537" s="1">
        <v>0</v>
      </c>
      <c r="W537" s="1"/>
      <c r="X537" s="1"/>
      <c r="Y537" s="1"/>
      <c r="Z537" s="1"/>
      <c r="AA537" s="1"/>
      <c r="AB537" s="1" t="s">
        <v>3</v>
      </c>
      <c r="AC537" s="1" t="s">
        <v>3</v>
      </c>
      <c r="AD537" s="1" t="s">
        <v>3</v>
      </c>
      <c r="AE537" s="1" t="s">
        <v>3</v>
      </c>
      <c r="AF537" s="1" t="s">
        <v>3</v>
      </c>
      <c r="AG537" s="1" t="s">
        <v>3</v>
      </c>
      <c r="AH537" s="1"/>
      <c r="AI537" s="1"/>
      <c r="AJ537" s="1"/>
      <c r="AK537" s="1"/>
      <c r="AL537" s="1"/>
      <c r="AM537" s="1"/>
      <c r="AN537" s="1"/>
      <c r="AO537" s="1"/>
      <c r="AP537" s="1" t="s">
        <v>3</v>
      </c>
      <c r="AQ537" s="1" t="s">
        <v>3</v>
      </c>
      <c r="AR537" s="1" t="s">
        <v>3</v>
      </c>
      <c r="AS537" s="1"/>
      <c r="AT537" s="1"/>
      <c r="AU537" s="1"/>
      <c r="AV537" s="1"/>
      <c r="AW537" s="1"/>
      <c r="AX537" s="1"/>
      <c r="AY537" s="1"/>
      <c r="AZ537" s="1" t="s">
        <v>3</v>
      </c>
      <c r="BA537" s="1"/>
      <c r="BB537" s="1" t="s">
        <v>3</v>
      </c>
      <c r="BC537" s="1" t="s">
        <v>3</v>
      </c>
      <c r="BD537" s="1" t="s">
        <v>3</v>
      </c>
      <c r="BE537" s="1" t="s">
        <v>3</v>
      </c>
      <c r="BF537" s="1" t="s">
        <v>3</v>
      </c>
      <c r="BG537" s="1" t="s">
        <v>3</v>
      </c>
      <c r="BH537" s="1" t="s">
        <v>3</v>
      </c>
      <c r="BI537" s="1" t="s">
        <v>3</v>
      </c>
      <c r="BJ537" s="1" t="s">
        <v>3</v>
      </c>
      <c r="BK537" s="1" t="s">
        <v>3</v>
      </c>
      <c r="BL537" s="1" t="s">
        <v>3</v>
      </c>
      <c r="BM537" s="1" t="s">
        <v>3</v>
      </c>
      <c r="BN537" s="1" t="s">
        <v>3</v>
      </c>
      <c r="BO537" s="1" t="s">
        <v>3</v>
      </c>
      <c r="BP537" s="1" t="s">
        <v>3</v>
      </c>
      <c r="BQ537" s="1"/>
      <c r="BR537" s="1"/>
      <c r="BS537" s="1"/>
      <c r="BT537" s="1"/>
      <c r="BU537" s="1"/>
      <c r="BV537" s="1"/>
      <c r="BW537" s="1"/>
      <c r="BX537" s="1">
        <v>0</v>
      </c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>
        <v>0</v>
      </c>
    </row>
    <row r="539" spans="1:245" x14ac:dyDescent="0.2">
      <c r="A539" s="2">
        <v>52</v>
      </c>
      <c r="B539" s="2">
        <f t="shared" ref="B539:G539" si="410">B548</f>
        <v>1</v>
      </c>
      <c r="C539" s="2">
        <f t="shared" si="410"/>
        <v>5</v>
      </c>
      <c r="D539" s="2">
        <f t="shared" si="410"/>
        <v>537</v>
      </c>
      <c r="E539" s="2">
        <f t="shared" si="410"/>
        <v>0</v>
      </c>
      <c r="F539" s="2" t="str">
        <f t="shared" si="410"/>
        <v>Новый подраздел</v>
      </c>
      <c r="G539" s="2" t="str">
        <f t="shared" si="410"/>
        <v>Установка ограждения</v>
      </c>
      <c r="H539" s="2"/>
      <c r="I539" s="2"/>
      <c r="J539" s="2"/>
      <c r="K539" s="2"/>
      <c r="L539" s="2"/>
      <c r="M539" s="2"/>
      <c r="N539" s="2"/>
      <c r="O539" s="2">
        <f t="shared" ref="O539:AT539" si="411">O548</f>
        <v>778463.03</v>
      </c>
      <c r="P539" s="2">
        <f t="shared" si="411"/>
        <v>667788.87</v>
      </c>
      <c r="Q539" s="2">
        <f t="shared" si="411"/>
        <v>24629.95</v>
      </c>
      <c r="R539" s="2">
        <f t="shared" si="411"/>
        <v>4684.1000000000004</v>
      </c>
      <c r="S539" s="2">
        <f t="shared" si="411"/>
        <v>86044.21</v>
      </c>
      <c r="T539" s="2">
        <f t="shared" si="411"/>
        <v>0</v>
      </c>
      <c r="U539" s="2">
        <f t="shared" si="411"/>
        <v>410.97199999999998</v>
      </c>
      <c r="V539" s="2">
        <f t="shared" si="411"/>
        <v>0</v>
      </c>
      <c r="W539" s="2">
        <f t="shared" si="411"/>
        <v>0</v>
      </c>
      <c r="X539" s="2">
        <f t="shared" si="411"/>
        <v>60230.95</v>
      </c>
      <c r="Y539" s="2">
        <f t="shared" si="411"/>
        <v>8604.42</v>
      </c>
      <c r="Z539" s="2">
        <f t="shared" si="411"/>
        <v>0</v>
      </c>
      <c r="AA539" s="2">
        <f t="shared" si="411"/>
        <v>0</v>
      </c>
      <c r="AB539" s="2">
        <f t="shared" si="411"/>
        <v>778463.03</v>
      </c>
      <c r="AC539" s="2">
        <f t="shared" si="411"/>
        <v>667788.87</v>
      </c>
      <c r="AD539" s="2">
        <f t="shared" si="411"/>
        <v>24629.95</v>
      </c>
      <c r="AE539" s="2">
        <f t="shared" si="411"/>
        <v>4684.1000000000004</v>
      </c>
      <c r="AF539" s="2">
        <f t="shared" si="411"/>
        <v>86044.21</v>
      </c>
      <c r="AG539" s="2">
        <f t="shared" si="411"/>
        <v>0</v>
      </c>
      <c r="AH539" s="2">
        <f t="shared" si="411"/>
        <v>410.97199999999998</v>
      </c>
      <c r="AI539" s="2">
        <f t="shared" si="411"/>
        <v>0</v>
      </c>
      <c r="AJ539" s="2">
        <f t="shared" si="411"/>
        <v>0</v>
      </c>
      <c r="AK539" s="2">
        <f t="shared" si="411"/>
        <v>60230.95</v>
      </c>
      <c r="AL539" s="2">
        <f t="shared" si="411"/>
        <v>8604.42</v>
      </c>
      <c r="AM539" s="2">
        <f t="shared" si="411"/>
        <v>0</v>
      </c>
      <c r="AN539" s="2">
        <f t="shared" si="411"/>
        <v>0</v>
      </c>
      <c r="AO539" s="2">
        <f t="shared" si="411"/>
        <v>0</v>
      </c>
      <c r="AP539" s="2">
        <f t="shared" si="411"/>
        <v>0</v>
      </c>
      <c r="AQ539" s="2">
        <f t="shared" si="411"/>
        <v>0</v>
      </c>
      <c r="AR539" s="2">
        <f t="shared" si="411"/>
        <v>852357.22</v>
      </c>
      <c r="AS539" s="2">
        <f t="shared" si="411"/>
        <v>0</v>
      </c>
      <c r="AT539" s="2">
        <f t="shared" si="411"/>
        <v>0</v>
      </c>
      <c r="AU539" s="2">
        <f t="shared" ref="AU539:BZ539" si="412">AU548</f>
        <v>852357.22</v>
      </c>
      <c r="AV539" s="2">
        <f t="shared" si="412"/>
        <v>667788.87</v>
      </c>
      <c r="AW539" s="2">
        <f t="shared" si="412"/>
        <v>667788.87</v>
      </c>
      <c r="AX539" s="2">
        <f t="shared" si="412"/>
        <v>0</v>
      </c>
      <c r="AY539" s="2">
        <f t="shared" si="412"/>
        <v>667788.87</v>
      </c>
      <c r="AZ539" s="2">
        <f t="shared" si="412"/>
        <v>0</v>
      </c>
      <c r="BA539" s="2">
        <f t="shared" si="412"/>
        <v>0</v>
      </c>
      <c r="BB539" s="2">
        <f t="shared" si="412"/>
        <v>0</v>
      </c>
      <c r="BC539" s="2">
        <f t="shared" si="412"/>
        <v>0</v>
      </c>
      <c r="BD539" s="2">
        <f t="shared" si="412"/>
        <v>0</v>
      </c>
      <c r="BE539" s="2">
        <f t="shared" si="412"/>
        <v>0</v>
      </c>
      <c r="BF539" s="2">
        <f t="shared" si="412"/>
        <v>0</v>
      </c>
      <c r="BG539" s="2">
        <f t="shared" si="412"/>
        <v>0</v>
      </c>
      <c r="BH539" s="2">
        <f t="shared" si="412"/>
        <v>0</v>
      </c>
      <c r="BI539" s="2">
        <f t="shared" si="412"/>
        <v>0</v>
      </c>
      <c r="BJ539" s="2">
        <f t="shared" si="412"/>
        <v>0</v>
      </c>
      <c r="BK539" s="2">
        <f t="shared" si="412"/>
        <v>0</v>
      </c>
      <c r="BL539" s="2">
        <f t="shared" si="412"/>
        <v>0</v>
      </c>
      <c r="BM539" s="2">
        <f t="shared" si="412"/>
        <v>0</v>
      </c>
      <c r="BN539" s="2">
        <f t="shared" si="412"/>
        <v>0</v>
      </c>
      <c r="BO539" s="2">
        <f t="shared" si="412"/>
        <v>0</v>
      </c>
      <c r="BP539" s="2">
        <f t="shared" si="412"/>
        <v>0</v>
      </c>
      <c r="BQ539" s="2">
        <f t="shared" si="412"/>
        <v>0</v>
      </c>
      <c r="BR539" s="2">
        <f t="shared" si="412"/>
        <v>0</v>
      </c>
      <c r="BS539" s="2">
        <f t="shared" si="412"/>
        <v>0</v>
      </c>
      <c r="BT539" s="2">
        <f t="shared" si="412"/>
        <v>0</v>
      </c>
      <c r="BU539" s="2">
        <f t="shared" si="412"/>
        <v>0</v>
      </c>
      <c r="BV539" s="2">
        <f t="shared" si="412"/>
        <v>0</v>
      </c>
      <c r="BW539" s="2">
        <f t="shared" si="412"/>
        <v>0</v>
      </c>
      <c r="BX539" s="2">
        <f t="shared" si="412"/>
        <v>0</v>
      </c>
      <c r="BY539" s="2">
        <f t="shared" si="412"/>
        <v>0</v>
      </c>
      <c r="BZ539" s="2">
        <f t="shared" si="412"/>
        <v>0</v>
      </c>
      <c r="CA539" s="2">
        <f t="shared" ref="CA539:DF539" si="413">CA548</f>
        <v>852357.22</v>
      </c>
      <c r="CB539" s="2">
        <f t="shared" si="413"/>
        <v>0</v>
      </c>
      <c r="CC539" s="2">
        <f t="shared" si="413"/>
        <v>0</v>
      </c>
      <c r="CD539" s="2">
        <f t="shared" si="413"/>
        <v>852357.22</v>
      </c>
      <c r="CE539" s="2">
        <f t="shared" si="413"/>
        <v>667788.87</v>
      </c>
      <c r="CF539" s="2">
        <f t="shared" si="413"/>
        <v>667788.87</v>
      </c>
      <c r="CG539" s="2">
        <f t="shared" si="413"/>
        <v>0</v>
      </c>
      <c r="CH539" s="2">
        <f t="shared" si="413"/>
        <v>667788.87</v>
      </c>
      <c r="CI539" s="2">
        <f t="shared" si="413"/>
        <v>0</v>
      </c>
      <c r="CJ539" s="2">
        <f t="shared" si="413"/>
        <v>0</v>
      </c>
      <c r="CK539" s="2">
        <f t="shared" si="413"/>
        <v>0</v>
      </c>
      <c r="CL539" s="2">
        <f t="shared" si="413"/>
        <v>0</v>
      </c>
      <c r="CM539" s="2">
        <f t="shared" si="413"/>
        <v>0</v>
      </c>
      <c r="CN539" s="2">
        <f t="shared" si="413"/>
        <v>0</v>
      </c>
      <c r="CO539" s="2">
        <f t="shared" si="413"/>
        <v>0</v>
      </c>
      <c r="CP539" s="2">
        <f t="shared" si="413"/>
        <v>0</v>
      </c>
      <c r="CQ539" s="2">
        <f t="shared" si="413"/>
        <v>0</v>
      </c>
      <c r="CR539" s="2">
        <f t="shared" si="413"/>
        <v>0</v>
      </c>
      <c r="CS539" s="2">
        <f t="shared" si="413"/>
        <v>0</v>
      </c>
      <c r="CT539" s="2">
        <f t="shared" si="413"/>
        <v>0</v>
      </c>
      <c r="CU539" s="2">
        <f t="shared" si="413"/>
        <v>0</v>
      </c>
      <c r="CV539" s="2">
        <f t="shared" si="413"/>
        <v>0</v>
      </c>
      <c r="CW539" s="2">
        <f t="shared" si="413"/>
        <v>0</v>
      </c>
      <c r="CX539" s="2">
        <f t="shared" si="413"/>
        <v>0</v>
      </c>
      <c r="CY539" s="2">
        <f t="shared" si="413"/>
        <v>0</v>
      </c>
      <c r="CZ539" s="2">
        <f t="shared" si="413"/>
        <v>0</v>
      </c>
      <c r="DA539" s="2">
        <f t="shared" si="413"/>
        <v>0</v>
      </c>
      <c r="DB539" s="2">
        <f t="shared" si="413"/>
        <v>0</v>
      </c>
      <c r="DC539" s="2">
        <f t="shared" si="413"/>
        <v>0</v>
      </c>
      <c r="DD539" s="2">
        <f t="shared" si="413"/>
        <v>0</v>
      </c>
      <c r="DE539" s="2">
        <f t="shared" si="413"/>
        <v>0</v>
      </c>
      <c r="DF539" s="2">
        <f t="shared" si="413"/>
        <v>0</v>
      </c>
      <c r="DG539" s="3">
        <f t="shared" ref="DG539:EL539" si="414">DG548</f>
        <v>0</v>
      </c>
      <c r="DH539" s="3">
        <f t="shared" si="414"/>
        <v>0</v>
      </c>
      <c r="DI539" s="3">
        <f t="shared" si="414"/>
        <v>0</v>
      </c>
      <c r="DJ539" s="3">
        <f t="shared" si="414"/>
        <v>0</v>
      </c>
      <c r="DK539" s="3">
        <f t="shared" si="414"/>
        <v>0</v>
      </c>
      <c r="DL539" s="3">
        <f t="shared" si="414"/>
        <v>0</v>
      </c>
      <c r="DM539" s="3">
        <f t="shared" si="414"/>
        <v>0</v>
      </c>
      <c r="DN539" s="3">
        <f t="shared" si="414"/>
        <v>0</v>
      </c>
      <c r="DO539" s="3">
        <f t="shared" si="414"/>
        <v>0</v>
      </c>
      <c r="DP539" s="3">
        <f t="shared" si="414"/>
        <v>0</v>
      </c>
      <c r="DQ539" s="3">
        <f t="shared" si="414"/>
        <v>0</v>
      </c>
      <c r="DR539" s="3">
        <f t="shared" si="414"/>
        <v>0</v>
      </c>
      <c r="DS539" s="3">
        <f t="shared" si="414"/>
        <v>0</v>
      </c>
      <c r="DT539" s="3">
        <f t="shared" si="414"/>
        <v>0</v>
      </c>
      <c r="DU539" s="3">
        <f t="shared" si="414"/>
        <v>0</v>
      </c>
      <c r="DV539" s="3">
        <f t="shared" si="414"/>
        <v>0</v>
      </c>
      <c r="DW539" s="3">
        <f t="shared" si="414"/>
        <v>0</v>
      </c>
      <c r="DX539" s="3">
        <f t="shared" si="414"/>
        <v>0</v>
      </c>
      <c r="DY539" s="3">
        <f t="shared" si="414"/>
        <v>0</v>
      </c>
      <c r="DZ539" s="3">
        <f t="shared" si="414"/>
        <v>0</v>
      </c>
      <c r="EA539" s="3">
        <f t="shared" si="414"/>
        <v>0</v>
      </c>
      <c r="EB539" s="3">
        <f t="shared" si="414"/>
        <v>0</v>
      </c>
      <c r="EC539" s="3">
        <f t="shared" si="414"/>
        <v>0</v>
      </c>
      <c r="ED539" s="3">
        <f t="shared" si="414"/>
        <v>0</v>
      </c>
      <c r="EE539" s="3">
        <f t="shared" si="414"/>
        <v>0</v>
      </c>
      <c r="EF539" s="3">
        <f t="shared" si="414"/>
        <v>0</v>
      </c>
      <c r="EG539" s="3">
        <f t="shared" si="414"/>
        <v>0</v>
      </c>
      <c r="EH539" s="3">
        <f t="shared" si="414"/>
        <v>0</v>
      </c>
      <c r="EI539" s="3">
        <f t="shared" si="414"/>
        <v>0</v>
      </c>
      <c r="EJ539" s="3">
        <f t="shared" si="414"/>
        <v>0</v>
      </c>
      <c r="EK539" s="3">
        <f t="shared" si="414"/>
        <v>0</v>
      </c>
      <c r="EL539" s="3">
        <f t="shared" si="414"/>
        <v>0</v>
      </c>
      <c r="EM539" s="3">
        <f t="shared" ref="EM539:FR539" si="415">EM548</f>
        <v>0</v>
      </c>
      <c r="EN539" s="3">
        <f t="shared" si="415"/>
        <v>0</v>
      </c>
      <c r="EO539" s="3">
        <f t="shared" si="415"/>
        <v>0</v>
      </c>
      <c r="EP539" s="3">
        <f t="shared" si="415"/>
        <v>0</v>
      </c>
      <c r="EQ539" s="3">
        <f t="shared" si="415"/>
        <v>0</v>
      </c>
      <c r="ER539" s="3">
        <f t="shared" si="415"/>
        <v>0</v>
      </c>
      <c r="ES539" s="3">
        <f t="shared" si="415"/>
        <v>0</v>
      </c>
      <c r="ET539" s="3">
        <f t="shared" si="415"/>
        <v>0</v>
      </c>
      <c r="EU539" s="3">
        <f t="shared" si="415"/>
        <v>0</v>
      </c>
      <c r="EV539" s="3">
        <f t="shared" si="415"/>
        <v>0</v>
      </c>
      <c r="EW539" s="3">
        <f t="shared" si="415"/>
        <v>0</v>
      </c>
      <c r="EX539" s="3">
        <f t="shared" si="415"/>
        <v>0</v>
      </c>
      <c r="EY539" s="3">
        <f t="shared" si="415"/>
        <v>0</v>
      </c>
      <c r="EZ539" s="3">
        <f t="shared" si="415"/>
        <v>0</v>
      </c>
      <c r="FA539" s="3">
        <f t="shared" si="415"/>
        <v>0</v>
      </c>
      <c r="FB539" s="3">
        <f t="shared" si="415"/>
        <v>0</v>
      </c>
      <c r="FC539" s="3">
        <f t="shared" si="415"/>
        <v>0</v>
      </c>
      <c r="FD539" s="3">
        <f t="shared" si="415"/>
        <v>0</v>
      </c>
      <c r="FE539" s="3">
        <f t="shared" si="415"/>
        <v>0</v>
      </c>
      <c r="FF539" s="3">
        <f t="shared" si="415"/>
        <v>0</v>
      </c>
      <c r="FG539" s="3">
        <f t="shared" si="415"/>
        <v>0</v>
      </c>
      <c r="FH539" s="3">
        <f t="shared" si="415"/>
        <v>0</v>
      </c>
      <c r="FI539" s="3">
        <f t="shared" si="415"/>
        <v>0</v>
      </c>
      <c r="FJ539" s="3">
        <f t="shared" si="415"/>
        <v>0</v>
      </c>
      <c r="FK539" s="3">
        <f t="shared" si="415"/>
        <v>0</v>
      </c>
      <c r="FL539" s="3">
        <f t="shared" si="415"/>
        <v>0</v>
      </c>
      <c r="FM539" s="3">
        <f t="shared" si="415"/>
        <v>0</v>
      </c>
      <c r="FN539" s="3">
        <f t="shared" si="415"/>
        <v>0</v>
      </c>
      <c r="FO539" s="3">
        <f t="shared" si="415"/>
        <v>0</v>
      </c>
      <c r="FP539" s="3">
        <f t="shared" si="415"/>
        <v>0</v>
      </c>
      <c r="FQ539" s="3">
        <f t="shared" si="415"/>
        <v>0</v>
      </c>
      <c r="FR539" s="3">
        <f t="shared" si="415"/>
        <v>0</v>
      </c>
      <c r="FS539" s="3">
        <f t="shared" ref="FS539:GX539" si="416">FS548</f>
        <v>0</v>
      </c>
      <c r="FT539" s="3">
        <f t="shared" si="416"/>
        <v>0</v>
      </c>
      <c r="FU539" s="3">
        <f t="shared" si="416"/>
        <v>0</v>
      </c>
      <c r="FV539" s="3">
        <f t="shared" si="416"/>
        <v>0</v>
      </c>
      <c r="FW539" s="3">
        <f t="shared" si="416"/>
        <v>0</v>
      </c>
      <c r="FX539" s="3">
        <f t="shared" si="416"/>
        <v>0</v>
      </c>
      <c r="FY539" s="3">
        <f t="shared" si="416"/>
        <v>0</v>
      </c>
      <c r="FZ539" s="3">
        <f t="shared" si="416"/>
        <v>0</v>
      </c>
      <c r="GA539" s="3">
        <f t="shared" si="416"/>
        <v>0</v>
      </c>
      <c r="GB539" s="3">
        <f t="shared" si="416"/>
        <v>0</v>
      </c>
      <c r="GC539" s="3">
        <f t="shared" si="416"/>
        <v>0</v>
      </c>
      <c r="GD539" s="3">
        <f t="shared" si="416"/>
        <v>0</v>
      </c>
      <c r="GE539" s="3">
        <f t="shared" si="416"/>
        <v>0</v>
      </c>
      <c r="GF539" s="3">
        <f t="shared" si="416"/>
        <v>0</v>
      </c>
      <c r="GG539" s="3">
        <f t="shared" si="416"/>
        <v>0</v>
      </c>
      <c r="GH539" s="3">
        <f t="shared" si="416"/>
        <v>0</v>
      </c>
      <c r="GI539" s="3">
        <f t="shared" si="416"/>
        <v>0</v>
      </c>
      <c r="GJ539" s="3">
        <f t="shared" si="416"/>
        <v>0</v>
      </c>
      <c r="GK539" s="3">
        <f t="shared" si="416"/>
        <v>0</v>
      </c>
      <c r="GL539" s="3">
        <f t="shared" si="416"/>
        <v>0</v>
      </c>
      <c r="GM539" s="3">
        <f t="shared" si="416"/>
        <v>0</v>
      </c>
      <c r="GN539" s="3">
        <f t="shared" si="416"/>
        <v>0</v>
      </c>
      <c r="GO539" s="3">
        <f t="shared" si="416"/>
        <v>0</v>
      </c>
      <c r="GP539" s="3">
        <f t="shared" si="416"/>
        <v>0</v>
      </c>
      <c r="GQ539" s="3">
        <f t="shared" si="416"/>
        <v>0</v>
      </c>
      <c r="GR539" s="3">
        <f t="shared" si="416"/>
        <v>0</v>
      </c>
      <c r="GS539" s="3">
        <f t="shared" si="416"/>
        <v>0</v>
      </c>
      <c r="GT539" s="3">
        <f t="shared" si="416"/>
        <v>0</v>
      </c>
      <c r="GU539" s="3">
        <f t="shared" si="416"/>
        <v>0</v>
      </c>
      <c r="GV539" s="3">
        <f t="shared" si="416"/>
        <v>0</v>
      </c>
      <c r="GW539" s="3">
        <f t="shared" si="416"/>
        <v>0</v>
      </c>
      <c r="GX539" s="3">
        <f t="shared" si="416"/>
        <v>0</v>
      </c>
    </row>
    <row r="541" spans="1:245" x14ac:dyDescent="0.2">
      <c r="A541">
        <v>17</v>
      </c>
      <c r="B541">
        <v>1</v>
      </c>
      <c r="C541">
        <f>ROW(SmtRes!A148)</f>
        <v>148</v>
      </c>
      <c r="D541">
        <f>ROW(EtalonRes!A145)</f>
        <v>145</v>
      </c>
      <c r="E541" t="s">
        <v>284</v>
      </c>
      <c r="F541" t="s">
        <v>171</v>
      </c>
      <c r="G541" t="s">
        <v>172</v>
      </c>
      <c r="H541" t="s">
        <v>173</v>
      </c>
      <c r="I541">
        <f>ROUND(120/100,9)</f>
        <v>1.2</v>
      </c>
      <c r="J541">
        <v>0</v>
      </c>
      <c r="O541">
        <f t="shared" ref="O541:O546" si="417">ROUND(CP541,2)</f>
        <v>767206.79</v>
      </c>
      <c r="P541">
        <f t="shared" ref="P541:P546" si="418">ROUND(CQ541*I541,2)</f>
        <v>657528.31999999995</v>
      </c>
      <c r="Q541">
        <f t="shared" ref="Q541:Q546" si="419">ROUND(CR541*I541,2)</f>
        <v>23998.93</v>
      </c>
      <c r="R541">
        <f t="shared" ref="R541:R546" si="420">ROUND(CS541*I541,2)</f>
        <v>4290.43</v>
      </c>
      <c r="S541">
        <f t="shared" ref="S541:S546" si="421">ROUND(CT541*I541,2)</f>
        <v>85679.54</v>
      </c>
      <c r="T541">
        <f t="shared" ref="T541:T546" si="422">ROUND(CU541*I541,2)</f>
        <v>0</v>
      </c>
      <c r="U541">
        <f t="shared" ref="U541:U546" si="423">CV541*I541</f>
        <v>408.97199999999998</v>
      </c>
      <c r="V541">
        <f t="shared" ref="V541:V546" si="424">CW541*I541</f>
        <v>0</v>
      </c>
      <c r="W541">
        <f t="shared" ref="W541:W546" si="425">ROUND(CX541*I541,2)</f>
        <v>0</v>
      </c>
      <c r="X541">
        <f t="shared" ref="X541:Y546" si="426">ROUND(CY541,2)</f>
        <v>59975.68</v>
      </c>
      <c r="Y541">
        <f t="shared" si="426"/>
        <v>8567.9500000000007</v>
      </c>
      <c r="AA541">
        <v>38214492</v>
      </c>
      <c r="AB541">
        <f t="shared" ref="AB541:AB546" si="427">ROUND((AC541+AD541+AF541),6)</f>
        <v>639339</v>
      </c>
      <c r="AC541">
        <f>ROUND((ES541),6)</f>
        <v>547940.27</v>
      </c>
      <c r="AD541">
        <f t="shared" ref="AD541:AD546" si="428">ROUND((((ET541)-(EU541))+AE541),6)</f>
        <v>19999.11</v>
      </c>
      <c r="AE541">
        <f t="shared" ref="AE541:AF546" si="429">ROUND((EU541),6)</f>
        <v>3575.36</v>
      </c>
      <c r="AF541">
        <f t="shared" si="429"/>
        <v>71399.62</v>
      </c>
      <c r="AG541">
        <f t="shared" ref="AG541:AG546" si="430">ROUND((AP541),6)</f>
        <v>0</v>
      </c>
      <c r="AH541">
        <f t="shared" ref="AH541:AI546" si="431">(EW541)</f>
        <v>340.81</v>
      </c>
      <c r="AI541">
        <f t="shared" si="431"/>
        <v>0</v>
      </c>
      <c r="AJ541">
        <f t="shared" ref="AJ541:AJ546" si="432">(AS541)</f>
        <v>0</v>
      </c>
      <c r="AK541">
        <v>639339</v>
      </c>
      <c r="AL541">
        <v>547940.27</v>
      </c>
      <c r="AM541">
        <v>19999.11</v>
      </c>
      <c r="AN541">
        <v>3575.36</v>
      </c>
      <c r="AO541">
        <v>71399.62</v>
      </c>
      <c r="AP541">
        <v>0</v>
      </c>
      <c r="AQ541">
        <v>340.81</v>
      </c>
      <c r="AR541">
        <v>0</v>
      </c>
      <c r="AS541">
        <v>0</v>
      </c>
      <c r="AT541">
        <v>70</v>
      </c>
      <c r="AU541">
        <v>10</v>
      </c>
      <c r="AV541">
        <v>1</v>
      </c>
      <c r="AW541">
        <v>1</v>
      </c>
      <c r="AZ541">
        <v>1</v>
      </c>
      <c r="BA541">
        <v>1</v>
      </c>
      <c r="BB541">
        <v>1</v>
      </c>
      <c r="BC541">
        <v>1</v>
      </c>
      <c r="BD541" t="s">
        <v>3</v>
      </c>
      <c r="BE541" t="s">
        <v>3</v>
      </c>
      <c r="BF541" t="s">
        <v>3</v>
      </c>
      <c r="BG541" t="s">
        <v>3</v>
      </c>
      <c r="BH541">
        <v>0</v>
      </c>
      <c r="BI541">
        <v>4</v>
      </c>
      <c r="BJ541" t="s">
        <v>174</v>
      </c>
      <c r="BM541">
        <v>0</v>
      </c>
      <c r="BN541">
        <v>0</v>
      </c>
      <c r="BO541" t="s">
        <v>3</v>
      </c>
      <c r="BP541">
        <v>0</v>
      </c>
      <c r="BQ541">
        <v>1</v>
      </c>
      <c r="BR541">
        <v>0</v>
      </c>
      <c r="BS541">
        <v>1</v>
      </c>
      <c r="BT541">
        <v>1</v>
      </c>
      <c r="BU541">
        <v>1</v>
      </c>
      <c r="BV541">
        <v>1</v>
      </c>
      <c r="BW541">
        <v>1</v>
      </c>
      <c r="BX541">
        <v>1</v>
      </c>
      <c r="BY541" t="s">
        <v>3</v>
      </c>
      <c r="BZ541">
        <v>70</v>
      </c>
      <c r="CA541">
        <v>10</v>
      </c>
      <c r="CE541">
        <v>0</v>
      </c>
      <c r="CF541">
        <v>0</v>
      </c>
      <c r="CG541">
        <v>0</v>
      </c>
      <c r="CM541">
        <v>0</v>
      </c>
      <c r="CN541" t="s">
        <v>3</v>
      </c>
      <c r="CO541">
        <v>0</v>
      </c>
      <c r="CP541">
        <f t="shared" ref="CP541:CP546" si="433">(P541+Q541+S541)</f>
        <v>767206.79</v>
      </c>
      <c r="CQ541">
        <f t="shared" ref="CQ541:CQ546" si="434">(AC541*BC541*AW541)</f>
        <v>547940.27</v>
      </c>
      <c r="CR541">
        <f t="shared" ref="CR541:CR546" si="435">((((ET541)*BB541-(EU541)*BS541)+AE541*BS541)*AV541)</f>
        <v>19999.11</v>
      </c>
      <c r="CS541">
        <f t="shared" ref="CS541:CS546" si="436">(AE541*BS541*AV541)</f>
        <v>3575.36</v>
      </c>
      <c r="CT541">
        <f t="shared" ref="CT541:CT546" si="437">(AF541*BA541*AV541)</f>
        <v>71399.62</v>
      </c>
      <c r="CU541">
        <f t="shared" ref="CU541:CU546" si="438">AG541</f>
        <v>0</v>
      </c>
      <c r="CV541">
        <f t="shared" ref="CV541:CV546" si="439">(AH541*AV541)</f>
        <v>340.81</v>
      </c>
      <c r="CW541">
        <f t="shared" ref="CW541:CX546" si="440">AI541</f>
        <v>0</v>
      </c>
      <c r="CX541">
        <f t="shared" si="440"/>
        <v>0</v>
      </c>
      <c r="CY541">
        <f t="shared" ref="CY541:CY546" si="441">((S541*BZ541)/100)</f>
        <v>59975.678</v>
      </c>
      <c r="CZ541">
        <f t="shared" ref="CZ541:CZ546" si="442">((S541*CA541)/100)</f>
        <v>8567.9539999999997</v>
      </c>
      <c r="DC541" t="s">
        <v>3</v>
      </c>
      <c r="DD541" t="s">
        <v>3</v>
      </c>
      <c r="DE541" t="s">
        <v>3</v>
      </c>
      <c r="DF541" t="s">
        <v>3</v>
      </c>
      <c r="DG541" t="s">
        <v>3</v>
      </c>
      <c r="DH541" t="s">
        <v>3</v>
      </c>
      <c r="DI541" t="s">
        <v>3</v>
      </c>
      <c r="DJ541" t="s">
        <v>3</v>
      </c>
      <c r="DK541" t="s">
        <v>3</v>
      </c>
      <c r="DL541" t="s">
        <v>3</v>
      </c>
      <c r="DM541" t="s">
        <v>3</v>
      </c>
      <c r="DN541">
        <v>0</v>
      </c>
      <c r="DO541">
        <v>0</v>
      </c>
      <c r="DP541">
        <v>1</v>
      </c>
      <c r="DQ541">
        <v>1</v>
      </c>
      <c r="DU541">
        <v>1003</v>
      </c>
      <c r="DV541" t="s">
        <v>173</v>
      </c>
      <c r="DW541" t="s">
        <v>173</v>
      </c>
      <c r="DX541">
        <v>100</v>
      </c>
      <c r="EE541">
        <v>38628631</v>
      </c>
      <c r="EF541">
        <v>1</v>
      </c>
      <c r="EG541" t="s">
        <v>24</v>
      </c>
      <c r="EH541">
        <v>0</v>
      </c>
      <c r="EI541" t="s">
        <v>3</v>
      </c>
      <c r="EJ541">
        <v>4</v>
      </c>
      <c r="EK541">
        <v>0</v>
      </c>
      <c r="EL541" t="s">
        <v>25</v>
      </c>
      <c r="EM541" t="s">
        <v>26</v>
      </c>
      <c r="EO541" t="s">
        <v>3</v>
      </c>
      <c r="EQ541">
        <v>0</v>
      </c>
      <c r="ER541">
        <v>639339</v>
      </c>
      <c r="ES541">
        <v>547940.27</v>
      </c>
      <c r="ET541">
        <v>19999.11</v>
      </c>
      <c r="EU541">
        <v>3575.36</v>
      </c>
      <c r="EV541">
        <v>71399.62</v>
      </c>
      <c r="EW541">
        <v>340.81</v>
      </c>
      <c r="EX541">
        <v>0</v>
      </c>
      <c r="EY541">
        <v>0</v>
      </c>
      <c r="FQ541">
        <v>0</v>
      </c>
      <c r="FR541">
        <f t="shared" ref="FR541:FR546" si="443">ROUND(IF(AND(BH541=3,BI541=3),P541,0),2)</f>
        <v>0</v>
      </c>
      <c r="FS541">
        <v>0</v>
      </c>
      <c r="FX541">
        <v>70</v>
      </c>
      <c r="FY541">
        <v>10</v>
      </c>
      <c r="GA541" t="s">
        <v>3</v>
      </c>
      <c r="GD541">
        <v>0</v>
      </c>
      <c r="GF541">
        <v>561369357</v>
      </c>
      <c r="GG541">
        <v>2</v>
      </c>
      <c r="GH541">
        <v>1</v>
      </c>
      <c r="GI541">
        <v>-2</v>
      </c>
      <c r="GJ541">
        <v>0</v>
      </c>
      <c r="GK541">
        <f>ROUND(R541*(R12)/100,2)</f>
        <v>4633.66</v>
      </c>
      <c r="GL541">
        <f t="shared" ref="GL541:GL546" si="444">ROUND(IF(AND(BH541=3,BI541=3,FS541&lt;&gt;0),P541,0),2)</f>
        <v>0</v>
      </c>
      <c r="GM541">
        <f t="shared" ref="GM541:GM546" si="445">ROUND(O541+X541+Y541+GK541,2)+GX541</f>
        <v>840384.08</v>
      </c>
      <c r="GN541">
        <f t="shared" ref="GN541:GN546" si="446">IF(OR(BI541=0,BI541=1),ROUND(O541+X541+Y541+GK541,2),0)</f>
        <v>0</v>
      </c>
      <c r="GO541">
        <f t="shared" ref="GO541:GO546" si="447">IF(BI541=2,ROUND(O541+X541+Y541+GK541,2),0)</f>
        <v>0</v>
      </c>
      <c r="GP541">
        <f t="shared" ref="GP541:GP546" si="448">IF(BI541=4,ROUND(O541+X541+Y541+GK541,2)+GX541,0)</f>
        <v>840384.08</v>
      </c>
      <c r="GR541">
        <v>0</v>
      </c>
      <c r="GS541">
        <v>3</v>
      </c>
      <c r="GT541">
        <v>0</v>
      </c>
      <c r="GU541" t="s">
        <v>3</v>
      </c>
      <c r="GV541">
        <f t="shared" ref="GV541:GV546" si="449">ROUND((GT541),6)</f>
        <v>0</v>
      </c>
      <c r="GW541">
        <v>1</v>
      </c>
      <c r="GX541">
        <f t="shared" ref="GX541:GX546" si="450">ROUND(HC541*I541,2)</f>
        <v>0</v>
      </c>
      <c r="HA541">
        <v>0</v>
      </c>
      <c r="HB541">
        <v>0</v>
      </c>
      <c r="HC541">
        <f t="shared" ref="HC541:HC546" si="451">GV541*GW541</f>
        <v>0</v>
      </c>
      <c r="HE541" t="s">
        <v>3</v>
      </c>
      <c r="HF541" t="s">
        <v>3</v>
      </c>
      <c r="IK541">
        <v>0</v>
      </c>
    </row>
    <row r="542" spans="1:245" x14ac:dyDescent="0.2">
      <c r="A542">
        <v>17</v>
      </c>
      <c r="B542">
        <v>1</v>
      </c>
      <c r="C542">
        <f>ROW(SmtRes!A154)</f>
        <v>154</v>
      </c>
      <c r="D542">
        <f>ROW(EtalonRes!A151)</f>
        <v>151</v>
      </c>
      <c r="E542" t="s">
        <v>285</v>
      </c>
      <c r="F542" t="s">
        <v>176</v>
      </c>
      <c r="G542" t="s">
        <v>177</v>
      </c>
      <c r="H542" t="s">
        <v>123</v>
      </c>
      <c r="I542">
        <v>1</v>
      </c>
      <c r="J542">
        <v>0</v>
      </c>
      <c r="O542">
        <f t="shared" si="417"/>
        <v>1053.67</v>
      </c>
      <c r="P542">
        <f t="shared" si="418"/>
        <v>57.98</v>
      </c>
      <c r="Q542">
        <f t="shared" si="419"/>
        <v>631.02</v>
      </c>
      <c r="R542">
        <f t="shared" si="420"/>
        <v>393.67</v>
      </c>
      <c r="S542">
        <f t="shared" si="421"/>
        <v>364.67</v>
      </c>
      <c r="T542">
        <f t="shared" si="422"/>
        <v>0</v>
      </c>
      <c r="U542">
        <f t="shared" si="423"/>
        <v>2</v>
      </c>
      <c r="V542">
        <f t="shared" si="424"/>
        <v>0</v>
      </c>
      <c r="W542">
        <f t="shared" si="425"/>
        <v>0</v>
      </c>
      <c r="X542">
        <f t="shared" si="426"/>
        <v>255.27</v>
      </c>
      <c r="Y542">
        <f t="shared" si="426"/>
        <v>36.47</v>
      </c>
      <c r="AA542">
        <v>38214492</v>
      </c>
      <c r="AB542">
        <f t="shared" si="427"/>
        <v>1053.67</v>
      </c>
      <c r="AC542">
        <f>ROUND((ES542),6)</f>
        <v>57.98</v>
      </c>
      <c r="AD542">
        <f t="shared" si="428"/>
        <v>631.02</v>
      </c>
      <c r="AE542">
        <f t="shared" si="429"/>
        <v>393.67</v>
      </c>
      <c r="AF542">
        <f t="shared" si="429"/>
        <v>364.67</v>
      </c>
      <c r="AG542">
        <f t="shared" si="430"/>
        <v>0</v>
      </c>
      <c r="AH542">
        <f t="shared" si="431"/>
        <v>2</v>
      </c>
      <c r="AI542">
        <f t="shared" si="431"/>
        <v>0</v>
      </c>
      <c r="AJ542">
        <f t="shared" si="432"/>
        <v>0</v>
      </c>
      <c r="AK542">
        <v>1053.67</v>
      </c>
      <c r="AL542">
        <v>57.98</v>
      </c>
      <c r="AM542">
        <v>631.02</v>
      </c>
      <c r="AN542">
        <v>393.67</v>
      </c>
      <c r="AO542">
        <v>364.67</v>
      </c>
      <c r="AP542">
        <v>0</v>
      </c>
      <c r="AQ542">
        <v>2</v>
      </c>
      <c r="AR542">
        <v>0</v>
      </c>
      <c r="AS542">
        <v>0</v>
      </c>
      <c r="AT542">
        <v>70</v>
      </c>
      <c r="AU542">
        <v>10</v>
      </c>
      <c r="AV542">
        <v>1</v>
      </c>
      <c r="AW542">
        <v>1</v>
      </c>
      <c r="AZ542">
        <v>1</v>
      </c>
      <c r="BA542">
        <v>1</v>
      </c>
      <c r="BB542">
        <v>1</v>
      </c>
      <c r="BC542">
        <v>1</v>
      </c>
      <c r="BD542" t="s">
        <v>3</v>
      </c>
      <c r="BE542" t="s">
        <v>3</v>
      </c>
      <c r="BF542" t="s">
        <v>3</v>
      </c>
      <c r="BG542" t="s">
        <v>3</v>
      </c>
      <c r="BH542">
        <v>0</v>
      </c>
      <c r="BI542">
        <v>4</v>
      </c>
      <c r="BJ542" t="s">
        <v>178</v>
      </c>
      <c r="BM542">
        <v>0</v>
      </c>
      <c r="BN542">
        <v>0</v>
      </c>
      <c r="BO542" t="s">
        <v>3</v>
      </c>
      <c r="BP542">
        <v>0</v>
      </c>
      <c r="BQ542">
        <v>1</v>
      </c>
      <c r="BR542">
        <v>0</v>
      </c>
      <c r="BS542">
        <v>1</v>
      </c>
      <c r="BT542">
        <v>1</v>
      </c>
      <c r="BU542">
        <v>1</v>
      </c>
      <c r="BV542">
        <v>1</v>
      </c>
      <c r="BW542">
        <v>1</v>
      </c>
      <c r="BX542">
        <v>1</v>
      </c>
      <c r="BY542" t="s">
        <v>3</v>
      </c>
      <c r="BZ542">
        <v>70</v>
      </c>
      <c r="CA542">
        <v>10</v>
      </c>
      <c r="CE542">
        <v>0</v>
      </c>
      <c r="CF542">
        <v>0</v>
      </c>
      <c r="CG542">
        <v>0</v>
      </c>
      <c r="CM542">
        <v>0</v>
      </c>
      <c r="CN542" t="s">
        <v>3</v>
      </c>
      <c r="CO542">
        <v>0</v>
      </c>
      <c r="CP542">
        <f t="shared" si="433"/>
        <v>1053.67</v>
      </c>
      <c r="CQ542">
        <f t="shared" si="434"/>
        <v>57.98</v>
      </c>
      <c r="CR542">
        <f t="shared" si="435"/>
        <v>631.02</v>
      </c>
      <c r="CS542">
        <f t="shared" si="436"/>
        <v>393.67</v>
      </c>
      <c r="CT542">
        <f t="shared" si="437"/>
        <v>364.67</v>
      </c>
      <c r="CU542">
        <f t="shared" si="438"/>
        <v>0</v>
      </c>
      <c r="CV542">
        <f t="shared" si="439"/>
        <v>2</v>
      </c>
      <c r="CW542">
        <f t="shared" si="440"/>
        <v>0</v>
      </c>
      <c r="CX542">
        <f t="shared" si="440"/>
        <v>0</v>
      </c>
      <c r="CY542">
        <f t="shared" si="441"/>
        <v>255.26900000000001</v>
      </c>
      <c r="CZ542">
        <f t="shared" si="442"/>
        <v>36.467000000000006</v>
      </c>
      <c r="DC542" t="s">
        <v>3</v>
      </c>
      <c r="DD542" t="s">
        <v>3</v>
      </c>
      <c r="DE542" t="s">
        <v>3</v>
      </c>
      <c r="DF542" t="s">
        <v>3</v>
      </c>
      <c r="DG542" t="s">
        <v>3</v>
      </c>
      <c r="DH542" t="s">
        <v>3</v>
      </c>
      <c r="DI542" t="s">
        <v>3</v>
      </c>
      <c r="DJ542" t="s">
        <v>3</v>
      </c>
      <c r="DK542" t="s">
        <v>3</v>
      </c>
      <c r="DL542" t="s">
        <v>3</v>
      </c>
      <c r="DM542" t="s">
        <v>3</v>
      </c>
      <c r="DN542">
        <v>0</v>
      </c>
      <c r="DO542">
        <v>0</v>
      </c>
      <c r="DP542">
        <v>1</v>
      </c>
      <c r="DQ542">
        <v>1</v>
      </c>
      <c r="DU542">
        <v>1010</v>
      </c>
      <c r="DV542" t="s">
        <v>123</v>
      </c>
      <c r="DW542" t="s">
        <v>123</v>
      </c>
      <c r="DX542">
        <v>1</v>
      </c>
      <c r="EE542">
        <v>38628631</v>
      </c>
      <c r="EF542">
        <v>1</v>
      </c>
      <c r="EG542" t="s">
        <v>24</v>
      </c>
      <c r="EH542">
        <v>0</v>
      </c>
      <c r="EI542" t="s">
        <v>3</v>
      </c>
      <c r="EJ542">
        <v>4</v>
      </c>
      <c r="EK542">
        <v>0</v>
      </c>
      <c r="EL542" t="s">
        <v>25</v>
      </c>
      <c r="EM542" t="s">
        <v>26</v>
      </c>
      <c r="EO542" t="s">
        <v>3</v>
      </c>
      <c r="EQ542">
        <v>0</v>
      </c>
      <c r="ER542">
        <v>1053.67</v>
      </c>
      <c r="ES542">
        <v>57.98</v>
      </c>
      <c r="ET542">
        <v>631.02</v>
      </c>
      <c r="EU542">
        <v>393.67</v>
      </c>
      <c r="EV542">
        <v>364.67</v>
      </c>
      <c r="EW542">
        <v>2</v>
      </c>
      <c r="EX542">
        <v>0</v>
      </c>
      <c r="EY542">
        <v>0</v>
      </c>
      <c r="FQ542">
        <v>0</v>
      </c>
      <c r="FR542">
        <f t="shared" si="443"/>
        <v>0</v>
      </c>
      <c r="FS542">
        <v>0</v>
      </c>
      <c r="FX542">
        <v>70</v>
      </c>
      <c r="FY542">
        <v>10</v>
      </c>
      <c r="GA542" t="s">
        <v>3</v>
      </c>
      <c r="GD542">
        <v>0</v>
      </c>
      <c r="GF542">
        <v>1958731536</v>
      </c>
      <c r="GG542">
        <v>2</v>
      </c>
      <c r="GH542">
        <v>1</v>
      </c>
      <c r="GI542">
        <v>-2</v>
      </c>
      <c r="GJ542">
        <v>0</v>
      </c>
      <c r="GK542">
        <f>ROUND(R542*(R12)/100,2)</f>
        <v>425.16</v>
      </c>
      <c r="GL542">
        <f t="shared" si="444"/>
        <v>0</v>
      </c>
      <c r="GM542">
        <f t="shared" si="445"/>
        <v>1770.57</v>
      </c>
      <c r="GN542">
        <f t="shared" si="446"/>
        <v>0</v>
      </c>
      <c r="GO542">
        <f t="shared" si="447"/>
        <v>0</v>
      </c>
      <c r="GP542">
        <f t="shared" si="448"/>
        <v>1770.57</v>
      </c>
      <c r="GR542">
        <v>0</v>
      </c>
      <c r="GS542">
        <v>3</v>
      </c>
      <c r="GT542">
        <v>0</v>
      </c>
      <c r="GU542" t="s">
        <v>3</v>
      </c>
      <c r="GV542">
        <f t="shared" si="449"/>
        <v>0</v>
      </c>
      <c r="GW542">
        <v>1</v>
      </c>
      <c r="GX542">
        <f t="shared" si="450"/>
        <v>0</v>
      </c>
      <c r="HA542">
        <v>0</v>
      </c>
      <c r="HB542">
        <v>0</v>
      </c>
      <c r="HC542">
        <f t="shared" si="451"/>
        <v>0</v>
      </c>
      <c r="HE542" t="s">
        <v>3</v>
      </c>
      <c r="HF542" t="s">
        <v>3</v>
      </c>
      <c r="IK542">
        <v>0</v>
      </c>
    </row>
    <row r="543" spans="1:245" x14ac:dyDescent="0.2">
      <c r="A543">
        <v>17</v>
      </c>
      <c r="B543">
        <v>1</v>
      </c>
      <c r="E543" t="s">
        <v>286</v>
      </c>
      <c r="F543" t="s">
        <v>180</v>
      </c>
      <c r="G543" t="s">
        <v>181</v>
      </c>
      <c r="H543" t="s">
        <v>123</v>
      </c>
      <c r="I543">
        <v>1</v>
      </c>
      <c r="J543">
        <v>0</v>
      </c>
      <c r="O543">
        <f t="shared" si="417"/>
        <v>10202.57</v>
      </c>
      <c r="P543">
        <f t="shared" si="418"/>
        <v>10202.57</v>
      </c>
      <c r="Q543">
        <f t="shared" si="419"/>
        <v>0</v>
      </c>
      <c r="R543">
        <f t="shared" si="420"/>
        <v>0</v>
      </c>
      <c r="S543">
        <f t="shared" si="421"/>
        <v>0</v>
      </c>
      <c r="T543">
        <f t="shared" si="422"/>
        <v>0</v>
      </c>
      <c r="U543">
        <f t="shared" si="423"/>
        <v>0</v>
      </c>
      <c r="V543">
        <f t="shared" si="424"/>
        <v>0</v>
      </c>
      <c r="W543">
        <f t="shared" si="425"/>
        <v>0</v>
      </c>
      <c r="X543">
        <f t="shared" si="426"/>
        <v>0</v>
      </c>
      <c r="Y543">
        <f t="shared" si="426"/>
        <v>0</v>
      </c>
      <c r="AA543">
        <v>38214492</v>
      </c>
      <c r="AB543">
        <f t="shared" si="427"/>
        <v>10202.57</v>
      </c>
      <c r="AC543">
        <f>ROUND((ES543),6)</f>
        <v>10202.57</v>
      </c>
      <c r="AD543">
        <f t="shared" si="428"/>
        <v>0</v>
      </c>
      <c r="AE543">
        <f t="shared" si="429"/>
        <v>0</v>
      </c>
      <c r="AF543">
        <f t="shared" si="429"/>
        <v>0</v>
      </c>
      <c r="AG543">
        <f t="shared" si="430"/>
        <v>0</v>
      </c>
      <c r="AH543">
        <f t="shared" si="431"/>
        <v>0</v>
      </c>
      <c r="AI543">
        <f t="shared" si="431"/>
        <v>0</v>
      </c>
      <c r="AJ543">
        <f t="shared" si="432"/>
        <v>0</v>
      </c>
      <c r="AK543">
        <v>10202.57</v>
      </c>
      <c r="AL543">
        <v>10202.57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70</v>
      </c>
      <c r="AU543">
        <v>10</v>
      </c>
      <c r="AV543">
        <v>1</v>
      </c>
      <c r="AW543">
        <v>1</v>
      </c>
      <c r="AZ543">
        <v>1</v>
      </c>
      <c r="BA543">
        <v>1</v>
      </c>
      <c r="BB543">
        <v>1</v>
      </c>
      <c r="BC543">
        <v>1</v>
      </c>
      <c r="BD543" t="s">
        <v>3</v>
      </c>
      <c r="BE543" t="s">
        <v>3</v>
      </c>
      <c r="BF543" t="s">
        <v>3</v>
      </c>
      <c r="BG543" t="s">
        <v>3</v>
      </c>
      <c r="BH543">
        <v>3</v>
      </c>
      <c r="BI543">
        <v>4</v>
      </c>
      <c r="BJ543" t="s">
        <v>182</v>
      </c>
      <c r="BM543">
        <v>0</v>
      </c>
      <c r="BN543">
        <v>0</v>
      </c>
      <c r="BO543" t="s">
        <v>3</v>
      </c>
      <c r="BP543">
        <v>0</v>
      </c>
      <c r="BQ543">
        <v>1</v>
      </c>
      <c r="BR543">
        <v>0</v>
      </c>
      <c r="BS543">
        <v>1</v>
      </c>
      <c r="BT543">
        <v>1</v>
      </c>
      <c r="BU543">
        <v>1</v>
      </c>
      <c r="BV543">
        <v>1</v>
      </c>
      <c r="BW543">
        <v>1</v>
      </c>
      <c r="BX543">
        <v>1</v>
      </c>
      <c r="BY543" t="s">
        <v>3</v>
      </c>
      <c r="BZ543">
        <v>70</v>
      </c>
      <c r="CA543">
        <v>10</v>
      </c>
      <c r="CE543">
        <v>0</v>
      </c>
      <c r="CF543">
        <v>0</v>
      </c>
      <c r="CG543">
        <v>0</v>
      </c>
      <c r="CM543">
        <v>0</v>
      </c>
      <c r="CN543" t="s">
        <v>3</v>
      </c>
      <c r="CO543">
        <v>0</v>
      </c>
      <c r="CP543">
        <f t="shared" si="433"/>
        <v>10202.57</v>
      </c>
      <c r="CQ543">
        <f t="shared" si="434"/>
        <v>10202.57</v>
      </c>
      <c r="CR543">
        <f t="shared" si="435"/>
        <v>0</v>
      </c>
      <c r="CS543">
        <f t="shared" si="436"/>
        <v>0</v>
      </c>
      <c r="CT543">
        <f t="shared" si="437"/>
        <v>0</v>
      </c>
      <c r="CU543">
        <f t="shared" si="438"/>
        <v>0</v>
      </c>
      <c r="CV543">
        <f t="shared" si="439"/>
        <v>0</v>
      </c>
      <c r="CW543">
        <f t="shared" si="440"/>
        <v>0</v>
      </c>
      <c r="CX543">
        <f t="shared" si="440"/>
        <v>0</v>
      </c>
      <c r="CY543">
        <f t="shared" si="441"/>
        <v>0</v>
      </c>
      <c r="CZ543">
        <f t="shared" si="442"/>
        <v>0</v>
      </c>
      <c r="DC543" t="s">
        <v>3</v>
      </c>
      <c r="DD543" t="s">
        <v>3</v>
      </c>
      <c r="DE543" t="s">
        <v>3</v>
      </c>
      <c r="DF543" t="s">
        <v>3</v>
      </c>
      <c r="DG543" t="s">
        <v>3</v>
      </c>
      <c r="DH543" t="s">
        <v>3</v>
      </c>
      <c r="DI543" t="s">
        <v>3</v>
      </c>
      <c r="DJ543" t="s">
        <v>3</v>
      </c>
      <c r="DK543" t="s">
        <v>3</v>
      </c>
      <c r="DL543" t="s">
        <v>3</v>
      </c>
      <c r="DM543" t="s">
        <v>3</v>
      </c>
      <c r="DN543">
        <v>0</v>
      </c>
      <c r="DO543">
        <v>0</v>
      </c>
      <c r="DP543">
        <v>1</v>
      </c>
      <c r="DQ543">
        <v>1</v>
      </c>
      <c r="DU543">
        <v>1010</v>
      </c>
      <c r="DV543" t="s">
        <v>123</v>
      </c>
      <c r="DW543" t="s">
        <v>123</v>
      </c>
      <c r="DX543">
        <v>1</v>
      </c>
      <c r="EE543">
        <v>38628631</v>
      </c>
      <c r="EF543">
        <v>1</v>
      </c>
      <c r="EG543" t="s">
        <v>24</v>
      </c>
      <c r="EH543">
        <v>0</v>
      </c>
      <c r="EI543" t="s">
        <v>3</v>
      </c>
      <c r="EJ543">
        <v>4</v>
      </c>
      <c r="EK543">
        <v>0</v>
      </c>
      <c r="EL543" t="s">
        <v>25</v>
      </c>
      <c r="EM543" t="s">
        <v>26</v>
      </c>
      <c r="EO543" t="s">
        <v>3</v>
      </c>
      <c r="EQ543">
        <v>0</v>
      </c>
      <c r="ER543">
        <v>10202.57</v>
      </c>
      <c r="ES543">
        <v>10202.57</v>
      </c>
      <c r="ET543">
        <v>0</v>
      </c>
      <c r="EU543">
        <v>0</v>
      </c>
      <c r="EV543">
        <v>0</v>
      </c>
      <c r="EW543">
        <v>0</v>
      </c>
      <c r="EX543">
        <v>0</v>
      </c>
      <c r="EY543">
        <v>0</v>
      </c>
      <c r="FQ543">
        <v>0</v>
      </c>
      <c r="FR543">
        <f t="shared" si="443"/>
        <v>0</v>
      </c>
      <c r="FS543">
        <v>0</v>
      </c>
      <c r="FX543">
        <v>70</v>
      </c>
      <c r="FY543">
        <v>10</v>
      </c>
      <c r="GA543" t="s">
        <v>3</v>
      </c>
      <c r="GD543">
        <v>0</v>
      </c>
      <c r="GF543">
        <v>-1953145621</v>
      </c>
      <c r="GG543">
        <v>2</v>
      </c>
      <c r="GH543">
        <v>1</v>
      </c>
      <c r="GI543">
        <v>-2</v>
      </c>
      <c r="GJ543">
        <v>0</v>
      </c>
      <c r="GK543">
        <f>ROUND(R543*(R12)/100,2)</f>
        <v>0</v>
      </c>
      <c r="GL543">
        <f t="shared" si="444"/>
        <v>0</v>
      </c>
      <c r="GM543">
        <f t="shared" si="445"/>
        <v>10202.57</v>
      </c>
      <c r="GN543">
        <f t="shared" si="446"/>
        <v>0</v>
      </c>
      <c r="GO543">
        <f t="shared" si="447"/>
        <v>0</v>
      </c>
      <c r="GP543">
        <f t="shared" si="448"/>
        <v>10202.57</v>
      </c>
      <c r="GR543">
        <v>0</v>
      </c>
      <c r="GS543">
        <v>3</v>
      </c>
      <c r="GT543">
        <v>0</v>
      </c>
      <c r="GU543" t="s">
        <v>3</v>
      </c>
      <c r="GV543">
        <f t="shared" si="449"/>
        <v>0</v>
      </c>
      <c r="GW543">
        <v>1</v>
      </c>
      <c r="GX543">
        <f t="shared" si="450"/>
        <v>0</v>
      </c>
      <c r="HA543">
        <v>0</v>
      </c>
      <c r="HB543">
        <v>0</v>
      </c>
      <c r="HC543">
        <f t="shared" si="451"/>
        <v>0</v>
      </c>
      <c r="HE543" t="s">
        <v>3</v>
      </c>
      <c r="HF543" t="s">
        <v>3</v>
      </c>
      <c r="IK543">
        <v>0</v>
      </c>
    </row>
    <row r="544" spans="1:245" x14ac:dyDescent="0.2">
      <c r="A544">
        <v>17</v>
      </c>
      <c r="B544">
        <v>1</v>
      </c>
      <c r="C544">
        <f>ROW(SmtRes!A164)</f>
        <v>164</v>
      </c>
      <c r="D544">
        <f>ROW(EtalonRes!A161)</f>
        <v>161</v>
      </c>
      <c r="E544" t="s">
        <v>287</v>
      </c>
      <c r="F544" t="s">
        <v>171</v>
      </c>
      <c r="G544" t="s">
        <v>172</v>
      </c>
      <c r="H544" t="s">
        <v>173</v>
      </c>
      <c r="I544">
        <v>0</v>
      </c>
      <c r="J544">
        <v>0</v>
      </c>
      <c r="O544">
        <f t="shared" si="417"/>
        <v>0</v>
      </c>
      <c r="P544">
        <f t="shared" si="418"/>
        <v>0</v>
      </c>
      <c r="Q544">
        <f t="shared" si="419"/>
        <v>0</v>
      </c>
      <c r="R544">
        <f t="shared" si="420"/>
        <v>0</v>
      </c>
      <c r="S544">
        <f t="shared" si="421"/>
        <v>0</v>
      </c>
      <c r="T544">
        <f t="shared" si="422"/>
        <v>0</v>
      </c>
      <c r="U544">
        <f t="shared" si="423"/>
        <v>0</v>
      </c>
      <c r="V544">
        <f t="shared" si="424"/>
        <v>0</v>
      </c>
      <c r="W544">
        <f t="shared" si="425"/>
        <v>0</v>
      </c>
      <c r="X544">
        <f t="shared" si="426"/>
        <v>0</v>
      </c>
      <c r="Y544">
        <f t="shared" si="426"/>
        <v>0</v>
      </c>
      <c r="AA544">
        <v>38214492</v>
      </c>
      <c r="AB544">
        <f t="shared" si="427"/>
        <v>91398.73</v>
      </c>
      <c r="AC544">
        <f>ROUND(((ES544*0)),6)</f>
        <v>0</v>
      </c>
      <c r="AD544">
        <f t="shared" si="428"/>
        <v>19999.11</v>
      </c>
      <c r="AE544">
        <f t="shared" si="429"/>
        <v>3575.36</v>
      </c>
      <c r="AF544">
        <f t="shared" si="429"/>
        <v>71399.62</v>
      </c>
      <c r="AG544">
        <f t="shared" si="430"/>
        <v>0</v>
      </c>
      <c r="AH544">
        <f t="shared" si="431"/>
        <v>340.81</v>
      </c>
      <c r="AI544">
        <f t="shared" si="431"/>
        <v>0</v>
      </c>
      <c r="AJ544">
        <f t="shared" si="432"/>
        <v>0</v>
      </c>
      <c r="AK544">
        <v>639339</v>
      </c>
      <c r="AL544">
        <v>547940.27</v>
      </c>
      <c r="AM544">
        <v>19999.11</v>
      </c>
      <c r="AN544">
        <v>3575.36</v>
      </c>
      <c r="AO544">
        <v>71399.62</v>
      </c>
      <c r="AP544">
        <v>0</v>
      </c>
      <c r="AQ544">
        <v>340.81</v>
      </c>
      <c r="AR544">
        <v>0</v>
      </c>
      <c r="AS544">
        <v>0</v>
      </c>
      <c r="AT544">
        <v>70</v>
      </c>
      <c r="AU544">
        <v>10</v>
      </c>
      <c r="AV544">
        <v>1</v>
      </c>
      <c r="AW544">
        <v>1</v>
      </c>
      <c r="AZ544">
        <v>1</v>
      </c>
      <c r="BA544">
        <v>1</v>
      </c>
      <c r="BB544">
        <v>1</v>
      </c>
      <c r="BC544">
        <v>1</v>
      </c>
      <c r="BD544" t="s">
        <v>3</v>
      </c>
      <c r="BE544" t="s">
        <v>3</v>
      </c>
      <c r="BF544" t="s">
        <v>3</v>
      </c>
      <c r="BG544" t="s">
        <v>3</v>
      </c>
      <c r="BH544">
        <v>0</v>
      </c>
      <c r="BI544">
        <v>4</v>
      </c>
      <c r="BJ544" t="s">
        <v>174</v>
      </c>
      <c r="BM544">
        <v>0</v>
      </c>
      <c r="BN544">
        <v>0</v>
      </c>
      <c r="BO544" t="s">
        <v>3</v>
      </c>
      <c r="BP544">
        <v>0</v>
      </c>
      <c r="BQ544">
        <v>1</v>
      </c>
      <c r="BR544">
        <v>0</v>
      </c>
      <c r="BS544">
        <v>1</v>
      </c>
      <c r="BT544">
        <v>1</v>
      </c>
      <c r="BU544">
        <v>1</v>
      </c>
      <c r="BV544">
        <v>1</v>
      </c>
      <c r="BW544">
        <v>1</v>
      </c>
      <c r="BX544">
        <v>1</v>
      </c>
      <c r="BY544" t="s">
        <v>3</v>
      </c>
      <c r="BZ544">
        <v>70</v>
      </c>
      <c r="CA544">
        <v>10</v>
      </c>
      <c r="CE544">
        <v>0</v>
      </c>
      <c r="CF544">
        <v>0</v>
      </c>
      <c r="CG544">
        <v>0</v>
      </c>
      <c r="CM544">
        <v>0</v>
      </c>
      <c r="CN544" t="s">
        <v>3</v>
      </c>
      <c r="CO544">
        <v>0</v>
      </c>
      <c r="CP544">
        <f t="shared" si="433"/>
        <v>0</v>
      </c>
      <c r="CQ544">
        <f t="shared" si="434"/>
        <v>0</v>
      </c>
      <c r="CR544">
        <f t="shared" si="435"/>
        <v>19999.11</v>
      </c>
      <c r="CS544">
        <f t="shared" si="436"/>
        <v>3575.36</v>
      </c>
      <c r="CT544">
        <f t="shared" si="437"/>
        <v>71399.62</v>
      </c>
      <c r="CU544">
        <f t="shared" si="438"/>
        <v>0</v>
      </c>
      <c r="CV544">
        <f t="shared" si="439"/>
        <v>340.81</v>
      </c>
      <c r="CW544">
        <f t="shared" si="440"/>
        <v>0</v>
      </c>
      <c r="CX544">
        <f t="shared" si="440"/>
        <v>0</v>
      </c>
      <c r="CY544">
        <f t="shared" si="441"/>
        <v>0</v>
      </c>
      <c r="CZ544">
        <f t="shared" si="442"/>
        <v>0</v>
      </c>
      <c r="DC544" t="s">
        <v>3</v>
      </c>
      <c r="DD544" t="s">
        <v>32</v>
      </c>
      <c r="DE544" t="s">
        <v>3</v>
      </c>
      <c r="DF544" t="s">
        <v>3</v>
      </c>
      <c r="DG544" t="s">
        <v>3</v>
      </c>
      <c r="DH544" t="s">
        <v>3</v>
      </c>
      <c r="DI544" t="s">
        <v>3</v>
      </c>
      <c r="DJ544" t="s">
        <v>3</v>
      </c>
      <c r="DK544" t="s">
        <v>3</v>
      </c>
      <c r="DL544" t="s">
        <v>3</v>
      </c>
      <c r="DM544" t="s">
        <v>3</v>
      </c>
      <c r="DN544">
        <v>0</v>
      </c>
      <c r="DO544">
        <v>0</v>
      </c>
      <c r="DP544">
        <v>1</v>
      </c>
      <c r="DQ544">
        <v>1</v>
      </c>
      <c r="DU544">
        <v>1003</v>
      </c>
      <c r="DV544" t="s">
        <v>173</v>
      </c>
      <c r="DW544" t="s">
        <v>173</v>
      </c>
      <c r="DX544">
        <v>100</v>
      </c>
      <c r="EE544">
        <v>38628631</v>
      </c>
      <c r="EF544">
        <v>1</v>
      </c>
      <c r="EG544" t="s">
        <v>24</v>
      </c>
      <c r="EH544">
        <v>0</v>
      </c>
      <c r="EI544" t="s">
        <v>3</v>
      </c>
      <c r="EJ544">
        <v>4</v>
      </c>
      <c r="EK544">
        <v>0</v>
      </c>
      <c r="EL544" t="s">
        <v>25</v>
      </c>
      <c r="EM544" t="s">
        <v>26</v>
      </c>
      <c r="EO544" t="s">
        <v>3</v>
      </c>
      <c r="EQ544">
        <v>0</v>
      </c>
      <c r="ER544">
        <v>639339</v>
      </c>
      <c r="ES544">
        <v>547940.27</v>
      </c>
      <c r="ET544">
        <v>19999.11</v>
      </c>
      <c r="EU544">
        <v>3575.36</v>
      </c>
      <c r="EV544">
        <v>71399.62</v>
      </c>
      <c r="EW544">
        <v>340.81</v>
      </c>
      <c r="EX544">
        <v>0</v>
      </c>
      <c r="EY544">
        <v>0</v>
      </c>
      <c r="FQ544">
        <v>0</v>
      </c>
      <c r="FR544">
        <f t="shared" si="443"/>
        <v>0</v>
      </c>
      <c r="FS544">
        <v>0</v>
      </c>
      <c r="FX544">
        <v>70</v>
      </c>
      <c r="FY544">
        <v>10</v>
      </c>
      <c r="GA544" t="s">
        <v>3</v>
      </c>
      <c r="GD544">
        <v>0</v>
      </c>
      <c r="GF544">
        <v>561369357</v>
      </c>
      <c r="GG544">
        <v>2</v>
      </c>
      <c r="GH544">
        <v>1</v>
      </c>
      <c r="GI544">
        <v>-2</v>
      </c>
      <c r="GJ544">
        <v>0</v>
      </c>
      <c r="GK544">
        <f>ROUND(R544*(R12)/100,2)</f>
        <v>0</v>
      </c>
      <c r="GL544">
        <f t="shared" si="444"/>
        <v>0</v>
      </c>
      <c r="GM544">
        <f t="shared" si="445"/>
        <v>0</v>
      </c>
      <c r="GN544">
        <f t="shared" si="446"/>
        <v>0</v>
      </c>
      <c r="GO544">
        <f t="shared" si="447"/>
        <v>0</v>
      </c>
      <c r="GP544">
        <f t="shared" si="448"/>
        <v>0</v>
      </c>
      <c r="GR544">
        <v>0</v>
      </c>
      <c r="GS544">
        <v>3</v>
      </c>
      <c r="GT544">
        <v>0</v>
      </c>
      <c r="GU544" t="s">
        <v>3</v>
      </c>
      <c r="GV544">
        <f t="shared" si="449"/>
        <v>0</v>
      </c>
      <c r="GW544">
        <v>1</v>
      </c>
      <c r="GX544">
        <f t="shared" si="450"/>
        <v>0</v>
      </c>
      <c r="HA544">
        <v>0</v>
      </c>
      <c r="HB544">
        <v>0</v>
      </c>
      <c r="HC544">
        <f t="shared" si="451"/>
        <v>0</v>
      </c>
      <c r="HE544" t="s">
        <v>3</v>
      </c>
      <c r="HF544" t="s">
        <v>3</v>
      </c>
      <c r="IK544">
        <v>0</v>
      </c>
    </row>
    <row r="545" spans="1:245" x14ac:dyDescent="0.2">
      <c r="A545">
        <v>17</v>
      </c>
      <c r="B545">
        <v>1</v>
      </c>
      <c r="E545" t="s">
        <v>288</v>
      </c>
      <c r="F545" t="s">
        <v>129</v>
      </c>
      <c r="G545" t="s">
        <v>250</v>
      </c>
      <c r="H545" t="s">
        <v>251</v>
      </c>
      <c r="I545">
        <v>0</v>
      </c>
      <c r="J545">
        <v>0</v>
      </c>
      <c r="O545">
        <f t="shared" si="417"/>
        <v>0</v>
      </c>
      <c r="P545">
        <f t="shared" si="418"/>
        <v>0</v>
      </c>
      <c r="Q545">
        <f t="shared" si="419"/>
        <v>0</v>
      </c>
      <c r="R545">
        <f t="shared" si="420"/>
        <v>0</v>
      </c>
      <c r="S545">
        <f t="shared" si="421"/>
        <v>0</v>
      </c>
      <c r="T545">
        <f t="shared" si="422"/>
        <v>0</v>
      </c>
      <c r="U545">
        <f t="shared" si="423"/>
        <v>0</v>
      </c>
      <c r="V545">
        <f t="shared" si="424"/>
        <v>0</v>
      </c>
      <c r="W545">
        <f t="shared" si="425"/>
        <v>0</v>
      </c>
      <c r="X545">
        <f t="shared" si="426"/>
        <v>0</v>
      </c>
      <c r="Y545">
        <f t="shared" si="426"/>
        <v>0</v>
      </c>
      <c r="AA545">
        <v>38214492</v>
      </c>
      <c r="AB545">
        <f t="shared" si="427"/>
        <v>6666.67</v>
      </c>
      <c r="AC545">
        <f>ROUND((ES545),6)</f>
        <v>6666.67</v>
      </c>
      <c r="AD545">
        <f t="shared" si="428"/>
        <v>0</v>
      </c>
      <c r="AE545">
        <f t="shared" si="429"/>
        <v>0</v>
      </c>
      <c r="AF545">
        <f t="shared" si="429"/>
        <v>0</v>
      </c>
      <c r="AG545">
        <f t="shared" si="430"/>
        <v>0</v>
      </c>
      <c r="AH545">
        <f t="shared" si="431"/>
        <v>0</v>
      </c>
      <c r="AI545">
        <f t="shared" si="431"/>
        <v>0</v>
      </c>
      <c r="AJ545">
        <f t="shared" si="432"/>
        <v>0</v>
      </c>
      <c r="AK545">
        <v>6666.67</v>
      </c>
      <c r="AL545">
        <v>6666.67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1</v>
      </c>
      <c r="AW545">
        <v>1</v>
      </c>
      <c r="AZ545">
        <v>1</v>
      </c>
      <c r="BA545">
        <v>1</v>
      </c>
      <c r="BB545">
        <v>1</v>
      </c>
      <c r="BC545">
        <v>1</v>
      </c>
      <c r="BD545" t="s">
        <v>3</v>
      </c>
      <c r="BE545" t="s">
        <v>3</v>
      </c>
      <c r="BF545" t="s">
        <v>3</v>
      </c>
      <c r="BG545" t="s">
        <v>3</v>
      </c>
      <c r="BH545">
        <v>3</v>
      </c>
      <c r="BI545">
        <v>1</v>
      </c>
      <c r="BJ545" t="s">
        <v>3</v>
      </c>
      <c r="BM545">
        <v>6001</v>
      </c>
      <c r="BN545">
        <v>0</v>
      </c>
      <c r="BO545" t="s">
        <v>3</v>
      </c>
      <c r="BP545">
        <v>0</v>
      </c>
      <c r="BQ545">
        <v>0</v>
      </c>
      <c r="BR545">
        <v>0</v>
      </c>
      <c r="BS545">
        <v>1</v>
      </c>
      <c r="BT545">
        <v>1</v>
      </c>
      <c r="BU545">
        <v>1</v>
      </c>
      <c r="BV545">
        <v>1</v>
      </c>
      <c r="BW545">
        <v>1</v>
      </c>
      <c r="BX545">
        <v>1</v>
      </c>
      <c r="BY545" t="s">
        <v>3</v>
      </c>
      <c r="BZ545">
        <v>0</v>
      </c>
      <c r="CA545">
        <v>0</v>
      </c>
      <c r="CE545">
        <v>0</v>
      </c>
      <c r="CF545">
        <v>0</v>
      </c>
      <c r="CG545">
        <v>0</v>
      </c>
      <c r="CM545">
        <v>0</v>
      </c>
      <c r="CN545" t="s">
        <v>3</v>
      </c>
      <c r="CO545">
        <v>0</v>
      </c>
      <c r="CP545">
        <f t="shared" si="433"/>
        <v>0</v>
      </c>
      <c r="CQ545">
        <f t="shared" si="434"/>
        <v>6666.67</v>
      </c>
      <c r="CR545">
        <f t="shared" si="435"/>
        <v>0</v>
      </c>
      <c r="CS545">
        <f t="shared" si="436"/>
        <v>0</v>
      </c>
      <c r="CT545">
        <f t="shared" si="437"/>
        <v>0</v>
      </c>
      <c r="CU545">
        <f t="shared" si="438"/>
        <v>0</v>
      </c>
      <c r="CV545">
        <f t="shared" si="439"/>
        <v>0</v>
      </c>
      <c r="CW545">
        <f t="shared" si="440"/>
        <v>0</v>
      </c>
      <c r="CX545">
        <f t="shared" si="440"/>
        <v>0</v>
      </c>
      <c r="CY545">
        <f t="shared" si="441"/>
        <v>0</v>
      </c>
      <c r="CZ545">
        <f t="shared" si="442"/>
        <v>0</v>
      </c>
      <c r="DC545" t="s">
        <v>3</v>
      </c>
      <c r="DD545" t="s">
        <v>3</v>
      </c>
      <c r="DE545" t="s">
        <v>3</v>
      </c>
      <c r="DF545" t="s">
        <v>3</v>
      </c>
      <c r="DG545" t="s">
        <v>3</v>
      </c>
      <c r="DH545" t="s">
        <v>3</v>
      </c>
      <c r="DI545" t="s">
        <v>3</v>
      </c>
      <c r="DJ545" t="s">
        <v>3</v>
      </c>
      <c r="DK545" t="s">
        <v>3</v>
      </c>
      <c r="DL545" t="s">
        <v>3</v>
      </c>
      <c r="DM545" t="s">
        <v>3</v>
      </c>
      <c r="DN545">
        <v>0</v>
      </c>
      <c r="DO545">
        <v>0</v>
      </c>
      <c r="DP545">
        <v>1</v>
      </c>
      <c r="DQ545">
        <v>1</v>
      </c>
      <c r="DU545">
        <v>1013</v>
      </c>
      <c r="DV545" t="s">
        <v>251</v>
      </c>
      <c r="DW545" t="s">
        <v>251</v>
      </c>
      <c r="DX545">
        <v>1</v>
      </c>
      <c r="EE545">
        <v>38661473</v>
      </c>
      <c r="EF545">
        <v>0</v>
      </c>
      <c r="EG545" t="s">
        <v>130</v>
      </c>
      <c r="EH545">
        <v>0</v>
      </c>
      <c r="EI545" t="s">
        <v>3</v>
      </c>
      <c r="EJ545">
        <v>1</v>
      </c>
      <c r="EK545">
        <v>6001</v>
      </c>
      <c r="EL545" t="s">
        <v>131</v>
      </c>
      <c r="EM545" t="s">
        <v>130</v>
      </c>
      <c r="EO545" t="s">
        <v>3</v>
      </c>
      <c r="EQ545">
        <v>0</v>
      </c>
      <c r="ER545">
        <v>6666.67</v>
      </c>
      <c r="ES545">
        <v>6666.67</v>
      </c>
      <c r="ET545">
        <v>0</v>
      </c>
      <c r="EU545">
        <v>0</v>
      </c>
      <c r="EV545">
        <v>0</v>
      </c>
      <c r="EW545">
        <v>0</v>
      </c>
      <c r="EX545">
        <v>0</v>
      </c>
      <c r="EY545">
        <v>0</v>
      </c>
      <c r="EZ545">
        <v>5</v>
      </c>
      <c r="FC545">
        <v>1</v>
      </c>
      <c r="FD545">
        <v>18</v>
      </c>
      <c r="FF545">
        <v>8000</v>
      </c>
      <c r="FQ545">
        <v>0</v>
      </c>
      <c r="FR545">
        <f t="shared" si="443"/>
        <v>0</v>
      </c>
      <c r="FS545">
        <v>0</v>
      </c>
      <c r="FX545">
        <v>0</v>
      </c>
      <c r="FY545">
        <v>0</v>
      </c>
      <c r="GA545" t="s">
        <v>252</v>
      </c>
      <c r="GD545">
        <v>0</v>
      </c>
      <c r="GF545">
        <v>1189507216</v>
      </c>
      <c r="GG545">
        <v>2</v>
      </c>
      <c r="GH545">
        <v>3</v>
      </c>
      <c r="GI545">
        <v>-2</v>
      </c>
      <c r="GJ545">
        <v>0</v>
      </c>
      <c r="GK545">
        <f>ROUND(R545*(R12)/100,2)</f>
        <v>0</v>
      </c>
      <c r="GL545">
        <f t="shared" si="444"/>
        <v>0</v>
      </c>
      <c r="GM545">
        <f t="shared" si="445"/>
        <v>0</v>
      </c>
      <c r="GN545">
        <f t="shared" si="446"/>
        <v>0</v>
      </c>
      <c r="GO545">
        <f t="shared" si="447"/>
        <v>0</v>
      </c>
      <c r="GP545">
        <f t="shared" si="448"/>
        <v>0</v>
      </c>
      <c r="GR545">
        <v>1</v>
      </c>
      <c r="GS545">
        <v>1</v>
      </c>
      <c r="GT545">
        <v>0</v>
      </c>
      <c r="GU545" t="s">
        <v>3</v>
      </c>
      <c r="GV545">
        <f t="shared" si="449"/>
        <v>0</v>
      </c>
      <c r="GW545">
        <v>1</v>
      </c>
      <c r="GX545">
        <f t="shared" si="450"/>
        <v>0</v>
      </c>
      <c r="HA545">
        <v>0</v>
      </c>
      <c r="HB545">
        <v>0</v>
      </c>
      <c r="HC545">
        <f t="shared" si="451"/>
        <v>0</v>
      </c>
      <c r="HE545" t="s">
        <v>153</v>
      </c>
      <c r="HF545" t="s">
        <v>153</v>
      </c>
      <c r="IK545">
        <v>0</v>
      </c>
    </row>
    <row r="546" spans="1:245" x14ac:dyDescent="0.2">
      <c r="A546">
        <v>17</v>
      </c>
      <c r="B546">
        <v>1</v>
      </c>
      <c r="E546" t="s">
        <v>289</v>
      </c>
      <c r="F546" t="s">
        <v>129</v>
      </c>
      <c r="G546" t="s">
        <v>254</v>
      </c>
      <c r="H546" t="s">
        <v>123</v>
      </c>
      <c r="I546">
        <v>0</v>
      </c>
      <c r="J546">
        <v>0</v>
      </c>
      <c r="O546">
        <f t="shared" si="417"/>
        <v>0</v>
      </c>
      <c r="P546">
        <f t="shared" si="418"/>
        <v>0</v>
      </c>
      <c r="Q546">
        <f t="shared" si="419"/>
        <v>0</v>
      </c>
      <c r="R546">
        <f t="shared" si="420"/>
        <v>0</v>
      </c>
      <c r="S546">
        <f t="shared" si="421"/>
        <v>0</v>
      </c>
      <c r="T546">
        <f t="shared" si="422"/>
        <v>0</v>
      </c>
      <c r="U546">
        <f t="shared" si="423"/>
        <v>0</v>
      </c>
      <c r="V546">
        <f t="shared" si="424"/>
        <v>0</v>
      </c>
      <c r="W546">
        <f t="shared" si="425"/>
        <v>0</v>
      </c>
      <c r="X546">
        <f t="shared" si="426"/>
        <v>0</v>
      </c>
      <c r="Y546">
        <f t="shared" si="426"/>
        <v>0</v>
      </c>
      <c r="AA546">
        <v>38214492</v>
      </c>
      <c r="AB546">
        <f t="shared" si="427"/>
        <v>42833.33</v>
      </c>
      <c r="AC546">
        <f>ROUND((ES546),6)</f>
        <v>42833.33</v>
      </c>
      <c r="AD546">
        <f t="shared" si="428"/>
        <v>0</v>
      </c>
      <c r="AE546">
        <f t="shared" si="429"/>
        <v>0</v>
      </c>
      <c r="AF546">
        <f t="shared" si="429"/>
        <v>0</v>
      </c>
      <c r="AG546">
        <f t="shared" si="430"/>
        <v>0</v>
      </c>
      <c r="AH546">
        <f t="shared" si="431"/>
        <v>0</v>
      </c>
      <c r="AI546">
        <f t="shared" si="431"/>
        <v>0</v>
      </c>
      <c r="AJ546">
        <f t="shared" si="432"/>
        <v>0</v>
      </c>
      <c r="AK546">
        <v>42833.33</v>
      </c>
      <c r="AL546">
        <v>42833.33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1</v>
      </c>
      <c r="AW546">
        <v>1</v>
      </c>
      <c r="AZ546">
        <v>1</v>
      </c>
      <c r="BA546">
        <v>1</v>
      </c>
      <c r="BB546">
        <v>1</v>
      </c>
      <c r="BC546">
        <v>1</v>
      </c>
      <c r="BD546" t="s">
        <v>3</v>
      </c>
      <c r="BE546" t="s">
        <v>3</v>
      </c>
      <c r="BF546" t="s">
        <v>3</v>
      </c>
      <c r="BG546" t="s">
        <v>3</v>
      </c>
      <c r="BH546">
        <v>3</v>
      </c>
      <c r="BI546">
        <v>1</v>
      </c>
      <c r="BJ546" t="s">
        <v>3</v>
      </c>
      <c r="BM546">
        <v>6001</v>
      </c>
      <c r="BN546">
        <v>0</v>
      </c>
      <c r="BO546" t="s">
        <v>3</v>
      </c>
      <c r="BP546">
        <v>0</v>
      </c>
      <c r="BQ546">
        <v>0</v>
      </c>
      <c r="BR546">
        <v>0</v>
      </c>
      <c r="BS546">
        <v>1</v>
      </c>
      <c r="BT546">
        <v>1</v>
      </c>
      <c r="BU546">
        <v>1</v>
      </c>
      <c r="BV546">
        <v>1</v>
      </c>
      <c r="BW546">
        <v>1</v>
      </c>
      <c r="BX546">
        <v>1</v>
      </c>
      <c r="BY546" t="s">
        <v>3</v>
      </c>
      <c r="BZ546">
        <v>0</v>
      </c>
      <c r="CA546">
        <v>0</v>
      </c>
      <c r="CE546">
        <v>0</v>
      </c>
      <c r="CF546">
        <v>0</v>
      </c>
      <c r="CG546">
        <v>0</v>
      </c>
      <c r="CM546">
        <v>0</v>
      </c>
      <c r="CN546" t="s">
        <v>3</v>
      </c>
      <c r="CO546">
        <v>0</v>
      </c>
      <c r="CP546">
        <f t="shared" si="433"/>
        <v>0</v>
      </c>
      <c r="CQ546">
        <f t="shared" si="434"/>
        <v>42833.33</v>
      </c>
      <c r="CR546">
        <f t="shared" si="435"/>
        <v>0</v>
      </c>
      <c r="CS546">
        <f t="shared" si="436"/>
        <v>0</v>
      </c>
      <c r="CT546">
        <f t="shared" si="437"/>
        <v>0</v>
      </c>
      <c r="CU546">
        <f t="shared" si="438"/>
        <v>0</v>
      </c>
      <c r="CV546">
        <f t="shared" si="439"/>
        <v>0</v>
      </c>
      <c r="CW546">
        <f t="shared" si="440"/>
        <v>0</v>
      </c>
      <c r="CX546">
        <f t="shared" si="440"/>
        <v>0</v>
      </c>
      <c r="CY546">
        <f t="shared" si="441"/>
        <v>0</v>
      </c>
      <c r="CZ546">
        <f t="shared" si="442"/>
        <v>0</v>
      </c>
      <c r="DC546" t="s">
        <v>3</v>
      </c>
      <c r="DD546" t="s">
        <v>3</v>
      </c>
      <c r="DE546" t="s">
        <v>3</v>
      </c>
      <c r="DF546" t="s">
        <v>3</v>
      </c>
      <c r="DG546" t="s">
        <v>3</v>
      </c>
      <c r="DH546" t="s">
        <v>3</v>
      </c>
      <c r="DI546" t="s">
        <v>3</v>
      </c>
      <c r="DJ546" t="s">
        <v>3</v>
      </c>
      <c r="DK546" t="s">
        <v>3</v>
      </c>
      <c r="DL546" t="s">
        <v>3</v>
      </c>
      <c r="DM546" t="s">
        <v>3</v>
      </c>
      <c r="DN546">
        <v>0</v>
      </c>
      <c r="DO546">
        <v>0</v>
      </c>
      <c r="DP546">
        <v>1</v>
      </c>
      <c r="DQ546">
        <v>1</v>
      </c>
      <c r="DU546">
        <v>1010</v>
      </c>
      <c r="DV546" t="s">
        <v>123</v>
      </c>
      <c r="DW546" t="s">
        <v>123</v>
      </c>
      <c r="DX546">
        <v>1</v>
      </c>
      <c r="EE546">
        <v>38661473</v>
      </c>
      <c r="EF546">
        <v>0</v>
      </c>
      <c r="EG546" t="s">
        <v>130</v>
      </c>
      <c r="EH546">
        <v>0</v>
      </c>
      <c r="EI546" t="s">
        <v>3</v>
      </c>
      <c r="EJ546">
        <v>1</v>
      </c>
      <c r="EK546">
        <v>6001</v>
      </c>
      <c r="EL546" t="s">
        <v>131</v>
      </c>
      <c r="EM546" t="s">
        <v>130</v>
      </c>
      <c r="EO546" t="s">
        <v>3</v>
      </c>
      <c r="EQ546">
        <v>0</v>
      </c>
      <c r="ER546">
        <v>42833.33</v>
      </c>
      <c r="ES546">
        <v>42833.33</v>
      </c>
      <c r="ET546">
        <v>0</v>
      </c>
      <c r="EU546">
        <v>0</v>
      </c>
      <c r="EV546">
        <v>0</v>
      </c>
      <c r="EW546">
        <v>0</v>
      </c>
      <c r="EX546">
        <v>0</v>
      </c>
      <c r="EY546">
        <v>0</v>
      </c>
      <c r="EZ546">
        <v>5</v>
      </c>
      <c r="FC546">
        <v>1</v>
      </c>
      <c r="FD546">
        <v>18</v>
      </c>
      <c r="FF546">
        <v>51400</v>
      </c>
      <c r="FQ546">
        <v>0</v>
      </c>
      <c r="FR546">
        <f t="shared" si="443"/>
        <v>0</v>
      </c>
      <c r="FS546">
        <v>0</v>
      </c>
      <c r="FX546">
        <v>0</v>
      </c>
      <c r="FY546">
        <v>0</v>
      </c>
      <c r="GA546" t="s">
        <v>255</v>
      </c>
      <c r="GD546">
        <v>0</v>
      </c>
      <c r="GF546">
        <v>526505932</v>
      </c>
      <c r="GG546">
        <v>2</v>
      </c>
      <c r="GH546">
        <v>3</v>
      </c>
      <c r="GI546">
        <v>-2</v>
      </c>
      <c r="GJ546">
        <v>0</v>
      </c>
      <c r="GK546">
        <f>ROUND(R546*(R12)/100,2)</f>
        <v>0</v>
      </c>
      <c r="GL546">
        <f t="shared" si="444"/>
        <v>0</v>
      </c>
      <c r="GM546">
        <f t="shared" si="445"/>
        <v>0</v>
      </c>
      <c r="GN546">
        <f t="shared" si="446"/>
        <v>0</v>
      </c>
      <c r="GO546">
        <f t="shared" si="447"/>
        <v>0</v>
      </c>
      <c r="GP546">
        <f t="shared" si="448"/>
        <v>0</v>
      </c>
      <c r="GR546">
        <v>1</v>
      </c>
      <c r="GS546">
        <v>1</v>
      </c>
      <c r="GT546">
        <v>0</v>
      </c>
      <c r="GU546" t="s">
        <v>3</v>
      </c>
      <c r="GV546">
        <f t="shared" si="449"/>
        <v>0</v>
      </c>
      <c r="GW546">
        <v>1</v>
      </c>
      <c r="GX546">
        <f t="shared" si="450"/>
        <v>0</v>
      </c>
      <c r="HA546">
        <v>0</v>
      </c>
      <c r="HB546">
        <v>0</v>
      </c>
      <c r="HC546">
        <f t="shared" si="451"/>
        <v>0</v>
      </c>
      <c r="HE546" t="s">
        <v>153</v>
      </c>
      <c r="HF546" t="s">
        <v>153</v>
      </c>
      <c r="IK546">
        <v>0</v>
      </c>
    </row>
    <row r="548" spans="1:245" x14ac:dyDescent="0.2">
      <c r="A548" s="2">
        <v>51</v>
      </c>
      <c r="B548" s="2">
        <f>B537</f>
        <v>1</v>
      </c>
      <c r="C548" s="2">
        <f>A537</f>
        <v>5</v>
      </c>
      <c r="D548" s="2">
        <f>ROW(A537)</f>
        <v>537</v>
      </c>
      <c r="E548" s="2"/>
      <c r="F548" s="2" t="str">
        <f>IF(F537&lt;&gt;"",F537,"")</f>
        <v>Новый подраздел</v>
      </c>
      <c r="G548" s="2" t="str">
        <f>IF(G537&lt;&gt;"",G537,"")</f>
        <v>Установка ограждения</v>
      </c>
      <c r="H548" s="2">
        <v>0</v>
      </c>
      <c r="I548" s="2"/>
      <c r="J548" s="2"/>
      <c r="K548" s="2"/>
      <c r="L548" s="2"/>
      <c r="M548" s="2"/>
      <c r="N548" s="2"/>
      <c r="O548" s="2">
        <f t="shared" ref="O548:T548" si="452">ROUND(AB548,2)</f>
        <v>778463.03</v>
      </c>
      <c r="P548" s="2">
        <f t="shared" si="452"/>
        <v>667788.87</v>
      </c>
      <c r="Q548" s="2">
        <f t="shared" si="452"/>
        <v>24629.95</v>
      </c>
      <c r="R548" s="2">
        <f t="shared" si="452"/>
        <v>4684.1000000000004</v>
      </c>
      <c r="S548" s="2">
        <f t="shared" si="452"/>
        <v>86044.21</v>
      </c>
      <c r="T548" s="2">
        <f t="shared" si="452"/>
        <v>0</v>
      </c>
      <c r="U548" s="2">
        <f>AH548</f>
        <v>410.97199999999998</v>
      </c>
      <c r="V548" s="2">
        <f>AI548</f>
        <v>0</v>
      </c>
      <c r="W548" s="2">
        <f>ROUND(AJ548,2)</f>
        <v>0</v>
      </c>
      <c r="X548" s="2">
        <f>ROUND(AK548,2)</f>
        <v>60230.95</v>
      </c>
      <c r="Y548" s="2">
        <f>ROUND(AL548,2)</f>
        <v>8604.42</v>
      </c>
      <c r="Z548" s="2"/>
      <c r="AA548" s="2"/>
      <c r="AB548" s="2">
        <f>ROUND(SUMIF(AA541:AA546,"=38214492",O541:O546),2)</f>
        <v>778463.03</v>
      </c>
      <c r="AC548" s="2">
        <f>ROUND(SUMIF(AA541:AA546,"=38214492",P541:P546),2)</f>
        <v>667788.87</v>
      </c>
      <c r="AD548" s="2">
        <f>ROUND(SUMIF(AA541:AA546,"=38214492",Q541:Q546),2)</f>
        <v>24629.95</v>
      </c>
      <c r="AE548" s="2">
        <f>ROUND(SUMIF(AA541:AA546,"=38214492",R541:R546),2)</f>
        <v>4684.1000000000004</v>
      </c>
      <c r="AF548" s="2">
        <f>ROUND(SUMIF(AA541:AA546,"=38214492",S541:S546),2)</f>
        <v>86044.21</v>
      </c>
      <c r="AG548" s="2">
        <f>ROUND(SUMIF(AA541:AA546,"=38214492",T541:T546),2)</f>
        <v>0</v>
      </c>
      <c r="AH548" s="2">
        <f>SUMIF(AA541:AA546,"=38214492",U541:U546)</f>
        <v>410.97199999999998</v>
      </c>
      <c r="AI548" s="2">
        <f>SUMIF(AA541:AA546,"=38214492",V541:V546)</f>
        <v>0</v>
      </c>
      <c r="AJ548" s="2">
        <f>ROUND(SUMIF(AA541:AA546,"=38214492",W541:W546),2)</f>
        <v>0</v>
      </c>
      <c r="AK548" s="2">
        <f>ROUND(SUMIF(AA541:AA546,"=38214492",X541:X546),2)</f>
        <v>60230.95</v>
      </c>
      <c r="AL548" s="2">
        <f>ROUND(SUMIF(AA541:AA546,"=38214492",Y541:Y546),2)</f>
        <v>8604.42</v>
      </c>
      <c r="AM548" s="2"/>
      <c r="AN548" s="2"/>
      <c r="AO548" s="2">
        <f t="shared" ref="AO548:BD548" si="453">ROUND(BX548,2)</f>
        <v>0</v>
      </c>
      <c r="AP548" s="2">
        <f t="shared" si="453"/>
        <v>0</v>
      </c>
      <c r="AQ548" s="2">
        <f t="shared" si="453"/>
        <v>0</v>
      </c>
      <c r="AR548" s="2">
        <f t="shared" si="453"/>
        <v>852357.22</v>
      </c>
      <c r="AS548" s="2">
        <f t="shared" si="453"/>
        <v>0</v>
      </c>
      <c r="AT548" s="2">
        <f t="shared" si="453"/>
        <v>0</v>
      </c>
      <c r="AU548" s="2">
        <f t="shared" si="453"/>
        <v>852357.22</v>
      </c>
      <c r="AV548" s="2">
        <f t="shared" si="453"/>
        <v>667788.87</v>
      </c>
      <c r="AW548" s="2">
        <f t="shared" si="453"/>
        <v>667788.87</v>
      </c>
      <c r="AX548" s="2">
        <f t="shared" si="453"/>
        <v>0</v>
      </c>
      <c r="AY548" s="2">
        <f t="shared" si="453"/>
        <v>667788.87</v>
      </c>
      <c r="AZ548" s="2">
        <f t="shared" si="453"/>
        <v>0</v>
      </c>
      <c r="BA548" s="2">
        <f t="shared" si="453"/>
        <v>0</v>
      </c>
      <c r="BB548" s="2">
        <f t="shared" si="453"/>
        <v>0</v>
      </c>
      <c r="BC548" s="2">
        <f t="shared" si="453"/>
        <v>0</v>
      </c>
      <c r="BD548" s="2">
        <f t="shared" si="453"/>
        <v>0</v>
      </c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>
        <f>ROUND(SUMIF(AA541:AA546,"=38214492",FQ541:FQ546),2)</f>
        <v>0</v>
      </c>
      <c r="BY548" s="2">
        <f>ROUND(SUMIF(AA541:AA546,"=38214492",FR541:FR546),2)</f>
        <v>0</v>
      </c>
      <c r="BZ548" s="2">
        <f>ROUND(SUMIF(AA541:AA546,"=38214492",GL541:GL546),2)</f>
        <v>0</v>
      </c>
      <c r="CA548" s="2">
        <f>ROUND(SUMIF(AA541:AA546,"=38214492",GM541:GM546),2)</f>
        <v>852357.22</v>
      </c>
      <c r="CB548" s="2">
        <f>ROUND(SUMIF(AA541:AA546,"=38214492",GN541:GN546),2)</f>
        <v>0</v>
      </c>
      <c r="CC548" s="2">
        <f>ROUND(SUMIF(AA541:AA546,"=38214492",GO541:GO546),2)</f>
        <v>0</v>
      </c>
      <c r="CD548" s="2">
        <f>ROUND(SUMIF(AA541:AA546,"=38214492",GP541:GP546),2)</f>
        <v>852357.22</v>
      </c>
      <c r="CE548" s="2">
        <f>AC548-BX548</f>
        <v>667788.87</v>
      </c>
      <c r="CF548" s="2">
        <f>AC548-BY548</f>
        <v>667788.87</v>
      </c>
      <c r="CG548" s="2">
        <f>BX548-BZ548</f>
        <v>0</v>
      </c>
      <c r="CH548" s="2">
        <f>AC548-BX548-BY548+BZ548</f>
        <v>667788.87</v>
      </c>
      <c r="CI548" s="2">
        <f>BY548-BZ548</f>
        <v>0</v>
      </c>
      <c r="CJ548" s="2">
        <f>ROUND(SUMIF(AA541:AA546,"=38214492",GX541:GX546),2)</f>
        <v>0</v>
      </c>
      <c r="CK548" s="2">
        <f>ROUND(SUMIF(AA541:AA546,"=38214492",GY541:GY546),2)</f>
        <v>0</v>
      </c>
      <c r="CL548" s="2">
        <f>ROUND(SUMIF(AA541:AA546,"=38214492",GZ541:GZ546),2)</f>
        <v>0</v>
      </c>
      <c r="CM548" s="2">
        <f>ROUND(SUMIF(AA541:AA546,"=38214492",HD541:HD546),2)</f>
        <v>0</v>
      </c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  <c r="DF548" s="2"/>
      <c r="DG548" s="3"/>
      <c r="DH548" s="3"/>
      <c r="DI548" s="3"/>
      <c r="DJ548" s="3"/>
      <c r="DK548" s="3"/>
      <c r="DL548" s="3"/>
      <c r="DM548" s="3"/>
      <c r="DN548" s="3"/>
      <c r="DO548" s="3"/>
      <c r="DP548" s="3"/>
      <c r="DQ548" s="3"/>
      <c r="DR548" s="3"/>
      <c r="DS548" s="3"/>
      <c r="DT548" s="3"/>
      <c r="DU548" s="3"/>
      <c r="DV548" s="3"/>
      <c r="DW548" s="3"/>
      <c r="DX548" s="3"/>
      <c r="DY548" s="3"/>
      <c r="DZ548" s="3"/>
      <c r="EA548" s="3"/>
      <c r="EB548" s="3"/>
      <c r="EC548" s="3"/>
      <c r="ED548" s="3"/>
      <c r="EE548" s="3"/>
      <c r="EF548" s="3"/>
      <c r="EG548" s="3"/>
      <c r="EH548" s="3"/>
      <c r="EI548" s="3"/>
      <c r="EJ548" s="3"/>
      <c r="EK548" s="3"/>
      <c r="EL548" s="3"/>
      <c r="EM548" s="3"/>
      <c r="EN548" s="3"/>
      <c r="EO548" s="3"/>
      <c r="EP548" s="3"/>
      <c r="EQ548" s="3"/>
      <c r="ER548" s="3"/>
      <c r="ES548" s="3"/>
      <c r="ET548" s="3"/>
      <c r="EU548" s="3"/>
      <c r="EV548" s="3"/>
      <c r="EW548" s="3"/>
      <c r="EX548" s="3"/>
      <c r="EY548" s="3"/>
      <c r="EZ548" s="3"/>
      <c r="FA548" s="3"/>
      <c r="FB548" s="3"/>
      <c r="FC548" s="3"/>
      <c r="FD548" s="3"/>
      <c r="FE548" s="3"/>
      <c r="FF548" s="3"/>
      <c r="FG548" s="3"/>
      <c r="FH548" s="3"/>
      <c r="FI548" s="3"/>
      <c r="FJ548" s="3"/>
      <c r="FK548" s="3"/>
      <c r="FL548" s="3"/>
      <c r="FM548" s="3"/>
      <c r="FN548" s="3"/>
      <c r="FO548" s="3"/>
      <c r="FP548" s="3"/>
      <c r="FQ548" s="3"/>
      <c r="FR548" s="3"/>
      <c r="FS548" s="3"/>
      <c r="FT548" s="3"/>
      <c r="FU548" s="3"/>
      <c r="FV548" s="3"/>
      <c r="FW548" s="3"/>
      <c r="FX548" s="3"/>
      <c r="FY548" s="3"/>
      <c r="FZ548" s="3"/>
      <c r="GA548" s="3"/>
      <c r="GB548" s="3"/>
      <c r="GC548" s="3"/>
      <c r="GD548" s="3"/>
      <c r="GE548" s="3"/>
      <c r="GF548" s="3"/>
      <c r="GG548" s="3"/>
      <c r="GH548" s="3"/>
      <c r="GI548" s="3"/>
      <c r="GJ548" s="3"/>
      <c r="GK548" s="3"/>
      <c r="GL548" s="3"/>
      <c r="GM548" s="3"/>
      <c r="GN548" s="3"/>
      <c r="GO548" s="3"/>
      <c r="GP548" s="3"/>
      <c r="GQ548" s="3"/>
      <c r="GR548" s="3"/>
      <c r="GS548" s="3"/>
      <c r="GT548" s="3"/>
      <c r="GU548" s="3"/>
      <c r="GV548" s="3"/>
      <c r="GW548" s="3"/>
      <c r="GX548" s="3">
        <v>0</v>
      </c>
    </row>
    <row r="550" spans="1:245" x14ac:dyDescent="0.2">
      <c r="A550" s="4">
        <v>50</v>
      </c>
      <c r="B550" s="4">
        <v>0</v>
      </c>
      <c r="C550" s="4">
        <v>0</v>
      </c>
      <c r="D550" s="4">
        <v>1</v>
      </c>
      <c r="E550" s="4">
        <v>201</v>
      </c>
      <c r="F550" s="4">
        <f>ROUND(Source!O548,O550)</f>
        <v>778463.03</v>
      </c>
      <c r="G550" s="4" t="s">
        <v>56</v>
      </c>
      <c r="H550" s="4" t="s">
        <v>57</v>
      </c>
      <c r="I550" s="4"/>
      <c r="J550" s="4"/>
      <c r="K550" s="4">
        <v>201</v>
      </c>
      <c r="L550" s="4">
        <v>1</v>
      </c>
      <c r="M550" s="4">
        <v>3</v>
      </c>
      <c r="N550" s="4" t="s">
        <v>3</v>
      </c>
      <c r="O550" s="4">
        <v>2</v>
      </c>
      <c r="P550" s="4"/>
      <c r="Q550" s="4"/>
      <c r="R550" s="4"/>
      <c r="S550" s="4"/>
      <c r="T550" s="4"/>
      <c r="U550" s="4"/>
      <c r="V550" s="4"/>
      <c r="W550" s="4"/>
    </row>
    <row r="551" spans="1:245" x14ac:dyDescent="0.2">
      <c r="A551" s="4">
        <v>50</v>
      </c>
      <c r="B551" s="4">
        <v>0</v>
      </c>
      <c r="C551" s="4">
        <v>0</v>
      </c>
      <c r="D551" s="4">
        <v>1</v>
      </c>
      <c r="E551" s="4">
        <v>202</v>
      </c>
      <c r="F551" s="4">
        <f>ROUND(Source!P548,O551)</f>
        <v>667788.87</v>
      </c>
      <c r="G551" s="4" t="s">
        <v>58</v>
      </c>
      <c r="H551" s="4" t="s">
        <v>59</v>
      </c>
      <c r="I551" s="4"/>
      <c r="J551" s="4"/>
      <c r="K551" s="4">
        <v>202</v>
      </c>
      <c r="L551" s="4">
        <v>2</v>
      </c>
      <c r="M551" s="4">
        <v>3</v>
      </c>
      <c r="N551" s="4" t="s">
        <v>3</v>
      </c>
      <c r="O551" s="4">
        <v>2</v>
      </c>
      <c r="P551" s="4"/>
      <c r="Q551" s="4"/>
      <c r="R551" s="4"/>
      <c r="S551" s="4"/>
      <c r="T551" s="4"/>
      <c r="U551" s="4"/>
      <c r="V551" s="4"/>
      <c r="W551" s="4"/>
    </row>
    <row r="552" spans="1:245" x14ac:dyDescent="0.2">
      <c r="A552" s="4">
        <v>50</v>
      </c>
      <c r="B552" s="4">
        <v>0</v>
      </c>
      <c r="C552" s="4">
        <v>0</v>
      </c>
      <c r="D552" s="4">
        <v>1</v>
      </c>
      <c r="E552" s="4">
        <v>222</v>
      </c>
      <c r="F552" s="4">
        <f>ROUND(Source!AO548,O552)</f>
        <v>0</v>
      </c>
      <c r="G552" s="4" t="s">
        <v>60</v>
      </c>
      <c r="H552" s="4" t="s">
        <v>61</v>
      </c>
      <c r="I552" s="4"/>
      <c r="J552" s="4"/>
      <c r="K552" s="4">
        <v>222</v>
      </c>
      <c r="L552" s="4">
        <v>3</v>
      </c>
      <c r="M552" s="4">
        <v>3</v>
      </c>
      <c r="N552" s="4" t="s">
        <v>3</v>
      </c>
      <c r="O552" s="4">
        <v>2</v>
      </c>
      <c r="P552" s="4"/>
      <c r="Q552" s="4"/>
      <c r="R552" s="4"/>
      <c r="S552" s="4"/>
      <c r="T552" s="4"/>
      <c r="U552" s="4"/>
      <c r="V552" s="4"/>
      <c r="W552" s="4"/>
    </row>
    <row r="553" spans="1:245" x14ac:dyDescent="0.2">
      <c r="A553" s="4">
        <v>50</v>
      </c>
      <c r="B553" s="4">
        <v>0</v>
      </c>
      <c r="C553" s="4">
        <v>0</v>
      </c>
      <c r="D553" s="4">
        <v>1</v>
      </c>
      <c r="E553" s="4">
        <v>225</v>
      </c>
      <c r="F553" s="4">
        <f>ROUND(Source!AV548,O553)</f>
        <v>667788.87</v>
      </c>
      <c r="G553" s="4" t="s">
        <v>62</v>
      </c>
      <c r="H553" s="4" t="s">
        <v>63</v>
      </c>
      <c r="I553" s="4"/>
      <c r="J553" s="4"/>
      <c r="K553" s="4">
        <v>225</v>
      </c>
      <c r="L553" s="4">
        <v>4</v>
      </c>
      <c r="M553" s="4">
        <v>3</v>
      </c>
      <c r="N553" s="4" t="s">
        <v>3</v>
      </c>
      <c r="O553" s="4">
        <v>2</v>
      </c>
      <c r="P553" s="4"/>
      <c r="Q553" s="4"/>
      <c r="R553" s="4"/>
      <c r="S553" s="4"/>
      <c r="T553" s="4"/>
      <c r="U553" s="4"/>
      <c r="V553" s="4"/>
      <c r="W553" s="4"/>
    </row>
    <row r="554" spans="1:245" x14ac:dyDescent="0.2">
      <c r="A554" s="4">
        <v>50</v>
      </c>
      <c r="B554" s="4">
        <v>0</v>
      </c>
      <c r="C554" s="4">
        <v>0</v>
      </c>
      <c r="D554" s="4">
        <v>1</v>
      </c>
      <c r="E554" s="4">
        <v>226</v>
      </c>
      <c r="F554" s="4">
        <f>ROUND(Source!AW548,O554)</f>
        <v>667788.87</v>
      </c>
      <c r="G554" s="4" t="s">
        <v>64</v>
      </c>
      <c r="H554" s="4" t="s">
        <v>65</v>
      </c>
      <c r="I554" s="4"/>
      <c r="J554" s="4"/>
      <c r="K554" s="4">
        <v>226</v>
      </c>
      <c r="L554" s="4">
        <v>5</v>
      </c>
      <c r="M554" s="4">
        <v>3</v>
      </c>
      <c r="N554" s="4" t="s">
        <v>3</v>
      </c>
      <c r="O554" s="4">
        <v>2</v>
      </c>
      <c r="P554" s="4"/>
      <c r="Q554" s="4"/>
      <c r="R554" s="4"/>
      <c r="S554" s="4"/>
      <c r="T554" s="4"/>
      <c r="U554" s="4"/>
      <c r="V554" s="4"/>
      <c r="W554" s="4"/>
    </row>
    <row r="555" spans="1:245" x14ac:dyDescent="0.2">
      <c r="A555" s="4">
        <v>50</v>
      </c>
      <c r="B555" s="4">
        <v>0</v>
      </c>
      <c r="C555" s="4">
        <v>0</v>
      </c>
      <c r="D555" s="4">
        <v>1</v>
      </c>
      <c r="E555" s="4">
        <v>227</v>
      </c>
      <c r="F555" s="4">
        <f>ROUND(Source!AX548,O555)</f>
        <v>0</v>
      </c>
      <c r="G555" s="4" t="s">
        <v>66</v>
      </c>
      <c r="H555" s="4" t="s">
        <v>67</v>
      </c>
      <c r="I555" s="4"/>
      <c r="J555" s="4"/>
      <c r="K555" s="4">
        <v>227</v>
      </c>
      <c r="L555" s="4">
        <v>6</v>
      </c>
      <c r="M555" s="4">
        <v>3</v>
      </c>
      <c r="N555" s="4" t="s">
        <v>3</v>
      </c>
      <c r="O555" s="4">
        <v>2</v>
      </c>
      <c r="P555" s="4"/>
      <c r="Q555" s="4"/>
      <c r="R555" s="4"/>
      <c r="S555" s="4"/>
      <c r="T555" s="4"/>
      <c r="U555" s="4"/>
      <c r="V555" s="4"/>
      <c r="W555" s="4"/>
    </row>
    <row r="556" spans="1:245" x14ac:dyDescent="0.2">
      <c r="A556" s="4">
        <v>50</v>
      </c>
      <c r="B556" s="4">
        <v>0</v>
      </c>
      <c r="C556" s="4">
        <v>0</v>
      </c>
      <c r="D556" s="4">
        <v>1</v>
      </c>
      <c r="E556" s="4">
        <v>228</v>
      </c>
      <c r="F556" s="4">
        <f>ROUND(Source!AY548,O556)</f>
        <v>667788.87</v>
      </c>
      <c r="G556" s="4" t="s">
        <v>68</v>
      </c>
      <c r="H556" s="4" t="s">
        <v>69</v>
      </c>
      <c r="I556" s="4"/>
      <c r="J556" s="4"/>
      <c r="K556" s="4">
        <v>228</v>
      </c>
      <c r="L556" s="4">
        <v>7</v>
      </c>
      <c r="M556" s="4">
        <v>3</v>
      </c>
      <c r="N556" s="4" t="s">
        <v>3</v>
      </c>
      <c r="O556" s="4">
        <v>2</v>
      </c>
      <c r="P556" s="4"/>
      <c r="Q556" s="4"/>
      <c r="R556" s="4"/>
      <c r="S556" s="4"/>
      <c r="T556" s="4"/>
      <c r="U556" s="4"/>
      <c r="V556" s="4"/>
      <c r="W556" s="4"/>
    </row>
    <row r="557" spans="1:245" x14ac:dyDescent="0.2">
      <c r="A557" s="4">
        <v>50</v>
      </c>
      <c r="B557" s="4">
        <v>0</v>
      </c>
      <c r="C557" s="4">
        <v>0</v>
      </c>
      <c r="D557" s="4">
        <v>1</v>
      </c>
      <c r="E557" s="4">
        <v>216</v>
      </c>
      <c r="F557" s="4">
        <f>ROUND(Source!AP548,O557)</f>
        <v>0</v>
      </c>
      <c r="G557" s="4" t="s">
        <v>70</v>
      </c>
      <c r="H557" s="4" t="s">
        <v>71</v>
      </c>
      <c r="I557" s="4"/>
      <c r="J557" s="4"/>
      <c r="K557" s="4">
        <v>216</v>
      </c>
      <c r="L557" s="4">
        <v>8</v>
      </c>
      <c r="M557" s="4">
        <v>3</v>
      </c>
      <c r="N557" s="4" t="s">
        <v>3</v>
      </c>
      <c r="O557" s="4">
        <v>2</v>
      </c>
      <c r="P557" s="4"/>
      <c r="Q557" s="4"/>
      <c r="R557" s="4"/>
      <c r="S557" s="4"/>
      <c r="T557" s="4"/>
      <c r="U557" s="4"/>
      <c r="V557" s="4"/>
      <c r="W557" s="4"/>
    </row>
    <row r="558" spans="1:245" x14ac:dyDescent="0.2">
      <c r="A558" s="4">
        <v>50</v>
      </c>
      <c r="B558" s="4">
        <v>0</v>
      </c>
      <c r="C558" s="4">
        <v>0</v>
      </c>
      <c r="D558" s="4">
        <v>1</v>
      </c>
      <c r="E558" s="4">
        <v>223</v>
      </c>
      <c r="F558" s="4">
        <f>ROUND(Source!AQ548,O558)</f>
        <v>0</v>
      </c>
      <c r="G558" s="4" t="s">
        <v>72</v>
      </c>
      <c r="H558" s="4" t="s">
        <v>73</v>
      </c>
      <c r="I558" s="4"/>
      <c r="J558" s="4"/>
      <c r="K558" s="4">
        <v>223</v>
      </c>
      <c r="L558" s="4">
        <v>9</v>
      </c>
      <c r="M558" s="4">
        <v>3</v>
      </c>
      <c r="N558" s="4" t="s">
        <v>3</v>
      </c>
      <c r="O558" s="4">
        <v>2</v>
      </c>
      <c r="P558" s="4"/>
      <c r="Q558" s="4"/>
      <c r="R558" s="4"/>
      <c r="S558" s="4"/>
      <c r="T558" s="4"/>
      <c r="U558" s="4"/>
      <c r="V558" s="4"/>
      <c r="W558" s="4"/>
    </row>
    <row r="559" spans="1:245" x14ac:dyDescent="0.2">
      <c r="A559" s="4">
        <v>50</v>
      </c>
      <c r="B559" s="4">
        <v>0</v>
      </c>
      <c r="C559" s="4">
        <v>0</v>
      </c>
      <c r="D559" s="4">
        <v>1</v>
      </c>
      <c r="E559" s="4">
        <v>229</v>
      </c>
      <c r="F559" s="4">
        <f>ROUND(Source!AZ548,O559)</f>
        <v>0</v>
      </c>
      <c r="G559" s="4" t="s">
        <v>74</v>
      </c>
      <c r="H559" s="4" t="s">
        <v>75</v>
      </c>
      <c r="I559" s="4"/>
      <c r="J559" s="4"/>
      <c r="K559" s="4">
        <v>229</v>
      </c>
      <c r="L559" s="4">
        <v>10</v>
      </c>
      <c r="M559" s="4">
        <v>3</v>
      </c>
      <c r="N559" s="4" t="s">
        <v>3</v>
      </c>
      <c r="O559" s="4">
        <v>2</v>
      </c>
      <c r="P559" s="4"/>
      <c r="Q559" s="4"/>
      <c r="R559" s="4"/>
      <c r="S559" s="4"/>
      <c r="T559" s="4"/>
      <c r="U559" s="4"/>
      <c r="V559" s="4"/>
      <c r="W559" s="4"/>
    </row>
    <row r="560" spans="1:245" x14ac:dyDescent="0.2">
      <c r="A560" s="4">
        <v>50</v>
      </c>
      <c r="B560" s="4">
        <v>0</v>
      </c>
      <c r="C560" s="4">
        <v>0</v>
      </c>
      <c r="D560" s="4">
        <v>1</v>
      </c>
      <c r="E560" s="4">
        <v>203</v>
      </c>
      <c r="F560" s="4">
        <f>ROUND(Source!Q548,O560)</f>
        <v>24629.95</v>
      </c>
      <c r="G560" s="4" t="s">
        <v>76</v>
      </c>
      <c r="H560" s="4" t="s">
        <v>77</v>
      </c>
      <c r="I560" s="4"/>
      <c r="J560" s="4"/>
      <c r="K560" s="4">
        <v>203</v>
      </c>
      <c r="L560" s="4">
        <v>11</v>
      </c>
      <c r="M560" s="4">
        <v>3</v>
      </c>
      <c r="N560" s="4" t="s">
        <v>3</v>
      </c>
      <c r="O560" s="4">
        <v>2</v>
      </c>
      <c r="P560" s="4"/>
      <c r="Q560" s="4"/>
      <c r="R560" s="4"/>
      <c r="S560" s="4"/>
      <c r="T560" s="4"/>
      <c r="U560" s="4"/>
      <c r="V560" s="4"/>
      <c r="W560" s="4"/>
    </row>
    <row r="561" spans="1:23" x14ac:dyDescent="0.2">
      <c r="A561" s="4">
        <v>50</v>
      </c>
      <c r="B561" s="4">
        <v>0</v>
      </c>
      <c r="C561" s="4">
        <v>0</v>
      </c>
      <c r="D561" s="4">
        <v>1</v>
      </c>
      <c r="E561" s="4">
        <v>231</v>
      </c>
      <c r="F561" s="4">
        <f>ROUND(Source!BB548,O561)</f>
        <v>0</v>
      </c>
      <c r="G561" s="4" t="s">
        <v>78</v>
      </c>
      <c r="H561" s="4" t="s">
        <v>79</v>
      </c>
      <c r="I561" s="4"/>
      <c r="J561" s="4"/>
      <c r="K561" s="4">
        <v>231</v>
      </c>
      <c r="L561" s="4">
        <v>12</v>
      </c>
      <c r="M561" s="4">
        <v>3</v>
      </c>
      <c r="N561" s="4" t="s">
        <v>3</v>
      </c>
      <c r="O561" s="4">
        <v>2</v>
      </c>
      <c r="P561" s="4"/>
      <c r="Q561" s="4"/>
      <c r="R561" s="4"/>
      <c r="S561" s="4"/>
      <c r="T561" s="4"/>
      <c r="U561" s="4"/>
      <c r="V561" s="4"/>
      <c r="W561" s="4"/>
    </row>
    <row r="562" spans="1:23" x14ac:dyDescent="0.2">
      <c r="A562" s="4">
        <v>50</v>
      </c>
      <c r="B562" s="4">
        <v>0</v>
      </c>
      <c r="C562" s="4">
        <v>0</v>
      </c>
      <c r="D562" s="4">
        <v>1</v>
      </c>
      <c r="E562" s="4">
        <v>204</v>
      </c>
      <c r="F562" s="4">
        <f>ROUND(Source!R548,O562)</f>
        <v>4684.1000000000004</v>
      </c>
      <c r="G562" s="4" t="s">
        <v>80</v>
      </c>
      <c r="H562" s="4" t="s">
        <v>81</v>
      </c>
      <c r="I562" s="4"/>
      <c r="J562" s="4"/>
      <c r="K562" s="4">
        <v>204</v>
      </c>
      <c r="L562" s="4">
        <v>13</v>
      </c>
      <c r="M562" s="4">
        <v>3</v>
      </c>
      <c r="N562" s="4" t="s">
        <v>3</v>
      </c>
      <c r="O562" s="4">
        <v>2</v>
      </c>
      <c r="P562" s="4"/>
      <c r="Q562" s="4"/>
      <c r="R562" s="4"/>
      <c r="S562" s="4"/>
      <c r="T562" s="4"/>
      <c r="U562" s="4"/>
      <c r="V562" s="4"/>
      <c r="W562" s="4"/>
    </row>
    <row r="563" spans="1:23" x14ac:dyDescent="0.2">
      <c r="A563" s="4">
        <v>50</v>
      </c>
      <c r="B563" s="4">
        <v>0</v>
      </c>
      <c r="C563" s="4">
        <v>0</v>
      </c>
      <c r="D563" s="4">
        <v>1</v>
      </c>
      <c r="E563" s="4">
        <v>205</v>
      </c>
      <c r="F563" s="4">
        <f>ROUND(Source!S548,O563)</f>
        <v>86044.21</v>
      </c>
      <c r="G563" s="4" t="s">
        <v>82</v>
      </c>
      <c r="H563" s="4" t="s">
        <v>83</v>
      </c>
      <c r="I563" s="4"/>
      <c r="J563" s="4"/>
      <c r="K563" s="4">
        <v>205</v>
      </c>
      <c r="L563" s="4">
        <v>14</v>
      </c>
      <c r="M563" s="4">
        <v>3</v>
      </c>
      <c r="N563" s="4" t="s">
        <v>3</v>
      </c>
      <c r="O563" s="4">
        <v>2</v>
      </c>
      <c r="P563" s="4"/>
      <c r="Q563" s="4"/>
      <c r="R563" s="4"/>
      <c r="S563" s="4"/>
      <c r="T563" s="4"/>
      <c r="U563" s="4"/>
      <c r="V563" s="4"/>
      <c r="W563" s="4"/>
    </row>
    <row r="564" spans="1:23" x14ac:dyDescent="0.2">
      <c r="A564" s="4">
        <v>50</v>
      </c>
      <c r="B564" s="4">
        <v>0</v>
      </c>
      <c r="C564" s="4">
        <v>0</v>
      </c>
      <c r="D564" s="4">
        <v>1</v>
      </c>
      <c r="E564" s="4">
        <v>232</v>
      </c>
      <c r="F564" s="4">
        <f>ROUND(Source!BC548,O564)</f>
        <v>0</v>
      </c>
      <c r="G564" s="4" t="s">
        <v>84</v>
      </c>
      <c r="H564" s="4" t="s">
        <v>85</v>
      </c>
      <c r="I564" s="4"/>
      <c r="J564" s="4"/>
      <c r="K564" s="4">
        <v>232</v>
      </c>
      <c r="L564" s="4">
        <v>15</v>
      </c>
      <c r="M564" s="4">
        <v>3</v>
      </c>
      <c r="N564" s="4" t="s">
        <v>3</v>
      </c>
      <c r="O564" s="4">
        <v>2</v>
      </c>
      <c r="P564" s="4"/>
      <c r="Q564" s="4"/>
      <c r="R564" s="4"/>
      <c r="S564" s="4"/>
      <c r="T564" s="4"/>
      <c r="U564" s="4"/>
      <c r="V564" s="4"/>
      <c r="W564" s="4"/>
    </row>
    <row r="565" spans="1:23" x14ac:dyDescent="0.2">
      <c r="A565" s="4">
        <v>50</v>
      </c>
      <c r="B565" s="4">
        <v>0</v>
      </c>
      <c r="C565" s="4">
        <v>0</v>
      </c>
      <c r="D565" s="4">
        <v>1</v>
      </c>
      <c r="E565" s="4">
        <v>214</v>
      </c>
      <c r="F565" s="4">
        <f>ROUND(Source!AS548,O565)</f>
        <v>0</v>
      </c>
      <c r="G565" s="4" t="s">
        <v>86</v>
      </c>
      <c r="H565" s="4" t="s">
        <v>87</v>
      </c>
      <c r="I565" s="4"/>
      <c r="J565" s="4"/>
      <c r="K565" s="4">
        <v>214</v>
      </c>
      <c r="L565" s="4">
        <v>16</v>
      </c>
      <c r="M565" s="4">
        <v>3</v>
      </c>
      <c r="N565" s="4" t="s">
        <v>3</v>
      </c>
      <c r="O565" s="4">
        <v>2</v>
      </c>
      <c r="P565" s="4"/>
      <c r="Q565" s="4"/>
      <c r="R565" s="4"/>
      <c r="S565" s="4"/>
      <c r="T565" s="4"/>
      <c r="U565" s="4"/>
      <c r="V565" s="4"/>
      <c r="W565" s="4"/>
    </row>
    <row r="566" spans="1:23" x14ac:dyDescent="0.2">
      <c r="A566" s="4">
        <v>50</v>
      </c>
      <c r="B566" s="4">
        <v>0</v>
      </c>
      <c r="C566" s="4">
        <v>0</v>
      </c>
      <c r="D566" s="4">
        <v>1</v>
      </c>
      <c r="E566" s="4">
        <v>215</v>
      </c>
      <c r="F566" s="4">
        <f>ROUND(Source!AT548,O566)</f>
        <v>0</v>
      </c>
      <c r="G566" s="4" t="s">
        <v>88</v>
      </c>
      <c r="H566" s="4" t="s">
        <v>89</v>
      </c>
      <c r="I566" s="4"/>
      <c r="J566" s="4"/>
      <c r="K566" s="4">
        <v>215</v>
      </c>
      <c r="L566" s="4">
        <v>17</v>
      </c>
      <c r="M566" s="4">
        <v>3</v>
      </c>
      <c r="N566" s="4" t="s">
        <v>3</v>
      </c>
      <c r="O566" s="4">
        <v>2</v>
      </c>
      <c r="P566" s="4"/>
      <c r="Q566" s="4"/>
      <c r="R566" s="4"/>
      <c r="S566" s="4"/>
      <c r="T566" s="4"/>
      <c r="U566" s="4"/>
      <c r="V566" s="4"/>
      <c r="W566" s="4"/>
    </row>
    <row r="567" spans="1:23" x14ac:dyDescent="0.2">
      <c r="A567" s="4">
        <v>50</v>
      </c>
      <c r="B567" s="4">
        <v>0</v>
      </c>
      <c r="C567" s="4">
        <v>0</v>
      </c>
      <c r="D567" s="4">
        <v>1</v>
      </c>
      <c r="E567" s="4">
        <v>217</v>
      </c>
      <c r="F567" s="4">
        <f>ROUND(Source!AU548,O567)</f>
        <v>852357.22</v>
      </c>
      <c r="G567" s="4" t="s">
        <v>90</v>
      </c>
      <c r="H567" s="4" t="s">
        <v>91</v>
      </c>
      <c r="I567" s="4"/>
      <c r="J567" s="4"/>
      <c r="K567" s="4">
        <v>217</v>
      </c>
      <c r="L567" s="4">
        <v>18</v>
      </c>
      <c r="M567" s="4">
        <v>3</v>
      </c>
      <c r="N567" s="4" t="s">
        <v>3</v>
      </c>
      <c r="O567" s="4">
        <v>2</v>
      </c>
      <c r="P567" s="4"/>
      <c r="Q567" s="4"/>
      <c r="R567" s="4"/>
      <c r="S567" s="4"/>
      <c r="T567" s="4"/>
      <c r="U567" s="4"/>
      <c r="V567" s="4"/>
      <c r="W567" s="4"/>
    </row>
    <row r="568" spans="1:23" x14ac:dyDescent="0.2">
      <c r="A568" s="4">
        <v>50</v>
      </c>
      <c r="B568" s="4">
        <v>0</v>
      </c>
      <c r="C568" s="4">
        <v>0</v>
      </c>
      <c r="D568" s="4">
        <v>1</v>
      </c>
      <c r="E568" s="4">
        <v>230</v>
      </c>
      <c r="F568" s="4">
        <f>ROUND(Source!BA548,O568)</f>
        <v>0</v>
      </c>
      <c r="G568" s="4" t="s">
        <v>92</v>
      </c>
      <c r="H568" s="4" t="s">
        <v>93</v>
      </c>
      <c r="I568" s="4"/>
      <c r="J568" s="4"/>
      <c r="K568" s="4">
        <v>230</v>
      </c>
      <c r="L568" s="4">
        <v>19</v>
      </c>
      <c r="M568" s="4">
        <v>3</v>
      </c>
      <c r="N568" s="4" t="s">
        <v>3</v>
      </c>
      <c r="O568" s="4">
        <v>2</v>
      </c>
      <c r="P568" s="4"/>
      <c r="Q568" s="4"/>
      <c r="R568" s="4"/>
      <c r="S568" s="4"/>
      <c r="T568" s="4"/>
      <c r="U568" s="4"/>
      <c r="V568" s="4"/>
      <c r="W568" s="4"/>
    </row>
    <row r="569" spans="1:23" x14ac:dyDescent="0.2">
      <c r="A569" s="4">
        <v>50</v>
      </c>
      <c r="B569" s="4">
        <v>0</v>
      </c>
      <c r="C569" s="4">
        <v>0</v>
      </c>
      <c r="D569" s="4">
        <v>1</v>
      </c>
      <c r="E569" s="4">
        <v>206</v>
      </c>
      <c r="F569" s="4">
        <f>ROUND(Source!T548,O569)</f>
        <v>0</v>
      </c>
      <c r="G569" s="4" t="s">
        <v>94</v>
      </c>
      <c r="H569" s="4" t="s">
        <v>95</v>
      </c>
      <c r="I569" s="4"/>
      <c r="J569" s="4"/>
      <c r="K569" s="4">
        <v>206</v>
      </c>
      <c r="L569" s="4">
        <v>20</v>
      </c>
      <c r="M569" s="4">
        <v>3</v>
      </c>
      <c r="N569" s="4" t="s">
        <v>3</v>
      </c>
      <c r="O569" s="4">
        <v>2</v>
      </c>
      <c r="P569" s="4"/>
      <c r="Q569" s="4"/>
      <c r="R569" s="4"/>
      <c r="S569" s="4"/>
      <c r="T569" s="4"/>
      <c r="U569" s="4"/>
      <c r="V569" s="4"/>
      <c r="W569" s="4"/>
    </row>
    <row r="570" spans="1:23" x14ac:dyDescent="0.2">
      <c r="A570" s="4">
        <v>50</v>
      </c>
      <c r="B570" s="4">
        <v>0</v>
      </c>
      <c r="C570" s="4">
        <v>0</v>
      </c>
      <c r="D570" s="4">
        <v>1</v>
      </c>
      <c r="E570" s="4">
        <v>207</v>
      </c>
      <c r="F570" s="4">
        <f>Source!U548</f>
        <v>410.97199999999998</v>
      </c>
      <c r="G570" s="4" t="s">
        <v>96</v>
      </c>
      <c r="H570" s="4" t="s">
        <v>97</v>
      </c>
      <c r="I570" s="4"/>
      <c r="J570" s="4"/>
      <c r="K570" s="4">
        <v>207</v>
      </c>
      <c r="L570" s="4">
        <v>21</v>
      </c>
      <c r="M570" s="4">
        <v>3</v>
      </c>
      <c r="N570" s="4" t="s">
        <v>3</v>
      </c>
      <c r="O570" s="4">
        <v>-1</v>
      </c>
      <c r="P570" s="4"/>
      <c r="Q570" s="4"/>
      <c r="R570" s="4"/>
      <c r="S570" s="4"/>
      <c r="T570" s="4"/>
      <c r="U570" s="4"/>
      <c r="V570" s="4"/>
      <c r="W570" s="4"/>
    </row>
    <row r="571" spans="1:23" x14ac:dyDescent="0.2">
      <c r="A571" s="4">
        <v>50</v>
      </c>
      <c r="B571" s="4">
        <v>0</v>
      </c>
      <c r="C571" s="4">
        <v>0</v>
      </c>
      <c r="D571" s="4">
        <v>1</v>
      </c>
      <c r="E571" s="4">
        <v>208</v>
      </c>
      <c r="F571" s="4">
        <f>Source!V548</f>
        <v>0</v>
      </c>
      <c r="G571" s="4" t="s">
        <v>98</v>
      </c>
      <c r="H571" s="4" t="s">
        <v>99</v>
      </c>
      <c r="I571" s="4"/>
      <c r="J571" s="4"/>
      <c r="K571" s="4">
        <v>208</v>
      </c>
      <c r="L571" s="4">
        <v>22</v>
      </c>
      <c r="M571" s="4">
        <v>3</v>
      </c>
      <c r="N571" s="4" t="s">
        <v>3</v>
      </c>
      <c r="O571" s="4">
        <v>-1</v>
      </c>
      <c r="P571" s="4"/>
      <c r="Q571" s="4"/>
      <c r="R571" s="4"/>
      <c r="S571" s="4"/>
      <c r="T571" s="4"/>
      <c r="U571" s="4"/>
      <c r="V571" s="4"/>
      <c r="W571" s="4"/>
    </row>
    <row r="572" spans="1:23" x14ac:dyDescent="0.2">
      <c r="A572" s="4">
        <v>50</v>
      </c>
      <c r="B572" s="4">
        <v>0</v>
      </c>
      <c r="C572" s="4">
        <v>0</v>
      </c>
      <c r="D572" s="4">
        <v>1</v>
      </c>
      <c r="E572" s="4">
        <v>209</v>
      </c>
      <c r="F572" s="4">
        <f>ROUND(Source!W548,O572)</f>
        <v>0</v>
      </c>
      <c r="G572" s="4" t="s">
        <v>100</v>
      </c>
      <c r="H572" s="4" t="s">
        <v>101</v>
      </c>
      <c r="I572" s="4"/>
      <c r="J572" s="4"/>
      <c r="K572" s="4">
        <v>209</v>
      </c>
      <c r="L572" s="4">
        <v>23</v>
      </c>
      <c r="M572" s="4">
        <v>3</v>
      </c>
      <c r="N572" s="4" t="s">
        <v>3</v>
      </c>
      <c r="O572" s="4">
        <v>2</v>
      </c>
      <c r="P572" s="4"/>
      <c r="Q572" s="4"/>
      <c r="R572" s="4"/>
      <c r="S572" s="4"/>
      <c r="T572" s="4"/>
      <c r="U572" s="4"/>
      <c r="V572" s="4"/>
      <c r="W572" s="4"/>
    </row>
    <row r="573" spans="1:23" x14ac:dyDescent="0.2">
      <c r="A573" s="4">
        <v>50</v>
      </c>
      <c r="B573" s="4">
        <v>0</v>
      </c>
      <c r="C573" s="4">
        <v>0</v>
      </c>
      <c r="D573" s="4">
        <v>1</v>
      </c>
      <c r="E573" s="4">
        <v>233</v>
      </c>
      <c r="F573" s="4">
        <f>ROUND(Source!BD548,O573)</f>
        <v>0</v>
      </c>
      <c r="G573" s="4" t="s">
        <v>102</v>
      </c>
      <c r="H573" s="4" t="s">
        <v>103</v>
      </c>
      <c r="I573" s="4"/>
      <c r="J573" s="4"/>
      <c r="K573" s="4">
        <v>233</v>
      </c>
      <c r="L573" s="4">
        <v>24</v>
      </c>
      <c r="M573" s="4">
        <v>3</v>
      </c>
      <c r="N573" s="4" t="s">
        <v>3</v>
      </c>
      <c r="O573" s="4">
        <v>2</v>
      </c>
      <c r="P573" s="4"/>
      <c r="Q573" s="4"/>
      <c r="R573" s="4"/>
      <c r="S573" s="4"/>
      <c r="T573" s="4"/>
      <c r="U573" s="4"/>
      <c r="V573" s="4"/>
      <c r="W573" s="4"/>
    </row>
    <row r="574" spans="1:23" x14ac:dyDescent="0.2">
      <c r="A574" s="4">
        <v>50</v>
      </c>
      <c r="B574" s="4">
        <v>0</v>
      </c>
      <c r="C574" s="4">
        <v>0</v>
      </c>
      <c r="D574" s="4">
        <v>1</v>
      </c>
      <c r="E574" s="4">
        <v>210</v>
      </c>
      <c r="F574" s="4">
        <f>ROUND(Source!X548,O574)</f>
        <v>60230.95</v>
      </c>
      <c r="G574" s="4" t="s">
        <v>104</v>
      </c>
      <c r="H574" s="4" t="s">
        <v>105</v>
      </c>
      <c r="I574" s="4"/>
      <c r="J574" s="4"/>
      <c r="K574" s="4">
        <v>210</v>
      </c>
      <c r="L574" s="4">
        <v>25</v>
      </c>
      <c r="M574" s="4">
        <v>3</v>
      </c>
      <c r="N574" s="4" t="s">
        <v>3</v>
      </c>
      <c r="O574" s="4">
        <v>2</v>
      </c>
      <c r="P574" s="4"/>
      <c r="Q574" s="4"/>
      <c r="R574" s="4"/>
      <c r="S574" s="4"/>
      <c r="T574" s="4"/>
      <c r="U574" s="4"/>
      <c r="V574" s="4"/>
      <c r="W574" s="4"/>
    </row>
    <row r="575" spans="1:23" x14ac:dyDescent="0.2">
      <c r="A575" s="4">
        <v>50</v>
      </c>
      <c r="B575" s="4">
        <v>0</v>
      </c>
      <c r="C575" s="4">
        <v>0</v>
      </c>
      <c r="D575" s="4">
        <v>1</v>
      </c>
      <c r="E575" s="4">
        <v>211</v>
      </c>
      <c r="F575" s="4">
        <f>ROUND(Source!Y548,O575)</f>
        <v>8604.42</v>
      </c>
      <c r="G575" s="4" t="s">
        <v>106</v>
      </c>
      <c r="H575" s="4" t="s">
        <v>107</v>
      </c>
      <c r="I575" s="4"/>
      <c r="J575" s="4"/>
      <c r="K575" s="4">
        <v>211</v>
      </c>
      <c r="L575" s="4">
        <v>26</v>
      </c>
      <c r="M575" s="4">
        <v>3</v>
      </c>
      <c r="N575" s="4" t="s">
        <v>3</v>
      </c>
      <c r="O575" s="4">
        <v>2</v>
      </c>
      <c r="P575" s="4"/>
      <c r="Q575" s="4"/>
      <c r="R575" s="4"/>
      <c r="S575" s="4"/>
      <c r="T575" s="4"/>
      <c r="U575" s="4"/>
      <c r="V575" s="4"/>
      <c r="W575" s="4"/>
    </row>
    <row r="576" spans="1:23" x14ac:dyDescent="0.2">
      <c r="A576" s="4">
        <v>50</v>
      </c>
      <c r="B576" s="4">
        <v>0</v>
      </c>
      <c r="C576" s="4">
        <v>0</v>
      </c>
      <c r="D576" s="4">
        <v>1</v>
      </c>
      <c r="E576" s="4">
        <v>224</v>
      </c>
      <c r="F576" s="4">
        <f>ROUND(Source!AR548,O576)</f>
        <v>852357.22</v>
      </c>
      <c r="G576" s="4" t="s">
        <v>108</v>
      </c>
      <c r="H576" s="4" t="s">
        <v>109</v>
      </c>
      <c r="I576" s="4"/>
      <c r="J576" s="4"/>
      <c r="K576" s="4">
        <v>224</v>
      </c>
      <c r="L576" s="4">
        <v>27</v>
      </c>
      <c r="M576" s="4">
        <v>3</v>
      </c>
      <c r="N576" s="4" t="s">
        <v>3</v>
      </c>
      <c r="O576" s="4">
        <v>2</v>
      </c>
      <c r="P576" s="4"/>
      <c r="Q576" s="4"/>
      <c r="R576" s="4"/>
      <c r="S576" s="4"/>
      <c r="T576" s="4"/>
      <c r="U576" s="4"/>
      <c r="V576" s="4"/>
      <c r="W576" s="4"/>
    </row>
    <row r="578" spans="1:245" x14ac:dyDescent="0.2">
      <c r="A578" s="1">
        <v>5</v>
      </c>
      <c r="B578" s="1">
        <v>1</v>
      </c>
      <c r="C578" s="1"/>
      <c r="D578" s="1">
        <f>ROW(A596)</f>
        <v>596</v>
      </c>
      <c r="E578" s="1"/>
      <c r="F578" s="1" t="s">
        <v>17</v>
      </c>
      <c r="G578" s="1" t="s">
        <v>183</v>
      </c>
      <c r="H578" s="1" t="s">
        <v>3</v>
      </c>
      <c r="I578" s="1">
        <v>0</v>
      </c>
      <c r="J578" s="1"/>
      <c r="K578" s="1">
        <v>0</v>
      </c>
      <c r="L578" s="1"/>
      <c r="M578" s="1"/>
      <c r="N578" s="1"/>
      <c r="O578" s="1"/>
      <c r="P578" s="1"/>
      <c r="Q578" s="1"/>
      <c r="R578" s="1"/>
      <c r="S578" s="1"/>
      <c r="T578" s="1"/>
      <c r="U578" s="1" t="s">
        <v>3</v>
      </c>
      <c r="V578" s="1">
        <v>0</v>
      </c>
      <c r="W578" s="1"/>
      <c r="X578" s="1"/>
      <c r="Y578" s="1"/>
      <c r="Z578" s="1"/>
      <c r="AA578" s="1"/>
      <c r="AB578" s="1" t="s">
        <v>3</v>
      </c>
      <c r="AC578" s="1" t="s">
        <v>3</v>
      </c>
      <c r="AD578" s="1" t="s">
        <v>3</v>
      </c>
      <c r="AE578" s="1" t="s">
        <v>3</v>
      </c>
      <c r="AF578" s="1" t="s">
        <v>3</v>
      </c>
      <c r="AG578" s="1" t="s">
        <v>3</v>
      </c>
      <c r="AH578" s="1"/>
      <c r="AI578" s="1"/>
      <c r="AJ578" s="1"/>
      <c r="AK578" s="1"/>
      <c r="AL578" s="1"/>
      <c r="AM578" s="1"/>
      <c r="AN578" s="1"/>
      <c r="AO578" s="1"/>
      <c r="AP578" s="1" t="s">
        <v>3</v>
      </c>
      <c r="AQ578" s="1" t="s">
        <v>3</v>
      </c>
      <c r="AR578" s="1" t="s">
        <v>3</v>
      </c>
      <c r="AS578" s="1"/>
      <c r="AT578" s="1"/>
      <c r="AU578" s="1"/>
      <c r="AV578" s="1"/>
      <c r="AW578" s="1"/>
      <c r="AX578" s="1"/>
      <c r="AY578" s="1"/>
      <c r="AZ578" s="1" t="s">
        <v>3</v>
      </c>
      <c r="BA578" s="1"/>
      <c r="BB578" s="1" t="s">
        <v>3</v>
      </c>
      <c r="BC578" s="1" t="s">
        <v>3</v>
      </c>
      <c r="BD578" s="1" t="s">
        <v>3</v>
      </c>
      <c r="BE578" s="1" t="s">
        <v>3</v>
      </c>
      <c r="BF578" s="1" t="s">
        <v>3</v>
      </c>
      <c r="BG578" s="1" t="s">
        <v>3</v>
      </c>
      <c r="BH578" s="1" t="s">
        <v>3</v>
      </c>
      <c r="BI578" s="1" t="s">
        <v>3</v>
      </c>
      <c r="BJ578" s="1" t="s">
        <v>3</v>
      </c>
      <c r="BK578" s="1" t="s">
        <v>3</v>
      </c>
      <c r="BL578" s="1" t="s">
        <v>3</v>
      </c>
      <c r="BM578" s="1" t="s">
        <v>3</v>
      </c>
      <c r="BN578" s="1" t="s">
        <v>3</v>
      </c>
      <c r="BO578" s="1" t="s">
        <v>3</v>
      </c>
      <c r="BP578" s="1" t="s">
        <v>3</v>
      </c>
      <c r="BQ578" s="1"/>
      <c r="BR578" s="1"/>
      <c r="BS578" s="1"/>
      <c r="BT578" s="1"/>
      <c r="BU578" s="1"/>
      <c r="BV578" s="1"/>
      <c r="BW578" s="1"/>
      <c r="BX578" s="1">
        <v>0</v>
      </c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>
        <v>0</v>
      </c>
    </row>
    <row r="580" spans="1:245" x14ac:dyDescent="0.2">
      <c r="A580" s="2">
        <v>52</v>
      </c>
      <c r="B580" s="2">
        <f t="shared" ref="B580:G580" si="454">B596</f>
        <v>1</v>
      </c>
      <c r="C580" s="2">
        <f t="shared" si="454"/>
        <v>5</v>
      </c>
      <c r="D580" s="2">
        <f t="shared" si="454"/>
        <v>578</v>
      </c>
      <c r="E580" s="2">
        <f t="shared" si="454"/>
        <v>0</v>
      </c>
      <c r="F580" s="2" t="str">
        <f t="shared" si="454"/>
        <v>Новый подраздел</v>
      </c>
      <c r="G580" s="2" t="str">
        <f t="shared" si="454"/>
        <v>Устройство покрытия</v>
      </c>
      <c r="H580" s="2"/>
      <c r="I580" s="2"/>
      <c r="J580" s="2"/>
      <c r="K580" s="2"/>
      <c r="L580" s="2"/>
      <c r="M580" s="2"/>
      <c r="N580" s="2"/>
      <c r="O580" s="2">
        <f t="shared" ref="O580:AT580" si="455">O596</f>
        <v>23832.27</v>
      </c>
      <c r="P580" s="2">
        <f t="shared" si="455"/>
        <v>13172.48</v>
      </c>
      <c r="Q580" s="2">
        <f t="shared" si="455"/>
        <v>9075.0499999999993</v>
      </c>
      <c r="R580" s="2">
        <f t="shared" si="455"/>
        <v>5063.79</v>
      </c>
      <c r="S580" s="2">
        <f t="shared" si="455"/>
        <v>1584.74</v>
      </c>
      <c r="T580" s="2">
        <f t="shared" si="455"/>
        <v>0</v>
      </c>
      <c r="U580" s="2">
        <f t="shared" si="455"/>
        <v>9.7591409999999996</v>
      </c>
      <c r="V580" s="2">
        <f t="shared" si="455"/>
        <v>0</v>
      </c>
      <c r="W580" s="2">
        <f t="shared" si="455"/>
        <v>0</v>
      </c>
      <c r="X580" s="2">
        <f t="shared" si="455"/>
        <v>1109.32</v>
      </c>
      <c r="Y580" s="2">
        <f t="shared" si="455"/>
        <v>158.47999999999999</v>
      </c>
      <c r="Z580" s="2">
        <f t="shared" si="455"/>
        <v>0</v>
      </c>
      <c r="AA580" s="2">
        <f t="shared" si="455"/>
        <v>0</v>
      </c>
      <c r="AB580" s="2">
        <f t="shared" si="455"/>
        <v>23832.27</v>
      </c>
      <c r="AC580" s="2">
        <f t="shared" si="455"/>
        <v>13172.48</v>
      </c>
      <c r="AD580" s="2">
        <f t="shared" si="455"/>
        <v>9075.0499999999993</v>
      </c>
      <c r="AE580" s="2">
        <f t="shared" si="455"/>
        <v>5063.79</v>
      </c>
      <c r="AF580" s="2">
        <f t="shared" si="455"/>
        <v>1584.74</v>
      </c>
      <c r="AG580" s="2">
        <f t="shared" si="455"/>
        <v>0</v>
      </c>
      <c r="AH580" s="2">
        <f t="shared" si="455"/>
        <v>9.7591409999999996</v>
      </c>
      <c r="AI580" s="2">
        <f t="shared" si="455"/>
        <v>0</v>
      </c>
      <c r="AJ580" s="2">
        <f t="shared" si="455"/>
        <v>0</v>
      </c>
      <c r="AK580" s="2">
        <f t="shared" si="455"/>
        <v>1109.32</v>
      </c>
      <c r="AL580" s="2">
        <f t="shared" si="455"/>
        <v>158.47999999999999</v>
      </c>
      <c r="AM580" s="2">
        <f t="shared" si="455"/>
        <v>0</v>
      </c>
      <c r="AN580" s="2">
        <f t="shared" si="455"/>
        <v>0</v>
      </c>
      <c r="AO580" s="2">
        <f t="shared" si="455"/>
        <v>0</v>
      </c>
      <c r="AP580" s="2">
        <f t="shared" si="455"/>
        <v>0</v>
      </c>
      <c r="AQ580" s="2">
        <f t="shared" si="455"/>
        <v>0</v>
      </c>
      <c r="AR580" s="2">
        <f t="shared" si="455"/>
        <v>26857.4</v>
      </c>
      <c r="AS580" s="2">
        <f t="shared" si="455"/>
        <v>0</v>
      </c>
      <c r="AT580" s="2">
        <f t="shared" si="455"/>
        <v>0</v>
      </c>
      <c r="AU580" s="2">
        <f t="shared" ref="AU580:BZ580" si="456">AU596</f>
        <v>26857.4</v>
      </c>
      <c r="AV580" s="2">
        <f t="shared" si="456"/>
        <v>13172.48</v>
      </c>
      <c r="AW580" s="2">
        <f t="shared" si="456"/>
        <v>13172.48</v>
      </c>
      <c r="AX580" s="2">
        <f t="shared" si="456"/>
        <v>0</v>
      </c>
      <c r="AY580" s="2">
        <f t="shared" si="456"/>
        <v>13172.48</v>
      </c>
      <c r="AZ580" s="2">
        <f t="shared" si="456"/>
        <v>0</v>
      </c>
      <c r="BA580" s="2">
        <f t="shared" si="456"/>
        <v>0</v>
      </c>
      <c r="BB580" s="2">
        <f t="shared" si="456"/>
        <v>0</v>
      </c>
      <c r="BC580" s="2">
        <f t="shared" si="456"/>
        <v>0</v>
      </c>
      <c r="BD580" s="2">
        <f t="shared" si="456"/>
        <v>0</v>
      </c>
      <c r="BE580" s="2">
        <f t="shared" si="456"/>
        <v>0</v>
      </c>
      <c r="BF580" s="2">
        <f t="shared" si="456"/>
        <v>0</v>
      </c>
      <c r="BG580" s="2">
        <f t="shared" si="456"/>
        <v>0</v>
      </c>
      <c r="BH580" s="2">
        <f t="shared" si="456"/>
        <v>0</v>
      </c>
      <c r="BI580" s="2">
        <f t="shared" si="456"/>
        <v>0</v>
      </c>
      <c r="BJ580" s="2">
        <f t="shared" si="456"/>
        <v>0</v>
      </c>
      <c r="BK580" s="2">
        <f t="shared" si="456"/>
        <v>0</v>
      </c>
      <c r="BL580" s="2">
        <f t="shared" si="456"/>
        <v>0</v>
      </c>
      <c r="BM580" s="2">
        <f t="shared" si="456"/>
        <v>0</v>
      </c>
      <c r="BN580" s="2">
        <f t="shared" si="456"/>
        <v>0</v>
      </c>
      <c r="BO580" s="2">
        <f t="shared" si="456"/>
        <v>0</v>
      </c>
      <c r="BP580" s="2">
        <f t="shared" si="456"/>
        <v>0</v>
      </c>
      <c r="BQ580" s="2">
        <f t="shared" si="456"/>
        <v>0</v>
      </c>
      <c r="BR580" s="2">
        <f t="shared" si="456"/>
        <v>0</v>
      </c>
      <c r="BS580" s="2">
        <f t="shared" si="456"/>
        <v>0</v>
      </c>
      <c r="BT580" s="2">
        <f t="shared" si="456"/>
        <v>0</v>
      </c>
      <c r="BU580" s="2">
        <f t="shared" si="456"/>
        <v>0</v>
      </c>
      <c r="BV580" s="2">
        <f t="shared" si="456"/>
        <v>0</v>
      </c>
      <c r="BW580" s="2">
        <f t="shared" si="456"/>
        <v>0</v>
      </c>
      <c r="BX580" s="2">
        <f t="shared" si="456"/>
        <v>0</v>
      </c>
      <c r="BY580" s="2">
        <f t="shared" si="456"/>
        <v>0</v>
      </c>
      <c r="BZ580" s="2">
        <f t="shared" si="456"/>
        <v>0</v>
      </c>
      <c r="CA580" s="2">
        <f t="shared" ref="CA580:DF580" si="457">CA596</f>
        <v>26857.4</v>
      </c>
      <c r="CB580" s="2">
        <f t="shared" si="457"/>
        <v>0</v>
      </c>
      <c r="CC580" s="2">
        <f t="shared" si="457"/>
        <v>0</v>
      </c>
      <c r="CD580" s="2">
        <f t="shared" si="457"/>
        <v>26857.4</v>
      </c>
      <c r="CE580" s="2">
        <f t="shared" si="457"/>
        <v>13172.48</v>
      </c>
      <c r="CF580" s="2">
        <f t="shared" si="457"/>
        <v>13172.48</v>
      </c>
      <c r="CG580" s="2">
        <f t="shared" si="457"/>
        <v>0</v>
      </c>
      <c r="CH580" s="2">
        <f t="shared" si="457"/>
        <v>13172.48</v>
      </c>
      <c r="CI580" s="2">
        <f t="shared" si="457"/>
        <v>0</v>
      </c>
      <c r="CJ580" s="2">
        <f t="shared" si="457"/>
        <v>0</v>
      </c>
      <c r="CK580" s="2">
        <f t="shared" si="457"/>
        <v>0</v>
      </c>
      <c r="CL580" s="2">
        <f t="shared" si="457"/>
        <v>0</v>
      </c>
      <c r="CM580" s="2">
        <f t="shared" si="457"/>
        <v>0</v>
      </c>
      <c r="CN580" s="2">
        <f t="shared" si="457"/>
        <v>0</v>
      </c>
      <c r="CO580" s="2">
        <f t="shared" si="457"/>
        <v>0</v>
      </c>
      <c r="CP580" s="2">
        <f t="shared" si="457"/>
        <v>0</v>
      </c>
      <c r="CQ580" s="2">
        <f t="shared" si="457"/>
        <v>0</v>
      </c>
      <c r="CR580" s="2">
        <f t="shared" si="457"/>
        <v>0</v>
      </c>
      <c r="CS580" s="2">
        <f t="shared" si="457"/>
        <v>0</v>
      </c>
      <c r="CT580" s="2">
        <f t="shared" si="457"/>
        <v>0</v>
      </c>
      <c r="CU580" s="2">
        <f t="shared" si="457"/>
        <v>0</v>
      </c>
      <c r="CV580" s="2">
        <f t="shared" si="457"/>
        <v>0</v>
      </c>
      <c r="CW580" s="2">
        <f t="shared" si="457"/>
        <v>0</v>
      </c>
      <c r="CX580" s="2">
        <f t="shared" si="457"/>
        <v>0</v>
      </c>
      <c r="CY580" s="2">
        <f t="shared" si="457"/>
        <v>0</v>
      </c>
      <c r="CZ580" s="2">
        <f t="shared" si="457"/>
        <v>0</v>
      </c>
      <c r="DA580" s="2">
        <f t="shared" si="457"/>
        <v>0</v>
      </c>
      <c r="DB580" s="2">
        <f t="shared" si="457"/>
        <v>0</v>
      </c>
      <c r="DC580" s="2">
        <f t="shared" si="457"/>
        <v>0</v>
      </c>
      <c r="DD580" s="2">
        <f t="shared" si="457"/>
        <v>0</v>
      </c>
      <c r="DE580" s="2">
        <f t="shared" si="457"/>
        <v>0</v>
      </c>
      <c r="DF580" s="2">
        <f t="shared" si="457"/>
        <v>0</v>
      </c>
      <c r="DG580" s="3">
        <f t="shared" ref="DG580:EL580" si="458">DG596</f>
        <v>0</v>
      </c>
      <c r="DH580" s="3">
        <f t="shared" si="458"/>
        <v>0</v>
      </c>
      <c r="DI580" s="3">
        <f t="shared" si="458"/>
        <v>0</v>
      </c>
      <c r="DJ580" s="3">
        <f t="shared" si="458"/>
        <v>0</v>
      </c>
      <c r="DK580" s="3">
        <f t="shared" si="458"/>
        <v>0</v>
      </c>
      <c r="DL580" s="3">
        <f t="shared" si="458"/>
        <v>0</v>
      </c>
      <c r="DM580" s="3">
        <f t="shared" si="458"/>
        <v>0</v>
      </c>
      <c r="DN580" s="3">
        <f t="shared" si="458"/>
        <v>0</v>
      </c>
      <c r="DO580" s="3">
        <f t="shared" si="458"/>
        <v>0</v>
      </c>
      <c r="DP580" s="3">
        <f t="shared" si="458"/>
        <v>0</v>
      </c>
      <c r="DQ580" s="3">
        <f t="shared" si="458"/>
        <v>0</v>
      </c>
      <c r="DR580" s="3">
        <f t="shared" si="458"/>
        <v>0</v>
      </c>
      <c r="DS580" s="3">
        <f t="shared" si="458"/>
        <v>0</v>
      </c>
      <c r="DT580" s="3">
        <f t="shared" si="458"/>
        <v>0</v>
      </c>
      <c r="DU580" s="3">
        <f t="shared" si="458"/>
        <v>0</v>
      </c>
      <c r="DV580" s="3">
        <f t="shared" si="458"/>
        <v>0</v>
      </c>
      <c r="DW580" s="3">
        <f t="shared" si="458"/>
        <v>0</v>
      </c>
      <c r="DX580" s="3">
        <f t="shared" si="458"/>
        <v>0</v>
      </c>
      <c r="DY580" s="3">
        <f t="shared" si="458"/>
        <v>0</v>
      </c>
      <c r="DZ580" s="3">
        <f t="shared" si="458"/>
        <v>0</v>
      </c>
      <c r="EA580" s="3">
        <f t="shared" si="458"/>
        <v>0</v>
      </c>
      <c r="EB580" s="3">
        <f t="shared" si="458"/>
        <v>0</v>
      </c>
      <c r="EC580" s="3">
        <f t="shared" si="458"/>
        <v>0</v>
      </c>
      <c r="ED580" s="3">
        <f t="shared" si="458"/>
        <v>0</v>
      </c>
      <c r="EE580" s="3">
        <f t="shared" si="458"/>
        <v>0</v>
      </c>
      <c r="EF580" s="3">
        <f t="shared" si="458"/>
        <v>0</v>
      </c>
      <c r="EG580" s="3">
        <f t="shared" si="458"/>
        <v>0</v>
      </c>
      <c r="EH580" s="3">
        <f t="shared" si="458"/>
        <v>0</v>
      </c>
      <c r="EI580" s="3">
        <f t="shared" si="458"/>
        <v>0</v>
      </c>
      <c r="EJ580" s="3">
        <f t="shared" si="458"/>
        <v>0</v>
      </c>
      <c r="EK580" s="3">
        <f t="shared" si="458"/>
        <v>0</v>
      </c>
      <c r="EL580" s="3">
        <f t="shared" si="458"/>
        <v>0</v>
      </c>
      <c r="EM580" s="3">
        <f t="shared" ref="EM580:FR580" si="459">EM596</f>
        <v>0</v>
      </c>
      <c r="EN580" s="3">
        <f t="shared" si="459"/>
        <v>0</v>
      </c>
      <c r="EO580" s="3">
        <f t="shared" si="459"/>
        <v>0</v>
      </c>
      <c r="EP580" s="3">
        <f t="shared" si="459"/>
        <v>0</v>
      </c>
      <c r="EQ580" s="3">
        <f t="shared" si="459"/>
        <v>0</v>
      </c>
      <c r="ER580" s="3">
        <f t="shared" si="459"/>
        <v>0</v>
      </c>
      <c r="ES580" s="3">
        <f t="shared" si="459"/>
        <v>0</v>
      </c>
      <c r="ET580" s="3">
        <f t="shared" si="459"/>
        <v>0</v>
      </c>
      <c r="EU580" s="3">
        <f t="shared" si="459"/>
        <v>0</v>
      </c>
      <c r="EV580" s="3">
        <f t="shared" si="459"/>
        <v>0</v>
      </c>
      <c r="EW580" s="3">
        <f t="shared" si="459"/>
        <v>0</v>
      </c>
      <c r="EX580" s="3">
        <f t="shared" si="459"/>
        <v>0</v>
      </c>
      <c r="EY580" s="3">
        <f t="shared" si="459"/>
        <v>0</v>
      </c>
      <c r="EZ580" s="3">
        <f t="shared" si="459"/>
        <v>0</v>
      </c>
      <c r="FA580" s="3">
        <f t="shared" si="459"/>
        <v>0</v>
      </c>
      <c r="FB580" s="3">
        <f t="shared" si="459"/>
        <v>0</v>
      </c>
      <c r="FC580" s="3">
        <f t="shared" si="459"/>
        <v>0</v>
      </c>
      <c r="FD580" s="3">
        <f t="shared" si="459"/>
        <v>0</v>
      </c>
      <c r="FE580" s="3">
        <f t="shared" si="459"/>
        <v>0</v>
      </c>
      <c r="FF580" s="3">
        <f t="shared" si="459"/>
        <v>0</v>
      </c>
      <c r="FG580" s="3">
        <f t="shared" si="459"/>
        <v>0</v>
      </c>
      <c r="FH580" s="3">
        <f t="shared" si="459"/>
        <v>0</v>
      </c>
      <c r="FI580" s="3">
        <f t="shared" si="459"/>
        <v>0</v>
      </c>
      <c r="FJ580" s="3">
        <f t="shared" si="459"/>
        <v>0</v>
      </c>
      <c r="FK580" s="3">
        <f t="shared" si="459"/>
        <v>0</v>
      </c>
      <c r="FL580" s="3">
        <f t="shared" si="459"/>
        <v>0</v>
      </c>
      <c r="FM580" s="3">
        <f t="shared" si="459"/>
        <v>0</v>
      </c>
      <c r="FN580" s="3">
        <f t="shared" si="459"/>
        <v>0</v>
      </c>
      <c r="FO580" s="3">
        <f t="shared" si="459"/>
        <v>0</v>
      </c>
      <c r="FP580" s="3">
        <f t="shared" si="459"/>
        <v>0</v>
      </c>
      <c r="FQ580" s="3">
        <f t="shared" si="459"/>
        <v>0</v>
      </c>
      <c r="FR580" s="3">
        <f t="shared" si="459"/>
        <v>0</v>
      </c>
      <c r="FS580" s="3">
        <f t="shared" ref="FS580:GX580" si="460">FS596</f>
        <v>0</v>
      </c>
      <c r="FT580" s="3">
        <f t="shared" si="460"/>
        <v>0</v>
      </c>
      <c r="FU580" s="3">
        <f t="shared" si="460"/>
        <v>0</v>
      </c>
      <c r="FV580" s="3">
        <f t="shared" si="460"/>
        <v>0</v>
      </c>
      <c r="FW580" s="3">
        <f t="shared" si="460"/>
        <v>0</v>
      </c>
      <c r="FX580" s="3">
        <f t="shared" si="460"/>
        <v>0</v>
      </c>
      <c r="FY580" s="3">
        <f t="shared" si="460"/>
        <v>0</v>
      </c>
      <c r="FZ580" s="3">
        <f t="shared" si="460"/>
        <v>0</v>
      </c>
      <c r="GA580" s="3">
        <f t="shared" si="460"/>
        <v>0</v>
      </c>
      <c r="GB580" s="3">
        <f t="shared" si="460"/>
        <v>0</v>
      </c>
      <c r="GC580" s="3">
        <f t="shared" si="460"/>
        <v>0</v>
      </c>
      <c r="GD580" s="3">
        <f t="shared" si="460"/>
        <v>0</v>
      </c>
      <c r="GE580" s="3">
        <f t="shared" si="460"/>
        <v>0</v>
      </c>
      <c r="GF580" s="3">
        <f t="shared" si="460"/>
        <v>0</v>
      </c>
      <c r="GG580" s="3">
        <f t="shared" si="460"/>
        <v>0</v>
      </c>
      <c r="GH580" s="3">
        <f t="shared" si="460"/>
        <v>0</v>
      </c>
      <c r="GI580" s="3">
        <f t="shared" si="460"/>
        <v>0</v>
      </c>
      <c r="GJ580" s="3">
        <f t="shared" si="460"/>
        <v>0</v>
      </c>
      <c r="GK580" s="3">
        <f t="shared" si="460"/>
        <v>0</v>
      </c>
      <c r="GL580" s="3">
        <f t="shared" si="460"/>
        <v>0</v>
      </c>
      <c r="GM580" s="3">
        <f t="shared" si="460"/>
        <v>0</v>
      </c>
      <c r="GN580" s="3">
        <f t="shared" si="460"/>
        <v>0</v>
      </c>
      <c r="GO580" s="3">
        <f t="shared" si="460"/>
        <v>0</v>
      </c>
      <c r="GP580" s="3">
        <f t="shared" si="460"/>
        <v>0</v>
      </c>
      <c r="GQ580" s="3">
        <f t="shared" si="460"/>
        <v>0</v>
      </c>
      <c r="GR580" s="3">
        <f t="shared" si="460"/>
        <v>0</v>
      </c>
      <c r="GS580" s="3">
        <f t="shared" si="460"/>
        <v>0</v>
      </c>
      <c r="GT580" s="3">
        <f t="shared" si="460"/>
        <v>0</v>
      </c>
      <c r="GU580" s="3">
        <f t="shared" si="460"/>
        <v>0</v>
      </c>
      <c r="GV580" s="3">
        <f t="shared" si="460"/>
        <v>0</v>
      </c>
      <c r="GW580" s="3">
        <f t="shared" si="460"/>
        <v>0</v>
      </c>
      <c r="GX580" s="3">
        <f t="shared" si="460"/>
        <v>0</v>
      </c>
    </row>
    <row r="582" spans="1:245" x14ac:dyDescent="0.2">
      <c r="A582">
        <v>17</v>
      </c>
      <c r="B582">
        <v>1</v>
      </c>
      <c r="C582">
        <f>ROW(SmtRes!A167)</f>
        <v>167</v>
      </c>
      <c r="D582">
        <f>ROW(EtalonRes!A164)</f>
        <v>164</v>
      </c>
      <c r="E582" t="s">
        <v>290</v>
      </c>
      <c r="F582" t="s">
        <v>185</v>
      </c>
      <c r="G582" t="s">
        <v>186</v>
      </c>
      <c r="H582" t="s">
        <v>187</v>
      </c>
      <c r="I582">
        <f>ROUND(((171*0.1)/100)*0.9,9)</f>
        <v>0.15390000000000001</v>
      </c>
      <c r="J582">
        <v>0</v>
      </c>
      <c r="O582">
        <f t="shared" ref="O582:O594" si="461">ROUND(CP582,2)</f>
        <v>1354.68</v>
      </c>
      <c r="P582">
        <f t="shared" ref="P582:P594" si="462">ROUND(CQ582*I582,2)</f>
        <v>0</v>
      </c>
      <c r="Q582">
        <f t="shared" ref="Q582:Q594" si="463">ROUND(CR582*I582,2)</f>
        <v>1264.8800000000001</v>
      </c>
      <c r="R582">
        <f t="shared" ref="R582:R594" si="464">ROUND(CS582*I582,2)</f>
        <v>866.32</v>
      </c>
      <c r="S582">
        <f t="shared" ref="S582:S594" si="465">ROUND(CT582*I582,2)</f>
        <v>89.8</v>
      </c>
      <c r="T582">
        <f t="shared" ref="T582:T594" si="466">ROUND(CU582*I582,2)</f>
        <v>0</v>
      </c>
      <c r="U582">
        <f t="shared" ref="U582:U594" si="467">CV582*I582</f>
        <v>0.5217210000000001</v>
      </c>
      <c r="V582">
        <f t="shared" ref="V582:V594" si="468">CW582*I582</f>
        <v>0</v>
      </c>
      <c r="W582">
        <f t="shared" ref="W582:W594" si="469">ROUND(CX582*I582,2)</f>
        <v>0</v>
      </c>
      <c r="X582">
        <f t="shared" ref="X582:X594" si="470">ROUND(CY582,2)</f>
        <v>62.86</v>
      </c>
      <c r="Y582">
        <f t="shared" ref="Y582:Y594" si="471">ROUND(CZ582,2)</f>
        <v>8.98</v>
      </c>
      <c r="AA582">
        <v>38214492</v>
      </c>
      <c r="AB582">
        <f t="shared" ref="AB582:AB594" si="472">ROUND((AC582+AD582+AF582),6)</f>
        <v>8802.35</v>
      </c>
      <c r="AC582">
        <f t="shared" ref="AC582:AC587" si="473">ROUND((ES582),6)</f>
        <v>0</v>
      </c>
      <c r="AD582">
        <f t="shared" ref="AD582:AD587" si="474">ROUND((((ET582)-(EU582))+AE582),6)</f>
        <v>8218.83</v>
      </c>
      <c r="AE582">
        <f t="shared" ref="AE582:AF587" si="475">ROUND((EU582),6)</f>
        <v>5629.09</v>
      </c>
      <c r="AF582">
        <f t="shared" si="475"/>
        <v>583.52</v>
      </c>
      <c r="AG582">
        <f t="shared" ref="AG582:AG594" si="476">ROUND((AP582),6)</f>
        <v>0</v>
      </c>
      <c r="AH582">
        <f t="shared" ref="AH582:AI587" si="477">(EW582)</f>
        <v>3.39</v>
      </c>
      <c r="AI582">
        <f t="shared" si="477"/>
        <v>0</v>
      </c>
      <c r="AJ582">
        <f t="shared" ref="AJ582:AJ594" si="478">(AS582)</f>
        <v>0</v>
      </c>
      <c r="AK582">
        <v>8802.35</v>
      </c>
      <c r="AL582">
        <v>0</v>
      </c>
      <c r="AM582">
        <v>8218.83</v>
      </c>
      <c r="AN582">
        <v>5629.09</v>
      </c>
      <c r="AO582">
        <v>583.52</v>
      </c>
      <c r="AP582">
        <v>0</v>
      </c>
      <c r="AQ582">
        <v>3.39</v>
      </c>
      <c r="AR582">
        <v>0</v>
      </c>
      <c r="AS582">
        <v>0</v>
      </c>
      <c r="AT582">
        <v>70</v>
      </c>
      <c r="AU582">
        <v>10</v>
      </c>
      <c r="AV582">
        <v>1</v>
      </c>
      <c r="AW582">
        <v>1</v>
      </c>
      <c r="AZ582">
        <v>1</v>
      </c>
      <c r="BA582">
        <v>1</v>
      </c>
      <c r="BB582">
        <v>1</v>
      </c>
      <c r="BC582">
        <v>1</v>
      </c>
      <c r="BD582" t="s">
        <v>3</v>
      </c>
      <c r="BE582" t="s">
        <v>3</v>
      </c>
      <c r="BF582" t="s">
        <v>3</v>
      </c>
      <c r="BG582" t="s">
        <v>3</v>
      </c>
      <c r="BH582">
        <v>0</v>
      </c>
      <c r="BI582">
        <v>4</v>
      </c>
      <c r="BJ582" t="s">
        <v>188</v>
      </c>
      <c r="BM582">
        <v>0</v>
      </c>
      <c r="BN582">
        <v>0</v>
      </c>
      <c r="BO582" t="s">
        <v>3</v>
      </c>
      <c r="BP582">
        <v>0</v>
      </c>
      <c r="BQ582">
        <v>1</v>
      </c>
      <c r="BR582">
        <v>0</v>
      </c>
      <c r="BS582">
        <v>1</v>
      </c>
      <c r="BT582">
        <v>1</v>
      </c>
      <c r="BU582">
        <v>1</v>
      </c>
      <c r="BV582">
        <v>1</v>
      </c>
      <c r="BW582">
        <v>1</v>
      </c>
      <c r="BX582">
        <v>1</v>
      </c>
      <c r="BY582" t="s">
        <v>3</v>
      </c>
      <c r="BZ582">
        <v>70</v>
      </c>
      <c r="CA582">
        <v>10</v>
      </c>
      <c r="CE582">
        <v>0</v>
      </c>
      <c r="CF582">
        <v>0</v>
      </c>
      <c r="CG582">
        <v>0</v>
      </c>
      <c r="CM582">
        <v>0</v>
      </c>
      <c r="CN582" t="s">
        <v>3</v>
      </c>
      <c r="CO582">
        <v>0</v>
      </c>
      <c r="CP582">
        <f t="shared" ref="CP582:CP594" si="479">(P582+Q582+S582)</f>
        <v>1354.68</v>
      </c>
      <c r="CQ582">
        <f t="shared" ref="CQ582:CQ594" si="480">(AC582*BC582*AW582)</f>
        <v>0</v>
      </c>
      <c r="CR582">
        <f t="shared" ref="CR582:CR587" si="481">((((ET582)*BB582-(EU582)*BS582)+AE582*BS582)*AV582)</f>
        <v>8218.83</v>
      </c>
      <c r="CS582">
        <f t="shared" ref="CS582:CS594" si="482">(AE582*BS582*AV582)</f>
        <v>5629.09</v>
      </c>
      <c r="CT582">
        <f t="shared" ref="CT582:CT594" si="483">(AF582*BA582*AV582)</f>
        <v>583.52</v>
      </c>
      <c r="CU582">
        <f t="shared" ref="CU582:CU594" si="484">AG582</f>
        <v>0</v>
      </c>
      <c r="CV582">
        <f t="shared" ref="CV582:CV594" si="485">(AH582*AV582)</f>
        <v>3.39</v>
      </c>
      <c r="CW582">
        <f t="shared" ref="CW582:CW594" si="486">AI582</f>
        <v>0</v>
      </c>
      <c r="CX582">
        <f t="shared" ref="CX582:CX594" si="487">AJ582</f>
        <v>0</v>
      </c>
      <c r="CY582">
        <f t="shared" ref="CY582:CY594" si="488">((S582*BZ582)/100)</f>
        <v>62.86</v>
      </c>
      <c r="CZ582">
        <f t="shared" ref="CZ582:CZ594" si="489">((S582*CA582)/100)</f>
        <v>8.98</v>
      </c>
      <c r="DC582" t="s">
        <v>3</v>
      </c>
      <c r="DD582" t="s">
        <v>3</v>
      </c>
      <c r="DE582" t="s">
        <v>3</v>
      </c>
      <c r="DF582" t="s">
        <v>3</v>
      </c>
      <c r="DG582" t="s">
        <v>3</v>
      </c>
      <c r="DH582" t="s">
        <v>3</v>
      </c>
      <c r="DI582" t="s">
        <v>3</v>
      </c>
      <c r="DJ582" t="s">
        <v>3</v>
      </c>
      <c r="DK582" t="s">
        <v>3</v>
      </c>
      <c r="DL582" t="s">
        <v>3</v>
      </c>
      <c r="DM582" t="s">
        <v>3</v>
      </c>
      <c r="DN582">
        <v>0</v>
      </c>
      <c r="DO582">
        <v>0</v>
      </c>
      <c r="DP582">
        <v>1</v>
      </c>
      <c r="DQ582">
        <v>1</v>
      </c>
      <c r="DU582">
        <v>1007</v>
      </c>
      <c r="DV582" t="s">
        <v>187</v>
      </c>
      <c r="DW582" t="s">
        <v>187</v>
      </c>
      <c r="DX582">
        <v>100</v>
      </c>
      <c r="EE582">
        <v>38628631</v>
      </c>
      <c r="EF582">
        <v>1</v>
      </c>
      <c r="EG582" t="s">
        <v>24</v>
      </c>
      <c r="EH582">
        <v>0</v>
      </c>
      <c r="EI582" t="s">
        <v>3</v>
      </c>
      <c r="EJ582">
        <v>4</v>
      </c>
      <c r="EK582">
        <v>0</v>
      </c>
      <c r="EL582" t="s">
        <v>25</v>
      </c>
      <c r="EM582" t="s">
        <v>26</v>
      </c>
      <c r="EO582" t="s">
        <v>3</v>
      </c>
      <c r="EQ582">
        <v>0</v>
      </c>
      <c r="ER582">
        <v>8802.35</v>
      </c>
      <c r="ES582">
        <v>0</v>
      </c>
      <c r="ET582">
        <v>8218.83</v>
      </c>
      <c r="EU582">
        <v>5629.09</v>
      </c>
      <c r="EV582">
        <v>583.52</v>
      </c>
      <c r="EW582">
        <v>3.39</v>
      </c>
      <c r="EX582">
        <v>0</v>
      </c>
      <c r="EY582">
        <v>0</v>
      </c>
      <c r="FQ582">
        <v>0</v>
      </c>
      <c r="FR582">
        <f t="shared" ref="FR582:FR594" si="490">ROUND(IF(AND(BH582=3,BI582=3),P582,0),2)</f>
        <v>0</v>
      </c>
      <c r="FS582">
        <v>0</v>
      </c>
      <c r="FX582">
        <v>70</v>
      </c>
      <c r="FY582">
        <v>10</v>
      </c>
      <c r="GA582" t="s">
        <v>3</v>
      </c>
      <c r="GD582">
        <v>0</v>
      </c>
      <c r="GF582">
        <v>-1496414240</v>
      </c>
      <c r="GG582">
        <v>2</v>
      </c>
      <c r="GH582">
        <v>1</v>
      </c>
      <c r="GI582">
        <v>-2</v>
      </c>
      <c r="GJ582">
        <v>0</v>
      </c>
      <c r="GK582">
        <f>ROUND(R582*(R12)/100,2)</f>
        <v>935.63</v>
      </c>
      <c r="GL582">
        <f t="shared" ref="GL582:GL594" si="491">ROUND(IF(AND(BH582=3,BI582=3,FS582&lt;&gt;0),P582,0),2)</f>
        <v>0</v>
      </c>
      <c r="GM582">
        <f>ROUND(O582+X582+Y582+GK582,2)+GX582</f>
        <v>2362.15</v>
      </c>
      <c r="GN582">
        <f>IF(OR(BI582=0,BI582=1),ROUND(O582+X582+Y582+GK582,2),0)</f>
        <v>0</v>
      </c>
      <c r="GO582">
        <f>IF(BI582=2,ROUND(O582+X582+Y582+GK582,2),0)</f>
        <v>0</v>
      </c>
      <c r="GP582">
        <f>IF(BI582=4,ROUND(O582+X582+Y582+GK582,2)+GX582,0)</f>
        <v>2362.15</v>
      </c>
      <c r="GR582">
        <v>0</v>
      </c>
      <c r="GS582">
        <v>3</v>
      </c>
      <c r="GT582">
        <v>0</v>
      </c>
      <c r="GU582" t="s">
        <v>3</v>
      </c>
      <c r="GV582">
        <f t="shared" ref="GV582:GV594" si="492">ROUND((GT582),6)</f>
        <v>0</v>
      </c>
      <c r="GW582">
        <v>1</v>
      </c>
      <c r="GX582">
        <f t="shared" ref="GX582:GX594" si="493">ROUND(HC582*I582,2)</f>
        <v>0</v>
      </c>
      <c r="HA582">
        <v>0</v>
      </c>
      <c r="HB582">
        <v>0</v>
      </c>
      <c r="HC582">
        <f t="shared" ref="HC582:HC594" si="494">GV582*GW582</f>
        <v>0</v>
      </c>
      <c r="HE582" t="s">
        <v>3</v>
      </c>
      <c r="HF582" t="s">
        <v>3</v>
      </c>
      <c r="IK582">
        <v>0</v>
      </c>
    </row>
    <row r="583" spans="1:245" x14ac:dyDescent="0.2">
      <c r="A583">
        <v>17</v>
      </c>
      <c r="B583">
        <v>1</v>
      </c>
      <c r="C583">
        <f>ROW(SmtRes!A168)</f>
        <v>168</v>
      </c>
      <c r="D583">
        <f>ROW(EtalonRes!A165)</f>
        <v>165</v>
      </c>
      <c r="E583" t="s">
        <v>291</v>
      </c>
      <c r="F583" t="s">
        <v>190</v>
      </c>
      <c r="G583" t="s">
        <v>191</v>
      </c>
      <c r="H583" t="s">
        <v>187</v>
      </c>
      <c r="I583">
        <f>ROUND(((171*0.1)/100)*0.1,9)</f>
        <v>1.7100000000000001E-2</v>
      </c>
      <c r="J583">
        <v>0</v>
      </c>
      <c r="O583">
        <f t="shared" si="461"/>
        <v>683.18</v>
      </c>
      <c r="P583">
        <f t="shared" si="462"/>
        <v>0</v>
      </c>
      <c r="Q583">
        <f t="shared" si="463"/>
        <v>0</v>
      </c>
      <c r="R583">
        <f t="shared" si="464"/>
        <v>0</v>
      </c>
      <c r="S583">
        <f t="shared" si="465"/>
        <v>683.18</v>
      </c>
      <c r="T583">
        <f t="shared" si="466"/>
        <v>0</v>
      </c>
      <c r="U583">
        <f t="shared" si="467"/>
        <v>3.7893599999999998</v>
      </c>
      <c r="V583">
        <f t="shared" si="468"/>
        <v>0</v>
      </c>
      <c r="W583">
        <f t="shared" si="469"/>
        <v>0</v>
      </c>
      <c r="X583">
        <f t="shared" si="470"/>
        <v>478.23</v>
      </c>
      <c r="Y583">
        <f t="shared" si="471"/>
        <v>68.319999999999993</v>
      </c>
      <c r="AA583">
        <v>38214492</v>
      </c>
      <c r="AB583">
        <f t="shared" si="472"/>
        <v>39952.26</v>
      </c>
      <c r="AC583">
        <f t="shared" si="473"/>
        <v>0</v>
      </c>
      <c r="AD583">
        <f t="shared" si="474"/>
        <v>0</v>
      </c>
      <c r="AE583">
        <f t="shared" si="475"/>
        <v>0</v>
      </c>
      <c r="AF583">
        <f t="shared" si="475"/>
        <v>39952.26</v>
      </c>
      <c r="AG583">
        <f t="shared" si="476"/>
        <v>0</v>
      </c>
      <c r="AH583">
        <f t="shared" si="477"/>
        <v>221.6</v>
      </c>
      <c r="AI583">
        <f t="shared" si="477"/>
        <v>0</v>
      </c>
      <c r="AJ583">
        <f t="shared" si="478"/>
        <v>0</v>
      </c>
      <c r="AK583">
        <v>39952.26</v>
      </c>
      <c r="AL583">
        <v>0</v>
      </c>
      <c r="AM583">
        <v>0</v>
      </c>
      <c r="AN583">
        <v>0</v>
      </c>
      <c r="AO583">
        <v>39952.26</v>
      </c>
      <c r="AP583">
        <v>0</v>
      </c>
      <c r="AQ583">
        <v>221.6</v>
      </c>
      <c r="AR583">
        <v>0</v>
      </c>
      <c r="AS583">
        <v>0</v>
      </c>
      <c r="AT583">
        <v>70</v>
      </c>
      <c r="AU583">
        <v>10</v>
      </c>
      <c r="AV583">
        <v>1</v>
      </c>
      <c r="AW583">
        <v>1</v>
      </c>
      <c r="AZ583">
        <v>1</v>
      </c>
      <c r="BA583">
        <v>1</v>
      </c>
      <c r="BB583">
        <v>1</v>
      </c>
      <c r="BC583">
        <v>1</v>
      </c>
      <c r="BD583" t="s">
        <v>3</v>
      </c>
      <c r="BE583" t="s">
        <v>3</v>
      </c>
      <c r="BF583" t="s">
        <v>3</v>
      </c>
      <c r="BG583" t="s">
        <v>3</v>
      </c>
      <c r="BH583">
        <v>0</v>
      </c>
      <c r="BI583">
        <v>4</v>
      </c>
      <c r="BJ583" t="s">
        <v>192</v>
      </c>
      <c r="BM583">
        <v>0</v>
      </c>
      <c r="BN583">
        <v>0</v>
      </c>
      <c r="BO583" t="s">
        <v>3</v>
      </c>
      <c r="BP583">
        <v>0</v>
      </c>
      <c r="BQ583">
        <v>1</v>
      </c>
      <c r="BR583">
        <v>0</v>
      </c>
      <c r="BS583">
        <v>1</v>
      </c>
      <c r="BT583">
        <v>1</v>
      </c>
      <c r="BU583">
        <v>1</v>
      </c>
      <c r="BV583">
        <v>1</v>
      </c>
      <c r="BW583">
        <v>1</v>
      </c>
      <c r="BX583">
        <v>1</v>
      </c>
      <c r="BY583" t="s">
        <v>3</v>
      </c>
      <c r="BZ583">
        <v>70</v>
      </c>
      <c r="CA583">
        <v>10</v>
      </c>
      <c r="CE583">
        <v>0</v>
      </c>
      <c r="CF583">
        <v>0</v>
      </c>
      <c r="CG583">
        <v>0</v>
      </c>
      <c r="CM583">
        <v>0</v>
      </c>
      <c r="CN583" t="s">
        <v>3</v>
      </c>
      <c r="CO583">
        <v>0</v>
      </c>
      <c r="CP583">
        <f t="shared" si="479"/>
        <v>683.18</v>
      </c>
      <c r="CQ583">
        <f t="shared" si="480"/>
        <v>0</v>
      </c>
      <c r="CR583">
        <f t="shared" si="481"/>
        <v>0</v>
      </c>
      <c r="CS583">
        <f t="shared" si="482"/>
        <v>0</v>
      </c>
      <c r="CT583">
        <f t="shared" si="483"/>
        <v>39952.26</v>
      </c>
      <c r="CU583">
        <f t="shared" si="484"/>
        <v>0</v>
      </c>
      <c r="CV583">
        <f t="shared" si="485"/>
        <v>221.6</v>
      </c>
      <c r="CW583">
        <f t="shared" si="486"/>
        <v>0</v>
      </c>
      <c r="CX583">
        <f t="shared" si="487"/>
        <v>0</v>
      </c>
      <c r="CY583">
        <f t="shared" si="488"/>
        <v>478.226</v>
      </c>
      <c r="CZ583">
        <f t="shared" si="489"/>
        <v>68.317999999999998</v>
      </c>
      <c r="DC583" t="s">
        <v>3</v>
      </c>
      <c r="DD583" t="s">
        <v>3</v>
      </c>
      <c r="DE583" t="s">
        <v>3</v>
      </c>
      <c r="DF583" t="s">
        <v>3</v>
      </c>
      <c r="DG583" t="s">
        <v>3</v>
      </c>
      <c r="DH583" t="s">
        <v>3</v>
      </c>
      <c r="DI583" t="s">
        <v>3</v>
      </c>
      <c r="DJ583" t="s">
        <v>3</v>
      </c>
      <c r="DK583" t="s">
        <v>3</v>
      </c>
      <c r="DL583" t="s">
        <v>3</v>
      </c>
      <c r="DM583" t="s">
        <v>3</v>
      </c>
      <c r="DN583">
        <v>0</v>
      </c>
      <c r="DO583">
        <v>0</v>
      </c>
      <c r="DP583">
        <v>1</v>
      </c>
      <c r="DQ583">
        <v>1</v>
      </c>
      <c r="DU583">
        <v>1007</v>
      </c>
      <c r="DV583" t="s">
        <v>187</v>
      </c>
      <c r="DW583" t="s">
        <v>187</v>
      </c>
      <c r="DX583">
        <v>100</v>
      </c>
      <c r="EE583">
        <v>38628631</v>
      </c>
      <c r="EF583">
        <v>1</v>
      </c>
      <c r="EG583" t="s">
        <v>24</v>
      </c>
      <c r="EH583">
        <v>0</v>
      </c>
      <c r="EI583" t="s">
        <v>3</v>
      </c>
      <c r="EJ583">
        <v>4</v>
      </c>
      <c r="EK583">
        <v>0</v>
      </c>
      <c r="EL583" t="s">
        <v>25</v>
      </c>
      <c r="EM583" t="s">
        <v>26</v>
      </c>
      <c r="EO583" t="s">
        <v>3</v>
      </c>
      <c r="EQ583">
        <v>0</v>
      </c>
      <c r="ER583">
        <v>39952.26</v>
      </c>
      <c r="ES583">
        <v>0</v>
      </c>
      <c r="ET583">
        <v>0</v>
      </c>
      <c r="EU583">
        <v>0</v>
      </c>
      <c r="EV583">
        <v>39952.26</v>
      </c>
      <c r="EW583">
        <v>221.6</v>
      </c>
      <c r="EX583">
        <v>0</v>
      </c>
      <c r="EY583">
        <v>0</v>
      </c>
      <c r="FQ583">
        <v>0</v>
      </c>
      <c r="FR583">
        <f t="shared" si="490"/>
        <v>0</v>
      </c>
      <c r="FS583">
        <v>0</v>
      </c>
      <c r="FX583">
        <v>70</v>
      </c>
      <c r="FY583">
        <v>10</v>
      </c>
      <c r="GA583" t="s">
        <v>3</v>
      </c>
      <c r="GD583">
        <v>0</v>
      </c>
      <c r="GF583">
        <v>-1026881037</v>
      </c>
      <c r="GG583">
        <v>2</v>
      </c>
      <c r="GH583">
        <v>1</v>
      </c>
      <c r="GI583">
        <v>-2</v>
      </c>
      <c r="GJ583">
        <v>0</v>
      </c>
      <c r="GK583">
        <f>ROUND(R583*(R12)/100,2)</f>
        <v>0</v>
      </c>
      <c r="GL583">
        <f t="shared" si="491"/>
        <v>0</v>
      </c>
      <c r="GM583">
        <f>ROUND(O583+X583+Y583+GK583,2)+GX583</f>
        <v>1229.73</v>
      </c>
      <c r="GN583">
        <f>IF(OR(BI583=0,BI583=1),ROUND(O583+X583+Y583+GK583,2),0)</f>
        <v>0</v>
      </c>
      <c r="GO583">
        <f>IF(BI583=2,ROUND(O583+X583+Y583+GK583,2),0)</f>
        <v>0</v>
      </c>
      <c r="GP583">
        <f>IF(BI583=4,ROUND(O583+X583+Y583+GK583,2)+GX583,0)</f>
        <v>1229.73</v>
      </c>
      <c r="GR583">
        <v>0</v>
      </c>
      <c r="GS583">
        <v>3</v>
      </c>
      <c r="GT583">
        <v>0</v>
      </c>
      <c r="GU583" t="s">
        <v>3</v>
      </c>
      <c r="GV583">
        <f t="shared" si="492"/>
        <v>0</v>
      </c>
      <c r="GW583">
        <v>1</v>
      </c>
      <c r="GX583">
        <f t="shared" si="493"/>
        <v>0</v>
      </c>
      <c r="HA583">
        <v>0</v>
      </c>
      <c r="HB583">
        <v>0</v>
      </c>
      <c r="HC583">
        <f t="shared" si="494"/>
        <v>0</v>
      </c>
      <c r="HE583" t="s">
        <v>3</v>
      </c>
      <c r="HF583" t="s">
        <v>3</v>
      </c>
      <c r="IK583">
        <v>0</v>
      </c>
    </row>
    <row r="584" spans="1:245" x14ac:dyDescent="0.2">
      <c r="A584">
        <v>17</v>
      </c>
      <c r="B584">
        <v>1</v>
      </c>
      <c r="C584">
        <f>ROW(SmtRes!A169)</f>
        <v>169</v>
      </c>
      <c r="D584">
        <f>ROW(EtalonRes!A166)</f>
        <v>166</v>
      </c>
      <c r="E584" t="s">
        <v>292</v>
      </c>
      <c r="F584" t="s">
        <v>194</v>
      </c>
      <c r="G584" t="s">
        <v>195</v>
      </c>
      <c r="H584" t="s">
        <v>30</v>
      </c>
      <c r="I584">
        <f>ROUND(((171*0.1)*0.6)*0.75,9)</f>
        <v>7.6950000000000003</v>
      </c>
      <c r="J584">
        <v>0</v>
      </c>
      <c r="O584">
        <f t="shared" si="461"/>
        <v>599.9</v>
      </c>
      <c r="P584">
        <f t="shared" si="462"/>
        <v>0</v>
      </c>
      <c r="Q584">
        <f t="shared" si="463"/>
        <v>599.9</v>
      </c>
      <c r="R584">
        <f t="shared" si="464"/>
        <v>189.22</v>
      </c>
      <c r="S584">
        <f t="shared" si="465"/>
        <v>0</v>
      </c>
      <c r="T584">
        <f t="shared" si="466"/>
        <v>0</v>
      </c>
      <c r="U584">
        <f t="shared" si="467"/>
        <v>0</v>
      </c>
      <c r="V584">
        <f t="shared" si="468"/>
        <v>0</v>
      </c>
      <c r="W584">
        <f t="shared" si="469"/>
        <v>0</v>
      </c>
      <c r="X584">
        <f t="shared" si="470"/>
        <v>0</v>
      </c>
      <c r="Y584">
        <f t="shared" si="471"/>
        <v>0</v>
      </c>
      <c r="AA584">
        <v>38214492</v>
      </c>
      <c r="AB584">
        <f t="shared" si="472"/>
        <v>77.959999999999994</v>
      </c>
      <c r="AC584">
        <f t="shared" si="473"/>
        <v>0</v>
      </c>
      <c r="AD584">
        <f t="shared" si="474"/>
        <v>77.959999999999994</v>
      </c>
      <c r="AE584">
        <f t="shared" si="475"/>
        <v>24.59</v>
      </c>
      <c r="AF584">
        <f t="shared" si="475"/>
        <v>0</v>
      </c>
      <c r="AG584">
        <f t="shared" si="476"/>
        <v>0</v>
      </c>
      <c r="AH584">
        <f t="shared" si="477"/>
        <v>0</v>
      </c>
      <c r="AI584">
        <f t="shared" si="477"/>
        <v>0</v>
      </c>
      <c r="AJ584">
        <f t="shared" si="478"/>
        <v>0</v>
      </c>
      <c r="AK584">
        <v>77.959999999999994</v>
      </c>
      <c r="AL584">
        <v>0</v>
      </c>
      <c r="AM584">
        <v>77.959999999999994</v>
      </c>
      <c r="AN584">
        <v>24.59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70</v>
      </c>
      <c r="AU584">
        <v>10</v>
      </c>
      <c r="AV584">
        <v>1</v>
      </c>
      <c r="AW584">
        <v>1</v>
      </c>
      <c r="AZ584">
        <v>1</v>
      </c>
      <c r="BA584">
        <v>1</v>
      </c>
      <c r="BB584">
        <v>1</v>
      </c>
      <c r="BC584">
        <v>1</v>
      </c>
      <c r="BD584" t="s">
        <v>3</v>
      </c>
      <c r="BE584" t="s">
        <v>3</v>
      </c>
      <c r="BF584" t="s">
        <v>3</v>
      </c>
      <c r="BG584" t="s">
        <v>3</v>
      </c>
      <c r="BH584">
        <v>0</v>
      </c>
      <c r="BI584">
        <v>4</v>
      </c>
      <c r="BJ584" t="s">
        <v>196</v>
      </c>
      <c r="BM584">
        <v>0</v>
      </c>
      <c r="BN584">
        <v>0</v>
      </c>
      <c r="BO584" t="s">
        <v>3</v>
      </c>
      <c r="BP584">
        <v>0</v>
      </c>
      <c r="BQ584">
        <v>1</v>
      </c>
      <c r="BR584">
        <v>0</v>
      </c>
      <c r="BS584">
        <v>1</v>
      </c>
      <c r="BT584">
        <v>1</v>
      </c>
      <c r="BU584">
        <v>1</v>
      </c>
      <c r="BV584">
        <v>1</v>
      </c>
      <c r="BW584">
        <v>1</v>
      </c>
      <c r="BX584">
        <v>1</v>
      </c>
      <c r="BY584" t="s">
        <v>3</v>
      </c>
      <c r="BZ584">
        <v>70</v>
      </c>
      <c r="CA584">
        <v>10</v>
      </c>
      <c r="CE584">
        <v>0</v>
      </c>
      <c r="CF584">
        <v>0</v>
      </c>
      <c r="CG584">
        <v>0</v>
      </c>
      <c r="CM584">
        <v>0</v>
      </c>
      <c r="CN584" t="s">
        <v>3</v>
      </c>
      <c r="CO584">
        <v>0</v>
      </c>
      <c r="CP584">
        <f t="shared" si="479"/>
        <v>599.9</v>
      </c>
      <c r="CQ584">
        <f t="shared" si="480"/>
        <v>0</v>
      </c>
      <c r="CR584">
        <f t="shared" si="481"/>
        <v>77.959999999999994</v>
      </c>
      <c r="CS584">
        <f t="shared" si="482"/>
        <v>24.59</v>
      </c>
      <c r="CT584">
        <f t="shared" si="483"/>
        <v>0</v>
      </c>
      <c r="CU584">
        <f t="shared" si="484"/>
        <v>0</v>
      </c>
      <c r="CV584">
        <f t="shared" si="485"/>
        <v>0</v>
      </c>
      <c r="CW584">
        <f t="shared" si="486"/>
        <v>0</v>
      </c>
      <c r="CX584">
        <f t="shared" si="487"/>
        <v>0</v>
      </c>
      <c r="CY584">
        <f t="shared" si="488"/>
        <v>0</v>
      </c>
      <c r="CZ584">
        <f t="shared" si="489"/>
        <v>0</v>
      </c>
      <c r="DC584" t="s">
        <v>3</v>
      </c>
      <c r="DD584" t="s">
        <v>3</v>
      </c>
      <c r="DE584" t="s">
        <v>3</v>
      </c>
      <c r="DF584" t="s">
        <v>3</v>
      </c>
      <c r="DG584" t="s">
        <v>3</v>
      </c>
      <c r="DH584" t="s">
        <v>3</v>
      </c>
      <c r="DI584" t="s">
        <v>3</v>
      </c>
      <c r="DJ584" t="s">
        <v>3</v>
      </c>
      <c r="DK584" t="s">
        <v>3</v>
      </c>
      <c r="DL584" t="s">
        <v>3</v>
      </c>
      <c r="DM584" t="s">
        <v>3</v>
      </c>
      <c r="DN584">
        <v>0</v>
      </c>
      <c r="DO584">
        <v>0</v>
      </c>
      <c r="DP584">
        <v>1</v>
      </c>
      <c r="DQ584">
        <v>1</v>
      </c>
      <c r="DU584">
        <v>1009</v>
      </c>
      <c r="DV584" t="s">
        <v>30</v>
      </c>
      <c r="DW584" t="s">
        <v>30</v>
      </c>
      <c r="DX584">
        <v>1000</v>
      </c>
      <c r="EE584">
        <v>38628631</v>
      </c>
      <c r="EF584">
        <v>1</v>
      </c>
      <c r="EG584" t="s">
        <v>24</v>
      </c>
      <c r="EH584">
        <v>0</v>
      </c>
      <c r="EI584" t="s">
        <v>3</v>
      </c>
      <c r="EJ584">
        <v>4</v>
      </c>
      <c r="EK584">
        <v>0</v>
      </c>
      <c r="EL584" t="s">
        <v>25</v>
      </c>
      <c r="EM584" t="s">
        <v>26</v>
      </c>
      <c r="EO584" t="s">
        <v>3</v>
      </c>
      <c r="EQ584">
        <v>0</v>
      </c>
      <c r="ER584">
        <v>77.959999999999994</v>
      </c>
      <c r="ES584">
        <v>0</v>
      </c>
      <c r="ET584">
        <v>77.959999999999994</v>
      </c>
      <c r="EU584">
        <v>24.59</v>
      </c>
      <c r="EV584">
        <v>0</v>
      </c>
      <c r="EW584">
        <v>0</v>
      </c>
      <c r="EX584">
        <v>0</v>
      </c>
      <c r="EY584">
        <v>0</v>
      </c>
      <c r="FQ584">
        <v>0</v>
      </c>
      <c r="FR584">
        <f t="shared" si="490"/>
        <v>0</v>
      </c>
      <c r="FS584">
        <v>0</v>
      </c>
      <c r="FX584">
        <v>70</v>
      </c>
      <c r="FY584">
        <v>10</v>
      </c>
      <c r="GA584" t="s">
        <v>3</v>
      </c>
      <c r="GD584">
        <v>0</v>
      </c>
      <c r="GF584">
        <v>-621992786</v>
      </c>
      <c r="GG584">
        <v>2</v>
      </c>
      <c r="GH584">
        <v>1</v>
      </c>
      <c r="GI584">
        <v>-2</v>
      </c>
      <c r="GJ584">
        <v>0</v>
      </c>
      <c r="GK584">
        <f>ROUND(R584*(R12)/100,2)</f>
        <v>204.36</v>
      </c>
      <c r="GL584">
        <f t="shared" si="491"/>
        <v>0</v>
      </c>
      <c r="GM584">
        <f>ROUND(O584+X584+Y584+GK584,2)+GX584</f>
        <v>804.26</v>
      </c>
      <c r="GN584">
        <f>IF(OR(BI584=0,BI584=1),ROUND(O584+X584+Y584+GK584,2),0)</f>
        <v>0</v>
      </c>
      <c r="GO584">
        <f>IF(BI584=2,ROUND(O584+X584+Y584+GK584,2),0)</f>
        <v>0</v>
      </c>
      <c r="GP584">
        <f>IF(BI584=4,ROUND(O584+X584+Y584+GK584,2)+GX584,0)</f>
        <v>804.26</v>
      </c>
      <c r="GR584">
        <v>0</v>
      </c>
      <c r="GS584">
        <v>3</v>
      </c>
      <c r="GT584">
        <v>0</v>
      </c>
      <c r="GU584" t="s">
        <v>3</v>
      </c>
      <c r="GV584">
        <f t="shared" si="492"/>
        <v>0</v>
      </c>
      <c r="GW584">
        <v>1</v>
      </c>
      <c r="GX584">
        <f t="shared" si="493"/>
        <v>0</v>
      </c>
      <c r="HA584">
        <v>0</v>
      </c>
      <c r="HB584">
        <v>0</v>
      </c>
      <c r="HC584">
        <f t="shared" si="494"/>
        <v>0</v>
      </c>
      <c r="HE584" t="s">
        <v>3</v>
      </c>
      <c r="HF584" t="s">
        <v>3</v>
      </c>
      <c r="IK584">
        <v>0</v>
      </c>
    </row>
    <row r="585" spans="1:245" x14ac:dyDescent="0.2">
      <c r="A585">
        <v>17</v>
      </c>
      <c r="B585">
        <v>1</v>
      </c>
      <c r="C585">
        <f>ROW(SmtRes!A170)</f>
        <v>170</v>
      </c>
      <c r="D585">
        <f>ROW(EtalonRes!A167)</f>
        <v>167</v>
      </c>
      <c r="E585" t="s">
        <v>293</v>
      </c>
      <c r="F585" t="s">
        <v>35</v>
      </c>
      <c r="G585" t="s">
        <v>36</v>
      </c>
      <c r="H585" t="s">
        <v>30</v>
      </c>
      <c r="I585">
        <f>ROUND(((171*0.1)*0.6)*0.25,9)</f>
        <v>2.5649999999999999</v>
      </c>
      <c r="J585">
        <v>0</v>
      </c>
      <c r="O585">
        <f t="shared" si="461"/>
        <v>307</v>
      </c>
      <c r="P585">
        <f t="shared" si="462"/>
        <v>0</v>
      </c>
      <c r="Q585">
        <f t="shared" si="463"/>
        <v>0</v>
      </c>
      <c r="R585">
        <f t="shared" si="464"/>
        <v>0</v>
      </c>
      <c r="S585">
        <f t="shared" si="465"/>
        <v>307</v>
      </c>
      <c r="T585">
        <f t="shared" si="466"/>
        <v>0</v>
      </c>
      <c r="U585">
        <f t="shared" si="467"/>
        <v>2.6162999999999998</v>
      </c>
      <c r="V585">
        <f t="shared" si="468"/>
        <v>0</v>
      </c>
      <c r="W585">
        <f t="shared" si="469"/>
        <v>0</v>
      </c>
      <c r="X585">
        <f t="shared" si="470"/>
        <v>214.9</v>
      </c>
      <c r="Y585">
        <f t="shared" si="471"/>
        <v>30.7</v>
      </c>
      <c r="AA585">
        <v>38214492</v>
      </c>
      <c r="AB585">
        <f t="shared" si="472"/>
        <v>119.69</v>
      </c>
      <c r="AC585">
        <f t="shared" si="473"/>
        <v>0</v>
      </c>
      <c r="AD585">
        <f t="shared" si="474"/>
        <v>0</v>
      </c>
      <c r="AE585">
        <f t="shared" si="475"/>
        <v>0</v>
      </c>
      <c r="AF585">
        <f t="shared" si="475"/>
        <v>119.69</v>
      </c>
      <c r="AG585">
        <f t="shared" si="476"/>
        <v>0</v>
      </c>
      <c r="AH585">
        <f t="shared" si="477"/>
        <v>1.02</v>
      </c>
      <c r="AI585">
        <f t="shared" si="477"/>
        <v>0</v>
      </c>
      <c r="AJ585">
        <f t="shared" si="478"/>
        <v>0</v>
      </c>
      <c r="AK585">
        <v>119.69</v>
      </c>
      <c r="AL585">
        <v>0</v>
      </c>
      <c r="AM585">
        <v>0</v>
      </c>
      <c r="AN585">
        <v>0</v>
      </c>
      <c r="AO585">
        <v>119.69</v>
      </c>
      <c r="AP585">
        <v>0</v>
      </c>
      <c r="AQ585">
        <v>1.02</v>
      </c>
      <c r="AR585">
        <v>0</v>
      </c>
      <c r="AS585">
        <v>0</v>
      </c>
      <c r="AT585">
        <v>70</v>
      </c>
      <c r="AU585">
        <v>10</v>
      </c>
      <c r="AV585">
        <v>1</v>
      </c>
      <c r="AW585">
        <v>1</v>
      </c>
      <c r="AZ585">
        <v>1</v>
      </c>
      <c r="BA585">
        <v>1</v>
      </c>
      <c r="BB585">
        <v>1</v>
      </c>
      <c r="BC585">
        <v>1</v>
      </c>
      <c r="BD585" t="s">
        <v>3</v>
      </c>
      <c r="BE585" t="s">
        <v>3</v>
      </c>
      <c r="BF585" t="s">
        <v>3</v>
      </c>
      <c r="BG585" t="s">
        <v>3</v>
      </c>
      <c r="BH585">
        <v>0</v>
      </c>
      <c r="BI585">
        <v>4</v>
      </c>
      <c r="BJ585" t="s">
        <v>37</v>
      </c>
      <c r="BM585">
        <v>0</v>
      </c>
      <c r="BN585">
        <v>0</v>
      </c>
      <c r="BO585" t="s">
        <v>3</v>
      </c>
      <c r="BP585">
        <v>0</v>
      </c>
      <c r="BQ585">
        <v>1</v>
      </c>
      <c r="BR585">
        <v>0</v>
      </c>
      <c r="BS585">
        <v>1</v>
      </c>
      <c r="BT585">
        <v>1</v>
      </c>
      <c r="BU585">
        <v>1</v>
      </c>
      <c r="BV585">
        <v>1</v>
      </c>
      <c r="BW585">
        <v>1</v>
      </c>
      <c r="BX585">
        <v>1</v>
      </c>
      <c r="BY585" t="s">
        <v>3</v>
      </c>
      <c r="BZ585">
        <v>70</v>
      </c>
      <c r="CA585">
        <v>10</v>
      </c>
      <c r="CE585">
        <v>0</v>
      </c>
      <c r="CF585">
        <v>0</v>
      </c>
      <c r="CG585">
        <v>0</v>
      </c>
      <c r="CM585">
        <v>0</v>
      </c>
      <c r="CN585" t="s">
        <v>3</v>
      </c>
      <c r="CO585">
        <v>0</v>
      </c>
      <c r="CP585">
        <f t="shared" si="479"/>
        <v>307</v>
      </c>
      <c r="CQ585">
        <f t="shared" si="480"/>
        <v>0</v>
      </c>
      <c r="CR585">
        <f t="shared" si="481"/>
        <v>0</v>
      </c>
      <c r="CS585">
        <f t="shared" si="482"/>
        <v>0</v>
      </c>
      <c r="CT585">
        <f t="shared" si="483"/>
        <v>119.69</v>
      </c>
      <c r="CU585">
        <f t="shared" si="484"/>
        <v>0</v>
      </c>
      <c r="CV585">
        <f t="shared" si="485"/>
        <v>1.02</v>
      </c>
      <c r="CW585">
        <f t="shared" si="486"/>
        <v>0</v>
      </c>
      <c r="CX585">
        <f t="shared" si="487"/>
        <v>0</v>
      </c>
      <c r="CY585">
        <f t="shared" si="488"/>
        <v>214.9</v>
      </c>
      <c r="CZ585">
        <f t="shared" si="489"/>
        <v>30.7</v>
      </c>
      <c r="DC585" t="s">
        <v>3</v>
      </c>
      <c r="DD585" t="s">
        <v>3</v>
      </c>
      <c r="DE585" t="s">
        <v>3</v>
      </c>
      <c r="DF585" t="s">
        <v>3</v>
      </c>
      <c r="DG585" t="s">
        <v>3</v>
      </c>
      <c r="DH585" t="s">
        <v>3</v>
      </c>
      <c r="DI585" t="s">
        <v>3</v>
      </c>
      <c r="DJ585" t="s">
        <v>3</v>
      </c>
      <c r="DK585" t="s">
        <v>3</v>
      </c>
      <c r="DL585" t="s">
        <v>3</v>
      </c>
      <c r="DM585" t="s">
        <v>3</v>
      </c>
      <c r="DN585">
        <v>0</v>
      </c>
      <c r="DO585">
        <v>0</v>
      </c>
      <c r="DP585">
        <v>1</v>
      </c>
      <c r="DQ585">
        <v>1</v>
      </c>
      <c r="DU585">
        <v>1009</v>
      </c>
      <c r="DV585" t="s">
        <v>30</v>
      </c>
      <c r="DW585" t="s">
        <v>30</v>
      </c>
      <c r="DX585">
        <v>1000</v>
      </c>
      <c r="EE585">
        <v>38628631</v>
      </c>
      <c r="EF585">
        <v>1</v>
      </c>
      <c r="EG585" t="s">
        <v>24</v>
      </c>
      <c r="EH585">
        <v>0</v>
      </c>
      <c r="EI585" t="s">
        <v>3</v>
      </c>
      <c r="EJ585">
        <v>4</v>
      </c>
      <c r="EK585">
        <v>0</v>
      </c>
      <c r="EL585" t="s">
        <v>25</v>
      </c>
      <c r="EM585" t="s">
        <v>26</v>
      </c>
      <c r="EO585" t="s">
        <v>3</v>
      </c>
      <c r="EQ585">
        <v>0</v>
      </c>
      <c r="ER585">
        <v>119.69</v>
      </c>
      <c r="ES585">
        <v>0</v>
      </c>
      <c r="ET585">
        <v>0</v>
      </c>
      <c r="EU585">
        <v>0</v>
      </c>
      <c r="EV585">
        <v>119.69</v>
      </c>
      <c r="EW585">
        <v>1.02</v>
      </c>
      <c r="EX585">
        <v>0</v>
      </c>
      <c r="EY585">
        <v>0</v>
      </c>
      <c r="FQ585">
        <v>0</v>
      </c>
      <c r="FR585">
        <f t="shared" si="490"/>
        <v>0</v>
      </c>
      <c r="FS585">
        <v>0</v>
      </c>
      <c r="FX585">
        <v>70</v>
      </c>
      <c r="FY585">
        <v>10</v>
      </c>
      <c r="GA585" t="s">
        <v>3</v>
      </c>
      <c r="GD585">
        <v>0</v>
      </c>
      <c r="GF585">
        <v>1555540630</v>
      </c>
      <c r="GG585">
        <v>2</v>
      </c>
      <c r="GH585">
        <v>1</v>
      </c>
      <c r="GI585">
        <v>-2</v>
      </c>
      <c r="GJ585">
        <v>0</v>
      </c>
      <c r="GK585">
        <f>ROUND(R585*(R12)/100,2)</f>
        <v>0</v>
      </c>
      <c r="GL585">
        <f t="shared" si="491"/>
        <v>0</v>
      </c>
      <c r="GM585">
        <f>ROUND(O585+X585+Y585+GK585,2)+GX585</f>
        <v>552.6</v>
      </c>
      <c r="GN585">
        <f>IF(OR(BI585=0,BI585=1),ROUND(O585+X585+Y585+GK585,2),0)</f>
        <v>0</v>
      </c>
      <c r="GO585">
        <f>IF(BI585=2,ROUND(O585+X585+Y585+GK585,2),0)</f>
        <v>0</v>
      </c>
      <c r="GP585">
        <f>IF(BI585=4,ROUND(O585+X585+Y585+GK585,2)+GX585,0)</f>
        <v>552.6</v>
      </c>
      <c r="GR585">
        <v>0</v>
      </c>
      <c r="GS585">
        <v>3</v>
      </c>
      <c r="GT585">
        <v>0</v>
      </c>
      <c r="GU585" t="s">
        <v>3</v>
      </c>
      <c r="GV585">
        <f t="shared" si="492"/>
        <v>0</v>
      </c>
      <c r="GW585">
        <v>1</v>
      </c>
      <c r="GX585">
        <f t="shared" si="493"/>
        <v>0</v>
      </c>
      <c r="HA585">
        <v>0</v>
      </c>
      <c r="HB585">
        <v>0</v>
      </c>
      <c r="HC585">
        <f t="shared" si="494"/>
        <v>0</v>
      </c>
      <c r="HE585" t="s">
        <v>3</v>
      </c>
      <c r="HF585" t="s">
        <v>3</v>
      </c>
      <c r="IK585">
        <v>0</v>
      </c>
    </row>
    <row r="586" spans="1:245" x14ac:dyDescent="0.2">
      <c r="A586">
        <v>17</v>
      </c>
      <c r="B586">
        <v>1</v>
      </c>
      <c r="C586">
        <f>ROW(SmtRes!A172)</f>
        <v>172</v>
      </c>
      <c r="D586">
        <f>ROW(EtalonRes!A169)</f>
        <v>169</v>
      </c>
      <c r="E586" t="s">
        <v>294</v>
      </c>
      <c r="F586" t="s">
        <v>39</v>
      </c>
      <c r="G586" t="s">
        <v>40</v>
      </c>
      <c r="H586" t="s">
        <v>30</v>
      </c>
      <c r="I586">
        <f>ROUND(I584,9)</f>
        <v>7.6950000000000003</v>
      </c>
      <c r="J586">
        <v>0</v>
      </c>
      <c r="O586">
        <f t="shared" si="461"/>
        <v>480.94</v>
      </c>
      <c r="P586">
        <f t="shared" si="462"/>
        <v>0</v>
      </c>
      <c r="Q586">
        <f t="shared" si="463"/>
        <v>480.94</v>
      </c>
      <c r="R586">
        <f t="shared" si="464"/>
        <v>284.87</v>
      </c>
      <c r="S586">
        <f t="shared" si="465"/>
        <v>0</v>
      </c>
      <c r="T586">
        <f t="shared" si="466"/>
        <v>0</v>
      </c>
      <c r="U586">
        <f t="shared" si="467"/>
        <v>0</v>
      </c>
      <c r="V586">
        <f t="shared" si="468"/>
        <v>0</v>
      </c>
      <c r="W586">
        <f t="shared" si="469"/>
        <v>0</v>
      </c>
      <c r="X586">
        <f t="shared" si="470"/>
        <v>0</v>
      </c>
      <c r="Y586">
        <f t="shared" si="471"/>
        <v>0</v>
      </c>
      <c r="AA586">
        <v>38214492</v>
      </c>
      <c r="AB586">
        <f t="shared" si="472"/>
        <v>62.5</v>
      </c>
      <c r="AC586">
        <f t="shared" si="473"/>
        <v>0</v>
      </c>
      <c r="AD586">
        <f t="shared" si="474"/>
        <v>62.5</v>
      </c>
      <c r="AE586">
        <f t="shared" si="475"/>
        <v>37.020000000000003</v>
      </c>
      <c r="AF586">
        <f t="shared" si="475"/>
        <v>0</v>
      </c>
      <c r="AG586">
        <f t="shared" si="476"/>
        <v>0</v>
      </c>
      <c r="AH586">
        <f t="shared" si="477"/>
        <v>0</v>
      </c>
      <c r="AI586">
        <f t="shared" si="477"/>
        <v>0</v>
      </c>
      <c r="AJ586">
        <f t="shared" si="478"/>
        <v>0</v>
      </c>
      <c r="AK586">
        <v>62.5</v>
      </c>
      <c r="AL586">
        <v>0</v>
      </c>
      <c r="AM586">
        <v>62.5</v>
      </c>
      <c r="AN586">
        <v>37.020000000000003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1</v>
      </c>
      <c r="AW586">
        <v>1</v>
      </c>
      <c r="AZ586">
        <v>1</v>
      </c>
      <c r="BA586">
        <v>1</v>
      </c>
      <c r="BB586">
        <v>1</v>
      </c>
      <c r="BC586">
        <v>1</v>
      </c>
      <c r="BD586" t="s">
        <v>3</v>
      </c>
      <c r="BE586" t="s">
        <v>3</v>
      </c>
      <c r="BF586" t="s">
        <v>3</v>
      </c>
      <c r="BG586" t="s">
        <v>3</v>
      </c>
      <c r="BH586">
        <v>0</v>
      </c>
      <c r="BI586">
        <v>4</v>
      </c>
      <c r="BJ586" t="s">
        <v>41</v>
      </c>
      <c r="BM586">
        <v>1</v>
      </c>
      <c r="BN586">
        <v>0</v>
      </c>
      <c r="BO586" t="s">
        <v>3</v>
      </c>
      <c r="BP586">
        <v>0</v>
      </c>
      <c r="BQ586">
        <v>1</v>
      </c>
      <c r="BR586">
        <v>0</v>
      </c>
      <c r="BS586">
        <v>1</v>
      </c>
      <c r="BT586">
        <v>1</v>
      </c>
      <c r="BU586">
        <v>1</v>
      </c>
      <c r="BV586">
        <v>1</v>
      </c>
      <c r="BW586">
        <v>1</v>
      </c>
      <c r="BX586">
        <v>1</v>
      </c>
      <c r="BY586" t="s">
        <v>3</v>
      </c>
      <c r="BZ586">
        <v>0</v>
      </c>
      <c r="CA586">
        <v>0</v>
      </c>
      <c r="CE586">
        <v>0</v>
      </c>
      <c r="CF586">
        <v>0</v>
      </c>
      <c r="CG586">
        <v>0</v>
      </c>
      <c r="CM586">
        <v>0</v>
      </c>
      <c r="CN586" t="s">
        <v>3</v>
      </c>
      <c r="CO586">
        <v>0</v>
      </c>
      <c r="CP586">
        <f t="shared" si="479"/>
        <v>480.94</v>
      </c>
      <c r="CQ586">
        <f t="shared" si="480"/>
        <v>0</v>
      </c>
      <c r="CR586">
        <f t="shared" si="481"/>
        <v>62.5</v>
      </c>
      <c r="CS586">
        <f t="shared" si="482"/>
        <v>37.020000000000003</v>
      </c>
      <c r="CT586">
        <f t="shared" si="483"/>
        <v>0</v>
      </c>
      <c r="CU586">
        <f t="shared" si="484"/>
        <v>0</v>
      </c>
      <c r="CV586">
        <f t="shared" si="485"/>
        <v>0</v>
      </c>
      <c r="CW586">
        <f t="shared" si="486"/>
        <v>0</v>
      </c>
      <c r="CX586">
        <f t="shared" si="487"/>
        <v>0</v>
      </c>
      <c r="CY586">
        <f t="shared" si="488"/>
        <v>0</v>
      </c>
      <c r="CZ586">
        <f t="shared" si="489"/>
        <v>0</v>
      </c>
      <c r="DC586" t="s">
        <v>3</v>
      </c>
      <c r="DD586" t="s">
        <v>3</v>
      </c>
      <c r="DE586" t="s">
        <v>3</v>
      </c>
      <c r="DF586" t="s">
        <v>3</v>
      </c>
      <c r="DG586" t="s">
        <v>3</v>
      </c>
      <c r="DH586" t="s">
        <v>3</v>
      </c>
      <c r="DI586" t="s">
        <v>3</v>
      </c>
      <c r="DJ586" t="s">
        <v>3</v>
      </c>
      <c r="DK586" t="s">
        <v>3</v>
      </c>
      <c r="DL586" t="s">
        <v>3</v>
      </c>
      <c r="DM586" t="s">
        <v>3</v>
      </c>
      <c r="DN586">
        <v>0</v>
      </c>
      <c r="DO586">
        <v>0</v>
      </c>
      <c r="DP586">
        <v>1</v>
      </c>
      <c r="DQ586">
        <v>1</v>
      </c>
      <c r="DU586">
        <v>1009</v>
      </c>
      <c r="DV586" t="s">
        <v>30</v>
      </c>
      <c r="DW586" t="s">
        <v>30</v>
      </c>
      <c r="DX586">
        <v>1000</v>
      </c>
      <c r="EE586">
        <v>38628633</v>
      </c>
      <c r="EF586">
        <v>1</v>
      </c>
      <c r="EG586" t="s">
        <v>24</v>
      </c>
      <c r="EH586">
        <v>0</v>
      </c>
      <c r="EI586" t="s">
        <v>3</v>
      </c>
      <c r="EJ586">
        <v>4</v>
      </c>
      <c r="EK586">
        <v>1</v>
      </c>
      <c r="EL586" t="s">
        <v>42</v>
      </c>
      <c r="EM586" t="s">
        <v>26</v>
      </c>
      <c r="EO586" t="s">
        <v>3</v>
      </c>
      <c r="EQ586">
        <v>0</v>
      </c>
      <c r="ER586">
        <v>62.5</v>
      </c>
      <c r="ES586">
        <v>0</v>
      </c>
      <c r="ET586">
        <v>62.5</v>
      </c>
      <c r="EU586">
        <v>37.020000000000003</v>
      </c>
      <c r="EV586">
        <v>0</v>
      </c>
      <c r="EW586">
        <v>0</v>
      </c>
      <c r="EX586">
        <v>0</v>
      </c>
      <c r="EY586">
        <v>0</v>
      </c>
      <c r="FQ586">
        <v>0</v>
      </c>
      <c r="FR586">
        <f t="shared" si="490"/>
        <v>0</v>
      </c>
      <c r="FS586">
        <v>0</v>
      </c>
      <c r="FX586">
        <v>0</v>
      </c>
      <c r="FY586">
        <v>0</v>
      </c>
      <c r="GA586" t="s">
        <v>3</v>
      </c>
      <c r="GD586">
        <v>1</v>
      </c>
      <c r="GF586">
        <v>-283681225</v>
      </c>
      <c r="GG586">
        <v>2</v>
      </c>
      <c r="GH586">
        <v>1</v>
      </c>
      <c r="GI586">
        <v>-2</v>
      </c>
      <c r="GJ586">
        <v>0</v>
      </c>
      <c r="GK586">
        <v>0</v>
      </c>
      <c r="GL586">
        <f t="shared" si="491"/>
        <v>0</v>
      </c>
      <c r="GM586">
        <f>ROUND(O586+X586+Y586,2)+GX586</f>
        <v>480.94</v>
      </c>
      <c r="GN586">
        <f>IF(OR(BI586=0,BI586=1),ROUND(O586+X586+Y586,2),0)</f>
        <v>0</v>
      </c>
      <c r="GO586">
        <f>IF(BI586=2,ROUND(O586+X586+Y586,2),0)</f>
        <v>0</v>
      </c>
      <c r="GP586">
        <f>IF(BI586=4,ROUND(O586+X586+Y586,2)+GX586,0)</f>
        <v>480.94</v>
      </c>
      <c r="GR586">
        <v>0</v>
      </c>
      <c r="GS586">
        <v>3</v>
      </c>
      <c r="GT586">
        <v>0</v>
      </c>
      <c r="GU586" t="s">
        <v>3</v>
      </c>
      <c r="GV586">
        <f t="shared" si="492"/>
        <v>0</v>
      </c>
      <c r="GW586">
        <v>1</v>
      </c>
      <c r="GX586">
        <f t="shared" si="493"/>
        <v>0</v>
      </c>
      <c r="HA586">
        <v>0</v>
      </c>
      <c r="HB586">
        <v>0</v>
      </c>
      <c r="HC586">
        <f t="shared" si="494"/>
        <v>0</v>
      </c>
      <c r="HE586" t="s">
        <v>3</v>
      </c>
      <c r="HF586" t="s">
        <v>3</v>
      </c>
      <c r="IK586">
        <v>0</v>
      </c>
    </row>
    <row r="587" spans="1:245" x14ac:dyDescent="0.2">
      <c r="A587">
        <v>17</v>
      </c>
      <c r="B587">
        <v>1</v>
      </c>
      <c r="C587">
        <f>ROW(SmtRes!A174)</f>
        <v>174</v>
      </c>
      <c r="D587">
        <f>ROW(EtalonRes!A171)</f>
        <v>171</v>
      </c>
      <c r="E587" t="s">
        <v>295</v>
      </c>
      <c r="F587" t="s">
        <v>44</v>
      </c>
      <c r="G587" t="s">
        <v>45</v>
      </c>
      <c r="H587" t="s">
        <v>30</v>
      </c>
      <c r="I587">
        <f>ROUND(I585,9)</f>
        <v>2.5649999999999999</v>
      </c>
      <c r="J587">
        <v>0</v>
      </c>
      <c r="O587">
        <f t="shared" si="461"/>
        <v>460.16</v>
      </c>
      <c r="P587">
        <f t="shared" si="462"/>
        <v>0</v>
      </c>
      <c r="Q587">
        <f t="shared" si="463"/>
        <v>460.16</v>
      </c>
      <c r="R587">
        <f t="shared" si="464"/>
        <v>272.39999999999998</v>
      </c>
      <c r="S587">
        <f t="shared" si="465"/>
        <v>0</v>
      </c>
      <c r="T587">
        <f t="shared" si="466"/>
        <v>0</v>
      </c>
      <c r="U587">
        <f t="shared" si="467"/>
        <v>0</v>
      </c>
      <c r="V587">
        <f t="shared" si="468"/>
        <v>0</v>
      </c>
      <c r="W587">
        <f t="shared" si="469"/>
        <v>0</v>
      </c>
      <c r="X587">
        <f t="shared" si="470"/>
        <v>0</v>
      </c>
      <c r="Y587">
        <f t="shared" si="471"/>
        <v>0</v>
      </c>
      <c r="AA587">
        <v>38214492</v>
      </c>
      <c r="AB587">
        <f t="shared" si="472"/>
        <v>179.4</v>
      </c>
      <c r="AC587">
        <f t="shared" si="473"/>
        <v>0</v>
      </c>
      <c r="AD587">
        <f t="shared" si="474"/>
        <v>179.4</v>
      </c>
      <c r="AE587">
        <f t="shared" si="475"/>
        <v>106.2</v>
      </c>
      <c r="AF587">
        <f t="shared" si="475"/>
        <v>0</v>
      </c>
      <c r="AG587">
        <f t="shared" si="476"/>
        <v>0</v>
      </c>
      <c r="AH587">
        <f t="shared" si="477"/>
        <v>0</v>
      </c>
      <c r="AI587">
        <f t="shared" si="477"/>
        <v>0</v>
      </c>
      <c r="AJ587">
        <f t="shared" si="478"/>
        <v>0</v>
      </c>
      <c r="AK587">
        <v>179.4</v>
      </c>
      <c r="AL587">
        <v>0</v>
      </c>
      <c r="AM587">
        <v>179.4</v>
      </c>
      <c r="AN587">
        <v>106.2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1</v>
      </c>
      <c r="AW587">
        <v>1</v>
      </c>
      <c r="AZ587">
        <v>1</v>
      </c>
      <c r="BA587">
        <v>1</v>
      </c>
      <c r="BB587">
        <v>1</v>
      </c>
      <c r="BC587">
        <v>1</v>
      </c>
      <c r="BD587" t="s">
        <v>3</v>
      </c>
      <c r="BE587" t="s">
        <v>3</v>
      </c>
      <c r="BF587" t="s">
        <v>3</v>
      </c>
      <c r="BG587" t="s">
        <v>3</v>
      </c>
      <c r="BH587">
        <v>0</v>
      </c>
      <c r="BI587">
        <v>4</v>
      </c>
      <c r="BJ587" t="s">
        <v>46</v>
      </c>
      <c r="BM587">
        <v>1</v>
      </c>
      <c r="BN587">
        <v>0</v>
      </c>
      <c r="BO587" t="s">
        <v>3</v>
      </c>
      <c r="BP587">
        <v>0</v>
      </c>
      <c r="BQ587">
        <v>1</v>
      </c>
      <c r="BR587">
        <v>0</v>
      </c>
      <c r="BS587">
        <v>1</v>
      </c>
      <c r="BT587">
        <v>1</v>
      </c>
      <c r="BU587">
        <v>1</v>
      </c>
      <c r="BV587">
        <v>1</v>
      </c>
      <c r="BW587">
        <v>1</v>
      </c>
      <c r="BX587">
        <v>1</v>
      </c>
      <c r="BY587" t="s">
        <v>3</v>
      </c>
      <c r="BZ587">
        <v>0</v>
      </c>
      <c r="CA587">
        <v>0</v>
      </c>
      <c r="CE587">
        <v>0</v>
      </c>
      <c r="CF587">
        <v>0</v>
      </c>
      <c r="CG587">
        <v>0</v>
      </c>
      <c r="CM587">
        <v>0</v>
      </c>
      <c r="CN587" t="s">
        <v>3</v>
      </c>
      <c r="CO587">
        <v>0</v>
      </c>
      <c r="CP587">
        <f t="shared" si="479"/>
        <v>460.16</v>
      </c>
      <c r="CQ587">
        <f t="shared" si="480"/>
        <v>0</v>
      </c>
      <c r="CR587">
        <f t="shared" si="481"/>
        <v>179.4</v>
      </c>
      <c r="CS587">
        <f t="shared" si="482"/>
        <v>106.2</v>
      </c>
      <c r="CT587">
        <f t="shared" si="483"/>
        <v>0</v>
      </c>
      <c r="CU587">
        <f t="shared" si="484"/>
        <v>0</v>
      </c>
      <c r="CV587">
        <f t="shared" si="485"/>
        <v>0</v>
      </c>
      <c r="CW587">
        <f t="shared" si="486"/>
        <v>0</v>
      </c>
      <c r="CX587">
        <f t="shared" si="487"/>
        <v>0</v>
      </c>
      <c r="CY587">
        <f t="shared" si="488"/>
        <v>0</v>
      </c>
      <c r="CZ587">
        <f t="shared" si="489"/>
        <v>0</v>
      </c>
      <c r="DC587" t="s">
        <v>3</v>
      </c>
      <c r="DD587" t="s">
        <v>3</v>
      </c>
      <c r="DE587" t="s">
        <v>3</v>
      </c>
      <c r="DF587" t="s">
        <v>3</v>
      </c>
      <c r="DG587" t="s">
        <v>3</v>
      </c>
      <c r="DH587" t="s">
        <v>3</v>
      </c>
      <c r="DI587" t="s">
        <v>3</v>
      </c>
      <c r="DJ587" t="s">
        <v>3</v>
      </c>
      <c r="DK587" t="s">
        <v>3</v>
      </c>
      <c r="DL587" t="s">
        <v>3</v>
      </c>
      <c r="DM587" t="s">
        <v>3</v>
      </c>
      <c r="DN587">
        <v>0</v>
      </c>
      <c r="DO587">
        <v>0</v>
      </c>
      <c r="DP587">
        <v>1</v>
      </c>
      <c r="DQ587">
        <v>1</v>
      </c>
      <c r="DU587">
        <v>1009</v>
      </c>
      <c r="DV587" t="s">
        <v>30</v>
      </c>
      <c r="DW587" t="s">
        <v>30</v>
      </c>
      <c r="DX587">
        <v>1000</v>
      </c>
      <c r="EE587">
        <v>38628633</v>
      </c>
      <c r="EF587">
        <v>1</v>
      </c>
      <c r="EG587" t="s">
        <v>24</v>
      </c>
      <c r="EH587">
        <v>0</v>
      </c>
      <c r="EI587" t="s">
        <v>3</v>
      </c>
      <c r="EJ587">
        <v>4</v>
      </c>
      <c r="EK587">
        <v>1</v>
      </c>
      <c r="EL587" t="s">
        <v>42</v>
      </c>
      <c r="EM587" t="s">
        <v>26</v>
      </c>
      <c r="EO587" t="s">
        <v>3</v>
      </c>
      <c r="EQ587">
        <v>0</v>
      </c>
      <c r="ER587">
        <v>179.4</v>
      </c>
      <c r="ES587">
        <v>0</v>
      </c>
      <c r="ET587">
        <v>179.4</v>
      </c>
      <c r="EU587">
        <v>106.2</v>
      </c>
      <c r="EV587">
        <v>0</v>
      </c>
      <c r="EW587">
        <v>0</v>
      </c>
      <c r="EX587">
        <v>0</v>
      </c>
      <c r="EY587">
        <v>0</v>
      </c>
      <c r="FQ587">
        <v>0</v>
      </c>
      <c r="FR587">
        <f t="shared" si="490"/>
        <v>0</v>
      </c>
      <c r="FS587">
        <v>0</v>
      </c>
      <c r="FX587">
        <v>0</v>
      </c>
      <c r="FY587">
        <v>0</v>
      </c>
      <c r="GA587" t="s">
        <v>3</v>
      </c>
      <c r="GD587">
        <v>1</v>
      </c>
      <c r="GF587">
        <v>1779235029</v>
      </c>
      <c r="GG587">
        <v>2</v>
      </c>
      <c r="GH587">
        <v>1</v>
      </c>
      <c r="GI587">
        <v>-2</v>
      </c>
      <c r="GJ587">
        <v>0</v>
      </c>
      <c r="GK587">
        <v>0</v>
      </c>
      <c r="GL587">
        <f t="shared" si="491"/>
        <v>0</v>
      </c>
      <c r="GM587">
        <f>ROUND(O587+X587+Y587,2)+GX587</f>
        <v>460.16</v>
      </c>
      <c r="GN587">
        <f>IF(OR(BI587=0,BI587=1),ROUND(O587+X587+Y587,2),0)</f>
        <v>0</v>
      </c>
      <c r="GO587">
        <f>IF(BI587=2,ROUND(O587+X587+Y587,2),0)</f>
        <v>0</v>
      </c>
      <c r="GP587">
        <f>IF(BI587=4,ROUND(O587+X587+Y587,2)+GX587,0)</f>
        <v>460.16</v>
      </c>
      <c r="GR587">
        <v>0</v>
      </c>
      <c r="GS587">
        <v>3</v>
      </c>
      <c r="GT587">
        <v>0</v>
      </c>
      <c r="GU587" t="s">
        <v>3</v>
      </c>
      <c r="GV587">
        <f t="shared" si="492"/>
        <v>0</v>
      </c>
      <c r="GW587">
        <v>1</v>
      </c>
      <c r="GX587">
        <f t="shared" si="493"/>
        <v>0</v>
      </c>
      <c r="HA587">
        <v>0</v>
      </c>
      <c r="HB587">
        <v>0</v>
      </c>
      <c r="HC587">
        <f t="shared" si="494"/>
        <v>0</v>
      </c>
      <c r="HE587" t="s">
        <v>3</v>
      </c>
      <c r="HF587" t="s">
        <v>3</v>
      </c>
      <c r="IK587">
        <v>0</v>
      </c>
    </row>
    <row r="588" spans="1:245" x14ac:dyDescent="0.2">
      <c r="A588">
        <v>17</v>
      </c>
      <c r="B588">
        <v>1</v>
      </c>
      <c r="C588">
        <f>ROW(SmtRes!A176)</f>
        <v>176</v>
      </c>
      <c r="D588">
        <f>ROW(EtalonRes!A173)</f>
        <v>173</v>
      </c>
      <c r="E588" t="s">
        <v>296</v>
      </c>
      <c r="F588" t="s">
        <v>48</v>
      </c>
      <c r="G588" t="s">
        <v>49</v>
      </c>
      <c r="H588" t="s">
        <v>30</v>
      </c>
      <c r="I588">
        <f>ROUND(I586+I587,9)</f>
        <v>10.26</v>
      </c>
      <c r="J588">
        <v>0</v>
      </c>
      <c r="O588">
        <f t="shared" si="461"/>
        <v>4855.8500000000004</v>
      </c>
      <c r="P588">
        <f t="shared" si="462"/>
        <v>0</v>
      </c>
      <c r="Q588">
        <f t="shared" si="463"/>
        <v>4855.8500000000004</v>
      </c>
      <c r="R588">
        <f t="shared" si="464"/>
        <v>2879.37</v>
      </c>
      <c r="S588">
        <f t="shared" si="465"/>
        <v>0</v>
      </c>
      <c r="T588">
        <f t="shared" si="466"/>
        <v>0</v>
      </c>
      <c r="U588">
        <f t="shared" si="467"/>
        <v>0</v>
      </c>
      <c r="V588">
        <f t="shared" si="468"/>
        <v>0</v>
      </c>
      <c r="W588">
        <f t="shared" si="469"/>
        <v>0</v>
      </c>
      <c r="X588">
        <f t="shared" si="470"/>
        <v>0</v>
      </c>
      <c r="Y588">
        <f t="shared" si="471"/>
        <v>0</v>
      </c>
      <c r="AA588">
        <v>38214492</v>
      </c>
      <c r="AB588">
        <f t="shared" si="472"/>
        <v>473.28</v>
      </c>
      <c r="AC588">
        <f>ROUND(((ES588*16)),6)</f>
        <v>0</v>
      </c>
      <c r="AD588">
        <f>ROUND(((((ET588*16))-((EU588*16)))+AE588),6)</f>
        <v>473.28</v>
      </c>
      <c r="AE588">
        <f>ROUND(((EU588*16)),6)</f>
        <v>280.64</v>
      </c>
      <c r="AF588">
        <f>ROUND(((EV588*16)),6)</f>
        <v>0</v>
      </c>
      <c r="AG588">
        <f t="shared" si="476"/>
        <v>0</v>
      </c>
      <c r="AH588">
        <f>((EW588*16))</f>
        <v>0</v>
      </c>
      <c r="AI588">
        <f>((EX588*16))</f>
        <v>0</v>
      </c>
      <c r="AJ588">
        <f t="shared" si="478"/>
        <v>0</v>
      </c>
      <c r="AK588">
        <v>29.58</v>
      </c>
      <c r="AL588">
        <v>0</v>
      </c>
      <c r="AM588">
        <v>29.58</v>
      </c>
      <c r="AN588">
        <v>17.54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1</v>
      </c>
      <c r="AW588">
        <v>1</v>
      </c>
      <c r="AZ588">
        <v>1</v>
      </c>
      <c r="BA588">
        <v>1</v>
      </c>
      <c r="BB588">
        <v>1</v>
      </c>
      <c r="BC588">
        <v>1</v>
      </c>
      <c r="BD588" t="s">
        <v>3</v>
      </c>
      <c r="BE588" t="s">
        <v>3</v>
      </c>
      <c r="BF588" t="s">
        <v>3</v>
      </c>
      <c r="BG588" t="s">
        <v>3</v>
      </c>
      <c r="BH588">
        <v>0</v>
      </c>
      <c r="BI588">
        <v>4</v>
      </c>
      <c r="BJ588" t="s">
        <v>50</v>
      </c>
      <c r="BM588">
        <v>1</v>
      </c>
      <c r="BN588">
        <v>0</v>
      </c>
      <c r="BO588" t="s">
        <v>3</v>
      </c>
      <c r="BP588">
        <v>0</v>
      </c>
      <c r="BQ588">
        <v>1</v>
      </c>
      <c r="BR588">
        <v>0</v>
      </c>
      <c r="BS588">
        <v>1</v>
      </c>
      <c r="BT588">
        <v>1</v>
      </c>
      <c r="BU588">
        <v>1</v>
      </c>
      <c r="BV588">
        <v>1</v>
      </c>
      <c r="BW588">
        <v>1</v>
      </c>
      <c r="BX588">
        <v>1</v>
      </c>
      <c r="BY588" t="s">
        <v>3</v>
      </c>
      <c r="BZ588">
        <v>0</v>
      </c>
      <c r="CA588">
        <v>0</v>
      </c>
      <c r="CE588">
        <v>0</v>
      </c>
      <c r="CF588">
        <v>0</v>
      </c>
      <c r="CG588">
        <v>0</v>
      </c>
      <c r="CM588">
        <v>0</v>
      </c>
      <c r="CN588" t="s">
        <v>3</v>
      </c>
      <c r="CO588">
        <v>0</v>
      </c>
      <c r="CP588">
        <f t="shared" si="479"/>
        <v>4855.8500000000004</v>
      </c>
      <c r="CQ588">
        <f t="shared" si="480"/>
        <v>0</v>
      </c>
      <c r="CR588">
        <f>(((((ET588*16))*BB588-((EU588*16))*BS588)+AE588*BS588)*AV588)</f>
        <v>473.28</v>
      </c>
      <c r="CS588">
        <f t="shared" si="482"/>
        <v>280.64</v>
      </c>
      <c r="CT588">
        <f t="shared" si="483"/>
        <v>0</v>
      </c>
      <c r="CU588">
        <f t="shared" si="484"/>
        <v>0</v>
      </c>
      <c r="CV588">
        <f t="shared" si="485"/>
        <v>0</v>
      </c>
      <c r="CW588">
        <f t="shared" si="486"/>
        <v>0</v>
      </c>
      <c r="CX588">
        <f t="shared" si="487"/>
        <v>0</v>
      </c>
      <c r="CY588">
        <f t="shared" si="488"/>
        <v>0</v>
      </c>
      <c r="CZ588">
        <f t="shared" si="489"/>
        <v>0</v>
      </c>
      <c r="DC588" t="s">
        <v>3</v>
      </c>
      <c r="DD588" t="s">
        <v>201</v>
      </c>
      <c r="DE588" t="s">
        <v>201</v>
      </c>
      <c r="DF588" t="s">
        <v>201</v>
      </c>
      <c r="DG588" t="s">
        <v>201</v>
      </c>
      <c r="DH588" t="s">
        <v>3</v>
      </c>
      <c r="DI588" t="s">
        <v>201</v>
      </c>
      <c r="DJ588" t="s">
        <v>201</v>
      </c>
      <c r="DK588" t="s">
        <v>3</v>
      </c>
      <c r="DL588" t="s">
        <v>3</v>
      </c>
      <c r="DM588" t="s">
        <v>3</v>
      </c>
      <c r="DN588">
        <v>0</v>
      </c>
      <c r="DO588">
        <v>0</v>
      </c>
      <c r="DP588">
        <v>1</v>
      </c>
      <c r="DQ588">
        <v>1</v>
      </c>
      <c r="DU588">
        <v>1009</v>
      </c>
      <c r="DV588" t="s">
        <v>30</v>
      </c>
      <c r="DW588" t="s">
        <v>30</v>
      </c>
      <c r="DX588">
        <v>1000</v>
      </c>
      <c r="EE588">
        <v>38628633</v>
      </c>
      <c r="EF588">
        <v>1</v>
      </c>
      <c r="EG588" t="s">
        <v>24</v>
      </c>
      <c r="EH588">
        <v>0</v>
      </c>
      <c r="EI588" t="s">
        <v>3</v>
      </c>
      <c r="EJ588">
        <v>4</v>
      </c>
      <c r="EK588">
        <v>1</v>
      </c>
      <c r="EL588" t="s">
        <v>42</v>
      </c>
      <c r="EM588" t="s">
        <v>26</v>
      </c>
      <c r="EO588" t="s">
        <v>3</v>
      </c>
      <c r="EQ588">
        <v>0</v>
      </c>
      <c r="ER588">
        <v>29.58</v>
      </c>
      <c r="ES588">
        <v>0</v>
      </c>
      <c r="ET588">
        <v>29.58</v>
      </c>
      <c r="EU588">
        <v>17.54</v>
      </c>
      <c r="EV588">
        <v>0</v>
      </c>
      <c r="EW588">
        <v>0</v>
      </c>
      <c r="EX588">
        <v>0</v>
      </c>
      <c r="EY588">
        <v>0</v>
      </c>
      <c r="FQ588">
        <v>0</v>
      </c>
      <c r="FR588">
        <f t="shared" si="490"/>
        <v>0</v>
      </c>
      <c r="FS588">
        <v>0</v>
      </c>
      <c r="FX588">
        <v>0</v>
      </c>
      <c r="FY588">
        <v>0</v>
      </c>
      <c r="GA588" t="s">
        <v>3</v>
      </c>
      <c r="GD588">
        <v>1</v>
      </c>
      <c r="GF588">
        <v>-576512497</v>
      </c>
      <c r="GG588">
        <v>2</v>
      </c>
      <c r="GH588">
        <v>1</v>
      </c>
      <c r="GI588">
        <v>-2</v>
      </c>
      <c r="GJ588">
        <v>0</v>
      </c>
      <c r="GK588">
        <v>0</v>
      </c>
      <c r="GL588">
        <f t="shared" si="491"/>
        <v>0</v>
      </c>
      <c r="GM588">
        <f>ROUND(O588+X588+Y588,2)+GX588</f>
        <v>4855.8500000000004</v>
      </c>
      <c r="GN588">
        <f>IF(OR(BI588=0,BI588=1),ROUND(O588+X588+Y588,2),0)</f>
        <v>0</v>
      </c>
      <c r="GO588">
        <f>IF(BI588=2,ROUND(O588+X588+Y588,2),0)</f>
        <v>0</v>
      </c>
      <c r="GP588">
        <f>IF(BI588=4,ROUND(O588+X588+Y588,2)+GX588,0)</f>
        <v>4855.8500000000004</v>
      </c>
      <c r="GR588">
        <v>0</v>
      </c>
      <c r="GS588">
        <v>3</v>
      </c>
      <c r="GT588">
        <v>0</v>
      </c>
      <c r="GU588" t="s">
        <v>3</v>
      </c>
      <c r="GV588">
        <f t="shared" si="492"/>
        <v>0</v>
      </c>
      <c r="GW588">
        <v>1</v>
      </c>
      <c r="GX588">
        <f t="shared" si="493"/>
        <v>0</v>
      </c>
      <c r="HA588">
        <v>0</v>
      </c>
      <c r="HB588">
        <v>0</v>
      </c>
      <c r="HC588">
        <f t="shared" si="494"/>
        <v>0</v>
      </c>
      <c r="HE588" t="s">
        <v>3</v>
      </c>
      <c r="HF588" t="s">
        <v>3</v>
      </c>
      <c r="IK588">
        <v>0</v>
      </c>
    </row>
    <row r="589" spans="1:245" x14ac:dyDescent="0.2">
      <c r="A589">
        <v>17</v>
      </c>
      <c r="B589">
        <v>1</v>
      </c>
      <c r="E589" t="s">
        <v>297</v>
      </c>
      <c r="F589" t="s">
        <v>53</v>
      </c>
      <c r="G589" t="s">
        <v>54</v>
      </c>
      <c r="H589" t="s">
        <v>30</v>
      </c>
      <c r="I589">
        <f>ROUND(I588,9)</f>
        <v>10.26</v>
      </c>
      <c r="J589">
        <v>0</v>
      </c>
      <c r="O589">
        <f t="shared" si="461"/>
        <v>2031.07</v>
      </c>
      <c r="P589">
        <f t="shared" si="462"/>
        <v>2031.07</v>
      </c>
      <c r="Q589">
        <f t="shared" si="463"/>
        <v>0</v>
      </c>
      <c r="R589">
        <f t="shared" si="464"/>
        <v>0</v>
      </c>
      <c r="S589">
        <f t="shared" si="465"/>
        <v>0</v>
      </c>
      <c r="T589">
        <f t="shared" si="466"/>
        <v>0</v>
      </c>
      <c r="U589">
        <f t="shared" si="467"/>
        <v>0</v>
      </c>
      <c r="V589">
        <f t="shared" si="468"/>
        <v>0</v>
      </c>
      <c r="W589">
        <f t="shared" si="469"/>
        <v>0</v>
      </c>
      <c r="X589">
        <f t="shared" si="470"/>
        <v>0</v>
      </c>
      <c r="Y589">
        <f t="shared" si="471"/>
        <v>0</v>
      </c>
      <c r="AA589">
        <v>38214492</v>
      </c>
      <c r="AB589">
        <f t="shared" si="472"/>
        <v>197.96</v>
      </c>
      <c r="AC589">
        <f>ROUND((ES589),6)</f>
        <v>197.96</v>
      </c>
      <c r="AD589">
        <f>ROUND((((ET589)-(EU589))+AE589),6)</f>
        <v>0</v>
      </c>
      <c r="AE589">
        <f t="shared" ref="AE589:AF591" si="495">ROUND((EU589),6)</f>
        <v>0</v>
      </c>
      <c r="AF589">
        <f t="shared" si="495"/>
        <v>0</v>
      </c>
      <c r="AG589">
        <f t="shared" si="476"/>
        <v>0</v>
      </c>
      <c r="AH589">
        <f t="shared" ref="AH589:AI591" si="496">(EW589)</f>
        <v>0</v>
      </c>
      <c r="AI589">
        <f t="shared" si="496"/>
        <v>0</v>
      </c>
      <c r="AJ589">
        <f t="shared" si="478"/>
        <v>0</v>
      </c>
      <c r="AK589">
        <v>197.96</v>
      </c>
      <c r="AL589">
        <v>197.96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70</v>
      </c>
      <c r="AU589">
        <v>10</v>
      </c>
      <c r="AV589">
        <v>1</v>
      </c>
      <c r="AW589">
        <v>1</v>
      </c>
      <c r="AZ589">
        <v>1</v>
      </c>
      <c r="BA589">
        <v>1</v>
      </c>
      <c r="BB589">
        <v>1</v>
      </c>
      <c r="BC589">
        <v>1</v>
      </c>
      <c r="BD589" t="s">
        <v>3</v>
      </c>
      <c r="BE589" t="s">
        <v>3</v>
      </c>
      <c r="BF589" t="s">
        <v>3</v>
      </c>
      <c r="BG589" t="s">
        <v>3</v>
      </c>
      <c r="BH589">
        <v>3</v>
      </c>
      <c r="BI589">
        <v>4</v>
      </c>
      <c r="BJ589" t="s">
        <v>55</v>
      </c>
      <c r="BM589">
        <v>0</v>
      </c>
      <c r="BN589">
        <v>0</v>
      </c>
      <c r="BO589" t="s">
        <v>3</v>
      </c>
      <c r="BP589">
        <v>0</v>
      </c>
      <c r="BQ589">
        <v>1</v>
      </c>
      <c r="BR589">
        <v>0</v>
      </c>
      <c r="BS589">
        <v>1</v>
      </c>
      <c r="BT589">
        <v>1</v>
      </c>
      <c r="BU589">
        <v>1</v>
      </c>
      <c r="BV589">
        <v>1</v>
      </c>
      <c r="BW589">
        <v>1</v>
      </c>
      <c r="BX589">
        <v>1</v>
      </c>
      <c r="BY589" t="s">
        <v>3</v>
      </c>
      <c r="BZ589">
        <v>70</v>
      </c>
      <c r="CA589">
        <v>10</v>
      </c>
      <c r="CE589">
        <v>0</v>
      </c>
      <c r="CF589">
        <v>0</v>
      </c>
      <c r="CG589">
        <v>0</v>
      </c>
      <c r="CM589">
        <v>0</v>
      </c>
      <c r="CN589" t="s">
        <v>3</v>
      </c>
      <c r="CO589">
        <v>0</v>
      </c>
      <c r="CP589">
        <f t="shared" si="479"/>
        <v>2031.07</v>
      </c>
      <c r="CQ589">
        <f t="shared" si="480"/>
        <v>197.96</v>
      </c>
      <c r="CR589">
        <f>((((ET589)*BB589-(EU589)*BS589)+AE589*BS589)*AV589)</f>
        <v>0</v>
      </c>
      <c r="CS589">
        <f t="shared" si="482"/>
        <v>0</v>
      </c>
      <c r="CT589">
        <f t="shared" si="483"/>
        <v>0</v>
      </c>
      <c r="CU589">
        <f t="shared" si="484"/>
        <v>0</v>
      </c>
      <c r="CV589">
        <f t="shared" si="485"/>
        <v>0</v>
      </c>
      <c r="CW589">
        <f t="shared" si="486"/>
        <v>0</v>
      </c>
      <c r="CX589">
        <f t="shared" si="487"/>
        <v>0</v>
      </c>
      <c r="CY589">
        <f t="shared" si="488"/>
        <v>0</v>
      </c>
      <c r="CZ589">
        <f t="shared" si="489"/>
        <v>0</v>
      </c>
      <c r="DC589" t="s">
        <v>3</v>
      </c>
      <c r="DD589" t="s">
        <v>3</v>
      </c>
      <c r="DE589" t="s">
        <v>3</v>
      </c>
      <c r="DF589" t="s">
        <v>3</v>
      </c>
      <c r="DG589" t="s">
        <v>3</v>
      </c>
      <c r="DH589" t="s">
        <v>3</v>
      </c>
      <c r="DI589" t="s">
        <v>3</v>
      </c>
      <c r="DJ589" t="s">
        <v>3</v>
      </c>
      <c r="DK589" t="s">
        <v>3</v>
      </c>
      <c r="DL589" t="s">
        <v>3</v>
      </c>
      <c r="DM589" t="s">
        <v>3</v>
      </c>
      <c r="DN589">
        <v>0</v>
      </c>
      <c r="DO589">
        <v>0</v>
      </c>
      <c r="DP589">
        <v>1</v>
      </c>
      <c r="DQ589">
        <v>1</v>
      </c>
      <c r="DU589">
        <v>1009</v>
      </c>
      <c r="DV589" t="s">
        <v>30</v>
      </c>
      <c r="DW589" t="s">
        <v>30</v>
      </c>
      <c r="DX589">
        <v>1000</v>
      </c>
      <c r="EE589">
        <v>38628631</v>
      </c>
      <c r="EF589">
        <v>1</v>
      </c>
      <c r="EG589" t="s">
        <v>24</v>
      </c>
      <c r="EH589">
        <v>0</v>
      </c>
      <c r="EI589" t="s">
        <v>3</v>
      </c>
      <c r="EJ589">
        <v>4</v>
      </c>
      <c r="EK589">
        <v>0</v>
      </c>
      <c r="EL589" t="s">
        <v>25</v>
      </c>
      <c r="EM589" t="s">
        <v>26</v>
      </c>
      <c r="EO589" t="s">
        <v>3</v>
      </c>
      <c r="EQ589">
        <v>0</v>
      </c>
      <c r="ER589">
        <v>197.96</v>
      </c>
      <c r="ES589">
        <v>197.96</v>
      </c>
      <c r="ET589">
        <v>0</v>
      </c>
      <c r="EU589">
        <v>0</v>
      </c>
      <c r="EV589">
        <v>0</v>
      </c>
      <c r="EW589">
        <v>0</v>
      </c>
      <c r="EX589">
        <v>0</v>
      </c>
      <c r="EY589">
        <v>0</v>
      </c>
      <c r="FQ589">
        <v>0</v>
      </c>
      <c r="FR589">
        <f t="shared" si="490"/>
        <v>0</v>
      </c>
      <c r="FS589">
        <v>0</v>
      </c>
      <c r="FX589">
        <v>70</v>
      </c>
      <c r="FY589">
        <v>10</v>
      </c>
      <c r="GA589" t="s">
        <v>3</v>
      </c>
      <c r="GD589">
        <v>0</v>
      </c>
      <c r="GF589">
        <v>-1219268023</v>
      </c>
      <c r="GG589">
        <v>2</v>
      </c>
      <c r="GH589">
        <v>1</v>
      </c>
      <c r="GI589">
        <v>-2</v>
      </c>
      <c r="GJ589">
        <v>0</v>
      </c>
      <c r="GK589">
        <f>ROUND(R589*(R12)/100,2)</f>
        <v>0</v>
      </c>
      <c r="GL589">
        <f t="shared" si="491"/>
        <v>0</v>
      </c>
      <c r="GM589">
        <f>ROUND(O589+X589+Y589+GK589,2)+GX589</f>
        <v>2031.07</v>
      </c>
      <c r="GN589">
        <f>IF(OR(BI589=0,BI589=1),ROUND(O589+X589+Y589+GK589,2),0)</f>
        <v>0</v>
      </c>
      <c r="GO589">
        <f>IF(BI589=2,ROUND(O589+X589+Y589+GK589,2),0)</f>
        <v>0</v>
      </c>
      <c r="GP589">
        <f>IF(BI589=4,ROUND(O589+X589+Y589+GK589,2)+GX589,0)</f>
        <v>2031.07</v>
      </c>
      <c r="GR589">
        <v>0</v>
      </c>
      <c r="GS589">
        <v>3</v>
      </c>
      <c r="GT589">
        <v>0</v>
      </c>
      <c r="GU589" t="s">
        <v>3</v>
      </c>
      <c r="GV589">
        <f t="shared" si="492"/>
        <v>0</v>
      </c>
      <c r="GW589">
        <v>1</v>
      </c>
      <c r="GX589">
        <f t="shared" si="493"/>
        <v>0</v>
      </c>
      <c r="HA589">
        <v>0</v>
      </c>
      <c r="HB589">
        <v>0</v>
      </c>
      <c r="HC589">
        <f t="shared" si="494"/>
        <v>0</v>
      </c>
      <c r="HE589" t="s">
        <v>3</v>
      </c>
      <c r="HF589" t="s">
        <v>3</v>
      </c>
      <c r="IK589">
        <v>0</v>
      </c>
    </row>
    <row r="590" spans="1:245" x14ac:dyDescent="0.2">
      <c r="A590">
        <v>17</v>
      </c>
      <c r="B590">
        <v>1</v>
      </c>
      <c r="E590" t="s">
        <v>298</v>
      </c>
      <c r="F590" t="s">
        <v>204</v>
      </c>
      <c r="G590" t="s">
        <v>205</v>
      </c>
      <c r="H590" t="s">
        <v>206</v>
      </c>
      <c r="I590">
        <v>0</v>
      </c>
      <c r="J590">
        <v>0</v>
      </c>
      <c r="O590">
        <f t="shared" si="461"/>
        <v>0</v>
      </c>
      <c r="P590">
        <f t="shared" si="462"/>
        <v>0</v>
      </c>
      <c r="Q590">
        <f t="shared" si="463"/>
        <v>0</v>
      </c>
      <c r="R590">
        <f t="shared" si="464"/>
        <v>0</v>
      </c>
      <c r="S590">
        <f t="shared" si="465"/>
        <v>0</v>
      </c>
      <c r="T590">
        <f t="shared" si="466"/>
        <v>0</v>
      </c>
      <c r="U590">
        <f t="shared" si="467"/>
        <v>0</v>
      </c>
      <c r="V590">
        <f t="shared" si="468"/>
        <v>0</v>
      </c>
      <c r="W590">
        <f t="shared" si="469"/>
        <v>0</v>
      </c>
      <c r="X590">
        <f t="shared" si="470"/>
        <v>0</v>
      </c>
      <c r="Y590">
        <f t="shared" si="471"/>
        <v>0</v>
      </c>
      <c r="AA590">
        <v>38214492</v>
      </c>
      <c r="AB590">
        <f t="shared" si="472"/>
        <v>59.29</v>
      </c>
      <c r="AC590">
        <f>ROUND((ES590),6)</f>
        <v>0</v>
      </c>
      <c r="AD590">
        <f>ROUND((((ET590)-(EU590))+AE590),6)</f>
        <v>59.29</v>
      </c>
      <c r="AE590">
        <f t="shared" si="495"/>
        <v>44.76</v>
      </c>
      <c r="AF590">
        <f t="shared" si="495"/>
        <v>0</v>
      </c>
      <c r="AG590">
        <f t="shared" si="476"/>
        <v>0</v>
      </c>
      <c r="AH590">
        <f t="shared" si="496"/>
        <v>0</v>
      </c>
      <c r="AI590">
        <f t="shared" si="496"/>
        <v>0</v>
      </c>
      <c r="AJ590">
        <f t="shared" si="478"/>
        <v>0</v>
      </c>
      <c r="AK590">
        <v>59.29</v>
      </c>
      <c r="AL590">
        <v>0</v>
      </c>
      <c r="AM590">
        <v>59.29</v>
      </c>
      <c r="AN590">
        <v>44.76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70</v>
      </c>
      <c r="AU590">
        <v>10</v>
      </c>
      <c r="AV590">
        <v>1</v>
      </c>
      <c r="AW590">
        <v>1</v>
      </c>
      <c r="AZ590">
        <v>1</v>
      </c>
      <c r="BA590">
        <v>1</v>
      </c>
      <c r="BB590">
        <v>1</v>
      </c>
      <c r="BC590">
        <v>1</v>
      </c>
      <c r="BD590" t="s">
        <v>3</v>
      </c>
      <c r="BE590" t="s">
        <v>3</v>
      </c>
      <c r="BF590" t="s">
        <v>3</v>
      </c>
      <c r="BG590" t="s">
        <v>3</v>
      </c>
      <c r="BH590">
        <v>0</v>
      </c>
      <c r="BI590">
        <v>4</v>
      </c>
      <c r="BJ590" t="s">
        <v>207</v>
      </c>
      <c r="BM590">
        <v>0</v>
      </c>
      <c r="BN590">
        <v>0</v>
      </c>
      <c r="BO590" t="s">
        <v>3</v>
      </c>
      <c r="BP590">
        <v>0</v>
      </c>
      <c r="BQ590">
        <v>1</v>
      </c>
      <c r="BR590">
        <v>0</v>
      </c>
      <c r="BS590">
        <v>1</v>
      </c>
      <c r="BT590">
        <v>1</v>
      </c>
      <c r="BU590">
        <v>1</v>
      </c>
      <c r="BV590">
        <v>1</v>
      </c>
      <c r="BW590">
        <v>1</v>
      </c>
      <c r="BX590">
        <v>1</v>
      </c>
      <c r="BY590" t="s">
        <v>3</v>
      </c>
      <c r="BZ590">
        <v>70</v>
      </c>
      <c r="CA590">
        <v>10</v>
      </c>
      <c r="CE590">
        <v>0</v>
      </c>
      <c r="CF590">
        <v>0</v>
      </c>
      <c r="CG590">
        <v>0</v>
      </c>
      <c r="CM590">
        <v>0</v>
      </c>
      <c r="CN590" t="s">
        <v>3</v>
      </c>
      <c r="CO590">
        <v>0</v>
      </c>
      <c r="CP590">
        <f t="shared" si="479"/>
        <v>0</v>
      </c>
      <c r="CQ590">
        <f t="shared" si="480"/>
        <v>0</v>
      </c>
      <c r="CR590">
        <f>((((ET590)*BB590-(EU590)*BS590)+AE590*BS590)*AV590)</f>
        <v>59.29</v>
      </c>
      <c r="CS590">
        <f t="shared" si="482"/>
        <v>44.76</v>
      </c>
      <c r="CT590">
        <f t="shared" si="483"/>
        <v>0</v>
      </c>
      <c r="CU590">
        <f t="shared" si="484"/>
        <v>0</v>
      </c>
      <c r="CV590">
        <f t="shared" si="485"/>
        <v>0</v>
      </c>
      <c r="CW590">
        <f t="shared" si="486"/>
        <v>0</v>
      </c>
      <c r="CX590">
        <f t="shared" si="487"/>
        <v>0</v>
      </c>
      <c r="CY590">
        <f t="shared" si="488"/>
        <v>0</v>
      </c>
      <c r="CZ590">
        <f t="shared" si="489"/>
        <v>0</v>
      </c>
      <c r="DC590" t="s">
        <v>3</v>
      </c>
      <c r="DD590" t="s">
        <v>3</v>
      </c>
      <c r="DE590" t="s">
        <v>3</v>
      </c>
      <c r="DF590" t="s">
        <v>3</v>
      </c>
      <c r="DG590" t="s">
        <v>3</v>
      </c>
      <c r="DH590" t="s">
        <v>3</v>
      </c>
      <c r="DI590" t="s">
        <v>3</v>
      </c>
      <c r="DJ590" t="s">
        <v>3</v>
      </c>
      <c r="DK590" t="s">
        <v>3</v>
      </c>
      <c r="DL590" t="s">
        <v>3</v>
      </c>
      <c r="DM590" t="s">
        <v>3</v>
      </c>
      <c r="DN590">
        <v>0</v>
      </c>
      <c r="DO590">
        <v>0</v>
      </c>
      <c r="DP590">
        <v>1</v>
      </c>
      <c r="DQ590">
        <v>1</v>
      </c>
      <c r="DU590">
        <v>1007</v>
      </c>
      <c r="DV590" t="s">
        <v>206</v>
      </c>
      <c r="DW590" t="s">
        <v>206</v>
      </c>
      <c r="DX590">
        <v>1</v>
      </c>
      <c r="EE590">
        <v>38628631</v>
      </c>
      <c r="EF590">
        <v>1</v>
      </c>
      <c r="EG590" t="s">
        <v>24</v>
      </c>
      <c r="EH590">
        <v>0</v>
      </c>
      <c r="EI590" t="s">
        <v>3</v>
      </c>
      <c r="EJ590">
        <v>4</v>
      </c>
      <c r="EK590">
        <v>0</v>
      </c>
      <c r="EL590" t="s">
        <v>25</v>
      </c>
      <c r="EM590" t="s">
        <v>26</v>
      </c>
      <c r="EO590" t="s">
        <v>3</v>
      </c>
      <c r="EQ590">
        <v>0</v>
      </c>
      <c r="ER590">
        <v>59.29</v>
      </c>
      <c r="ES590">
        <v>0</v>
      </c>
      <c r="ET590">
        <v>59.29</v>
      </c>
      <c r="EU590">
        <v>44.76</v>
      </c>
      <c r="EV590">
        <v>0</v>
      </c>
      <c r="EW590">
        <v>0</v>
      </c>
      <c r="EX590">
        <v>0</v>
      </c>
      <c r="EY590">
        <v>0</v>
      </c>
      <c r="FQ590">
        <v>0</v>
      </c>
      <c r="FR590">
        <f t="shared" si="490"/>
        <v>0</v>
      </c>
      <c r="FS590">
        <v>0</v>
      </c>
      <c r="FX590">
        <v>70</v>
      </c>
      <c r="FY590">
        <v>10</v>
      </c>
      <c r="GA590" t="s">
        <v>3</v>
      </c>
      <c r="GD590">
        <v>1</v>
      </c>
      <c r="GF590">
        <v>10906184</v>
      </c>
      <c r="GG590">
        <v>2</v>
      </c>
      <c r="GH590">
        <v>1</v>
      </c>
      <c r="GI590">
        <v>-2</v>
      </c>
      <c r="GJ590">
        <v>0</v>
      </c>
      <c r="GK590">
        <v>0</v>
      </c>
      <c r="GL590">
        <f t="shared" si="491"/>
        <v>0</v>
      </c>
      <c r="GM590">
        <f>ROUND(O590+X590+Y590,2)+GX590</f>
        <v>0</v>
      </c>
      <c r="GN590">
        <f>IF(OR(BI590=0,BI590=1),ROUND(O590+X590+Y590,2),0)</f>
        <v>0</v>
      </c>
      <c r="GO590">
        <f>IF(BI590=2,ROUND(O590+X590+Y590,2),0)</f>
        <v>0</v>
      </c>
      <c r="GP590">
        <f>IF(BI590=4,ROUND(O590+X590+Y590,2)+GX590,0)</f>
        <v>0</v>
      </c>
      <c r="GR590">
        <v>0</v>
      </c>
      <c r="GS590">
        <v>0</v>
      </c>
      <c r="GT590">
        <v>0</v>
      </c>
      <c r="GU590" t="s">
        <v>3</v>
      </c>
      <c r="GV590">
        <f t="shared" si="492"/>
        <v>0</v>
      </c>
      <c r="GW590">
        <v>1</v>
      </c>
      <c r="GX590">
        <f t="shared" si="493"/>
        <v>0</v>
      </c>
      <c r="HA590">
        <v>0</v>
      </c>
      <c r="HB590">
        <v>0</v>
      </c>
      <c r="HC590">
        <f t="shared" si="494"/>
        <v>0</v>
      </c>
      <c r="HE590" t="s">
        <v>3</v>
      </c>
      <c r="HF590" t="s">
        <v>3</v>
      </c>
      <c r="IK590">
        <v>0</v>
      </c>
    </row>
    <row r="591" spans="1:245" x14ac:dyDescent="0.2">
      <c r="A591">
        <v>17</v>
      </c>
      <c r="B591">
        <v>1</v>
      </c>
      <c r="E591" t="s">
        <v>299</v>
      </c>
      <c r="F591" t="s">
        <v>209</v>
      </c>
      <c r="G591" t="s">
        <v>210</v>
      </c>
      <c r="H591" t="s">
        <v>30</v>
      </c>
      <c r="I591">
        <v>0</v>
      </c>
      <c r="J591">
        <v>0</v>
      </c>
      <c r="O591">
        <f t="shared" si="461"/>
        <v>0</v>
      </c>
      <c r="P591">
        <f t="shared" si="462"/>
        <v>0</v>
      </c>
      <c r="Q591">
        <f t="shared" si="463"/>
        <v>0</v>
      </c>
      <c r="R591">
        <f t="shared" si="464"/>
        <v>0</v>
      </c>
      <c r="S591">
        <f t="shared" si="465"/>
        <v>0</v>
      </c>
      <c r="T591">
        <f t="shared" si="466"/>
        <v>0</v>
      </c>
      <c r="U591">
        <f t="shared" si="467"/>
        <v>0</v>
      </c>
      <c r="V591">
        <f t="shared" si="468"/>
        <v>0</v>
      </c>
      <c r="W591">
        <f t="shared" si="469"/>
        <v>0</v>
      </c>
      <c r="X591">
        <f t="shared" si="470"/>
        <v>0</v>
      </c>
      <c r="Y591">
        <f t="shared" si="471"/>
        <v>0</v>
      </c>
      <c r="AA591">
        <v>38214492</v>
      </c>
      <c r="AB591">
        <f t="shared" si="472"/>
        <v>96.08</v>
      </c>
      <c r="AC591">
        <f>ROUND((ES591),6)</f>
        <v>96.08</v>
      </c>
      <c r="AD591">
        <f>ROUND((((ET591)-(EU591))+AE591),6)</f>
        <v>0</v>
      </c>
      <c r="AE591">
        <f t="shared" si="495"/>
        <v>0</v>
      </c>
      <c r="AF591">
        <f t="shared" si="495"/>
        <v>0</v>
      </c>
      <c r="AG591">
        <f t="shared" si="476"/>
        <v>0</v>
      </c>
      <c r="AH591">
        <f t="shared" si="496"/>
        <v>0</v>
      </c>
      <c r="AI591">
        <f t="shared" si="496"/>
        <v>0</v>
      </c>
      <c r="AJ591">
        <f t="shared" si="478"/>
        <v>0</v>
      </c>
      <c r="AK591">
        <v>96.08</v>
      </c>
      <c r="AL591">
        <v>96.08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70</v>
      </c>
      <c r="AU591">
        <v>10</v>
      </c>
      <c r="AV591">
        <v>1</v>
      </c>
      <c r="AW591">
        <v>1</v>
      </c>
      <c r="AZ591">
        <v>1</v>
      </c>
      <c r="BA591">
        <v>1</v>
      </c>
      <c r="BB591">
        <v>1</v>
      </c>
      <c r="BC591">
        <v>1</v>
      </c>
      <c r="BD591" t="s">
        <v>3</v>
      </c>
      <c r="BE591" t="s">
        <v>3</v>
      </c>
      <c r="BF591" t="s">
        <v>3</v>
      </c>
      <c r="BG591" t="s">
        <v>3</v>
      </c>
      <c r="BH591">
        <v>3</v>
      </c>
      <c r="BI591">
        <v>4</v>
      </c>
      <c r="BJ591" t="s">
        <v>211</v>
      </c>
      <c r="BM591">
        <v>0</v>
      </c>
      <c r="BN591">
        <v>0</v>
      </c>
      <c r="BO591" t="s">
        <v>3</v>
      </c>
      <c r="BP591">
        <v>0</v>
      </c>
      <c r="BQ591">
        <v>1</v>
      </c>
      <c r="BR591">
        <v>0</v>
      </c>
      <c r="BS591">
        <v>1</v>
      </c>
      <c r="BT591">
        <v>1</v>
      </c>
      <c r="BU591">
        <v>1</v>
      </c>
      <c r="BV591">
        <v>1</v>
      </c>
      <c r="BW591">
        <v>1</v>
      </c>
      <c r="BX591">
        <v>1</v>
      </c>
      <c r="BY591" t="s">
        <v>3</v>
      </c>
      <c r="BZ591">
        <v>70</v>
      </c>
      <c r="CA591">
        <v>10</v>
      </c>
      <c r="CE591">
        <v>0</v>
      </c>
      <c r="CF591">
        <v>0</v>
      </c>
      <c r="CG591">
        <v>0</v>
      </c>
      <c r="CM591">
        <v>0</v>
      </c>
      <c r="CN591" t="s">
        <v>3</v>
      </c>
      <c r="CO591">
        <v>0</v>
      </c>
      <c r="CP591">
        <f t="shared" si="479"/>
        <v>0</v>
      </c>
      <c r="CQ591">
        <f t="shared" si="480"/>
        <v>96.08</v>
      </c>
      <c r="CR591">
        <f>((((ET591)*BB591-(EU591)*BS591)+AE591*BS591)*AV591)</f>
        <v>0</v>
      </c>
      <c r="CS591">
        <f t="shared" si="482"/>
        <v>0</v>
      </c>
      <c r="CT591">
        <f t="shared" si="483"/>
        <v>0</v>
      </c>
      <c r="CU591">
        <f t="shared" si="484"/>
        <v>0</v>
      </c>
      <c r="CV591">
        <f t="shared" si="485"/>
        <v>0</v>
      </c>
      <c r="CW591">
        <f t="shared" si="486"/>
        <v>0</v>
      </c>
      <c r="CX591">
        <f t="shared" si="487"/>
        <v>0</v>
      </c>
      <c r="CY591">
        <f t="shared" si="488"/>
        <v>0</v>
      </c>
      <c r="CZ591">
        <f t="shared" si="489"/>
        <v>0</v>
      </c>
      <c r="DC591" t="s">
        <v>3</v>
      </c>
      <c r="DD591" t="s">
        <v>3</v>
      </c>
      <c r="DE591" t="s">
        <v>3</v>
      </c>
      <c r="DF591" t="s">
        <v>3</v>
      </c>
      <c r="DG591" t="s">
        <v>3</v>
      </c>
      <c r="DH591" t="s">
        <v>3</v>
      </c>
      <c r="DI591" t="s">
        <v>3</v>
      </c>
      <c r="DJ591" t="s">
        <v>3</v>
      </c>
      <c r="DK591" t="s">
        <v>3</v>
      </c>
      <c r="DL591" t="s">
        <v>3</v>
      </c>
      <c r="DM591" t="s">
        <v>3</v>
      </c>
      <c r="DN591">
        <v>0</v>
      </c>
      <c r="DO591">
        <v>0</v>
      </c>
      <c r="DP591">
        <v>1</v>
      </c>
      <c r="DQ591">
        <v>1</v>
      </c>
      <c r="DU591">
        <v>1009</v>
      </c>
      <c r="DV591" t="s">
        <v>30</v>
      </c>
      <c r="DW591" t="s">
        <v>30</v>
      </c>
      <c r="DX591">
        <v>1000</v>
      </c>
      <c r="EE591">
        <v>38628631</v>
      </c>
      <c r="EF591">
        <v>1</v>
      </c>
      <c r="EG591" t="s">
        <v>24</v>
      </c>
      <c r="EH591">
        <v>0</v>
      </c>
      <c r="EI591" t="s">
        <v>3</v>
      </c>
      <c r="EJ591">
        <v>4</v>
      </c>
      <c r="EK591">
        <v>0</v>
      </c>
      <c r="EL591" t="s">
        <v>25</v>
      </c>
      <c r="EM591" t="s">
        <v>26</v>
      </c>
      <c r="EO591" t="s">
        <v>3</v>
      </c>
      <c r="EQ591">
        <v>0</v>
      </c>
      <c r="ER591">
        <v>96.08</v>
      </c>
      <c r="ES591">
        <v>96.08</v>
      </c>
      <c r="ET591">
        <v>0</v>
      </c>
      <c r="EU591">
        <v>0</v>
      </c>
      <c r="EV591">
        <v>0</v>
      </c>
      <c r="EW591">
        <v>0</v>
      </c>
      <c r="EX591">
        <v>0</v>
      </c>
      <c r="EY591">
        <v>0</v>
      </c>
      <c r="FQ591">
        <v>0</v>
      </c>
      <c r="FR591">
        <f t="shared" si="490"/>
        <v>0</v>
      </c>
      <c r="FS591">
        <v>0</v>
      </c>
      <c r="FX591">
        <v>70</v>
      </c>
      <c r="FY591">
        <v>10</v>
      </c>
      <c r="GA591" t="s">
        <v>3</v>
      </c>
      <c r="GD591">
        <v>0</v>
      </c>
      <c r="GF591">
        <v>-1286717690</v>
      </c>
      <c r="GG591">
        <v>2</v>
      </c>
      <c r="GH591">
        <v>1</v>
      </c>
      <c r="GI591">
        <v>-2</v>
      </c>
      <c r="GJ591">
        <v>0</v>
      </c>
      <c r="GK591">
        <f>ROUND(R591*(R12)/100,2)</f>
        <v>0</v>
      </c>
      <c r="GL591">
        <f t="shared" si="491"/>
        <v>0</v>
      </c>
      <c r="GM591">
        <f>ROUND(O591+X591+Y591+GK591,2)+GX591</f>
        <v>0</v>
      </c>
      <c r="GN591">
        <f>IF(OR(BI591=0,BI591=1),ROUND(O591+X591+Y591+GK591,2),0)</f>
        <v>0</v>
      </c>
      <c r="GO591">
        <f>IF(BI591=2,ROUND(O591+X591+Y591+GK591,2),0)</f>
        <v>0</v>
      </c>
      <c r="GP591">
        <f>IF(BI591=4,ROUND(O591+X591+Y591+GK591,2)+GX591,0)</f>
        <v>0</v>
      </c>
      <c r="GR591">
        <v>0</v>
      </c>
      <c r="GS591">
        <v>0</v>
      </c>
      <c r="GT591">
        <v>0</v>
      </c>
      <c r="GU591" t="s">
        <v>3</v>
      </c>
      <c r="GV591">
        <f t="shared" si="492"/>
        <v>0</v>
      </c>
      <c r="GW591">
        <v>1</v>
      </c>
      <c r="GX591">
        <f t="shared" si="493"/>
        <v>0</v>
      </c>
      <c r="HA591">
        <v>0</v>
      </c>
      <c r="HB591">
        <v>0</v>
      </c>
      <c r="HC591">
        <f t="shared" si="494"/>
        <v>0</v>
      </c>
      <c r="HE591" t="s">
        <v>3</v>
      </c>
      <c r="HF591" t="s">
        <v>3</v>
      </c>
      <c r="IK591">
        <v>0</v>
      </c>
    </row>
    <row r="592" spans="1:245" x14ac:dyDescent="0.2">
      <c r="A592">
        <v>17</v>
      </c>
      <c r="B592">
        <v>1</v>
      </c>
      <c r="E592" t="s">
        <v>300</v>
      </c>
      <c r="F592" t="s">
        <v>213</v>
      </c>
      <c r="G592" t="s">
        <v>214</v>
      </c>
      <c r="H592" t="s">
        <v>206</v>
      </c>
      <c r="I592">
        <f>ROUND(I174,9)</f>
        <v>0</v>
      </c>
      <c r="J592">
        <v>0</v>
      </c>
      <c r="O592">
        <f t="shared" si="461"/>
        <v>0</v>
      </c>
      <c r="P592">
        <f t="shared" si="462"/>
        <v>0</v>
      </c>
      <c r="Q592">
        <f t="shared" si="463"/>
        <v>0</v>
      </c>
      <c r="R592">
        <f t="shared" si="464"/>
        <v>0</v>
      </c>
      <c r="S592">
        <f t="shared" si="465"/>
        <v>0</v>
      </c>
      <c r="T592">
        <f t="shared" si="466"/>
        <v>0</v>
      </c>
      <c r="U592">
        <f t="shared" si="467"/>
        <v>0</v>
      </c>
      <c r="V592">
        <f t="shared" si="468"/>
        <v>0</v>
      </c>
      <c r="W592">
        <f t="shared" si="469"/>
        <v>0</v>
      </c>
      <c r="X592">
        <f t="shared" si="470"/>
        <v>0</v>
      </c>
      <c r="Y592">
        <f t="shared" si="471"/>
        <v>0</v>
      </c>
      <c r="AA592">
        <v>38214492</v>
      </c>
      <c r="AB592">
        <f t="shared" si="472"/>
        <v>765.2</v>
      </c>
      <c r="AC592">
        <f>ROUND(((ES592*40)),6)</f>
        <v>0</v>
      </c>
      <c r="AD592">
        <f>ROUND(((((ET592*40))-((EU592*40)))+AE592),6)</f>
        <v>765.2</v>
      </c>
      <c r="AE592">
        <f>ROUND(((EU592*40)),6)</f>
        <v>577.6</v>
      </c>
      <c r="AF592">
        <f>ROUND(((EV592*40)),6)</f>
        <v>0</v>
      </c>
      <c r="AG592">
        <f t="shared" si="476"/>
        <v>0</v>
      </c>
      <c r="AH592">
        <f>((EW592*40))</f>
        <v>0</v>
      </c>
      <c r="AI592">
        <f>((EX592*40))</f>
        <v>0</v>
      </c>
      <c r="AJ592">
        <f t="shared" si="478"/>
        <v>0</v>
      </c>
      <c r="AK592">
        <v>19.13</v>
      </c>
      <c r="AL592">
        <v>0</v>
      </c>
      <c r="AM592">
        <v>19.13</v>
      </c>
      <c r="AN592">
        <v>14.44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70</v>
      </c>
      <c r="AU592">
        <v>10</v>
      </c>
      <c r="AV592">
        <v>1</v>
      </c>
      <c r="AW592">
        <v>1</v>
      </c>
      <c r="AZ592">
        <v>1</v>
      </c>
      <c r="BA592">
        <v>1</v>
      </c>
      <c r="BB592">
        <v>1</v>
      </c>
      <c r="BC592">
        <v>1</v>
      </c>
      <c r="BD592" t="s">
        <v>3</v>
      </c>
      <c r="BE592" t="s">
        <v>3</v>
      </c>
      <c r="BF592" t="s">
        <v>3</v>
      </c>
      <c r="BG592" t="s">
        <v>3</v>
      </c>
      <c r="BH592">
        <v>0</v>
      </c>
      <c r="BI592">
        <v>4</v>
      </c>
      <c r="BJ592" t="s">
        <v>215</v>
      </c>
      <c r="BM592">
        <v>0</v>
      </c>
      <c r="BN592">
        <v>0</v>
      </c>
      <c r="BO592" t="s">
        <v>3</v>
      </c>
      <c r="BP592">
        <v>0</v>
      </c>
      <c r="BQ592">
        <v>1</v>
      </c>
      <c r="BR592">
        <v>0</v>
      </c>
      <c r="BS592">
        <v>1</v>
      </c>
      <c r="BT592">
        <v>1</v>
      </c>
      <c r="BU592">
        <v>1</v>
      </c>
      <c r="BV592">
        <v>1</v>
      </c>
      <c r="BW592">
        <v>1</v>
      </c>
      <c r="BX592">
        <v>1</v>
      </c>
      <c r="BY592" t="s">
        <v>3</v>
      </c>
      <c r="BZ592">
        <v>70</v>
      </c>
      <c r="CA592">
        <v>10</v>
      </c>
      <c r="CE592">
        <v>0</v>
      </c>
      <c r="CF592">
        <v>0</v>
      </c>
      <c r="CG592">
        <v>0</v>
      </c>
      <c r="CM592">
        <v>0</v>
      </c>
      <c r="CN592" t="s">
        <v>3</v>
      </c>
      <c r="CO592">
        <v>0</v>
      </c>
      <c r="CP592">
        <f t="shared" si="479"/>
        <v>0</v>
      </c>
      <c r="CQ592">
        <f t="shared" si="480"/>
        <v>0</v>
      </c>
      <c r="CR592">
        <f>(((((ET592*40))*BB592-((EU592*40))*BS592)+AE592*BS592)*AV592)</f>
        <v>765.19999999999993</v>
      </c>
      <c r="CS592">
        <f t="shared" si="482"/>
        <v>577.6</v>
      </c>
      <c r="CT592">
        <f t="shared" si="483"/>
        <v>0</v>
      </c>
      <c r="CU592">
        <f t="shared" si="484"/>
        <v>0</v>
      </c>
      <c r="CV592">
        <f t="shared" si="485"/>
        <v>0</v>
      </c>
      <c r="CW592">
        <f t="shared" si="486"/>
        <v>0</v>
      </c>
      <c r="CX592">
        <f t="shared" si="487"/>
        <v>0</v>
      </c>
      <c r="CY592">
        <f t="shared" si="488"/>
        <v>0</v>
      </c>
      <c r="CZ592">
        <f t="shared" si="489"/>
        <v>0</v>
      </c>
      <c r="DC592" t="s">
        <v>3</v>
      </c>
      <c r="DD592" t="s">
        <v>216</v>
      </c>
      <c r="DE592" t="s">
        <v>216</v>
      </c>
      <c r="DF592" t="s">
        <v>216</v>
      </c>
      <c r="DG592" t="s">
        <v>216</v>
      </c>
      <c r="DH592" t="s">
        <v>3</v>
      </c>
      <c r="DI592" t="s">
        <v>216</v>
      </c>
      <c r="DJ592" t="s">
        <v>216</v>
      </c>
      <c r="DK592" t="s">
        <v>3</v>
      </c>
      <c r="DL592" t="s">
        <v>3</v>
      </c>
      <c r="DM592" t="s">
        <v>217</v>
      </c>
      <c r="DN592">
        <v>0</v>
      </c>
      <c r="DO592">
        <v>0</v>
      </c>
      <c r="DP592">
        <v>1</v>
      </c>
      <c r="DQ592">
        <v>1</v>
      </c>
      <c r="DU592">
        <v>1007</v>
      </c>
      <c r="DV592" t="s">
        <v>206</v>
      </c>
      <c r="DW592" t="s">
        <v>206</v>
      </c>
      <c r="DX592">
        <v>1</v>
      </c>
      <c r="EE592">
        <v>38628631</v>
      </c>
      <c r="EF592">
        <v>1</v>
      </c>
      <c r="EG592" t="s">
        <v>24</v>
      </c>
      <c r="EH592">
        <v>0</v>
      </c>
      <c r="EI592" t="s">
        <v>3</v>
      </c>
      <c r="EJ592">
        <v>4</v>
      </c>
      <c r="EK592">
        <v>0</v>
      </c>
      <c r="EL592" t="s">
        <v>25</v>
      </c>
      <c r="EM592" t="s">
        <v>26</v>
      </c>
      <c r="EO592" t="s">
        <v>3</v>
      </c>
      <c r="EQ592">
        <v>0</v>
      </c>
      <c r="ER592">
        <v>19.13</v>
      </c>
      <c r="ES592">
        <v>0</v>
      </c>
      <c r="ET592">
        <v>19.13</v>
      </c>
      <c r="EU592">
        <v>14.44</v>
      </c>
      <c r="EV592">
        <v>0</v>
      </c>
      <c r="EW592">
        <v>0</v>
      </c>
      <c r="EX592">
        <v>0</v>
      </c>
      <c r="EY592">
        <v>0</v>
      </c>
      <c r="FQ592">
        <v>0</v>
      </c>
      <c r="FR592">
        <f t="shared" si="490"/>
        <v>0</v>
      </c>
      <c r="FS592">
        <v>0</v>
      </c>
      <c r="FX592">
        <v>70</v>
      </c>
      <c r="FY592">
        <v>280</v>
      </c>
      <c r="GA592" t="s">
        <v>3</v>
      </c>
      <c r="GD592">
        <v>1</v>
      </c>
      <c r="GF592">
        <v>1386989528</v>
      </c>
      <c r="GG592">
        <v>2</v>
      </c>
      <c r="GH592">
        <v>1</v>
      </c>
      <c r="GI592">
        <v>-2</v>
      </c>
      <c r="GJ592">
        <v>0</v>
      </c>
      <c r="GK592">
        <v>0</v>
      </c>
      <c r="GL592">
        <f t="shared" si="491"/>
        <v>0</v>
      </c>
      <c r="GM592">
        <f>ROUND(O592+X592+Y592,2)+GX592</f>
        <v>0</v>
      </c>
      <c r="GN592">
        <f>IF(OR(BI592=0,BI592=1),ROUND(O592+X592+Y592,2),0)</f>
        <v>0</v>
      </c>
      <c r="GO592">
        <f>IF(BI592=2,ROUND(O592+X592+Y592,2),0)</f>
        <v>0</v>
      </c>
      <c r="GP592">
        <f>IF(BI592=4,ROUND(O592+X592+Y592,2)+GX592,0)</f>
        <v>0</v>
      </c>
      <c r="GR592">
        <v>0</v>
      </c>
      <c r="GS592">
        <v>0</v>
      </c>
      <c r="GT592">
        <v>0</v>
      </c>
      <c r="GU592" t="s">
        <v>3</v>
      </c>
      <c r="GV592">
        <f t="shared" si="492"/>
        <v>0</v>
      </c>
      <c r="GW592">
        <v>1</v>
      </c>
      <c r="GX592">
        <f t="shared" si="493"/>
        <v>0</v>
      </c>
      <c r="HA592">
        <v>0</v>
      </c>
      <c r="HB592">
        <v>0</v>
      </c>
      <c r="HC592">
        <f t="shared" si="494"/>
        <v>0</v>
      </c>
      <c r="HE592" t="s">
        <v>3</v>
      </c>
      <c r="HF592" t="s">
        <v>3</v>
      </c>
      <c r="IK592">
        <v>0</v>
      </c>
    </row>
    <row r="593" spans="1:245" x14ac:dyDescent="0.2">
      <c r="A593">
        <v>17</v>
      </c>
      <c r="B593">
        <v>1</v>
      </c>
      <c r="C593">
        <f>ROW(SmtRes!A184)</f>
        <v>184</v>
      </c>
      <c r="D593">
        <f>ROW(EtalonRes!A181)</f>
        <v>181</v>
      </c>
      <c r="E593" t="s">
        <v>301</v>
      </c>
      <c r="F593" t="s">
        <v>219</v>
      </c>
      <c r="G593" t="s">
        <v>220</v>
      </c>
      <c r="H593" t="s">
        <v>187</v>
      </c>
      <c r="I593">
        <f>ROUND((171*0.1)/100,9)</f>
        <v>0.17100000000000001</v>
      </c>
      <c r="J593">
        <v>0</v>
      </c>
      <c r="O593">
        <f t="shared" si="461"/>
        <v>13059.49</v>
      </c>
      <c r="P593">
        <f t="shared" si="462"/>
        <v>11141.41</v>
      </c>
      <c r="Q593">
        <f t="shared" si="463"/>
        <v>1413.32</v>
      </c>
      <c r="R593">
        <f t="shared" si="464"/>
        <v>571.61</v>
      </c>
      <c r="S593">
        <f t="shared" si="465"/>
        <v>504.76</v>
      </c>
      <c r="T593">
        <f t="shared" si="466"/>
        <v>0</v>
      </c>
      <c r="U593">
        <f t="shared" si="467"/>
        <v>2.8317600000000001</v>
      </c>
      <c r="V593">
        <f t="shared" si="468"/>
        <v>0</v>
      </c>
      <c r="W593">
        <f t="shared" si="469"/>
        <v>0</v>
      </c>
      <c r="X593">
        <f t="shared" si="470"/>
        <v>353.33</v>
      </c>
      <c r="Y593">
        <f t="shared" si="471"/>
        <v>50.48</v>
      </c>
      <c r="AA593">
        <v>38214492</v>
      </c>
      <c r="AB593">
        <f t="shared" si="472"/>
        <v>76371.3</v>
      </c>
      <c r="AC593">
        <f>ROUND((ES593),6)</f>
        <v>65154.45</v>
      </c>
      <c r="AD593">
        <f>ROUND((((ET593)-(EU593))+AE593),6)</f>
        <v>8265.0300000000007</v>
      </c>
      <c r="AE593">
        <f>ROUND((EU593),6)</f>
        <v>3342.74</v>
      </c>
      <c r="AF593">
        <f>ROUND((EV593),6)</f>
        <v>2951.82</v>
      </c>
      <c r="AG593">
        <f t="shared" si="476"/>
        <v>0</v>
      </c>
      <c r="AH593">
        <f>(EW593)</f>
        <v>16.559999999999999</v>
      </c>
      <c r="AI593">
        <f>(EX593)</f>
        <v>0</v>
      </c>
      <c r="AJ593">
        <f t="shared" si="478"/>
        <v>0</v>
      </c>
      <c r="AK593">
        <v>76371.3</v>
      </c>
      <c r="AL593">
        <v>65154.45</v>
      </c>
      <c r="AM593">
        <v>8265.0300000000007</v>
      </c>
      <c r="AN593">
        <v>3342.74</v>
      </c>
      <c r="AO593">
        <v>2951.82</v>
      </c>
      <c r="AP593">
        <v>0</v>
      </c>
      <c r="AQ593">
        <v>16.559999999999999</v>
      </c>
      <c r="AR593">
        <v>0</v>
      </c>
      <c r="AS593">
        <v>0</v>
      </c>
      <c r="AT593">
        <v>70</v>
      </c>
      <c r="AU593">
        <v>10</v>
      </c>
      <c r="AV593">
        <v>1</v>
      </c>
      <c r="AW593">
        <v>1</v>
      </c>
      <c r="AZ593">
        <v>1</v>
      </c>
      <c r="BA593">
        <v>1</v>
      </c>
      <c r="BB593">
        <v>1</v>
      </c>
      <c r="BC593">
        <v>1</v>
      </c>
      <c r="BD593" t="s">
        <v>3</v>
      </c>
      <c r="BE593" t="s">
        <v>3</v>
      </c>
      <c r="BF593" t="s">
        <v>3</v>
      </c>
      <c r="BG593" t="s">
        <v>3</v>
      </c>
      <c r="BH593">
        <v>0</v>
      </c>
      <c r="BI593">
        <v>4</v>
      </c>
      <c r="BJ593" t="s">
        <v>221</v>
      </c>
      <c r="BM593">
        <v>0</v>
      </c>
      <c r="BN593">
        <v>0</v>
      </c>
      <c r="BO593" t="s">
        <v>3</v>
      </c>
      <c r="BP593">
        <v>0</v>
      </c>
      <c r="BQ593">
        <v>1</v>
      </c>
      <c r="BR593">
        <v>0</v>
      </c>
      <c r="BS593">
        <v>1</v>
      </c>
      <c r="BT593">
        <v>1</v>
      </c>
      <c r="BU593">
        <v>1</v>
      </c>
      <c r="BV593">
        <v>1</v>
      </c>
      <c r="BW593">
        <v>1</v>
      </c>
      <c r="BX593">
        <v>1</v>
      </c>
      <c r="BY593" t="s">
        <v>3</v>
      </c>
      <c r="BZ593">
        <v>70</v>
      </c>
      <c r="CA593">
        <v>10</v>
      </c>
      <c r="CE593">
        <v>0</v>
      </c>
      <c r="CF593">
        <v>0</v>
      </c>
      <c r="CG593">
        <v>0</v>
      </c>
      <c r="CM593">
        <v>0</v>
      </c>
      <c r="CN593" t="s">
        <v>3</v>
      </c>
      <c r="CO593">
        <v>0</v>
      </c>
      <c r="CP593">
        <f t="shared" si="479"/>
        <v>13059.49</v>
      </c>
      <c r="CQ593">
        <f t="shared" si="480"/>
        <v>65154.45</v>
      </c>
      <c r="CR593">
        <f>((((ET593)*BB593-(EU593)*BS593)+AE593*BS593)*AV593)</f>
        <v>8265.0300000000007</v>
      </c>
      <c r="CS593">
        <f t="shared" si="482"/>
        <v>3342.74</v>
      </c>
      <c r="CT593">
        <f t="shared" si="483"/>
        <v>2951.82</v>
      </c>
      <c r="CU593">
        <f t="shared" si="484"/>
        <v>0</v>
      </c>
      <c r="CV593">
        <f t="shared" si="485"/>
        <v>16.559999999999999</v>
      </c>
      <c r="CW593">
        <f t="shared" si="486"/>
        <v>0</v>
      </c>
      <c r="CX593">
        <f t="shared" si="487"/>
        <v>0</v>
      </c>
      <c r="CY593">
        <f t="shared" si="488"/>
        <v>353.33199999999999</v>
      </c>
      <c r="CZ593">
        <f t="shared" si="489"/>
        <v>50.476000000000006</v>
      </c>
      <c r="DC593" t="s">
        <v>3</v>
      </c>
      <c r="DD593" t="s">
        <v>3</v>
      </c>
      <c r="DE593" t="s">
        <v>3</v>
      </c>
      <c r="DF593" t="s">
        <v>3</v>
      </c>
      <c r="DG593" t="s">
        <v>3</v>
      </c>
      <c r="DH593" t="s">
        <v>3</v>
      </c>
      <c r="DI593" t="s">
        <v>3</v>
      </c>
      <c r="DJ593" t="s">
        <v>3</v>
      </c>
      <c r="DK593" t="s">
        <v>3</v>
      </c>
      <c r="DL593" t="s">
        <v>3</v>
      </c>
      <c r="DM593" t="s">
        <v>3</v>
      </c>
      <c r="DN593">
        <v>0</v>
      </c>
      <c r="DO593">
        <v>0</v>
      </c>
      <c r="DP593">
        <v>1</v>
      </c>
      <c r="DQ593">
        <v>1</v>
      </c>
      <c r="DU593">
        <v>1007</v>
      </c>
      <c r="DV593" t="s">
        <v>187</v>
      </c>
      <c r="DW593" t="s">
        <v>187</v>
      </c>
      <c r="DX593">
        <v>100</v>
      </c>
      <c r="EE593">
        <v>38628631</v>
      </c>
      <c r="EF593">
        <v>1</v>
      </c>
      <c r="EG593" t="s">
        <v>24</v>
      </c>
      <c r="EH593">
        <v>0</v>
      </c>
      <c r="EI593" t="s">
        <v>3</v>
      </c>
      <c r="EJ593">
        <v>4</v>
      </c>
      <c r="EK593">
        <v>0</v>
      </c>
      <c r="EL593" t="s">
        <v>25</v>
      </c>
      <c r="EM593" t="s">
        <v>26</v>
      </c>
      <c r="EO593" t="s">
        <v>3</v>
      </c>
      <c r="EQ593">
        <v>0</v>
      </c>
      <c r="ER593">
        <v>76371.3</v>
      </c>
      <c r="ES593">
        <v>65154.45</v>
      </c>
      <c r="ET593">
        <v>8265.0300000000007</v>
      </c>
      <c r="EU593">
        <v>3342.74</v>
      </c>
      <c r="EV593">
        <v>2951.82</v>
      </c>
      <c r="EW593">
        <v>16.559999999999999</v>
      </c>
      <c r="EX593">
        <v>0</v>
      </c>
      <c r="EY593">
        <v>0</v>
      </c>
      <c r="FQ593">
        <v>0</v>
      </c>
      <c r="FR593">
        <f t="shared" si="490"/>
        <v>0</v>
      </c>
      <c r="FS593">
        <v>0</v>
      </c>
      <c r="FX593">
        <v>70</v>
      </c>
      <c r="FY593">
        <v>10</v>
      </c>
      <c r="GA593" t="s">
        <v>3</v>
      </c>
      <c r="GD593">
        <v>0</v>
      </c>
      <c r="GF593">
        <v>1364004777</v>
      </c>
      <c r="GG593">
        <v>2</v>
      </c>
      <c r="GH593">
        <v>1</v>
      </c>
      <c r="GI593">
        <v>-2</v>
      </c>
      <c r="GJ593">
        <v>0</v>
      </c>
      <c r="GK593">
        <f>ROUND(R593*(R12)/100,2)</f>
        <v>617.34</v>
      </c>
      <c r="GL593">
        <f t="shared" si="491"/>
        <v>0</v>
      </c>
      <c r="GM593">
        <f>ROUND(O593+X593+Y593+GK593,2)+GX593</f>
        <v>14080.64</v>
      </c>
      <c r="GN593">
        <f>IF(OR(BI593=0,BI593=1),ROUND(O593+X593+Y593+GK593,2),0)</f>
        <v>0</v>
      </c>
      <c r="GO593">
        <f>IF(BI593=2,ROUND(O593+X593+Y593+GK593,2),0)</f>
        <v>0</v>
      </c>
      <c r="GP593">
        <f>IF(BI593=4,ROUND(O593+X593+Y593+GK593,2)+GX593,0)</f>
        <v>14080.64</v>
      </c>
      <c r="GR593">
        <v>0</v>
      </c>
      <c r="GS593">
        <v>3</v>
      </c>
      <c r="GT593">
        <v>0</v>
      </c>
      <c r="GU593" t="s">
        <v>3</v>
      </c>
      <c r="GV593">
        <f t="shared" si="492"/>
        <v>0</v>
      </c>
      <c r="GW593">
        <v>1</v>
      </c>
      <c r="GX593">
        <f t="shared" si="493"/>
        <v>0</v>
      </c>
      <c r="HA593">
        <v>0</v>
      </c>
      <c r="HB593">
        <v>0</v>
      </c>
      <c r="HC593">
        <f t="shared" si="494"/>
        <v>0</v>
      </c>
      <c r="HE593" t="s">
        <v>3</v>
      </c>
      <c r="HF593" t="s">
        <v>3</v>
      </c>
      <c r="IK593">
        <v>0</v>
      </c>
    </row>
    <row r="594" spans="1:245" x14ac:dyDescent="0.2">
      <c r="A594">
        <v>17</v>
      </c>
      <c r="B594">
        <v>1</v>
      </c>
      <c r="C594">
        <f>ROW(SmtRes!A188)</f>
        <v>188</v>
      </c>
      <c r="D594">
        <f>ROW(EtalonRes!A185)</f>
        <v>185</v>
      </c>
      <c r="E594" t="s">
        <v>302</v>
      </c>
      <c r="F594" t="s">
        <v>223</v>
      </c>
      <c r="G594" t="s">
        <v>224</v>
      </c>
      <c r="H594" t="s">
        <v>225</v>
      </c>
      <c r="I594">
        <v>0</v>
      </c>
      <c r="J594">
        <v>0</v>
      </c>
      <c r="O594">
        <f t="shared" si="461"/>
        <v>0</v>
      </c>
      <c r="P594">
        <f t="shared" si="462"/>
        <v>0</v>
      </c>
      <c r="Q594">
        <f t="shared" si="463"/>
        <v>0</v>
      </c>
      <c r="R594">
        <f t="shared" si="464"/>
        <v>0</v>
      </c>
      <c r="S594">
        <f t="shared" si="465"/>
        <v>0</v>
      </c>
      <c r="T594">
        <f t="shared" si="466"/>
        <v>0</v>
      </c>
      <c r="U594">
        <f t="shared" si="467"/>
        <v>0</v>
      </c>
      <c r="V594">
        <f t="shared" si="468"/>
        <v>0</v>
      </c>
      <c r="W594">
        <f t="shared" si="469"/>
        <v>0</v>
      </c>
      <c r="X594">
        <f t="shared" si="470"/>
        <v>0</v>
      </c>
      <c r="Y594">
        <f t="shared" si="471"/>
        <v>0</v>
      </c>
      <c r="AA594">
        <v>38214492</v>
      </c>
      <c r="AB594">
        <f t="shared" si="472"/>
        <v>140.43</v>
      </c>
      <c r="AC594">
        <f>ROUND((ES594),6)</f>
        <v>62.37</v>
      </c>
      <c r="AD594">
        <f>ROUND((((ET594)-(EU594))+AE594),6)</f>
        <v>3.71</v>
      </c>
      <c r="AE594">
        <f>ROUND((EU594),6)</f>
        <v>1.41</v>
      </c>
      <c r="AF594">
        <f>ROUND((EV594),6)</f>
        <v>74.349999999999994</v>
      </c>
      <c r="AG594">
        <f t="shared" si="476"/>
        <v>0</v>
      </c>
      <c r="AH594">
        <f>(EW594)</f>
        <v>0.37</v>
      </c>
      <c r="AI594">
        <f>(EX594)</f>
        <v>0</v>
      </c>
      <c r="AJ594">
        <f t="shared" si="478"/>
        <v>0</v>
      </c>
      <c r="AK594">
        <v>140.43</v>
      </c>
      <c r="AL594">
        <v>62.37</v>
      </c>
      <c r="AM594">
        <v>3.71</v>
      </c>
      <c r="AN594">
        <v>1.41</v>
      </c>
      <c r="AO594">
        <v>74.349999999999994</v>
      </c>
      <c r="AP594">
        <v>0</v>
      </c>
      <c r="AQ594">
        <v>0.37</v>
      </c>
      <c r="AR594">
        <v>0</v>
      </c>
      <c r="AS594">
        <v>0</v>
      </c>
      <c r="AT594">
        <v>70</v>
      </c>
      <c r="AU594">
        <v>10</v>
      </c>
      <c r="AV594">
        <v>1</v>
      </c>
      <c r="AW594">
        <v>1</v>
      </c>
      <c r="AZ594">
        <v>1</v>
      </c>
      <c r="BA594">
        <v>1</v>
      </c>
      <c r="BB594">
        <v>1</v>
      </c>
      <c r="BC594">
        <v>1</v>
      </c>
      <c r="BD594" t="s">
        <v>3</v>
      </c>
      <c r="BE594" t="s">
        <v>3</v>
      </c>
      <c r="BF594" t="s">
        <v>3</v>
      </c>
      <c r="BG594" t="s">
        <v>3</v>
      </c>
      <c r="BH594">
        <v>0</v>
      </c>
      <c r="BI594">
        <v>4</v>
      </c>
      <c r="BJ594" t="s">
        <v>226</v>
      </c>
      <c r="BM594">
        <v>0</v>
      </c>
      <c r="BN594">
        <v>0</v>
      </c>
      <c r="BO594" t="s">
        <v>3</v>
      </c>
      <c r="BP594">
        <v>0</v>
      </c>
      <c r="BQ594">
        <v>1</v>
      </c>
      <c r="BR594">
        <v>0</v>
      </c>
      <c r="BS594">
        <v>1</v>
      </c>
      <c r="BT594">
        <v>1</v>
      </c>
      <c r="BU594">
        <v>1</v>
      </c>
      <c r="BV594">
        <v>1</v>
      </c>
      <c r="BW594">
        <v>1</v>
      </c>
      <c r="BX594">
        <v>1</v>
      </c>
      <c r="BY594" t="s">
        <v>3</v>
      </c>
      <c r="BZ594">
        <v>70</v>
      </c>
      <c r="CA594">
        <v>10</v>
      </c>
      <c r="CE594">
        <v>0</v>
      </c>
      <c r="CF594">
        <v>0</v>
      </c>
      <c r="CG594">
        <v>0</v>
      </c>
      <c r="CM594">
        <v>0</v>
      </c>
      <c r="CN594" t="s">
        <v>3</v>
      </c>
      <c r="CO594">
        <v>0</v>
      </c>
      <c r="CP594">
        <f t="shared" si="479"/>
        <v>0</v>
      </c>
      <c r="CQ594">
        <f t="shared" si="480"/>
        <v>62.37</v>
      </c>
      <c r="CR594">
        <f>((((ET594)*BB594-(EU594)*BS594)+AE594*BS594)*AV594)</f>
        <v>3.71</v>
      </c>
      <c r="CS594">
        <f t="shared" si="482"/>
        <v>1.41</v>
      </c>
      <c r="CT594">
        <f t="shared" si="483"/>
        <v>74.349999999999994</v>
      </c>
      <c r="CU594">
        <f t="shared" si="484"/>
        <v>0</v>
      </c>
      <c r="CV594">
        <f t="shared" si="485"/>
        <v>0.37</v>
      </c>
      <c r="CW594">
        <f t="shared" si="486"/>
        <v>0</v>
      </c>
      <c r="CX594">
        <f t="shared" si="487"/>
        <v>0</v>
      </c>
      <c r="CY594">
        <f t="shared" si="488"/>
        <v>0</v>
      </c>
      <c r="CZ594">
        <f t="shared" si="489"/>
        <v>0</v>
      </c>
      <c r="DC594" t="s">
        <v>3</v>
      </c>
      <c r="DD594" t="s">
        <v>3</v>
      </c>
      <c r="DE594" t="s">
        <v>3</v>
      </c>
      <c r="DF594" t="s">
        <v>3</v>
      </c>
      <c r="DG594" t="s">
        <v>3</v>
      </c>
      <c r="DH594" t="s">
        <v>3</v>
      </c>
      <c r="DI594" t="s">
        <v>3</v>
      </c>
      <c r="DJ594" t="s">
        <v>3</v>
      </c>
      <c r="DK594" t="s">
        <v>3</v>
      </c>
      <c r="DL594" t="s">
        <v>3</v>
      </c>
      <c r="DM594" t="s">
        <v>3</v>
      </c>
      <c r="DN594">
        <v>0</v>
      </c>
      <c r="DO594">
        <v>0</v>
      </c>
      <c r="DP594">
        <v>1</v>
      </c>
      <c r="DQ594">
        <v>1</v>
      </c>
      <c r="DU594">
        <v>1005</v>
      </c>
      <c r="DV594" t="s">
        <v>225</v>
      </c>
      <c r="DW594" t="s">
        <v>225</v>
      </c>
      <c r="DX594">
        <v>1</v>
      </c>
      <c r="EE594">
        <v>38628631</v>
      </c>
      <c r="EF594">
        <v>1</v>
      </c>
      <c r="EG594" t="s">
        <v>24</v>
      </c>
      <c r="EH594">
        <v>0</v>
      </c>
      <c r="EI594" t="s">
        <v>3</v>
      </c>
      <c r="EJ594">
        <v>4</v>
      </c>
      <c r="EK594">
        <v>0</v>
      </c>
      <c r="EL594" t="s">
        <v>25</v>
      </c>
      <c r="EM594" t="s">
        <v>26</v>
      </c>
      <c r="EO594" t="s">
        <v>3</v>
      </c>
      <c r="EQ594">
        <v>0</v>
      </c>
      <c r="ER594">
        <v>140.43</v>
      </c>
      <c r="ES594">
        <v>62.37</v>
      </c>
      <c r="ET594">
        <v>3.71</v>
      </c>
      <c r="EU594">
        <v>1.41</v>
      </c>
      <c r="EV594">
        <v>74.349999999999994</v>
      </c>
      <c r="EW594">
        <v>0.37</v>
      </c>
      <c r="EX594">
        <v>0</v>
      </c>
      <c r="EY594">
        <v>0</v>
      </c>
      <c r="FQ594">
        <v>0</v>
      </c>
      <c r="FR594">
        <f t="shared" si="490"/>
        <v>0</v>
      </c>
      <c r="FS594">
        <v>0</v>
      </c>
      <c r="FX594">
        <v>70</v>
      </c>
      <c r="FY594">
        <v>10</v>
      </c>
      <c r="GA594" t="s">
        <v>3</v>
      </c>
      <c r="GD594">
        <v>0</v>
      </c>
      <c r="GF594">
        <v>1783203198</v>
      </c>
      <c r="GG594">
        <v>2</v>
      </c>
      <c r="GH594">
        <v>1</v>
      </c>
      <c r="GI594">
        <v>-2</v>
      </c>
      <c r="GJ594">
        <v>0</v>
      </c>
      <c r="GK594">
        <f>ROUND(R594*(R12)/100,2)</f>
        <v>0</v>
      </c>
      <c r="GL594">
        <f t="shared" si="491"/>
        <v>0</v>
      </c>
      <c r="GM594">
        <f>ROUND(O594+X594+Y594+GK594,2)+GX594</f>
        <v>0</v>
      </c>
      <c r="GN594">
        <f>IF(OR(BI594=0,BI594=1),ROUND(O594+X594+Y594+GK594,2),0)</f>
        <v>0</v>
      </c>
      <c r="GO594">
        <f>IF(BI594=2,ROUND(O594+X594+Y594+GK594,2),0)</f>
        <v>0</v>
      </c>
      <c r="GP594">
        <f>IF(BI594=4,ROUND(O594+X594+Y594+GK594,2)+GX594,0)</f>
        <v>0</v>
      </c>
      <c r="GR594">
        <v>0</v>
      </c>
      <c r="GS594">
        <v>3</v>
      </c>
      <c r="GT594">
        <v>0</v>
      </c>
      <c r="GU594" t="s">
        <v>3</v>
      </c>
      <c r="GV594">
        <f t="shared" si="492"/>
        <v>0</v>
      </c>
      <c r="GW594">
        <v>1</v>
      </c>
      <c r="GX594">
        <f t="shared" si="493"/>
        <v>0</v>
      </c>
      <c r="HA594">
        <v>0</v>
      </c>
      <c r="HB594">
        <v>0</v>
      </c>
      <c r="HC594">
        <f t="shared" si="494"/>
        <v>0</v>
      </c>
      <c r="HE594" t="s">
        <v>3</v>
      </c>
      <c r="HF594" t="s">
        <v>3</v>
      </c>
      <c r="IK594">
        <v>0</v>
      </c>
    </row>
    <row r="596" spans="1:245" x14ac:dyDescent="0.2">
      <c r="A596" s="2">
        <v>51</v>
      </c>
      <c r="B596" s="2">
        <f>B578</f>
        <v>1</v>
      </c>
      <c r="C596" s="2">
        <f>A578</f>
        <v>5</v>
      </c>
      <c r="D596" s="2">
        <f>ROW(A578)</f>
        <v>578</v>
      </c>
      <c r="E596" s="2"/>
      <c r="F596" s="2" t="str">
        <f>IF(F578&lt;&gt;"",F578,"")</f>
        <v>Новый подраздел</v>
      </c>
      <c r="G596" s="2" t="str">
        <f>IF(G578&lt;&gt;"",G578,"")</f>
        <v>Устройство покрытия</v>
      </c>
      <c r="H596" s="2">
        <v>0</v>
      </c>
      <c r="I596" s="2"/>
      <c r="J596" s="2"/>
      <c r="K596" s="2"/>
      <c r="L596" s="2"/>
      <c r="M596" s="2"/>
      <c r="N596" s="2"/>
      <c r="O596" s="2">
        <f t="shared" ref="O596:T596" si="497">ROUND(AB596,2)</f>
        <v>23832.27</v>
      </c>
      <c r="P596" s="2">
        <f t="shared" si="497"/>
        <v>13172.48</v>
      </c>
      <c r="Q596" s="2">
        <f t="shared" si="497"/>
        <v>9075.0499999999993</v>
      </c>
      <c r="R596" s="2">
        <f t="shared" si="497"/>
        <v>5063.79</v>
      </c>
      <c r="S596" s="2">
        <f t="shared" si="497"/>
        <v>1584.74</v>
      </c>
      <c r="T596" s="2">
        <f t="shared" si="497"/>
        <v>0</v>
      </c>
      <c r="U596" s="2">
        <f>AH596</f>
        <v>9.7591409999999996</v>
      </c>
      <c r="V596" s="2">
        <f>AI596</f>
        <v>0</v>
      </c>
      <c r="W596" s="2">
        <f>ROUND(AJ596,2)</f>
        <v>0</v>
      </c>
      <c r="X596" s="2">
        <f>ROUND(AK596,2)</f>
        <v>1109.32</v>
      </c>
      <c r="Y596" s="2">
        <f>ROUND(AL596,2)</f>
        <v>158.47999999999999</v>
      </c>
      <c r="Z596" s="2"/>
      <c r="AA596" s="2"/>
      <c r="AB596" s="2">
        <f>ROUND(SUMIF(AA582:AA594,"=38214492",O582:O594),2)</f>
        <v>23832.27</v>
      </c>
      <c r="AC596" s="2">
        <f>ROUND(SUMIF(AA582:AA594,"=38214492",P582:P594),2)</f>
        <v>13172.48</v>
      </c>
      <c r="AD596" s="2">
        <f>ROUND(SUMIF(AA582:AA594,"=38214492",Q582:Q594),2)</f>
        <v>9075.0499999999993</v>
      </c>
      <c r="AE596" s="2">
        <f>ROUND(SUMIF(AA582:AA594,"=38214492",R582:R594),2)</f>
        <v>5063.79</v>
      </c>
      <c r="AF596" s="2">
        <f>ROUND(SUMIF(AA582:AA594,"=38214492",S582:S594),2)</f>
        <v>1584.74</v>
      </c>
      <c r="AG596" s="2">
        <f>ROUND(SUMIF(AA582:AA594,"=38214492",T582:T594),2)</f>
        <v>0</v>
      </c>
      <c r="AH596" s="2">
        <f>SUMIF(AA582:AA594,"=38214492",U582:U594)</f>
        <v>9.7591409999999996</v>
      </c>
      <c r="AI596" s="2">
        <f>SUMIF(AA582:AA594,"=38214492",V582:V594)</f>
        <v>0</v>
      </c>
      <c r="AJ596" s="2">
        <f>ROUND(SUMIF(AA582:AA594,"=38214492",W582:W594),2)</f>
        <v>0</v>
      </c>
      <c r="AK596" s="2">
        <f>ROUND(SUMIF(AA582:AA594,"=38214492",X582:X594),2)</f>
        <v>1109.32</v>
      </c>
      <c r="AL596" s="2">
        <f>ROUND(SUMIF(AA582:AA594,"=38214492",Y582:Y594),2)</f>
        <v>158.47999999999999</v>
      </c>
      <c r="AM596" s="2"/>
      <c r="AN596" s="2"/>
      <c r="AO596" s="2">
        <f t="shared" ref="AO596:BD596" si="498">ROUND(BX596,2)</f>
        <v>0</v>
      </c>
      <c r="AP596" s="2">
        <f t="shared" si="498"/>
        <v>0</v>
      </c>
      <c r="AQ596" s="2">
        <f t="shared" si="498"/>
        <v>0</v>
      </c>
      <c r="AR596" s="2">
        <f t="shared" si="498"/>
        <v>26857.4</v>
      </c>
      <c r="AS596" s="2">
        <f t="shared" si="498"/>
        <v>0</v>
      </c>
      <c r="AT596" s="2">
        <f t="shared" si="498"/>
        <v>0</v>
      </c>
      <c r="AU596" s="2">
        <f t="shared" si="498"/>
        <v>26857.4</v>
      </c>
      <c r="AV596" s="2">
        <f t="shared" si="498"/>
        <v>13172.48</v>
      </c>
      <c r="AW596" s="2">
        <f t="shared" si="498"/>
        <v>13172.48</v>
      </c>
      <c r="AX596" s="2">
        <f t="shared" si="498"/>
        <v>0</v>
      </c>
      <c r="AY596" s="2">
        <f t="shared" si="498"/>
        <v>13172.48</v>
      </c>
      <c r="AZ596" s="2">
        <f t="shared" si="498"/>
        <v>0</v>
      </c>
      <c r="BA596" s="2">
        <f t="shared" si="498"/>
        <v>0</v>
      </c>
      <c r="BB596" s="2">
        <f t="shared" si="498"/>
        <v>0</v>
      </c>
      <c r="BC596" s="2">
        <f t="shared" si="498"/>
        <v>0</v>
      </c>
      <c r="BD596" s="2">
        <f t="shared" si="498"/>
        <v>0</v>
      </c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>
        <f>ROUND(SUMIF(AA582:AA594,"=38214492",FQ582:FQ594),2)</f>
        <v>0</v>
      </c>
      <c r="BY596" s="2">
        <f>ROUND(SUMIF(AA582:AA594,"=38214492",FR582:FR594),2)</f>
        <v>0</v>
      </c>
      <c r="BZ596" s="2">
        <f>ROUND(SUMIF(AA582:AA594,"=38214492",GL582:GL594),2)</f>
        <v>0</v>
      </c>
      <c r="CA596" s="2">
        <f>ROUND(SUMIF(AA582:AA594,"=38214492",GM582:GM594),2)</f>
        <v>26857.4</v>
      </c>
      <c r="CB596" s="2">
        <f>ROUND(SUMIF(AA582:AA594,"=38214492",GN582:GN594),2)</f>
        <v>0</v>
      </c>
      <c r="CC596" s="2">
        <f>ROUND(SUMIF(AA582:AA594,"=38214492",GO582:GO594),2)</f>
        <v>0</v>
      </c>
      <c r="CD596" s="2">
        <f>ROUND(SUMIF(AA582:AA594,"=38214492",GP582:GP594),2)</f>
        <v>26857.4</v>
      </c>
      <c r="CE596" s="2">
        <f>AC596-BX596</f>
        <v>13172.48</v>
      </c>
      <c r="CF596" s="2">
        <f>AC596-BY596</f>
        <v>13172.48</v>
      </c>
      <c r="CG596" s="2">
        <f>BX596-BZ596</f>
        <v>0</v>
      </c>
      <c r="CH596" s="2">
        <f>AC596-BX596-BY596+BZ596</f>
        <v>13172.48</v>
      </c>
      <c r="CI596" s="2">
        <f>BY596-BZ596</f>
        <v>0</v>
      </c>
      <c r="CJ596" s="2">
        <f>ROUND(SUMIF(AA582:AA594,"=38214492",GX582:GX594),2)</f>
        <v>0</v>
      </c>
      <c r="CK596" s="2">
        <f>ROUND(SUMIF(AA582:AA594,"=38214492",GY582:GY594),2)</f>
        <v>0</v>
      </c>
      <c r="CL596" s="2">
        <f>ROUND(SUMIF(AA582:AA594,"=38214492",GZ582:GZ594),2)</f>
        <v>0</v>
      </c>
      <c r="CM596" s="2">
        <f>ROUND(SUMIF(AA582:AA594,"=38214492",HD582:HD594),2)</f>
        <v>0</v>
      </c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3"/>
      <c r="DH596" s="3"/>
      <c r="DI596" s="3"/>
      <c r="DJ596" s="3"/>
      <c r="DK596" s="3"/>
      <c r="DL596" s="3"/>
      <c r="DM596" s="3"/>
      <c r="DN596" s="3"/>
      <c r="DO596" s="3"/>
      <c r="DP596" s="3"/>
      <c r="DQ596" s="3"/>
      <c r="DR596" s="3"/>
      <c r="DS596" s="3"/>
      <c r="DT596" s="3"/>
      <c r="DU596" s="3"/>
      <c r="DV596" s="3"/>
      <c r="DW596" s="3"/>
      <c r="DX596" s="3"/>
      <c r="DY596" s="3"/>
      <c r="DZ596" s="3"/>
      <c r="EA596" s="3"/>
      <c r="EB596" s="3"/>
      <c r="EC596" s="3"/>
      <c r="ED596" s="3"/>
      <c r="EE596" s="3"/>
      <c r="EF596" s="3"/>
      <c r="EG596" s="3"/>
      <c r="EH596" s="3"/>
      <c r="EI596" s="3"/>
      <c r="EJ596" s="3"/>
      <c r="EK596" s="3"/>
      <c r="EL596" s="3"/>
      <c r="EM596" s="3"/>
      <c r="EN596" s="3"/>
      <c r="EO596" s="3"/>
      <c r="EP596" s="3"/>
      <c r="EQ596" s="3"/>
      <c r="ER596" s="3"/>
      <c r="ES596" s="3"/>
      <c r="ET596" s="3"/>
      <c r="EU596" s="3"/>
      <c r="EV596" s="3"/>
      <c r="EW596" s="3"/>
      <c r="EX596" s="3"/>
      <c r="EY596" s="3"/>
      <c r="EZ596" s="3"/>
      <c r="FA596" s="3"/>
      <c r="FB596" s="3"/>
      <c r="FC596" s="3"/>
      <c r="FD596" s="3"/>
      <c r="FE596" s="3"/>
      <c r="FF596" s="3"/>
      <c r="FG596" s="3"/>
      <c r="FH596" s="3"/>
      <c r="FI596" s="3"/>
      <c r="FJ596" s="3"/>
      <c r="FK596" s="3"/>
      <c r="FL596" s="3"/>
      <c r="FM596" s="3"/>
      <c r="FN596" s="3"/>
      <c r="FO596" s="3"/>
      <c r="FP596" s="3"/>
      <c r="FQ596" s="3"/>
      <c r="FR596" s="3"/>
      <c r="FS596" s="3"/>
      <c r="FT596" s="3"/>
      <c r="FU596" s="3"/>
      <c r="FV596" s="3"/>
      <c r="FW596" s="3"/>
      <c r="FX596" s="3"/>
      <c r="FY596" s="3"/>
      <c r="FZ596" s="3"/>
      <c r="GA596" s="3"/>
      <c r="GB596" s="3"/>
      <c r="GC596" s="3"/>
      <c r="GD596" s="3"/>
      <c r="GE596" s="3"/>
      <c r="GF596" s="3"/>
      <c r="GG596" s="3"/>
      <c r="GH596" s="3"/>
      <c r="GI596" s="3"/>
      <c r="GJ596" s="3"/>
      <c r="GK596" s="3"/>
      <c r="GL596" s="3"/>
      <c r="GM596" s="3"/>
      <c r="GN596" s="3"/>
      <c r="GO596" s="3"/>
      <c r="GP596" s="3"/>
      <c r="GQ596" s="3"/>
      <c r="GR596" s="3"/>
      <c r="GS596" s="3"/>
      <c r="GT596" s="3"/>
      <c r="GU596" s="3"/>
      <c r="GV596" s="3"/>
      <c r="GW596" s="3"/>
      <c r="GX596" s="3">
        <v>0</v>
      </c>
    </row>
    <row r="598" spans="1:245" x14ac:dyDescent="0.2">
      <c r="A598" s="4">
        <v>50</v>
      </c>
      <c r="B598" s="4">
        <v>0</v>
      </c>
      <c r="C598" s="4">
        <v>0</v>
      </c>
      <c r="D598" s="4">
        <v>1</v>
      </c>
      <c r="E598" s="4">
        <v>201</v>
      </c>
      <c r="F598" s="4">
        <f>ROUND(Source!O596,O598)</f>
        <v>23832.27</v>
      </c>
      <c r="G598" s="4" t="s">
        <v>56</v>
      </c>
      <c r="H598" s="4" t="s">
        <v>57</v>
      </c>
      <c r="I598" s="4"/>
      <c r="J598" s="4"/>
      <c r="K598" s="4">
        <v>201</v>
      </c>
      <c r="L598" s="4">
        <v>1</v>
      </c>
      <c r="M598" s="4">
        <v>3</v>
      </c>
      <c r="N598" s="4" t="s">
        <v>3</v>
      </c>
      <c r="O598" s="4">
        <v>2</v>
      </c>
      <c r="P598" s="4"/>
      <c r="Q598" s="4"/>
      <c r="R598" s="4"/>
      <c r="S598" s="4"/>
      <c r="T598" s="4"/>
      <c r="U598" s="4"/>
      <c r="V598" s="4"/>
      <c r="W598" s="4"/>
    </row>
    <row r="599" spans="1:245" x14ac:dyDescent="0.2">
      <c r="A599" s="4">
        <v>50</v>
      </c>
      <c r="B599" s="4">
        <v>0</v>
      </c>
      <c r="C599" s="4">
        <v>0</v>
      </c>
      <c r="D599" s="4">
        <v>1</v>
      </c>
      <c r="E599" s="4">
        <v>202</v>
      </c>
      <c r="F599" s="4">
        <f>ROUND(Source!P596,O599)</f>
        <v>13172.48</v>
      </c>
      <c r="G599" s="4" t="s">
        <v>58</v>
      </c>
      <c r="H599" s="4" t="s">
        <v>59</v>
      </c>
      <c r="I599" s="4"/>
      <c r="J599" s="4"/>
      <c r="K599" s="4">
        <v>202</v>
      </c>
      <c r="L599" s="4">
        <v>2</v>
      </c>
      <c r="M599" s="4">
        <v>3</v>
      </c>
      <c r="N599" s="4" t="s">
        <v>3</v>
      </c>
      <c r="O599" s="4">
        <v>2</v>
      </c>
      <c r="P599" s="4"/>
      <c r="Q599" s="4"/>
      <c r="R599" s="4"/>
      <c r="S599" s="4"/>
      <c r="T599" s="4"/>
      <c r="U599" s="4"/>
      <c r="V599" s="4"/>
      <c r="W599" s="4"/>
    </row>
    <row r="600" spans="1:245" x14ac:dyDescent="0.2">
      <c r="A600" s="4">
        <v>50</v>
      </c>
      <c r="B600" s="4">
        <v>0</v>
      </c>
      <c r="C600" s="4">
        <v>0</v>
      </c>
      <c r="D600" s="4">
        <v>1</v>
      </c>
      <c r="E600" s="4">
        <v>222</v>
      </c>
      <c r="F600" s="4">
        <f>ROUND(Source!AO596,O600)</f>
        <v>0</v>
      </c>
      <c r="G600" s="4" t="s">
        <v>60</v>
      </c>
      <c r="H600" s="4" t="s">
        <v>61</v>
      </c>
      <c r="I600" s="4"/>
      <c r="J600" s="4"/>
      <c r="K600" s="4">
        <v>222</v>
      </c>
      <c r="L600" s="4">
        <v>3</v>
      </c>
      <c r="M600" s="4">
        <v>3</v>
      </c>
      <c r="N600" s="4" t="s">
        <v>3</v>
      </c>
      <c r="O600" s="4">
        <v>2</v>
      </c>
      <c r="P600" s="4"/>
      <c r="Q600" s="4"/>
      <c r="R600" s="4"/>
      <c r="S600" s="4"/>
      <c r="T600" s="4"/>
      <c r="U600" s="4"/>
      <c r="V600" s="4"/>
      <c r="W600" s="4"/>
    </row>
    <row r="601" spans="1:245" x14ac:dyDescent="0.2">
      <c r="A601" s="4">
        <v>50</v>
      </c>
      <c r="B601" s="4">
        <v>0</v>
      </c>
      <c r="C601" s="4">
        <v>0</v>
      </c>
      <c r="D601" s="4">
        <v>1</v>
      </c>
      <c r="E601" s="4">
        <v>225</v>
      </c>
      <c r="F601" s="4">
        <f>ROUND(Source!AV596,O601)</f>
        <v>13172.48</v>
      </c>
      <c r="G601" s="4" t="s">
        <v>62</v>
      </c>
      <c r="H601" s="4" t="s">
        <v>63</v>
      </c>
      <c r="I601" s="4"/>
      <c r="J601" s="4"/>
      <c r="K601" s="4">
        <v>225</v>
      </c>
      <c r="L601" s="4">
        <v>4</v>
      </c>
      <c r="M601" s="4">
        <v>3</v>
      </c>
      <c r="N601" s="4" t="s">
        <v>3</v>
      </c>
      <c r="O601" s="4">
        <v>2</v>
      </c>
      <c r="P601" s="4"/>
      <c r="Q601" s="4"/>
      <c r="R601" s="4"/>
      <c r="S601" s="4"/>
      <c r="T601" s="4"/>
      <c r="U601" s="4"/>
      <c r="V601" s="4"/>
      <c r="W601" s="4"/>
    </row>
    <row r="602" spans="1:245" x14ac:dyDescent="0.2">
      <c r="A602" s="4">
        <v>50</v>
      </c>
      <c r="B602" s="4">
        <v>0</v>
      </c>
      <c r="C602" s="4">
        <v>0</v>
      </c>
      <c r="D602" s="4">
        <v>1</v>
      </c>
      <c r="E602" s="4">
        <v>226</v>
      </c>
      <c r="F602" s="4">
        <f>ROUND(Source!AW596,O602)</f>
        <v>13172.48</v>
      </c>
      <c r="G602" s="4" t="s">
        <v>64</v>
      </c>
      <c r="H602" s="4" t="s">
        <v>65</v>
      </c>
      <c r="I602" s="4"/>
      <c r="J602" s="4"/>
      <c r="K602" s="4">
        <v>226</v>
      </c>
      <c r="L602" s="4">
        <v>5</v>
      </c>
      <c r="M602" s="4">
        <v>3</v>
      </c>
      <c r="N602" s="4" t="s">
        <v>3</v>
      </c>
      <c r="O602" s="4">
        <v>2</v>
      </c>
      <c r="P602" s="4"/>
      <c r="Q602" s="4"/>
      <c r="R602" s="4"/>
      <c r="S602" s="4"/>
      <c r="T602" s="4"/>
      <c r="U602" s="4"/>
      <c r="V602" s="4"/>
      <c r="W602" s="4"/>
    </row>
    <row r="603" spans="1:245" x14ac:dyDescent="0.2">
      <c r="A603" s="4">
        <v>50</v>
      </c>
      <c r="B603" s="4">
        <v>0</v>
      </c>
      <c r="C603" s="4">
        <v>0</v>
      </c>
      <c r="D603" s="4">
        <v>1</v>
      </c>
      <c r="E603" s="4">
        <v>227</v>
      </c>
      <c r="F603" s="4">
        <f>ROUND(Source!AX596,O603)</f>
        <v>0</v>
      </c>
      <c r="G603" s="4" t="s">
        <v>66</v>
      </c>
      <c r="H603" s="4" t="s">
        <v>67</v>
      </c>
      <c r="I603" s="4"/>
      <c r="J603" s="4"/>
      <c r="K603" s="4">
        <v>227</v>
      </c>
      <c r="L603" s="4">
        <v>6</v>
      </c>
      <c r="M603" s="4">
        <v>3</v>
      </c>
      <c r="N603" s="4" t="s">
        <v>3</v>
      </c>
      <c r="O603" s="4">
        <v>2</v>
      </c>
      <c r="P603" s="4"/>
      <c r="Q603" s="4"/>
      <c r="R603" s="4"/>
      <c r="S603" s="4"/>
      <c r="T603" s="4"/>
      <c r="U603" s="4"/>
      <c r="V603" s="4"/>
      <c r="W603" s="4"/>
    </row>
    <row r="604" spans="1:245" x14ac:dyDescent="0.2">
      <c r="A604" s="4">
        <v>50</v>
      </c>
      <c r="B604" s="4">
        <v>0</v>
      </c>
      <c r="C604" s="4">
        <v>0</v>
      </c>
      <c r="D604" s="4">
        <v>1</v>
      </c>
      <c r="E604" s="4">
        <v>228</v>
      </c>
      <c r="F604" s="4">
        <f>ROUND(Source!AY596,O604)</f>
        <v>13172.48</v>
      </c>
      <c r="G604" s="4" t="s">
        <v>68</v>
      </c>
      <c r="H604" s="4" t="s">
        <v>69</v>
      </c>
      <c r="I604" s="4"/>
      <c r="J604" s="4"/>
      <c r="K604" s="4">
        <v>228</v>
      </c>
      <c r="L604" s="4">
        <v>7</v>
      </c>
      <c r="M604" s="4">
        <v>3</v>
      </c>
      <c r="N604" s="4" t="s">
        <v>3</v>
      </c>
      <c r="O604" s="4">
        <v>2</v>
      </c>
      <c r="P604" s="4"/>
      <c r="Q604" s="4"/>
      <c r="R604" s="4"/>
      <c r="S604" s="4"/>
      <c r="T604" s="4"/>
      <c r="U604" s="4"/>
      <c r="V604" s="4"/>
      <c r="W604" s="4"/>
    </row>
    <row r="605" spans="1:245" x14ac:dyDescent="0.2">
      <c r="A605" s="4">
        <v>50</v>
      </c>
      <c r="B605" s="4">
        <v>0</v>
      </c>
      <c r="C605" s="4">
        <v>0</v>
      </c>
      <c r="D605" s="4">
        <v>1</v>
      </c>
      <c r="E605" s="4">
        <v>216</v>
      </c>
      <c r="F605" s="4">
        <f>ROUND(Source!AP596,O605)</f>
        <v>0</v>
      </c>
      <c r="G605" s="4" t="s">
        <v>70</v>
      </c>
      <c r="H605" s="4" t="s">
        <v>71</v>
      </c>
      <c r="I605" s="4"/>
      <c r="J605" s="4"/>
      <c r="K605" s="4">
        <v>216</v>
      </c>
      <c r="L605" s="4">
        <v>8</v>
      </c>
      <c r="M605" s="4">
        <v>3</v>
      </c>
      <c r="N605" s="4" t="s">
        <v>3</v>
      </c>
      <c r="O605" s="4">
        <v>2</v>
      </c>
      <c r="P605" s="4"/>
      <c r="Q605" s="4"/>
      <c r="R605" s="4"/>
      <c r="S605" s="4"/>
      <c r="T605" s="4"/>
      <c r="U605" s="4"/>
      <c r="V605" s="4"/>
      <c r="W605" s="4"/>
    </row>
    <row r="606" spans="1:245" x14ac:dyDescent="0.2">
      <c r="A606" s="4">
        <v>50</v>
      </c>
      <c r="B606" s="4">
        <v>0</v>
      </c>
      <c r="C606" s="4">
        <v>0</v>
      </c>
      <c r="D606" s="4">
        <v>1</v>
      </c>
      <c r="E606" s="4">
        <v>223</v>
      </c>
      <c r="F606" s="4">
        <f>ROUND(Source!AQ596,O606)</f>
        <v>0</v>
      </c>
      <c r="G606" s="4" t="s">
        <v>72</v>
      </c>
      <c r="H606" s="4" t="s">
        <v>73</v>
      </c>
      <c r="I606" s="4"/>
      <c r="J606" s="4"/>
      <c r="K606" s="4">
        <v>223</v>
      </c>
      <c r="L606" s="4">
        <v>9</v>
      </c>
      <c r="M606" s="4">
        <v>3</v>
      </c>
      <c r="N606" s="4" t="s">
        <v>3</v>
      </c>
      <c r="O606" s="4">
        <v>2</v>
      </c>
      <c r="P606" s="4"/>
      <c r="Q606" s="4"/>
      <c r="R606" s="4"/>
      <c r="S606" s="4"/>
      <c r="T606" s="4"/>
      <c r="U606" s="4"/>
      <c r="V606" s="4"/>
      <c r="W606" s="4"/>
    </row>
    <row r="607" spans="1:245" x14ac:dyDescent="0.2">
      <c r="A607" s="4">
        <v>50</v>
      </c>
      <c r="B607" s="4">
        <v>0</v>
      </c>
      <c r="C607" s="4">
        <v>0</v>
      </c>
      <c r="D607" s="4">
        <v>1</v>
      </c>
      <c r="E607" s="4">
        <v>229</v>
      </c>
      <c r="F607" s="4">
        <f>ROUND(Source!AZ596,O607)</f>
        <v>0</v>
      </c>
      <c r="G607" s="4" t="s">
        <v>74</v>
      </c>
      <c r="H607" s="4" t="s">
        <v>75</v>
      </c>
      <c r="I607" s="4"/>
      <c r="J607" s="4"/>
      <c r="K607" s="4">
        <v>229</v>
      </c>
      <c r="L607" s="4">
        <v>10</v>
      </c>
      <c r="M607" s="4">
        <v>3</v>
      </c>
      <c r="N607" s="4" t="s">
        <v>3</v>
      </c>
      <c r="O607" s="4">
        <v>2</v>
      </c>
      <c r="P607" s="4"/>
      <c r="Q607" s="4"/>
      <c r="R607" s="4"/>
      <c r="S607" s="4"/>
      <c r="T607" s="4"/>
      <c r="U607" s="4"/>
      <c r="V607" s="4"/>
      <c r="W607" s="4"/>
    </row>
    <row r="608" spans="1:245" x14ac:dyDescent="0.2">
      <c r="A608" s="4">
        <v>50</v>
      </c>
      <c r="B608" s="4">
        <v>0</v>
      </c>
      <c r="C608" s="4">
        <v>0</v>
      </c>
      <c r="D608" s="4">
        <v>1</v>
      </c>
      <c r="E608" s="4">
        <v>203</v>
      </c>
      <c r="F608" s="4">
        <f>ROUND(Source!Q596,O608)</f>
        <v>9075.0499999999993</v>
      </c>
      <c r="G608" s="4" t="s">
        <v>76</v>
      </c>
      <c r="H608" s="4" t="s">
        <v>77</v>
      </c>
      <c r="I608" s="4"/>
      <c r="J608" s="4"/>
      <c r="K608" s="4">
        <v>203</v>
      </c>
      <c r="L608" s="4">
        <v>11</v>
      </c>
      <c r="M608" s="4">
        <v>3</v>
      </c>
      <c r="N608" s="4" t="s">
        <v>3</v>
      </c>
      <c r="O608" s="4">
        <v>2</v>
      </c>
      <c r="P608" s="4"/>
      <c r="Q608" s="4"/>
      <c r="R608" s="4"/>
      <c r="S608" s="4"/>
      <c r="T608" s="4"/>
      <c r="U608" s="4"/>
      <c r="V608" s="4"/>
      <c r="W608" s="4"/>
    </row>
    <row r="609" spans="1:23" x14ac:dyDescent="0.2">
      <c r="A609" s="4">
        <v>50</v>
      </c>
      <c r="B609" s="4">
        <v>0</v>
      </c>
      <c r="C609" s="4">
        <v>0</v>
      </c>
      <c r="D609" s="4">
        <v>1</v>
      </c>
      <c r="E609" s="4">
        <v>231</v>
      </c>
      <c r="F609" s="4">
        <f>ROUND(Source!BB596,O609)</f>
        <v>0</v>
      </c>
      <c r="G609" s="4" t="s">
        <v>78</v>
      </c>
      <c r="H609" s="4" t="s">
        <v>79</v>
      </c>
      <c r="I609" s="4"/>
      <c r="J609" s="4"/>
      <c r="K609" s="4">
        <v>231</v>
      </c>
      <c r="L609" s="4">
        <v>12</v>
      </c>
      <c r="M609" s="4">
        <v>3</v>
      </c>
      <c r="N609" s="4" t="s">
        <v>3</v>
      </c>
      <c r="O609" s="4">
        <v>2</v>
      </c>
      <c r="P609" s="4"/>
      <c r="Q609" s="4"/>
      <c r="R609" s="4"/>
      <c r="S609" s="4"/>
      <c r="T609" s="4"/>
      <c r="U609" s="4"/>
      <c r="V609" s="4"/>
      <c r="W609" s="4"/>
    </row>
    <row r="610" spans="1:23" x14ac:dyDescent="0.2">
      <c r="A610" s="4">
        <v>50</v>
      </c>
      <c r="B610" s="4">
        <v>0</v>
      </c>
      <c r="C610" s="4">
        <v>0</v>
      </c>
      <c r="D610" s="4">
        <v>1</v>
      </c>
      <c r="E610" s="4">
        <v>204</v>
      </c>
      <c r="F610" s="4">
        <f>ROUND(Source!R596,O610)</f>
        <v>5063.79</v>
      </c>
      <c r="G610" s="4" t="s">
        <v>80</v>
      </c>
      <c r="H610" s="4" t="s">
        <v>81</v>
      </c>
      <c r="I610" s="4"/>
      <c r="J610" s="4"/>
      <c r="K610" s="4">
        <v>204</v>
      </c>
      <c r="L610" s="4">
        <v>13</v>
      </c>
      <c r="M610" s="4">
        <v>3</v>
      </c>
      <c r="N610" s="4" t="s">
        <v>3</v>
      </c>
      <c r="O610" s="4">
        <v>2</v>
      </c>
      <c r="P610" s="4"/>
      <c r="Q610" s="4"/>
      <c r="R610" s="4"/>
      <c r="S610" s="4"/>
      <c r="T610" s="4"/>
      <c r="U610" s="4"/>
      <c r="V610" s="4"/>
      <c r="W610" s="4"/>
    </row>
    <row r="611" spans="1:23" x14ac:dyDescent="0.2">
      <c r="A611" s="4">
        <v>50</v>
      </c>
      <c r="B611" s="4">
        <v>0</v>
      </c>
      <c r="C611" s="4">
        <v>0</v>
      </c>
      <c r="D611" s="4">
        <v>1</v>
      </c>
      <c r="E611" s="4">
        <v>205</v>
      </c>
      <c r="F611" s="4">
        <f>ROUND(Source!S596,O611)</f>
        <v>1584.74</v>
      </c>
      <c r="G611" s="4" t="s">
        <v>82</v>
      </c>
      <c r="H611" s="4" t="s">
        <v>83</v>
      </c>
      <c r="I611" s="4"/>
      <c r="J611" s="4"/>
      <c r="K611" s="4">
        <v>205</v>
      </c>
      <c r="L611" s="4">
        <v>14</v>
      </c>
      <c r="M611" s="4">
        <v>3</v>
      </c>
      <c r="N611" s="4" t="s">
        <v>3</v>
      </c>
      <c r="O611" s="4">
        <v>2</v>
      </c>
      <c r="P611" s="4"/>
      <c r="Q611" s="4"/>
      <c r="R611" s="4"/>
      <c r="S611" s="4"/>
      <c r="T611" s="4"/>
      <c r="U611" s="4"/>
      <c r="V611" s="4"/>
      <c r="W611" s="4"/>
    </row>
    <row r="612" spans="1:23" x14ac:dyDescent="0.2">
      <c r="A612" s="4">
        <v>50</v>
      </c>
      <c r="B612" s="4">
        <v>0</v>
      </c>
      <c r="C612" s="4">
        <v>0</v>
      </c>
      <c r="D612" s="4">
        <v>1</v>
      </c>
      <c r="E612" s="4">
        <v>232</v>
      </c>
      <c r="F612" s="4">
        <f>ROUND(Source!BC596,O612)</f>
        <v>0</v>
      </c>
      <c r="G612" s="4" t="s">
        <v>84</v>
      </c>
      <c r="H612" s="4" t="s">
        <v>85</v>
      </c>
      <c r="I612" s="4"/>
      <c r="J612" s="4"/>
      <c r="K612" s="4">
        <v>232</v>
      </c>
      <c r="L612" s="4">
        <v>15</v>
      </c>
      <c r="M612" s="4">
        <v>3</v>
      </c>
      <c r="N612" s="4" t="s">
        <v>3</v>
      </c>
      <c r="O612" s="4">
        <v>2</v>
      </c>
      <c r="P612" s="4"/>
      <c r="Q612" s="4"/>
      <c r="R612" s="4"/>
      <c r="S612" s="4"/>
      <c r="T612" s="4"/>
      <c r="U612" s="4"/>
      <c r="V612" s="4"/>
      <c r="W612" s="4"/>
    </row>
    <row r="613" spans="1:23" x14ac:dyDescent="0.2">
      <c r="A613" s="4">
        <v>50</v>
      </c>
      <c r="B613" s="4">
        <v>0</v>
      </c>
      <c r="C613" s="4">
        <v>0</v>
      </c>
      <c r="D613" s="4">
        <v>1</v>
      </c>
      <c r="E613" s="4">
        <v>214</v>
      </c>
      <c r="F613" s="4">
        <f>ROUND(Source!AS596,O613)</f>
        <v>0</v>
      </c>
      <c r="G613" s="4" t="s">
        <v>86</v>
      </c>
      <c r="H613" s="4" t="s">
        <v>87</v>
      </c>
      <c r="I613" s="4"/>
      <c r="J613" s="4"/>
      <c r="K613" s="4">
        <v>214</v>
      </c>
      <c r="L613" s="4">
        <v>16</v>
      </c>
      <c r="M613" s="4">
        <v>3</v>
      </c>
      <c r="N613" s="4" t="s">
        <v>3</v>
      </c>
      <c r="O613" s="4">
        <v>2</v>
      </c>
      <c r="P613" s="4"/>
      <c r="Q613" s="4"/>
      <c r="R613" s="4"/>
      <c r="S613" s="4"/>
      <c r="T613" s="4"/>
      <c r="U613" s="4"/>
      <c r="V613" s="4"/>
      <c r="W613" s="4"/>
    </row>
    <row r="614" spans="1:23" x14ac:dyDescent="0.2">
      <c r="A614" s="4">
        <v>50</v>
      </c>
      <c r="B614" s="4">
        <v>0</v>
      </c>
      <c r="C614" s="4">
        <v>0</v>
      </c>
      <c r="D614" s="4">
        <v>1</v>
      </c>
      <c r="E614" s="4">
        <v>215</v>
      </c>
      <c r="F614" s="4">
        <f>ROUND(Source!AT596,O614)</f>
        <v>0</v>
      </c>
      <c r="G614" s="4" t="s">
        <v>88</v>
      </c>
      <c r="H614" s="4" t="s">
        <v>89</v>
      </c>
      <c r="I614" s="4"/>
      <c r="J614" s="4"/>
      <c r="K614" s="4">
        <v>215</v>
      </c>
      <c r="L614" s="4">
        <v>17</v>
      </c>
      <c r="M614" s="4">
        <v>3</v>
      </c>
      <c r="N614" s="4" t="s">
        <v>3</v>
      </c>
      <c r="O614" s="4">
        <v>2</v>
      </c>
      <c r="P614" s="4"/>
      <c r="Q614" s="4"/>
      <c r="R614" s="4"/>
      <c r="S614" s="4"/>
      <c r="T614" s="4"/>
      <c r="U614" s="4"/>
      <c r="V614" s="4"/>
      <c r="W614" s="4"/>
    </row>
    <row r="615" spans="1:23" x14ac:dyDescent="0.2">
      <c r="A615" s="4">
        <v>50</v>
      </c>
      <c r="B615" s="4">
        <v>0</v>
      </c>
      <c r="C615" s="4">
        <v>0</v>
      </c>
      <c r="D615" s="4">
        <v>1</v>
      </c>
      <c r="E615" s="4">
        <v>217</v>
      </c>
      <c r="F615" s="4">
        <f>ROUND(Source!AU596,O615)</f>
        <v>26857.4</v>
      </c>
      <c r="G615" s="4" t="s">
        <v>90</v>
      </c>
      <c r="H615" s="4" t="s">
        <v>91</v>
      </c>
      <c r="I615" s="4"/>
      <c r="J615" s="4"/>
      <c r="K615" s="4">
        <v>217</v>
      </c>
      <c r="L615" s="4">
        <v>18</v>
      </c>
      <c r="M615" s="4">
        <v>3</v>
      </c>
      <c r="N615" s="4" t="s">
        <v>3</v>
      </c>
      <c r="O615" s="4">
        <v>2</v>
      </c>
      <c r="P615" s="4"/>
      <c r="Q615" s="4"/>
      <c r="R615" s="4"/>
      <c r="S615" s="4"/>
      <c r="T615" s="4"/>
      <c r="U615" s="4"/>
      <c r="V615" s="4"/>
      <c r="W615" s="4"/>
    </row>
    <row r="616" spans="1:23" x14ac:dyDescent="0.2">
      <c r="A616" s="4">
        <v>50</v>
      </c>
      <c r="B616" s="4">
        <v>0</v>
      </c>
      <c r="C616" s="4">
        <v>0</v>
      </c>
      <c r="D616" s="4">
        <v>1</v>
      </c>
      <c r="E616" s="4">
        <v>230</v>
      </c>
      <c r="F616" s="4">
        <f>ROUND(Source!BA596,O616)</f>
        <v>0</v>
      </c>
      <c r="G616" s="4" t="s">
        <v>92</v>
      </c>
      <c r="H616" s="4" t="s">
        <v>93</v>
      </c>
      <c r="I616" s="4"/>
      <c r="J616" s="4"/>
      <c r="K616" s="4">
        <v>230</v>
      </c>
      <c r="L616" s="4">
        <v>19</v>
      </c>
      <c r="M616" s="4">
        <v>3</v>
      </c>
      <c r="N616" s="4" t="s">
        <v>3</v>
      </c>
      <c r="O616" s="4">
        <v>2</v>
      </c>
      <c r="P616" s="4"/>
      <c r="Q616" s="4"/>
      <c r="R616" s="4"/>
      <c r="S616" s="4"/>
      <c r="T616" s="4"/>
      <c r="U616" s="4"/>
      <c r="V616" s="4"/>
      <c r="W616" s="4"/>
    </row>
    <row r="617" spans="1:23" x14ac:dyDescent="0.2">
      <c r="A617" s="4">
        <v>50</v>
      </c>
      <c r="B617" s="4">
        <v>0</v>
      </c>
      <c r="C617" s="4">
        <v>0</v>
      </c>
      <c r="D617" s="4">
        <v>1</v>
      </c>
      <c r="E617" s="4">
        <v>206</v>
      </c>
      <c r="F617" s="4">
        <f>ROUND(Source!T596,O617)</f>
        <v>0</v>
      </c>
      <c r="G617" s="4" t="s">
        <v>94</v>
      </c>
      <c r="H617" s="4" t="s">
        <v>95</v>
      </c>
      <c r="I617" s="4"/>
      <c r="J617" s="4"/>
      <c r="K617" s="4">
        <v>206</v>
      </c>
      <c r="L617" s="4">
        <v>20</v>
      </c>
      <c r="M617" s="4">
        <v>3</v>
      </c>
      <c r="N617" s="4" t="s">
        <v>3</v>
      </c>
      <c r="O617" s="4">
        <v>2</v>
      </c>
      <c r="P617" s="4"/>
      <c r="Q617" s="4"/>
      <c r="R617" s="4"/>
      <c r="S617" s="4"/>
      <c r="T617" s="4"/>
      <c r="U617" s="4"/>
      <c r="V617" s="4"/>
      <c r="W617" s="4"/>
    </row>
    <row r="618" spans="1:23" x14ac:dyDescent="0.2">
      <c r="A618" s="4">
        <v>50</v>
      </c>
      <c r="B618" s="4">
        <v>0</v>
      </c>
      <c r="C618" s="4">
        <v>0</v>
      </c>
      <c r="D618" s="4">
        <v>1</v>
      </c>
      <c r="E618" s="4">
        <v>207</v>
      </c>
      <c r="F618" s="4">
        <f>Source!U596</f>
        <v>9.7591409999999996</v>
      </c>
      <c r="G618" s="4" t="s">
        <v>96</v>
      </c>
      <c r="H618" s="4" t="s">
        <v>97</v>
      </c>
      <c r="I618" s="4"/>
      <c r="J618" s="4"/>
      <c r="K618" s="4">
        <v>207</v>
      </c>
      <c r="L618" s="4">
        <v>21</v>
      </c>
      <c r="M618" s="4">
        <v>3</v>
      </c>
      <c r="N618" s="4" t="s">
        <v>3</v>
      </c>
      <c r="O618" s="4">
        <v>-1</v>
      </c>
      <c r="P618" s="4"/>
      <c r="Q618" s="4"/>
      <c r="R618" s="4"/>
      <c r="S618" s="4"/>
      <c r="T618" s="4"/>
      <c r="U618" s="4"/>
      <c r="V618" s="4"/>
      <c r="W618" s="4"/>
    </row>
    <row r="619" spans="1:23" x14ac:dyDescent="0.2">
      <c r="A619" s="4">
        <v>50</v>
      </c>
      <c r="B619" s="4">
        <v>0</v>
      </c>
      <c r="C619" s="4">
        <v>0</v>
      </c>
      <c r="D619" s="4">
        <v>1</v>
      </c>
      <c r="E619" s="4">
        <v>208</v>
      </c>
      <c r="F619" s="4">
        <f>Source!V596</f>
        <v>0</v>
      </c>
      <c r="G619" s="4" t="s">
        <v>98</v>
      </c>
      <c r="H619" s="4" t="s">
        <v>99</v>
      </c>
      <c r="I619" s="4"/>
      <c r="J619" s="4"/>
      <c r="K619" s="4">
        <v>208</v>
      </c>
      <c r="L619" s="4">
        <v>22</v>
      </c>
      <c r="M619" s="4">
        <v>3</v>
      </c>
      <c r="N619" s="4" t="s">
        <v>3</v>
      </c>
      <c r="O619" s="4">
        <v>-1</v>
      </c>
      <c r="P619" s="4"/>
      <c r="Q619" s="4"/>
      <c r="R619" s="4"/>
      <c r="S619" s="4"/>
      <c r="T619" s="4"/>
      <c r="U619" s="4"/>
      <c r="V619" s="4"/>
      <c r="W619" s="4"/>
    </row>
    <row r="620" spans="1:23" x14ac:dyDescent="0.2">
      <c r="A620" s="4">
        <v>50</v>
      </c>
      <c r="B620" s="4">
        <v>0</v>
      </c>
      <c r="C620" s="4">
        <v>0</v>
      </c>
      <c r="D620" s="4">
        <v>1</v>
      </c>
      <c r="E620" s="4">
        <v>209</v>
      </c>
      <c r="F620" s="4">
        <f>ROUND(Source!W596,O620)</f>
        <v>0</v>
      </c>
      <c r="G620" s="4" t="s">
        <v>100</v>
      </c>
      <c r="H620" s="4" t="s">
        <v>101</v>
      </c>
      <c r="I620" s="4"/>
      <c r="J620" s="4"/>
      <c r="K620" s="4">
        <v>209</v>
      </c>
      <c r="L620" s="4">
        <v>23</v>
      </c>
      <c r="M620" s="4">
        <v>3</v>
      </c>
      <c r="N620" s="4" t="s">
        <v>3</v>
      </c>
      <c r="O620" s="4">
        <v>2</v>
      </c>
      <c r="P620" s="4"/>
      <c r="Q620" s="4"/>
      <c r="R620" s="4"/>
      <c r="S620" s="4"/>
      <c r="T620" s="4"/>
      <c r="U620" s="4"/>
      <c r="V620" s="4"/>
      <c r="W620" s="4"/>
    </row>
    <row r="621" spans="1:23" x14ac:dyDescent="0.2">
      <c r="A621" s="4">
        <v>50</v>
      </c>
      <c r="B621" s="4">
        <v>0</v>
      </c>
      <c r="C621" s="4">
        <v>0</v>
      </c>
      <c r="D621" s="4">
        <v>1</v>
      </c>
      <c r="E621" s="4">
        <v>233</v>
      </c>
      <c r="F621" s="4">
        <f>ROUND(Source!BD596,O621)</f>
        <v>0</v>
      </c>
      <c r="G621" s="4" t="s">
        <v>102</v>
      </c>
      <c r="H621" s="4" t="s">
        <v>103</v>
      </c>
      <c r="I621" s="4"/>
      <c r="J621" s="4"/>
      <c r="K621" s="4">
        <v>233</v>
      </c>
      <c r="L621" s="4">
        <v>24</v>
      </c>
      <c r="M621" s="4">
        <v>3</v>
      </c>
      <c r="N621" s="4" t="s">
        <v>3</v>
      </c>
      <c r="O621" s="4">
        <v>2</v>
      </c>
      <c r="P621" s="4"/>
      <c r="Q621" s="4"/>
      <c r="R621" s="4"/>
      <c r="S621" s="4"/>
      <c r="T621" s="4"/>
      <c r="U621" s="4"/>
      <c r="V621" s="4"/>
      <c r="W621" s="4"/>
    </row>
    <row r="622" spans="1:23" x14ac:dyDescent="0.2">
      <c r="A622" s="4">
        <v>50</v>
      </c>
      <c r="B622" s="4">
        <v>0</v>
      </c>
      <c r="C622" s="4">
        <v>0</v>
      </c>
      <c r="D622" s="4">
        <v>1</v>
      </c>
      <c r="E622" s="4">
        <v>210</v>
      </c>
      <c r="F622" s="4">
        <f>ROUND(Source!X596,O622)</f>
        <v>1109.32</v>
      </c>
      <c r="G622" s="4" t="s">
        <v>104</v>
      </c>
      <c r="H622" s="4" t="s">
        <v>105</v>
      </c>
      <c r="I622" s="4"/>
      <c r="J622" s="4"/>
      <c r="K622" s="4">
        <v>210</v>
      </c>
      <c r="L622" s="4">
        <v>25</v>
      </c>
      <c r="M622" s="4">
        <v>3</v>
      </c>
      <c r="N622" s="4" t="s">
        <v>3</v>
      </c>
      <c r="O622" s="4">
        <v>2</v>
      </c>
      <c r="P622" s="4"/>
      <c r="Q622" s="4"/>
      <c r="R622" s="4"/>
      <c r="S622" s="4"/>
      <c r="T622" s="4"/>
      <c r="U622" s="4"/>
      <c r="V622" s="4"/>
      <c r="W622" s="4"/>
    </row>
    <row r="623" spans="1:23" x14ac:dyDescent="0.2">
      <c r="A623" s="4">
        <v>50</v>
      </c>
      <c r="B623" s="4">
        <v>0</v>
      </c>
      <c r="C623" s="4">
        <v>0</v>
      </c>
      <c r="D623" s="4">
        <v>1</v>
      </c>
      <c r="E623" s="4">
        <v>211</v>
      </c>
      <c r="F623" s="4">
        <f>ROUND(Source!Y596,O623)</f>
        <v>158.47999999999999</v>
      </c>
      <c r="G623" s="4" t="s">
        <v>106</v>
      </c>
      <c r="H623" s="4" t="s">
        <v>107</v>
      </c>
      <c r="I623" s="4"/>
      <c r="J623" s="4"/>
      <c r="K623" s="4">
        <v>211</v>
      </c>
      <c r="L623" s="4">
        <v>26</v>
      </c>
      <c r="M623" s="4">
        <v>3</v>
      </c>
      <c r="N623" s="4" t="s">
        <v>3</v>
      </c>
      <c r="O623" s="4">
        <v>2</v>
      </c>
      <c r="P623" s="4"/>
      <c r="Q623" s="4"/>
      <c r="R623" s="4"/>
      <c r="S623" s="4"/>
      <c r="T623" s="4"/>
      <c r="U623" s="4"/>
      <c r="V623" s="4"/>
      <c r="W623" s="4"/>
    </row>
    <row r="624" spans="1:23" x14ac:dyDescent="0.2">
      <c r="A624" s="4">
        <v>50</v>
      </c>
      <c r="B624" s="4">
        <v>0</v>
      </c>
      <c r="C624" s="4">
        <v>0</v>
      </c>
      <c r="D624" s="4">
        <v>1</v>
      </c>
      <c r="E624" s="4">
        <v>224</v>
      </c>
      <c r="F624" s="4">
        <f>ROUND(Source!AR596,O624)</f>
        <v>26857.4</v>
      </c>
      <c r="G624" s="4" t="s">
        <v>108</v>
      </c>
      <c r="H624" s="4" t="s">
        <v>109</v>
      </c>
      <c r="I624" s="4"/>
      <c r="J624" s="4"/>
      <c r="K624" s="4">
        <v>224</v>
      </c>
      <c r="L624" s="4">
        <v>27</v>
      </c>
      <c r="M624" s="4">
        <v>3</v>
      </c>
      <c r="N624" s="4" t="s">
        <v>3</v>
      </c>
      <c r="O624" s="4">
        <v>2</v>
      </c>
      <c r="P624" s="4"/>
      <c r="Q624" s="4"/>
      <c r="R624" s="4"/>
      <c r="S624" s="4"/>
      <c r="T624" s="4"/>
      <c r="U624" s="4"/>
      <c r="V624" s="4"/>
      <c r="W624" s="4"/>
    </row>
    <row r="626" spans="1:206" x14ac:dyDescent="0.2">
      <c r="A626" s="2">
        <v>51</v>
      </c>
      <c r="B626" s="2">
        <f>B449</f>
        <v>1</v>
      </c>
      <c r="C626" s="2">
        <f>A449</f>
        <v>4</v>
      </c>
      <c r="D626" s="2">
        <f>ROW(A449)</f>
        <v>449</v>
      </c>
      <c r="E626" s="2"/>
      <c r="F626" s="2" t="str">
        <f>IF(F449&lt;&gt;"",F449,"")</f>
        <v>Новый раздел</v>
      </c>
      <c r="G626" s="2" t="str">
        <f>IF(G449&lt;&gt;"",G449,"")</f>
        <v>ЛЗ "Теплый Стан" - 171 кв.м (кв. 15, выд. 75)</v>
      </c>
      <c r="H626" s="2">
        <v>0</v>
      </c>
      <c r="I626" s="2"/>
      <c r="J626" s="2"/>
      <c r="K626" s="2"/>
      <c r="L626" s="2"/>
      <c r="M626" s="2"/>
      <c r="N626" s="2"/>
      <c r="O626" s="2">
        <f t="shared" ref="O626:T626" si="499">ROUND(O465+O507+O548+O596+AB626,2)</f>
        <v>921360.73</v>
      </c>
      <c r="P626" s="2">
        <f t="shared" si="499"/>
        <v>792625.44</v>
      </c>
      <c r="Q626" s="2">
        <f t="shared" si="499"/>
        <v>33749.550000000003</v>
      </c>
      <c r="R626" s="2">
        <f t="shared" si="499"/>
        <v>9774.2900000000009</v>
      </c>
      <c r="S626" s="2">
        <f t="shared" si="499"/>
        <v>94985.74</v>
      </c>
      <c r="T626" s="2">
        <f t="shared" si="499"/>
        <v>0</v>
      </c>
      <c r="U626" s="2">
        <f>U465+U507+U548+U596+AH626</f>
        <v>451.23350599999998</v>
      </c>
      <c r="V626" s="2">
        <f>V465+V507+V548+V596+AI626</f>
        <v>0</v>
      </c>
      <c r="W626" s="2">
        <f>ROUND(W465+W507+W548+W596+AJ626,2)</f>
        <v>0</v>
      </c>
      <c r="X626" s="2">
        <f>ROUND(X465+X507+X548+X596+AK626,2)</f>
        <v>66490.03</v>
      </c>
      <c r="Y626" s="2">
        <f>ROUND(Y465+Y507+Y548+Y596+AL626,2)</f>
        <v>9498.58</v>
      </c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>
        <f t="shared" ref="AO626:BD626" si="500">ROUND(AO465+AO507+AO548+AO596+BX626,2)</f>
        <v>0</v>
      </c>
      <c r="AP626" s="2">
        <f t="shared" si="500"/>
        <v>0</v>
      </c>
      <c r="AQ626" s="2">
        <f t="shared" si="500"/>
        <v>0</v>
      </c>
      <c r="AR626" s="2">
        <f t="shared" si="500"/>
        <v>1004165.49</v>
      </c>
      <c r="AS626" s="2">
        <f t="shared" si="500"/>
        <v>111650.58</v>
      </c>
      <c r="AT626" s="2">
        <f t="shared" si="500"/>
        <v>0</v>
      </c>
      <c r="AU626" s="2">
        <f t="shared" si="500"/>
        <v>892514.91</v>
      </c>
      <c r="AV626" s="2">
        <f t="shared" si="500"/>
        <v>792625.44</v>
      </c>
      <c r="AW626" s="2">
        <f t="shared" si="500"/>
        <v>792625.44</v>
      </c>
      <c r="AX626" s="2">
        <f t="shared" si="500"/>
        <v>0</v>
      </c>
      <c r="AY626" s="2">
        <f t="shared" si="500"/>
        <v>792625.44</v>
      </c>
      <c r="AZ626" s="2">
        <f t="shared" si="500"/>
        <v>0</v>
      </c>
      <c r="BA626" s="2">
        <f t="shared" si="500"/>
        <v>0</v>
      </c>
      <c r="BB626" s="2">
        <f t="shared" si="500"/>
        <v>0</v>
      </c>
      <c r="BC626" s="2">
        <f t="shared" si="500"/>
        <v>0</v>
      </c>
      <c r="BD626" s="2">
        <f t="shared" si="500"/>
        <v>0</v>
      </c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  <c r="DF626" s="2"/>
      <c r="DG626" s="3"/>
      <c r="DH626" s="3"/>
      <c r="DI626" s="3"/>
      <c r="DJ626" s="3"/>
      <c r="DK626" s="3"/>
      <c r="DL626" s="3"/>
      <c r="DM626" s="3"/>
      <c r="DN626" s="3"/>
      <c r="DO626" s="3"/>
      <c r="DP626" s="3"/>
      <c r="DQ626" s="3"/>
      <c r="DR626" s="3"/>
      <c r="DS626" s="3"/>
      <c r="DT626" s="3"/>
      <c r="DU626" s="3"/>
      <c r="DV626" s="3"/>
      <c r="DW626" s="3"/>
      <c r="DX626" s="3"/>
      <c r="DY626" s="3"/>
      <c r="DZ626" s="3"/>
      <c r="EA626" s="3"/>
      <c r="EB626" s="3"/>
      <c r="EC626" s="3"/>
      <c r="ED626" s="3"/>
      <c r="EE626" s="3"/>
      <c r="EF626" s="3"/>
      <c r="EG626" s="3"/>
      <c r="EH626" s="3"/>
      <c r="EI626" s="3"/>
      <c r="EJ626" s="3"/>
      <c r="EK626" s="3"/>
      <c r="EL626" s="3"/>
      <c r="EM626" s="3"/>
      <c r="EN626" s="3"/>
      <c r="EO626" s="3"/>
      <c r="EP626" s="3"/>
      <c r="EQ626" s="3"/>
      <c r="ER626" s="3"/>
      <c r="ES626" s="3"/>
      <c r="ET626" s="3"/>
      <c r="EU626" s="3"/>
      <c r="EV626" s="3"/>
      <c r="EW626" s="3"/>
      <c r="EX626" s="3"/>
      <c r="EY626" s="3"/>
      <c r="EZ626" s="3"/>
      <c r="FA626" s="3"/>
      <c r="FB626" s="3"/>
      <c r="FC626" s="3"/>
      <c r="FD626" s="3"/>
      <c r="FE626" s="3"/>
      <c r="FF626" s="3"/>
      <c r="FG626" s="3"/>
      <c r="FH626" s="3"/>
      <c r="FI626" s="3"/>
      <c r="FJ626" s="3"/>
      <c r="FK626" s="3"/>
      <c r="FL626" s="3"/>
      <c r="FM626" s="3"/>
      <c r="FN626" s="3"/>
      <c r="FO626" s="3"/>
      <c r="FP626" s="3"/>
      <c r="FQ626" s="3"/>
      <c r="FR626" s="3"/>
      <c r="FS626" s="3"/>
      <c r="FT626" s="3"/>
      <c r="FU626" s="3"/>
      <c r="FV626" s="3"/>
      <c r="FW626" s="3"/>
      <c r="FX626" s="3"/>
      <c r="FY626" s="3"/>
      <c r="FZ626" s="3"/>
      <c r="GA626" s="3"/>
      <c r="GB626" s="3"/>
      <c r="GC626" s="3"/>
      <c r="GD626" s="3"/>
      <c r="GE626" s="3"/>
      <c r="GF626" s="3"/>
      <c r="GG626" s="3"/>
      <c r="GH626" s="3"/>
      <c r="GI626" s="3"/>
      <c r="GJ626" s="3"/>
      <c r="GK626" s="3"/>
      <c r="GL626" s="3"/>
      <c r="GM626" s="3"/>
      <c r="GN626" s="3"/>
      <c r="GO626" s="3"/>
      <c r="GP626" s="3"/>
      <c r="GQ626" s="3"/>
      <c r="GR626" s="3"/>
      <c r="GS626" s="3"/>
      <c r="GT626" s="3"/>
      <c r="GU626" s="3"/>
      <c r="GV626" s="3"/>
      <c r="GW626" s="3"/>
      <c r="GX626" s="3">
        <v>0</v>
      </c>
    </row>
    <row r="628" spans="1:206" x14ac:dyDescent="0.2">
      <c r="A628" s="4">
        <v>50</v>
      </c>
      <c r="B628" s="4">
        <v>0</v>
      </c>
      <c r="C628" s="4">
        <v>0</v>
      </c>
      <c r="D628" s="4">
        <v>1</v>
      </c>
      <c r="E628" s="4">
        <v>201</v>
      </c>
      <c r="F628" s="4">
        <f>ROUND(Source!O626,O628)</f>
        <v>921360.73</v>
      </c>
      <c r="G628" s="4" t="s">
        <v>56</v>
      </c>
      <c r="H628" s="4" t="s">
        <v>57</v>
      </c>
      <c r="I628" s="4"/>
      <c r="J628" s="4"/>
      <c r="K628" s="4">
        <v>201</v>
      </c>
      <c r="L628" s="4">
        <v>1</v>
      </c>
      <c r="M628" s="4">
        <v>3</v>
      </c>
      <c r="N628" s="4" t="s">
        <v>3</v>
      </c>
      <c r="O628" s="4">
        <v>2</v>
      </c>
      <c r="P628" s="4"/>
      <c r="Q628" s="4"/>
      <c r="R628" s="4"/>
      <c r="S628" s="4"/>
      <c r="T628" s="4"/>
      <c r="U628" s="4"/>
      <c r="V628" s="4"/>
      <c r="W628" s="4"/>
    </row>
    <row r="629" spans="1:206" x14ac:dyDescent="0.2">
      <c r="A629" s="4">
        <v>50</v>
      </c>
      <c r="B629" s="4">
        <v>0</v>
      </c>
      <c r="C629" s="4">
        <v>0</v>
      </c>
      <c r="D629" s="4">
        <v>1</v>
      </c>
      <c r="E629" s="4">
        <v>202</v>
      </c>
      <c r="F629" s="4">
        <f>ROUND(Source!P626,O629)</f>
        <v>792625.44</v>
      </c>
      <c r="G629" s="4" t="s">
        <v>58</v>
      </c>
      <c r="H629" s="4" t="s">
        <v>59</v>
      </c>
      <c r="I629" s="4"/>
      <c r="J629" s="4"/>
      <c r="K629" s="4">
        <v>202</v>
      </c>
      <c r="L629" s="4">
        <v>2</v>
      </c>
      <c r="M629" s="4">
        <v>3</v>
      </c>
      <c r="N629" s="4" t="s">
        <v>3</v>
      </c>
      <c r="O629" s="4">
        <v>2</v>
      </c>
      <c r="P629" s="4"/>
      <c r="Q629" s="4"/>
      <c r="R629" s="4"/>
      <c r="S629" s="4"/>
      <c r="T629" s="4"/>
      <c r="U629" s="4"/>
      <c r="V629" s="4"/>
      <c r="W629" s="4"/>
    </row>
    <row r="630" spans="1:206" x14ac:dyDescent="0.2">
      <c r="A630" s="4">
        <v>50</v>
      </c>
      <c r="B630" s="4">
        <v>0</v>
      </c>
      <c r="C630" s="4">
        <v>0</v>
      </c>
      <c r="D630" s="4">
        <v>1</v>
      </c>
      <c r="E630" s="4">
        <v>222</v>
      </c>
      <c r="F630" s="4">
        <f>ROUND(Source!AO626,O630)</f>
        <v>0</v>
      </c>
      <c r="G630" s="4" t="s">
        <v>60</v>
      </c>
      <c r="H630" s="4" t="s">
        <v>61</v>
      </c>
      <c r="I630" s="4"/>
      <c r="J630" s="4"/>
      <c r="K630" s="4">
        <v>222</v>
      </c>
      <c r="L630" s="4">
        <v>3</v>
      </c>
      <c r="M630" s="4">
        <v>3</v>
      </c>
      <c r="N630" s="4" t="s">
        <v>3</v>
      </c>
      <c r="O630" s="4">
        <v>2</v>
      </c>
      <c r="P630" s="4"/>
      <c r="Q630" s="4"/>
      <c r="R630" s="4"/>
      <c r="S630" s="4"/>
      <c r="T630" s="4"/>
      <c r="U630" s="4"/>
      <c r="V630" s="4"/>
      <c r="W630" s="4"/>
    </row>
    <row r="631" spans="1:206" x14ac:dyDescent="0.2">
      <c r="A631" s="4">
        <v>50</v>
      </c>
      <c r="B631" s="4">
        <v>0</v>
      </c>
      <c r="C631" s="4">
        <v>0</v>
      </c>
      <c r="D631" s="4">
        <v>1</v>
      </c>
      <c r="E631" s="4">
        <v>225</v>
      </c>
      <c r="F631" s="4">
        <f>ROUND(Source!AV626,O631)</f>
        <v>792625.44</v>
      </c>
      <c r="G631" s="4" t="s">
        <v>62</v>
      </c>
      <c r="H631" s="4" t="s">
        <v>63</v>
      </c>
      <c r="I631" s="4"/>
      <c r="J631" s="4"/>
      <c r="K631" s="4">
        <v>225</v>
      </c>
      <c r="L631" s="4">
        <v>4</v>
      </c>
      <c r="M631" s="4">
        <v>3</v>
      </c>
      <c r="N631" s="4" t="s">
        <v>3</v>
      </c>
      <c r="O631" s="4">
        <v>2</v>
      </c>
      <c r="P631" s="4"/>
      <c r="Q631" s="4"/>
      <c r="R631" s="4"/>
      <c r="S631" s="4"/>
      <c r="T631" s="4"/>
      <c r="U631" s="4"/>
      <c r="V631" s="4"/>
      <c r="W631" s="4"/>
    </row>
    <row r="632" spans="1:206" x14ac:dyDescent="0.2">
      <c r="A632" s="4">
        <v>50</v>
      </c>
      <c r="B632" s="4">
        <v>0</v>
      </c>
      <c r="C632" s="4">
        <v>0</v>
      </c>
      <c r="D632" s="4">
        <v>1</v>
      </c>
      <c r="E632" s="4">
        <v>226</v>
      </c>
      <c r="F632" s="4">
        <f>ROUND(Source!AW626,O632)</f>
        <v>792625.44</v>
      </c>
      <c r="G632" s="4" t="s">
        <v>64</v>
      </c>
      <c r="H632" s="4" t="s">
        <v>65</v>
      </c>
      <c r="I632" s="4"/>
      <c r="J632" s="4"/>
      <c r="K632" s="4">
        <v>226</v>
      </c>
      <c r="L632" s="4">
        <v>5</v>
      </c>
      <c r="M632" s="4">
        <v>3</v>
      </c>
      <c r="N632" s="4" t="s">
        <v>3</v>
      </c>
      <c r="O632" s="4">
        <v>2</v>
      </c>
      <c r="P632" s="4"/>
      <c r="Q632" s="4"/>
      <c r="R632" s="4"/>
      <c r="S632" s="4"/>
      <c r="T632" s="4"/>
      <c r="U632" s="4"/>
      <c r="V632" s="4"/>
      <c r="W632" s="4"/>
    </row>
    <row r="633" spans="1:206" x14ac:dyDescent="0.2">
      <c r="A633" s="4">
        <v>50</v>
      </c>
      <c r="B633" s="4">
        <v>0</v>
      </c>
      <c r="C633" s="4">
        <v>0</v>
      </c>
      <c r="D633" s="4">
        <v>1</v>
      </c>
      <c r="E633" s="4">
        <v>227</v>
      </c>
      <c r="F633" s="4">
        <f>ROUND(Source!AX626,O633)</f>
        <v>0</v>
      </c>
      <c r="G633" s="4" t="s">
        <v>66</v>
      </c>
      <c r="H633" s="4" t="s">
        <v>67</v>
      </c>
      <c r="I633" s="4"/>
      <c r="J633" s="4"/>
      <c r="K633" s="4">
        <v>227</v>
      </c>
      <c r="L633" s="4">
        <v>6</v>
      </c>
      <c r="M633" s="4">
        <v>3</v>
      </c>
      <c r="N633" s="4" t="s">
        <v>3</v>
      </c>
      <c r="O633" s="4">
        <v>2</v>
      </c>
      <c r="P633" s="4"/>
      <c r="Q633" s="4"/>
      <c r="R633" s="4"/>
      <c r="S633" s="4"/>
      <c r="T633" s="4"/>
      <c r="U633" s="4"/>
      <c r="V633" s="4"/>
      <c r="W633" s="4"/>
    </row>
    <row r="634" spans="1:206" x14ac:dyDescent="0.2">
      <c r="A634" s="4">
        <v>50</v>
      </c>
      <c r="B634" s="4">
        <v>0</v>
      </c>
      <c r="C634" s="4">
        <v>0</v>
      </c>
      <c r="D634" s="4">
        <v>1</v>
      </c>
      <c r="E634" s="4">
        <v>228</v>
      </c>
      <c r="F634" s="4">
        <f>ROUND(Source!AY626,O634)</f>
        <v>792625.44</v>
      </c>
      <c r="G634" s="4" t="s">
        <v>68</v>
      </c>
      <c r="H634" s="4" t="s">
        <v>69</v>
      </c>
      <c r="I634" s="4"/>
      <c r="J634" s="4"/>
      <c r="K634" s="4">
        <v>228</v>
      </c>
      <c r="L634" s="4">
        <v>7</v>
      </c>
      <c r="M634" s="4">
        <v>3</v>
      </c>
      <c r="N634" s="4" t="s">
        <v>3</v>
      </c>
      <c r="O634" s="4">
        <v>2</v>
      </c>
      <c r="P634" s="4"/>
      <c r="Q634" s="4"/>
      <c r="R634" s="4"/>
      <c r="S634" s="4"/>
      <c r="T634" s="4"/>
      <c r="U634" s="4"/>
      <c r="V634" s="4"/>
      <c r="W634" s="4"/>
    </row>
    <row r="635" spans="1:206" x14ac:dyDescent="0.2">
      <c r="A635" s="4">
        <v>50</v>
      </c>
      <c r="B635" s="4">
        <v>0</v>
      </c>
      <c r="C635" s="4">
        <v>0</v>
      </c>
      <c r="D635" s="4">
        <v>1</v>
      </c>
      <c r="E635" s="4">
        <v>216</v>
      </c>
      <c r="F635" s="4">
        <f>ROUND(Source!AP626,O635)</f>
        <v>0</v>
      </c>
      <c r="G635" s="4" t="s">
        <v>70</v>
      </c>
      <c r="H635" s="4" t="s">
        <v>71</v>
      </c>
      <c r="I635" s="4"/>
      <c r="J635" s="4"/>
      <c r="K635" s="4">
        <v>216</v>
      </c>
      <c r="L635" s="4">
        <v>8</v>
      </c>
      <c r="M635" s="4">
        <v>3</v>
      </c>
      <c r="N635" s="4" t="s">
        <v>3</v>
      </c>
      <c r="O635" s="4">
        <v>2</v>
      </c>
      <c r="P635" s="4"/>
      <c r="Q635" s="4"/>
      <c r="R635" s="4"/>
      <c r="S635" s="4"/>
      <c r="T635" s="4"/>
      <c r="U635" s="4"/>
      <c r="V635" s="4"/>
      <c r="W635" s="4"/>
    </row>
    <row r="636" spans="1:206" x14ac:dyDescent="0.2">
      <c r="A636" s="4">
        <v>50</v>
      </c>
      <c r="B636" s="4">
        <v>0</v>
      </c>
      <c r="C636" s="4">
        <v>0</v>
      </c>
      <c r="D636" s="4">
        <v>1</v>
      </c>
      <c r="E636" s="4">
        <v>223</v>
      </c>
      <c r="F636" s="4">
        <f>ROUND(Source!AQ626,O636)</f>
        <v>0</v>
      </c>
      <c r="G636" s="4" t="s">
        <v>72</v>
      </c>
      <c r="H636" s="4" t="s">
        <v>73</v>
      </c>
      <c r="I636" s="4"/>
      <c r="J636" s="4"/>
      <c r="K636" s="4">
        <v>223</v>
      </c>
      <c r="L636" s="4">
        <v>9</v>
      </c>
      <c r="M636" s="4">
        <v>3</v>
      </c>
      <c r="N636" s="4" t="s">
        <v>3</v>
      </c>
      <c r="O636" s="4">
        <v>2</v>
      </c>
      <c r="P636" s="4"/>
      <c r="Q636" s="4"/>
      <c r="R636" s="4"/>
      <c r="S636" s="4"/>
      <c r="T636" s="4"/>
      <c r="U636" s="4"/>
      <c r="V636" s="4"/>
      <c r="W636" s="4"/>
    </row>
    <row r="637" spans="1:206" x14ac:dyDescent="0.2">
      <c r="A637" s="4">
        <v>50</v>
      </c>
      <c r="B637" s="4">
        <v>0</v>
      </c>
      <c r="C637" s="4">
        <v>0</v>
      </c>
      <c r="D637" s="4">
        <v>1</v>
      </c>
      <c r="E637" s="4">
        <v>229</v>
      </c>
      <c r="F637" s="4">
        <f>ROUND(Source!AZ626,O637)</f>
        <v>0</v>
      </c>
      <c r="G637" s="4" t="s">
        <v>74</v>
      </c>
      <c r="H637" s="4" t="s">
        <v>75</v>
      </c>
      <c r="I637" s="4"/>
      <c r="J637" s="4"/>
      <c r="K637" s="4">
        <v>229</v>
      </c>
      <c r="L637" s="4">
        <v>10</v>
      </c>
      <c r="M637" s="4">
        <v>3</v>
      </c>
      <c r="N637" s="4" t="s">
        <v>3</v>
      </c>
      <c r="O637" s="4">
        <v>2</v>
      </c>
      <c r="P637" s="4"/>
      <c r="Q637" s="4"/>
      <c r="R637" s="4"/>
      <c r="S637" s="4"/>
      <c r="T637" s="4"/>
      <c r="U637" s="4"/>
      <c r="V637" s="4"/>
      <c r="W637" s="4"/>
    </row>
    <row r="638" spans="1:206" x14ac:dyDescent="0.2">
      <c r="A638" s="4">
        <v>50</v>
      </c>
      <c r="B638" s="4">
        <v>0</v>
      </c>
      <c r="C638" s="4">
        <v>0</v>
      </c>
      <c r="D638" s="4">
        <v>1</v>
      </c>
      <c r="E638" s="4">
        <v>203</v>
      </c>
      <c r="F638" s="4">
        <f>ROUND(Source!Q626,O638)</f>
        <v>33749.550000000003</v>
      </c>
      <c r="G638" s="4" t="s">
        <v>76</v>
      </c>
      <c r="H638" s="4" t="s">
        <v>77</v>
      </c>
      <c r="I638" s="4"/>
      <c r="J638" s="4"/>
      <c r="K638" s="4">
        <v>203</v>
      </c>
      <c r="L638" s="4">
        <v>11</v>
      </c>
      <c r="M638" s="4">
        <v>3</v>
      </c>
      <c r="N638" s="4" t="s">
        <v>3</v>
      </c>
      <c r="O638" s="4">
        <v>2</v>
      </c>
      <c r="P638" s="4"/>
      <c r="Q638" s="4"/>
      <c r="R638" s="4"/>
      <c r="S638" s="4"/>
      <c r="T638" s="4"/>
      <c r="U638" s="4"/>
      <c r="V638" s="4"/>
      <c r="W638" s="4"/>
    </row>
    <row r="639" spans="1:206" x14ac:dyDescent="0.2">
      <c r="A639" s="4">
        <v>50</v>
      </c>
      <c r="B639" s="4">
        <v>0</v>
      </c>
      <c r="C639" s="4">
        <v>0</v>
      </c>
      <c r="D639" s="4">
        <v>1</v>
      </c>
      <c r="E639" s="4">
        <v>231</v>
      </c>
      <c r="F639" s="4">
        <f>ROUND(Source!BB626,O639)</f>
        <v>0</v>
      </c>
      <c r="G639" s="4" t="s">
        <v>78</v>
      </c>
      <c r="H639" s="4" t="s">
        <v>79</v>
      </c>
      <c r="I639" s="4"/>
      <c r="J639" s="4"/>
      <c r="K639" s="4">
        <v>231</v>
      </c>
      <c r="L639" s="4">
        <v>12</v>
      </c>
      <c r="M639" s="4">
        <v>3</v>
      </c>
      <c r="N639" s="4" t="s">
        <v>3</v>
      </c>
      <c r="O639" s="4">
        <v>2</v>
      </c>
      <c r="P639" s="4"/>
      <c r="Q639" s="4"/>
      <c r="R639" s="4"/>
      <c r="S639" s="4"/>
      <c r="T639" s="4"/>
      <c r="U639" s="4"/>
      <c r="V639" s="4"/>
      <c r="W639" s="4"/>
    </row>
    <row r="640" spans="1:206" x14ac:dyDescent="0.2">
      <c r="A640" s="4">
        <v>50</v>
      </c>
      <c r="B640" s="4">
        <v>0</v>
      </c>
      <c r="C640" s="4">
        <v>0</v>
      </c>
      <c r="D640" s="4">
        <v>1</v>
      </c>
      <c r="E640" s="4">
        <v>204</v>
      </c>
      <c r="F640" s="4">
        <f>ROUND(Source!R626,O640)</f>
        <v>9774.2900000000009</v>
      </c>
      <c r="G640" s="4" t="s">
        <v>80</v>
      </c>
      <c r="H640" s="4" t="s">
        <v>81</v>
      </c>
      <c r="I640" s="4"/>
      <c r="J640" s="4"/>
      <c r="K640" s="4">
        <v>204</v>
      </c>
      <c r="L640" s="4">
        <v>13</v>
      </c>
      <c r="M640" s="4">
        <v>3</v>
      </c>
      <c r="N640" s="4" t="s">
        <v>3</v>
      </c>
      <c r="O640" s="4">
        <v>2</v>
      </c>
      <c r="P640" s="4"/>
      <c r="Q640" s="4"/>
      <c r="R640" s="4"/>
      <c r="S640" s="4"/>
      <c r="T640" s="4"/>
      <c r="U640" s="4"/>
      <c r="V640" s="4"/>
      <c r="W640" s="4"/>
    </row>
    <row r="641" spans="1:23" x14ac:dyDescent="0.2">
      <c r="A641" s="4">
        <v>50</v>
      </c>
      <c r="B641" s="4">
        <v>0</v>
      </c>
      <c r="C641" s="4">
        <v>0</v>
      </c>
      <c r="D641" s="4">
        <v>1</v>
      </c>
      <c r="E641" s="4">
        <v>205</v>
      </c>
      <c r="F641" s="4">
        <f>ROUND(Source!S626,O641)</f>
        <v>94985.74</v>
      </c>
      <c r="G641" s="4" t="s">
        <v>82</v>
      </c>
      <c r="H641" s="4" t="s">
        <v>83</v>
      </c>
      <c r="I641" s="4"/>
      <c r="J641" s="4"/>
      <c r="K641" s="4">
        <v>205</v>
      </c>
      <c r="L641" s="4">
        <v>14</v>
      </c>
      <c r="M641" s="4">
        <v>3</v>
      </c>
      <c r="N641" s="4" t="s">
        <v>3</v>
      </c>
      <c r="O641" s="4">
        <v>2</v>
      </c>
      <c r="P641" s="4"/>
      <c r="Q641" s="4"/>
      <c r="R641" s="4"/>
      <c r="S641" s="4"/>
      <c r="T641" s="4"/>
      <c r="U641" s="4"/>
      <c r="V641" s="4"/>
      <c r="W641" s="4"/>
    </row>
    <row r="642" spans="1:23" x14ac:dyDescent="0.2">
      <c r="A642" s="4">
        <v>50</v>
      </c>
      <c r="B642" s="4">
        <v>0</v>
      </c>
      <c r="C642" s="4">
        <v>0</v>
      </c>
      <c r="D642" s="4">
        <v>1</v>
      </c>
      <c r="E642" s="4">
        <v>232</v>
      </c>
      <c r="F642" s="4">
        <f>ROUND(Source!BC626,O642)</f>
        <v>0</v>
      </c>
      <c r="G642" s="4" t="s">
        <v>84</v>
      </c>
      <c r="H642" s="4" t="s">
        <v>85</v>
      </c>
      <c r="I642" s="4"/>
      <c r="J642" s="4"/>
      <c r="K642" s="4">
        <v>232</v>
      </c>
      <c r="L642" s="4">
        <v>15</v>
      </c>
      <c r="M642" s="4">
        <v>3</v>
      </c>
      <c r="N642" s="4" t="s">
        <v>3</v>
      </c>
      <c r="O642" s="4">
        <v>2</v>
      </c>
      <c r="P642" s="4"/>
      <c r="Q642" s="4"/>
      <c r="R642" s="4"/>
      <c r="S642" s="4"/>
      <c r="T642" s="4"/>
      <c r="U642" s="4"/>
      <c r="V642" s="4"/>
      <c r="W642" s="4"/>
    </row>
    <row r="643" spans="1:23" x14ac:dyDescent="0.2">
      <c r="A643" s="4">
        <v>50</v>
      </c>
      <c r="B643" s="4">
        <v>0</v>
      </c>
      <c r="C643" s="4">
        <v>0</v>
      </c>
      <c r="D643" s="4">
        <v>1</v>
      </c>
      <c r="E643" s="4">
        <v>214</v>
      </c>
      <c r="F643" s="4">
        <f>ROUND(Source!AS626,O643)</f>
        <v>111650.58</v>
      </c>
      <c r="G643" s="4" t="s">
        <v>86</v>
      </c>
      <c r="H643" s="4" t="s">
        <v>87</v>
      </c>
      <c r="I643" s="4"/>
      <c r="J643" s="4"/>
      <c r="K643" s="4">
        <v>214</v>
      </c>
      <c r="L643" s="4">
        <v>16</v>
      </c>
      <c r="M643" s="4">
        <v>3</v>
      </c>
      <c r="N643" s="4" t="s">
        <v>3</v>
      </c>
      <c r="O643" s="4">
        <v>2</v>
      </c>
      <c r="P643" s="4"/>
      <c r="Q643" s="4"/>
      <c r="R643" s="4"/>
      <c r="S643" s="4"/>
      <c r="T643" s="4"/>
      <c r="U643" s="4"/>
      <c r="V643" s="4"/>
      <c r="W643" s="4"/>
    </row>
    <row r="644" spans="1:23" x14ac:dyDescent="0.2">
      <c r="A644" s="4">
        <v>50</v>
      </c>
      <c r="B644" s="4">
        <v>0</v>
      </c>
      <c r="C644" s="4">
        <v>0</v>
      </c>
      <c r="D644" s="4">
        <v>1</v>
      </c>
      <c r="E644" s="4">
        <v>215</v>
      </c>
      <c r="F644" s="4">
        <f>ROUND(Source!AT626,O644)</f>
        <v>0</v>
      </c>
      <c r="G644" s="4" t="s">
        <v>88</v>
      </c>
      <c r="H644" s="4" t="s">
        <v>89</v>
      </c>
      <c r="I644" s="4"/>
      <c r="J644" s="4"/>
      <c r="K644" s="4">
        <v>215</v>
      </c>
      <c r="L644" s="4">
        <v>17</v>
      </c>
      <c r="M644" s="4">
        <v>3</v>
      </c>
      <c r="N644" s="4" t="s">
        <v>3</v>
      </c>
      <c r="O644" s="4">
        <v>2</v>
      </c>
      <c r="P644" s="4"/>
      <c r="Q644" s="4"/>
      <c r="R644" s="4"/>
      <c r="S644" s="4"/>
      <c r="T644" s="4"/>
      <c r="U644" s="4"/>
      <c r="V644" s="4"/>
      <c r="W644" s="4"/>
    </row>
    <row r="645" spans="1:23" x14ac:dyDescent="0.2">
      <c r="A645" s="4">
        <v>50</v>
      </c>
      <c r="B645" s="4">
        <v>0</v>
      </c>
      <c r="C645" s="4">
        <v>0</v>
      </c>
      <c r="D645" s="4">
        <v>1</v>
      </c>
      <c r="E645" s="4">
        <v>217</v>
      </c>
      <c r="F645" s="4">
        <f>ROUND(Source!AU626,O645)</f>
        <v>892514.91</v>
      </c>
      <c r="G645" s="4" t="s">
        <v>90</v>
      </c>
      <c r="H645" s="4" t="s">
        <v>91</v>
      </c>
      <c r="I645" s="4"/>
      <c r="J645" s="4"/>
      <c r="K645" s="4">
        <v>217</v>
      </c>
      <c r="L645" s="4">
        <v>18</v>
      </c>
      <c r="M645" s="4">
        <v>3</v>
      </c>
      <c r="N645" s="4" t="s">
        <v>3</v>
      </c>
      <c r="O645" s="4">
        <v>2</v>
      </c>
      <c r="P645" s="4"/>
      <c r="Q645" s="4"/>
      <c r="R645" s="4"/>
      <c r="S645" s="4"/>
      <c r="T645" s="4"/>
      <c r="U645" s="4"/>
      <c r="V645" s="4"/>
      <c r="W645" s="4"/>
    </row>
    <row r="646" spans="1:23" x14ac:dyDescent="0.2">
      <c r="A646" s="4">
        <v>50</v>
      </c>
      <c r="B646" s="4">
        <v>0</v>
      </c>
      <c r="C646" s="4">
        <v>0</v>
      </c>
      <c r="D646" s="4">
        <v>1</v>
      </c>
      <c r="E646" s="4">
        <v>230</v>
      </c>
      <c r="F646" s="4">
        <f>ROUND(Source!BA626,O646)</f>
        <v>0</v>
      </c>
      <c r="G646" s="4" t="s">
        <v>92</v>
      </c>
      <c r="H646" s="4" t="s">
        <v>93</v>
      </c>
      <c r="I646" s="4"/>
      <c r="J646" s="4"/>
      <c r="K646" s="4">
        <v>230</v>
      </c>
      <c r="L646" s="4">
        <v>19</v>
      </c>
      <c r="M646" s="4">
        <v>3</v>
      </c>
      <c r="N646" s="4" t="s">
        <v>3</v>
      </c>
      <c r="O646" s="4">
        <v>2</v>
      </c>
      <c r="P646" s="4"/>
      <c r="Q646" s="4"/>
      <c r="R646" s="4"/>
      <c r="S646" s="4"/>
      <c r="T646" s="4"/>
      <c r="U646" s="4"/>
      <c r="V646" s="4"/>
      <c r="W646" s="4"/>
    </row>
    <row r="647" spans="1:23" x14ac:dyDescent="0.2">
      <c r="A647" s="4">
        <v>50</v>
      </c>
      <c r="B647" s="4">
        <v>0</v>
      </c>
      <c r="C647" s="4">
        <v>0</v>
      </c>
      <c r="D647" s="4">
        <v>1</v>
      </c>
      <c r="E647" s="4">
        <v>206</v>
      </c>
      <c r="F647" s="4">
        <f>ROUND(Source!T626,O647)</f>
        <v>0</v>
      </c>
      <c r="G647" s="4" t="s">
        <v>94</v>
      </c>
      <c r="H647" s="4" t="s">
        <v>95</v>
      </c>
      <c r="I647" s="4"/>
      <c r="J647" s="4"/>
      <c r="K647" s="4">
        <v>206</v>
      </c>
      <c r="L647" s="4">
        <v>20</v>
      </c>
      <c r="M647" s="4">
        <v>3</v>
      </c>
      <c r="N647" s="4" t="s">
        <v>3</v>
      </c>
      <c r="O647" s="4">
        <v>2</v>
      </c>
      <c r="P647" s="4"/>
      <c r="Q647" s="4"/>
      <c r="R647" s="4"/>
      <c r="S647" s="4"/>
      <c r="T647" s="4"/>
      <c r="U647" s="4"/>
      <c r="V647" s="4"/>
      <c r="W647" s="4"/>
    </row>
    <row r="648" spans="1:23" x14ac:dyDescent="0.2">
      <c r="A648" s="4">
        <v>50</v>
      </c>
      <c r="B648" s="4">
        <v>0</v>
      </c>
      <c r="C648" s="4">
        <v>0</v>
      </c>
      <c r="D648" s="4">
        <v>1</v>
      </c>
      <c r="E648" s="4">
        <v>207</v>
      </c>
      <c r="F648" s="4">
        <f>Source!U626</f>
        <v>451.23350599999998</v>
      </c>
      <c r="G648" s="4" t="s">
        <v>96</v>
      </c>
      <c r="H648" s="4" t="s">
        <v>97</v>
      </c>
      <c r="I648" s="4"/>
      <c r="J648" s="4"/>
      <c r="K648" s="4">
        <v>207</v>
      </c>
      <c r="L648" s="4">
        <v>21</v>
      </c>
      <c r="M648" s="4">
        <v>3</v>
      </c>
      <c r="N648" s="4" t="s">
        <v>3</v>
      </c>
      <c r="O648" s="4">
        <v>-1</v>
      </c>
      <c r="P648" s="4"/>
      <c r="Q648" s="4"/>
      <c r="R648" s="4"/>
      <c r="S648" s="4"/>
      <c r="T648" s="4"/>
      <c r="U648" s="4"/>
      <c r="V648" s="4"/>
      <c r="W648" s="4"/>
    </row>
    <row r="649" spans="1:23" x14ac:dyDescent="0.2">
      <c r="A649" s="4">
        <v>50</v>
      </c>
      <c r="B649" s="4">
        <v>0</v>
      </c>
      <c r="C649" s="4">
        <v>0</v>
      </c>
      <c r="D649" s="4">
        <v>1</v>
      </c>
      <c r="E649" s="4">
        <v>208</v>
      </c>
      <c r="F649" s="4">
        <f>Source!V626</f>
        <v>0</v>
      </c>
      <c r="G649" s="4" t="s">
        <v>98</v>
      </c>
      <c r="H649" s="4" t="s">
        <v>99</v>
      </c>
      <c r="I649" s="4"/>
      <c r="J649" s="4"/>
      <c r="K649" s="4">
        <v>208</v>
      </c>
      <c r="L649" s="4">
        <v>22</v>
      </c>
      <c r="M649" s="4">
        <v>3</v>
      </c>
      <c r="N649" s="4" t="s">
        <v>3</v>
      </c>
      <c r="O649" s="4">
        <v>-1</v>
      </c>
      <c r="P649" s="4"/>
      <c r="Q649" s="4"/>
      <c r="R649" s="4"/>
      <c r="S649" s="4"/>
      <c r="T649" s="4"/>
      <c r="U649" s="4"/>
      <c r="V649" s="4"/>
      <c r="W649" s="4"/>
    </row>
    <row r="650" spans="1:23" x14ac:dyDescent="0.2">
      <c r="A650" s="4">
        <v>50</v>
      </c>
      <c r="B650" s="4">
        <v>0</v>
      </c>
      <c r="C650" s="4">
        <v>0</v>
      </c>
      <c r="D650" s="4">
        <v>1</v>
      </c>
      <c r="E650" s="4">
        <v>209</v>
      </c>
      <c r="F650" s="4">
        <f>ROUND(Source!W626,O650)</f>
        <v>0</v>
      </c>
      <c r="G650" s="4" t="s">
        <v>100</v>
      </c>
      <c r="H650" s="4" t="s">
        <v>101</v>
      </c>
      <c r="I650" s="4"/>
      <c r="J650" s="4"/>
      <c r="K650" s="4">
        <v>209</v>
      </c>
      <c r="L650" s="4">
        <v>23</v>
      </c>
      <c r="M650" s="4">
        <v>3</v>
      </c>
      <c r="N650" s="4" t="s">
        <v>3</v>
      </c>
      <c r="O650" s="4">
        <v>2</v>
      </c>
      <c r="P650" s="4"/>
      <c r="Q650" s="4"/>
      <c r="R650" s="4"/>
      <c r="S650" s="4"/>
      <c r="T650" s="4"/>
      <c r="U650" s="4"/>
      <c r="V650" s="4"/>
      <c r="W650" s="4"/>
    </row>
    <row r="651" spans="1:23" x14ac:dyDescent="0.2">
      <c r="A651" s="4">
        <v>50</v>
      </c>
      <c r="B651" s="4">
        <v>0</v>
      </c>
      <c r="C651" s="4">
        <v>0</v>
      </c>
      <c r="D651" s="4">
        <v>1</v>
      </c>
      <c r="E651" s="4">
        <v>233</v>
      </c>
      <c r="F651" s="4">
        <f>ROUND(Source!BD626,O651)</f>
        <v>0</v>
      </c>
      <c r="G651" s="4" t="s">
        <v>102</v>
      </c>
      <c r="H651" s="4" t="s">
        <v>103</v>
      </c>
      <c r="I651" s="4"/>
      <c r="J651" s="4"/>
      <c r="K651" s="4">
        <v>233</v>
      </c>
      <c r="L651" s="4">
        <v>24</v>
      </c>
      <c r="M651" s="4">
        <v>3</v>
      </c>
      <c r="N651" s="4" t="s">
        <v>3</v>
      </c>
      <c r="O651" s="4">
        <v>2</v>
      </c>
      <c r="P651" s="4"/>
      <c r="Q651" s="4"/>
      <c r="R651" s="4"/>
      <c r="S651" s="4"/>
      <c r="T651" s="4"/>
      <c r="U651" s="4"/>
      <c r="V651" s="4"/>
      <c r="W651" s="4"/>
    </row>
    <row r="652" spans="1:23" x14ac:dyDescent="0.2">
      <c r="A652" s="4">
        <v>50</v>
      </c>
      <c r="B652" s="4">
        <v>0</v>
      </c>
      <c r="C652" s="4">
        <v>0</v>
      </c>
      <c r="D652" s="4">
        <v>1</v>
      </c>
      <c r="E652" s="4">
        <v>210</v>
      </c>
      <c r="F652" s="4">
        <f>ROUND(Source!X626,O652)</f>
        <v>66490.03</v>
      </c>
      <c r="G652" s="4" t="s">
        <v>104</v>
      </c>
      <c r="H652" s="4" t="s">
        <v>105</v>
      </c>
      <c r="I652" s="4"/>
      <c r="J652" s="4"/>
      <c r="K652" s="4">
        <v>210</v>
      </c>
      <c r="L652" s="4">
        <v>25</v>
      </c>
      <c r="M652" s="4">
        <v>3</v>
      </c>
      <c r="N652" s="4" t="s">
        <v>3</v>
      </c>
      <c r="O652" s="4">
        <v>2</v>
      </c>
      <c r="P652" s="4"/>
      <c r="Q652" s="4"/>
      <c r="R652" s="4"/>
      <c r="S652" s="4"/>
      <c r="T652" s="4"/>
      <c r="U652" s="4"/>
      <c r="V652" s="4"/>
      <c r="W652" s="4"/>
    </row>
    <row r="653" spans="1:23" x14ac:dyDescent="0.2">
      <c r="A653" s="4">
        <v>50</v>
      </c>
      <c r="B653" s="4">
        <v>0</v>
      </c>
      <c r="C653" s="4">
        <v>0</v>
      </c>
      <c r="D653" s="4">
        <v>1</v>
      </c>
      <c r="E653" s="4">
        <v>211</v>
      </c>
      <c r="F653" s="4">
        <f>ROUND(Source!Y626,O653)</f>
        <v>9498.58</v>
      </c>
      <c r="G653" s="4" t="s">
        <v>106</v>
      </c>
      <c r="H653" s="4" t="s">
        <v>107</v>
      </c>
      <c r="I653" s="4"/>
      <c r="J653" s="4"/>
      <c r="K653" s="4">
        <v>211</v>
      </c>
      <c r="L653" s="4">
        <v>26</v>
      </c>
      <c r="M653" s="4">
        <v>3</v>
      </c>
      <c r="N653" s="4" t="s">
        <v>3</v>
      </c>
      <c r="O653" s="4">
        <v>2</v>
      </c>
      <c r="P653" s="4"/>
      <c r="Q653" s="4"/>
      <c r="R653" s="4"/>
      <c r="S653" s="4"/>
      <c r="T653" s="4"/>
      <c r="U653" s="4"/>
      <c r="V653" s="4"/>
      <c r="W653" s="4"/>
    </row>
    <row r="654" spans="1:23" x14ac:dyDescent="0.2">
      <c r="A654" s="4">
        <v>50</v>
      </c>
      <c r="B654" s="4">
        <v>0</v>
      </c>
      <c r="C654" s="4">
        <v>0</v>
      </c>
      <c r="D654" s="4">
        <v>1</v>
      </c>
      <c r="E654" s="4">
        <v>224</v>
      </c>
      <c r="F654" s="4">
        <f>ROUND(Source!AR626,O654)</f>
        <v>1004165.49</v>
      </c>
      <c r="G654" s="4" t="s">
        <v>108</v>
      </c>
      <c r="H654" s="4" t="s">
        <v>109</v>
      </c>
      <c r="I654" s="4"/>
      <c r="J654" s="4"/>
      <c r="K654" s="4">
        <v>224</v>
      </c>
      <c r="L654" s="4">
        <v>27</v>
      </c>
      <c r="M654" s="4">
        <v>3</v>
      </c>
      <c r="N654" s="4" t="s">
        <v>3</v>
      </c>
      <c r="O654" s="4">
        <v>2</v>
      </c>
      <c r="P654" s="4"/>
      <c r="Q654" s="4"/>
      <c r="R654" s="4"/>
      <c r="S654" s="4"/>
      <c r="T654" s="4"/>
      <c r="U654" s="4"/>
      <c r="V654" s="4"/>
      <c r="W654" s="4"/>
    </row>
    <row r="655" spans="1:23" x14ac:dyDescent="0.2">
      <c r="A655" s="4">
        <v>50</v>
      </c>
      <c r="B655" s="4">
        <v>1</v>
      </c>
      <c r="C655" s="4">
        <v>0</v>
      </c>
      <c r="D655" s="4">
        <v>2</v>
      </c>
      <c r="E655" s="4">
        <v>0</v>
      </c>
      <c r="F655" s="4">
        <f>ROUND(F654*0.2,O655)</f>
        <v>200833.1</v>
      </c>
      <c r="G655" s="4" t="s">
        <v>227</v>
      </c>
      <c r="H655" s="4" t="s">
        <v>228</v>
      </c>
      <c r="I655" s="4"/>
      <c r="J655" s="4"/>
      <c r="K655" s="4">
        <v>212</v>
      </c>
      <c r="L655" s="4">
        <v>28</v>
      </c>
      <c r="M655" s="4">
        <v>0</v>
      </c>
      <c r="N655" s="4" t="s">
        <v>3</v>
      </c>
      <c r="O655" s="4">
        <v>2</v>
      </c>
      <c r="P655" s="4"/>
      <c r="Q655" s="4"/>
      <c r="R655" s="4"/>
      <c r="S655" s="4"/>
      <c r="T655" s="4"/>
      <c r="U655" s="4"/>
      <c r="V655" s="4"/>
      <c r="W655" s="4"/>
    </row>
    <row r="656" spans="1:23" x14ac:dyDescent="0.2">
      <c r="A656" s="4">
        <v>50</v>
      </c>
      <c r="B656" s="4">
        <v>1</v>
      </c>
      <c r="C656" s="4">
        <v>0</v>
      </c>
      <c r="D656" s="4">
        <v>2</v>
      </c>
      <c r="E656" s="4">
        <v>213</v>
      </c>
      <c r="F656" s="4">
        <f>ROUND(F654+F655,O656)</f>
        <v>1204998.5900000001</v>
      </c>
      <c r="G656" s="4" t="s">
        <v>229</v>
      </c>
      <c r="H656" s="4" t="s">
        <v>230</v>
      </c>
      <c r="I656" s="4"/>
      <c r="J656" s="4"/>
      <c r="K656" s="4">
        <v>212</v>
      </c>
      <c r="L656" s="4">
        <v>29</v>
      </c>
      <c r="M656" s="4">
        <v>0</v>
      </c>
      <c r="N656" s="4" t="s">
        <v>3</v>
      </c>
      <c r="O656" s="4">
        <v>2</v>
      </c>
      <c r="P656" s="4"/>
      <c r="Q656" s="4"/>
      <c r="R656" s="4"/>
      <c r="S656" s="4"/>
      <c r="T656" s="4"/>
      <c r="U656" s="4"/>
      <c r="V656" s="4"/>
      <c r="W656" s="4"/>
    </row>
    <row r="658" spans="1:206" x14ac:dyDescent="0.2">
      <c r="A658" s="1">
        <v>4</v>
      </c>
      <c r="B658" s="1">
        <v>1</v>
      </c>
      <c r="C658" s="1"/>
      <c r="D658" s="1">
        <f>ROW(A813)</f>
        <v>813</v>
      </c>
      <c r="E658" s="1"/>
      <c r="F658" s="1" t="s">
        <v>15</v>
      </c>
      <c r="G658" s="1" t="s">
        <v>303</v>
      </c>
      <c r="H658" s="1" t="s">
        <v>3</v>
      </c>
      <c r="I658" s="1">
        <v>0</v>
      </c>
      <c r="J658" s="1"/>
      <c r="K658" s="1">
        <v>0</v>
      </c>
      <c r="L658" s="1"/>
      <c r="M658" s="1"/>
      <c r="N658" s="1"/>
      <c r="O658" s="1"/>
      <c r="P658" s="1"/>
      <c r="Q658" s="1"/>
      <c r="R658" s="1"/>
      <c r="S658" s="1"/>
      <c r="T658" s="1"/>
      <c r="U658" s="1" t="s">
        <v>3</v>
      </c>
      <c r="V658" s="1">
        <v>0</v>
      </c>
      <c r="W658" s="1"/>
      <c r="X658" s="1"/>
      <c r="Y658" s="1"/>
      <c r="Z658" s="1"/>
      <c r="AA658" s="1"/>
      <c r="AB658" s="1" t="s">
        <v>3</v>
      </c>
      <c r="AC658" s="1" t="s">
        <v>3</v>
      </c>
      <c r="AD658" s="1" t="s">
        <v>3</v>
      </c>
      <c r="AE658" s="1" t="s">
        <v>3</v>
      </c>
      <c r="AF658" s="1" t="s">
        <v>3</v>
      </c>
      <c r="AG658" s="1" t="s">
        <v>3</v>
      </c>
      <c r="AH658" s="1"/>
      <c r="AI658" s="1"/>
      <c r="AJ658" s="1"/>
      <c r="AK658" s="1"/>
      <c r="AL658" s="1"/>
      <c r="AM658" s="1"/>
      <c r="AN658" s="1"/>
      <c r="AO658" s="1"/>
      <c r="AP658" s="1" t="s">
        <v>3</v>
      </c>
      <c r="AQ658" s="1" t="s">
        <v>3</v>
      </c>
      <c r="AR658" s="1" t="s">
        <v>3</v>
      </c>
      <c r="AS658" s="1"/>
      <c r="AT658" s="1"/>
      <c r="AU658" s="1"/>
      <c r="AV658" s="1"/>
      <c r="AW658" s="1"/>
      <c r="AX658" s="1"/>
      <c r="AY658" s="1"/>
      <c r="AZ658" s="1" t="s">
        <v>3</v>
      </c>
      <c r="BA658" s="1"/>
      <c r="BB658" s="1" t="s">
        <v>3</v>
      </c>
      <c r="BC658" s="1" t="s">
        <v>3</v>
      </c>
      <c r="BD658" s="1" t="s">
        <v>3</v>
      </c>
      <c r="BE658" s="1" t="s">
        <v>3</v>
      </c>
      <c r="BF658" s="1" t="s">
        <v>3</v>
      </c>
      <c r="BG658" s="1" t="s">
        <v>3</v>
      </c>
      <c r="BH658" s="1" t="s">
        <v>3</v>
      </c>
      <c r="BI658" s="1" t="s">
        <v>3</v>
      </c>
      <c r="BJ658" s="1" t="s">
        <v>3</v>
      </c>
      <c r="BK658" s="1" t="s">
        <v>3</v>
      </c>
      <c r="BL658" s="1" t="s">
        <v>3</v>
      </c>
      <c r="BM658" s="1" t="s">
        <v>3</v>
      </c>
      <c r="BN658" s="1" t="s">
        <v>3</v>
      </c>
      <c r="BO658" s="1" t="s">
        <v>3</v>
      </c>
      <c r="BP658" s="1" t="s">
        <v>3</v>
      </c>
      <c r="BQ658" s="1"/>
      <c r="BR658" s="1"/>
      <c r="BS658" s="1"/>
      <c r="BT658" s="1"/>
      <c r="BU658" s="1"/>
      <c r="BV658" s="1"/>
      <c r="BW658" s="1"/>
      <c r="BX658" s="1">
        <v>0</v>
      </c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>
        <v>0</v>
      </c>
    </row>
    <row r="660" spans="1:206" x14ac:dyDescent="0.2">
      <c r="A660" s="2">
        <v>52</v>
      </c>
      <c r="B660" s="2">
        <f t="shared" ref="B660:G660" si="501">B813</f>
        <v>1</v>
      </c>
      <c r="C660" s="2">
        <f t="shared" si="501"/>
        <v>4</v>
      </c>
      <c r="D660" s="2">
        <f t="shared" si="501"/>
        <v>658</v>
      </c>
      <c r="E660" s="2">
        <f t="shared" si="501"/>
        <v>0</v>
      </c>
      <c r="F660" s="2" t="str">
        <f t="shared" si="501"/>
        <v>Новый раздел</v>
      </c>
      <c r="G660" s="2" t="str">
        <f t="shared" si="501"/>
        <v>ПК № 67 - 299,5 кв.м (кв. 18, выд. 32)</v>
      </c>
      <c r="H660" s="2"/>
      <c r="I660" s="2"/>
      <c r="J660" s="2"/>
      <c r="K660" s="2"/>
      <c r="L660" s="2"/>
      <c r="M660" s="2"/>
      <c r="N660" s="2"/>
      <c r="O660" s="2">
        <f t="shared" ref="O660:AT660" si="502">O813</f>
        <v>41703.15</v>
      </c>
      <c r="P660" s="2">
        <f t="shared" si="502"/>
        <v>23038.52</v>
      </c>
      <c r="Q660" s="2">
        <f t="shared" si="502"/>
        <v>15890.47</v>
      </c>
      <c r="R660" s="2">
        <f t="shared" si="502"/>
        <v>8867.35</v>
      </c>
      <c r="S660" s="2">
        <f t="shared" si="502"/>
        <v>2774.16</v>
      </c>
      <c r="T660" s="2">
        <f t="shared" si="502"/>
        <v>0</v>
      </c>
      <c r="U660" s="2">
        <f t="shared" si="502"/>
        <v>17.084484500000002</v>
      </c>
      <c r="V660" s="2">
        <f t="shared" si="502"/>
        <v>0</v>
      </c>
      <c r="W660" s="2">
        <f t="shared" si="502"/>
        <v>0</v>
      </c>
      <c r="X660" s="2">
        <f t="shared" si="502"/>
        <v>1941.91</v>
      </c>
      <c r="Y660" s="2">
        <f t="shared" si="502"/>
        <v>277.42</v>
      </c>
      <c r="Z660" s="2">
        <f t="shared" si="502"/>
        <v>0</v>
      </c>
      <c r="AA660" s="2">
        <f t="shared" si="502"/>
        <v>0</v>
      </c>
      <c r="AB660" s="2">
        <f t="shared" si="502"/>
        <v>0</v>
      </c>
      <c r="AC660" s="2">
        <f t="shared" si="502"/>
        <v>0</v>
      </c>
      <c r="AD660" s="2">
        <f t="shared" si="502"/>
        <v>0</v>
      </c>
      <c r="AE660" s="2">
        <f t="shared" si="502"/>
        <v>0</v>
      </c>
      <c r="AF660" s="2">
        <f t="shared" si="502"/>
        <v>0</v>
      </c>
      <c r="AG660" s="2">
        <f t="shared" si="502"/>
        <v>0</v>
      </c>
      <c r="AH660" s="2">
        <f t="shared" si="502"/>
        <v>0</v>
      </c>
      <c r="AI660" s="2">
        <f t="shared" si="502"/>
        <v>0</v>
      </c>
      <c r="AJ660" s="2">
        <f t="shared" si="502"/>
        <v>0</v>
      </c>
      <c r="AK660" s="2">
        <f t="shared" si="502"/>
        <v>0</v>
      </c>
      <c r="AL660" s="2">
        <f t="shared" si="502"/>
        <v>0</v>
      </c>
      <c r="AM660" s="2">
        <f t="shared" si="502"/>
        <v>0</v>
      </c>
      <c r="AN660" s="2">
        <f t="shared" si="502"/>
        <v>0</v>
      </c>
      <c r="AO660" s="2">
        <f t="shared" si="502"/>
        <v>0</v>
      </c>
      <c r="AP660" s="2">
        <f t="shared" si="502"/>
        <v>0</v>
      </c>
      <c r="AQ660" s="2">
        <f t="shared" si="502"/>
        <v>0</v>
      </c>
      <c r="AR660" s="2">
        <f t="shared" si="502"/>
        <v>46998.55</v>
      </c>
      <c r="AS660" s="2">
        <f t="shared" si="502"/>
        <v>0</v>
      </c>
      <c r="AT660" s="2">
        <f t="shared" si="502"/>
        <v>0</v>
      </c>
      <c r="AU660" s="2">
        <f t="shared" ref="AU660:BZ660" si="503">AU813</f>
        <v>46998.55</v>
      </c>
      <c r="AV660" s="2">
        <f t="shared" si="503"/>
        <v>23038.52</v>
      </c>
      <c r="AW660" s="2">
        <f t="shared" si="503"/>
        <v>23038.52</v>
      </c>
      <c r="AX660" s="2">
        <f t="shared" si="503"/>
        <v>0</v>
      </c>
      <c r="AY660" s="2">
        <f t="shared" si="503"/>
        <v>23038.52</v>
      </c>
      <c r="AZ660" s="2">
        <f t="shared" si="503"/>
        <v>0</v>
      </c>
      <c r="BA660" s="2">
        <f t="shared" si="503"/>
        <v>0</v>
      </c>
      <c r="BB660" s="2">
        <f t="shared" si="503"/>
        <v>0</v>
      </c>
      <c r="BC660" s="2">
        <f t="shared" si="503"/>
        <v>0</v>
      </c>
      <c r="BD660" s="2">
        <f t="shared" si="503"/>
        <v>0</v>
      </c>
      <c r="BE660" s="2">
        <f t="shared" si="503"/>
        <v>0</v>
      </c>
      <c r="BF660" s="2">
        <f t="shared" si="503"/>
        <v>0</v>
      </c>
      <c r="BG660" s="2">
        <f t="shared" si="503"/>
        <v>0</v>
      </c>
      <c r="BH660" s="2">
        <f t="shared" si="503"/>
        <v>0</v>
      </c>
      <c r="BI660" s="2">
        <f t="shared" si="503"/>
        <v>0</v>
      </c>
      <c r="BJ660" s="2">
        <f t="shared" si="503"/>
        <v>0</v>
      </c>
      <c r="BK660" s="2">
        <f t="shared" si="503"/>
        <v>0</v>
      </c>
      <c r="BL660" s="2">
        <f t="shared" si="503"/>
        <v>0</v>
      </c>
      <c r="BM660" s="2">
        <f t="shared" si="503"/>
        <v>0</v>
      </c>
      <c r="BN660" s="2">
        <f t="shared" si="503"/>
        <v>0</v>
      </c>
      <c r="BO660" s="2">
        <f t="shared" si="503"/>
        <v>0</v>
      </c>
      <c r="BP660" s="2">
        <f t="shared" si="503"/>
        <v>0</v>
      </c>
      <c r="BQ660" s="2">
        <f t="shared" si="503"/>
        <v>0</v>
      </c>
      <c r="BR660" s="2">
        <f t="shared" si="503"/>
        <v>0</v>
      </c>
      <c r="BS660" s="2">
        <f t="shared" si="503"/>
        <v>0</v>
      </c>
      <c r="BT660" s="2">
        <f t="shared" si="503"/>
        <v>0</v>
      </c>
      <c r="BU660" s="2">
        <f t="shared" si="503"/>
        <v>0</v>
      </c>
      <c r="BV660" s="2">
        <f t="shared" si="503"/>
        <v>0</v>
      </c>
      <c r="BW660" s="2">
        <f t="shared" si="503"/>
        <v>0</v>
      </c>
      <c r="BX660" s="2">
        <f t="shared" si="503"/>
        <v>0</v>
      </c>
      <c r="BY660" s="2">
        <f t="shared" si="503"/>
        <v>0</v>
      </c>
      <c r="BZ660" s="2">
        <f t="shared" si="503"/>
        <v>0</v>
      </c>
      <c r="CA660" s="2">
        <f t="shared" ref="CA660:DF660" si="504">CA813</f>
        <v>0</v>
      </c>
      <c r="CB660" s="2">
        <f t="shared" si="504"/>
        <v>0</v>
      </c>
      <c r="CC660" s="2">
        <f t="shared" si="504"/>
        <v>0</v>
      </c>
      <c r="CD660" s="2">
        <f t="shared" si="504"/>
        <v>0</v>
      </c>
      <c r="CE660" s="2">
        <f t="shared" si="504"/>
        <v>0</v>
      </c>
      <c r="CF660" s="2">
        <f t="shared" si="504"/>
        <v>0</v>
      </c>
      <c r="CG660" s="2">
        <f t="shared" si="504"/>
        <v>0</v>
      </c>
      <c r="CH660" s="2">
        <f t="shared" si="504"/>
        <v>0</v>
      </c>
      <c r="CI660" s="2">
        <f t="shared" si="504"/>
        <v>0</v>
      </c>
      <c r="CJ660" s="2">
        <f t="shared" si="504"/>
        <v>0</v>
      </c>
      <c r="CK660" s="2">
        <f t="shared" si="504"/>
        <v>0</v>
      </c>
      <c r="CL660" s="2">
        <f t="shared" si="504"/>
        <v>0</v>
      </c>
      <c r="CM660" s="2">
        <f t="shared" si="504"/>
        <v>0</v>
      </c>
      <c r="CN660" s="2">
        <f t="shared" si="504"/>
        <v>0</v>
      </c>
      <c r="CO660" s="2">
        <f t="shared" si="504"/>
        <v>0</v>
      </c>
      <c r="CP660" s="2">
        <f t="shared" si="504"/>
        <v>0</v>
      </c>
      <c r="CQ660" s="2">
        <f t="shared" si="504"/>
        <v>0</v>
      </c>
      <c r="CR660" s="2">
        <f t="shared" si="504"/>
        <v>0</v>
      </c>
      <c r="CS660" s="2">
        <f t="shared" si="504"/>
        <v>0</v>
      </c>
      <c r="CT660" s="2">
        <f t="shared" si="504"/>
        <v>0</v>
      </c>
      <c r="CU660" s="2">
        <f t="shared" si="504"/>
        <v>0</v>
      </c>
      <c r="CV660" s="2">
        <f t="shared" si="504"/>
        <v>0</v>
      </c>
      <c r="CW660" s="2">
        <f t="shared" si="504"/>
        <v>0</v>
      </c>
      <c r="CX660" s="2">
        <f t="shared" si="504"/>
        <v>0</v>
      </c>
      <c r="CY660" s="2">
        <f t="shared" si="504"/>
        <v>0</v>
      </c>
      <c r="CZ660" s="2">
        <f t="shared" si="504"/>
        <v>0</v>
      </c>
      <c r="DA660" s="2">
        <f t="shared" si="504"/>
        <v>0</v>
      </c>
      <c r="DB660" s="2">
        <f t="shared" si="504"/>
        <v>0</v>
      </c>
      <c r="DC660" s="2">
        <f t="shared" si="504"/>
        <v>0</v>
      </c>
      <c r="DD660" s="2">
        <f t="shared" si="504"/>
        <v>0</v>
      </c>
      <c r="DE660" s="2">
        <f t="shared" si="504"/>
        <v>0</v>
      </c>
      <c r="DF660" s="2">
        <f t="shared" si="504"/>
        <v>0</v>
      </c>
      <c r="DG660" s="3">
        <f t="shared" ref="DG660:EL660" si="505">DG813</f>
        <v>0</v>
      </c>
      <c r="DH660" s="3">
        <f t="shared" si="505"/>
        <v>0</v>
      </c>
      <c r="DI660" s="3">
        <f t="shared" si="505"/>
        <v>0</v>
      </c>
      <c r="DJ660" s="3">
        <f t="shared" si="505"/>
        <v>0</v>
      </c>
      <c r="DK660" s="3">
        <f t="shared" si="505"/>
        <v>0</v>
      </c>
      <c r="DL660" s="3">
        <f t="shared" si="505"/>
        <v>0</v>
      </c>
      <c r="DM660" s="3">
        <f t="shared" si="505"/>
        <v>0</v>
      </c>
      <c r="DN660" s="3">
        <f t="shared" si="505"/>
        <v>0</v>
      </c>
      <c r="DO660" s="3">
        <f t="shared" si="505"/>
        <v>0</v>
      </c>
      <c r="DP660" s="3">
        <f t="shared" si="505"/>
        <v>0</v>
      </c>
      <c r="DQ660" s="3">
        <f t="shared" si="505"/>
        <v>0</v>
      </c>
      <c r="DR660" s="3">
        <f t="shared" si="505"/>
        <v>0</v>
      </c>
      <c r="DS660" s="3">
        <f t="shared" si="505"/>
        <v>0</v>
      </c>
      <c r="DT660" s="3">
        <f t="shared" si="505"/>
        <v>0</v>
      </c>
      <c r="DU660" s="3">
        <f t="shared" si="505"/>
        <v>0</v>
      </c>
      <c r="DV660" s="3">
        <f t="shared" si="505"/>
        <v>0</v>
      </c>
      <c r="DW660" s="3">
        <f t="shared" si="505"/>
        <v>0</v>
      </c>
      <c r="DX660" s="3">
        <f t="shared" si="505"/>
        <v>0</v>
      </c>
      <c r="DY660" s="3">
        <f t="shared" si="505"/>
        <v>0</v>
      </c>
      <c r="DZ660" s="3">
        <f t="shared" si="505"/>
        <v>0</v>
      </c>
      <c r="EA660" s="3">
        <f t="shared" si="505"/>
        <v>0</v>
      </c>
      <c r="EB660" s="3">
        <f t="shared" si="505"/>
        <v>0</v>
      </c>
      <c r="EC660" s="3">
        <f t="shared" si="505"/>
        <v>0</v>
      </c>
      <c r="ED660" s="3">
        <f t="shared" si="505"/>
        <v>0</v>
      </c>
      <c r="EE660" s="3">
        <f t="shared" si="505"/>
        <v>0</v>
      </c>
      <c r="EF660" s="3">
        <f t="shared" si="505"/>
        <v>0</v>
      </c>
      <c r="EG660" s="3">
        <f t="shared" si="505"/>
        <v>0</v>
      </c>
      <c r="EH660" s="3">
        <f t="shared" si="505"/>
        <v>0</v>
      </c>
      <c r="EI660" s="3">
        <f t="shared" si="505"/>
        <v>0</v>
      </c>
      <c r="EJ660" s="3">
        <f t="shared" si="505"/>
        <v>0</v>
      </c>
      <c r="EK660" s="3">
        <f t="shared" si="505"/>
        <v>0</v>
      </c>
      <c r="EL660" s="3">
        <f t="shared" si="505"/>
        <v>0</v>
      </c>
      <c r="EM660" s="3">
        <f t="shared" ref="EM660:FR660" si="506">EM813</f>
        <v>0</v>
      </c>
      <c r="EN660" s="3">
        <f t="shared" si="506"/>
        <v>0</v>
      </c>
      <c r="EO660" s="3">
        <f t="shared" si="506"/>
        <v>0</v>
      </c>
      <c r="EP660" s="3">
        <f t="shared" si="506"/>
        <v>0</v>
      </c>
      <c r="EQ660" s="3">
        <f t="shared" si="506"/>
        <v>0</v>
      </c>
      <c r="ER660" s="3">
        <f t="shared" si="506"/>
        <v>0</v>
      </c>
      <c r="ES660" s="3">
        <f t="shared" si="506"/>
        <v>0</v>
      </c>
      <c r="ET660" s="3">
        <f t="shared" si="506"/>
        <v>0</v>
      </c>
      <c r="EU660" s="3">
        <f t="shared" si="506"/>
        <v>0</v>
      </c>
      <c r="EV660" s="3">
        <f t="shared" si="506"/>
        <v>0</v>
      </c>
      <c r="EW660" s="3">
        <f t="shared" si="506"/>
        <v>0</v>
      </c>
      <c r="EX660" s="3">
        <f t="shared" si="506"/>
        <v>0</v>
      </c>
      <c r="EY660" s="3">
        <f t="shared" si="506"/>
        <v>0</v>
      </c>
      <c r="EZ660" s="3">
        <f t="shared" si="506"/>
        <v>0</v>
      </c>
      <c r="FA660" s="3">
        <f t="shared" si="506"/>
        <v>0</v>
      </c>
      <c r="FB660" s="3">
        <f t="shared" si="506"/>
        <v>0</v>
      </c>
      <c r="FC660" s="3">
        <f t="shared" si="506"/>
        <v>0</v>
      </c>
      <c r="FD660" s="3">
        <f t="shared" si="506"/>
        <v>0</v>
      </c>
      <c r="FE660" s="3">
        <f t="shared" si="506"/>
        <v>0</v>
      </c>
      <c r="FF660" s="3">
        <f t="shared" si="506"/>
        <v>0</v>
      </c>
      <c r="FG660" s="3">
        <f t="shared" si="506"/>
        <v>0</v>
      </c>
      <c r="FH660" s="3">
        <f t="shared" si="506"/>
        <v>0</v>
      </c>
      <c r="FI660" s="3">
        <f t="shared" si="506"/>
        <v>0</v>
      </c>
      <c r="FJ660" s="3">
        <f t="shared" si="506"/>
        <v>0</v>
      </c>
      <c r="FK660" s="3">
        <f t="shared" si="506"/>
        <v>0</v>
      </c>
      <c r="FL660" s="3">
        <f t="shared" si="506"/>
        <v>0</v>
      </c>
      <c r="FM660" s="3">
        <f t="shared" si="506"/>
        <v>0</v>
      </c>
      <c r="FN660" s="3">
        <f t="shared" si="506"/>
        <v>0</v>
      </c>
      <c r="FO660" s="3">
        <f t="shared" si="506"/>
        <v>0</v>
      </c>
      <c r="FP660" s="3">
        <f t="shared" si="506"/>
        <v>0</v>
      </c>
      <c r="FQ660" s="3">
        <f t="shared" si="506"/>
        <v>0</v>
      </c>
      <c r="FR660" s="3">
        <f t="shared" si="506"/>
        <v>0</v>
      </c>
      <c r="FS660" s="3">
        <f t="shared" ref="FS660:GX660" si="507">FS813</f>
        <v>0</v>
      </c>
      <c r="FT660" s="3">
        <f t="shared" si="507"/>
        <v>0</v>
      </c>
      <c r="FU660" s="3">
        <f t="shared" si="507"/>
        <v>0</v>
      </c>
      <c r="FV660" s="3">
        <f t="shared" si="507"/>
        <v>0</v>
      </c>
      <c r="FW660" s="3">
        <f t="shared" si="507"/>
        <v>0</v>
      </c>
      <c r="FX660" s="3">
        <f t="shared" si="507"/>
        <v>0</v>
      </c>
      <c r="FY660" s="3">
        <f t="shared" si="507"/>
        <v>0</v>
      </c>
      <c r="FZ660" s="3">
        <f t="shared" si="507"/>
        <v>0</v>
      </c>
      <c r="GA660" s="3">
        <f t="shared" si="507"/>
        <v>0</v>
      </c>
      <c r="GB660" s="3">
        <f t="shared" si="507"/>
        <v>0</v>
      </c>
      <c r="GC660" s="3">
        <f t="shared" si="507"/>
        <v>0</v>
      </c>
      <c r="GD660" s="3">
        <f t="shared" si="507"/>
        <v>0</v>
      </c>
      <c r="GE660" s="3">
        <f t="shared" si="507"/>
        <v>0</v>
      </c>
      <c r="GF660" s="3">
        <f t="shared" si="507"/>
        <v>0</v>
      </c>
      <c r="GG660" s="3">
        <f t="shared" si="507"/>
        <v>0</v>
      </c>
      <c r="GH660" s="3">
        <f t="shared" si="507"/>
        <v>0</v>
      </c>
      <c r="GI660" s="3">
        <f t="shared" si="507"/>
        <v>0</v>
      </c>
      <c r="GJ660" s="3">
        <f t="shared" si="507"/>
        <v>0</v>
      </c>
      <c r="GK660" s="3">
        <f t="shared" si="507"/>
        <v>0</v>
      </c>
      <c r="GL660" s="3">
        <f t="shared" si="507"/>
        <v>0</v>
      </c>
      <c r="GM660" s="3">
        <f t="shared" si="507"/>
        <v>0</v>
      </c>
      <c r="GN660" s="3">
        <f t="shared" si="507"/>
        <v>0</v>
      </c>
      <c r="GO660" s="3">
        <f t="shared" si="507"/>
        <v>0</v>
      </c>
      <c r="GP660" s="3">
        <f t="shared" si="507"/>
        <v>0</v>
      </c>
      <c r="GQ660" s="3">
        <f t="shared" si="507"/>
        <v>0</v>
      </c>
      <c r="GR660" s="3">
        <f t="shared" si="507"/>
        <v>0</v>
      </c>
      <c r="GS660" s="3">
        <f t="shared" si="507"/>
        <v>0</v>
      </c>
      <c r="GT660" s="3">
        <f t="shared" si="507"/>
        <v>0</v>
      </c>
      <c r="GU660" s="3">
        <f t="shared" si="507"/>
        <v>0</v>
      </c>
      <c r="GV660" s="3">
        <f t="shared" si="507"/>
        <v>0</v>
      </c>
      <c r="GW660" s="3">
        <f t="shared" si="507"/>
        <v>0</v>
      </c>
      <c r="GX660" s="3">
        <f t="shared" si="507"/>
        <v>0</v>
      </c>
    </row>
    <row r="662" spans="1:206" x14ac:dyDescent="0.2">
      <c r="A662" s="1">
        <v>5</v>
      </c>
      <c r="B662" s="1">
        <v>1</v>
      </c>
      <c r="C662" s="1"/>
      <c r="D662" s="1">
        <f>ROW(A666)</f>
        <v>666</v>
      </c>
      <c r="E662" s="1"/>
      <c r="F662" s="1" t="s">
        <v>17</v>
      </c>
      <c r="G662" s="1" t="s">
        <v>18</v>
      </c>
      <c r="H662" s="1" t="s">
        <v>3</v>
      </c>
      <c r="I662" s="1">
        <v>0</v>
      </c>
      <c r="J662" s="1"/>
      <c r="K662" s="1">
        <v>0</v>
      </c>
      <c r="L662" s="1"/>
      <c r="M662" s="1"/>
      <c r="N662" s="1"/>
      <c r="O662" s="1"/>
      <c r="P662" s="1"/>
      <c r="Q662" s="1"/>
      <c r="R662" s="1"/>
      <c r="S662" s="1"/>
      <c r="T662" s="1"/>
      <c r="U662" s="1" t="s">
        <v>3</v>
      </c>
      <c r="V662" s="1">
        <v>0</v>
      </c>
      <c r="W662" s="1"/>
      <c r="X662" s="1"/>
      <c r="Y662" s="1"/>
      <c r="Z662" s="1"/>
      <c r="AA662" s="1"/>
      <c r="AB662" s="1" t="s">
        <v>3</v>
      </c>
      <c r="AC662" s="1" t="s">
        <v>3</v>
      </c>
      <c r="AD662" s="1" t="s">
        <v>3</v>
      </c>
      <c r="AE662" s="1" t="s">
        <v>3</v>
      </c>
      <c r="AF662" s="1" t="s">
        <v>3</v>
      </c>
      <c r="AG662" s="1" t="s">
        <v>3</v>
      </c>
      <c r="AH662" s="1"/>
      <c r="AI662" s="1"/>
      <c r="AJ662" s="1"/>
      <c r="AK662" s="1"/>
      <c r="AL662" s="1"/>
      <c r="AM662" s="1"/>
      <c r="AN662" s="1"/>
      <c r="AO662" s="1"/>
      <c r="AP662" s="1" t="s">
        <v>3</v>
      </c>
      <c r="AQ662" s="1" t="s">
        <v>3</v>
      </c>
      <c r="AR662" s="1" t="s">
        <v>3</v>
      </c>
      <c r="AS662" s="1"/>
      <c r="AT662" s="1"/>
      <c r="AU662" s="1"/>
      <c r="AV662" s="1"/>
      <c r="AW662" s="1"/>
      <c r="AX662" s="1"/>
      <c r="AY662" s="1"/>
      <c r="AZ662" s="1" t="s">
        <v>3</v>
      </c>
      <c r="BA662" s="1"/>
      <c r="BB662" s="1" t="s">
        <v>3</v>
      </c>
      <c r="BC662" s="1" t="s">
        <v>3</v>
      </c>
      <c r="BD662" s="1" t="s">
        <v>3</v>
      </c>
      <c r="BE662" s="1" t="s">
        <v>3</v>
      </c>
      <c r="BF662" s="1" t="s">
        <v>3</v>
      </c>
      <c r="BG662" s="1" t="s">
        <v>3</v>
      </c>
      <c r="BH662" s="1" t="s">
        <v>3</v>
      </c>
      <c r="BI662" s="1" t="s">
        <v>3</v>
      </c>
      <c r="BJ662" s="1" t="s">
        <v>3</v>
      </c>
      <c r="BK662" s="1" t="s">
        <v>3</v>
      </c>
      <c r="BL662" s="1" t="s">
        <v>3</v>
      </c>
      <c r="BM662" s="1" t="s">
        <v>3</v>
      </c>
      <c r="BN662" s="1" t="s">
        <v>3</v>
      </c>
      <c r="BO662" s="1" t="s">
        <v>3</v>
      </c>
      <c r="BP662" s="1" t="s">
        <v>3</v>
      </c>
      <c r="BQ662" s="1"/>
      <c r="BR662" s="1"/>
      <c r="BS662" s="1"/>
      <c r="BT662" s="1"/>
      <c r="BU662" s="1"/>
      <c r="BV662" s="1"/>
      <c r="BW662" s="1"/>
      <c r="BX662" s="1">
        <v>0</v>
      </c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>
        <v>0</v>
      </c>
    </row>
    <row r="664" spans="1:206" x14ac:dyDescent="0.2">
      <c r="A664" s="2">
        <v>52</v>
      </c>
      <c r="B664" s="2">
        <f t="shared" ref="B664:G664" si="508">B666</f>
        <v>1</v>
      </c>
      <c r="C664" s="2">
        <f t="shared" si="508"/>
        <v>5</v>
      </c>
      <c r="D664" s="2">
        <f t="shared" si="508"/>
        <v>662</v>
      </c>
      <c r="E664" s="2">
        <f t="shared" si="508"/>
        <v>0</v>
      </c>
      <c r="F664" s="2" t="str">
        <f t="shared" si="508"/>
        <v>Новый подраздел</v>
      </c>
      <c r="G664" s="2" t="str">
        <f t="shared" si="508"/>
        <v>Демонтаж</v>
      </c>
      <c r="H664" s="2"/>
      <c r="I664" s="2"/>
      <c r="J664" s="2"/>
      <c r="K664" s="2"/>
      <c r="L664" s="2"/>
      <c r="M664" s="2"/>
      <c r="N664" s="2"/>
      <c r="O664" s="2">
        <f t="shared" ref="O664:AT664" si="509">O666</f>
        <v>0</v>
      </c>
      <c r="P664" s="2">
        <f t="shared" si="509"/>
        <v>0</v>
      </c>
      <c r="Q664" s="2">
        <f t="shared" si="509"/>
        <v>0</v>
      </c>
      <c r="R664" s="2">
        <f t="shared" si="509"/>
        <v>0</v>
      </c>
      <c r="S664" s="2">
        <f t="shared" si="509"/>
        <v>0</v>
      </c>
      <c r="T664" s="2">
        <f t="shared" si="509"/>
        <v>0</v>
      </c>
      <c r="U664" s="2">
        <f t="shared" si="509"/>
        <v>0</v>
      </c>
      <c r="V664" s="2">
        <f t="shared" si="509"/>
        <v>0</v>
      </c>
      <c r="W664" s="2">
        <f t="shared" si="509"/>
        <v>0</v>
      </c>
      <c r="X664" s="2">
        <f t="shared" si="509"/>
        <v>0</v>
      </c>
      <c r="Y664" s="2">
        <f t="shared" si="509"/>
        <v>0</v>
      </c>
      <c r="Z664" s="2">
        <f t="shared" si="509"/>
        <v>0</v>
      </c>
      <c r="AA664" s="2">
        <f t="shared" si="509"/>
        <v>0</v>
      </c>
      <c r="AB664" s="2">
        <f t="shared" si="509"/>
        <v>0</v>
      </c>
      <c r="AC664" s="2">
        <f t="shared" si="509"/>
        <v>0</v>
      </c>
      <c r="AD664" s="2">
        <f t="shared" si="509"/>
        <v>0</v>
      </c>
      <c r="AE664" s="2">
        <f t="shared" si="509"/>
        <v>0</v>
      </c>
      <c r="AF664" s="2">
        <f t="shared" si="509"/>
        <v>0</v>
      </c>
      <c r="AG664" s="2">
        <f t="shared" si="509"/>
        <v>0</v>
      </c>
      <c r="AH664" s="2">
        <f t="shared" si="509"/>
        <v>0</v>
      </c>
      <c r="AI664" s="2">
        <f t="shared" si="509"/>
        <v>0</v>
      </c>
      <c r="AJ664" s="2">
        <f t="shared" si="509"/>
        <v>0</v>
      </c>
      <c r="AK664" s="2">
        <f t="shared" si="509"/>
        <v>0</v>
      </c>
      <c r="AL664" s="2">
        <f t="shared" si="509"/>
        <v>0</v>
      </c>
      <c r="AM664" s="2">
        <f t="shared" si="509"/>
        <v>0</v>
      </c>
      <c r="AN664" s="2">
        <f t="shared" si="509"/>
        <v>0</v>
      </c>
      <c r="AO664" s="2">
        <f t="shared" si="509"/>
        <v>0</v>
      </c>
      <c r="AP664" s="2">
        <f t="shared" si="509"/>
        <v>0</v>
      </c>
      <c r="AQ664" s="2">
        <f t="shared" si="509"/>
        <v>0</v>
      </c>
      <c r="AR664" s="2">
        <f t="shared" si="509"/>
        <v>0</v>
      </c>
      <c r="AS664" s="2">
        <f t="shared" si="509"/>
        <v>0</v>
      </c>
      <c r="AT664" s="2">
        <f t="shared" si="509"/>
        <v>0</v>
      </c>
      <c r="AU664" s="2">
        <f t="shared" ref="AU664:BZ664" si="510">AU666</f>
        <v>0</v>
      </c>
      <c r="AV664" s="2">
        <f t="shared" si="510"/>
        <v>0</v>
      </c>
      <c r="AW664" s="2">
        <f t="shared" si="510"/>
        <v>0</v>
      </c>
      <c r="AX664" s="2">
        <f t="shared" si="510"/>
        <v>0</v>
      </c>
      <c r="AY664" s="2">
        <f t="shared" si="510"/>
        <v>0</v>
      </c>
      <c r="AZ664" s="2">
        <f t="shared" si="510"/>
        <v>0</v>
      </c>
      <c r="BA664" s="2">
        <f t="shared" si="510"/>
        <v>0</v>
      </c>
      <c r="BB664" s="2">
        <f t="shared" si="510"/>
        <v>0</v>
      </c>
      <c r="BC664" s="2">
        <f t="shared" si="510"/>
        <v>0</v>
      </c>
      <c r="BD664" s="2">
        <f t="shared" si="510"/>
        <v>0</v>
      </c>
      <c r="BE664" s="2">
        <f t="shared" si="510"/>
        <v>0</v>
      </c>
      <c r="BF664" s="2">
        <f t="shared" si="510"/>
        <v>0</v>
      </c>
      <c r="BG664" s="2">
        <f t="shared" si="510"/>
        <v>0</v>
      </c>
      <c r="BH664" s="2">
        <f t="shared" si="510"/>
        <v>0</v>
      </c>
      <c r="BI664" s="2">
        <f t="shared" si="510"/>
        <v>0</v>
      </c>
      <c r="BJ664" s="2">
        <f t="shared" si="510"/>
        <v>0</v>
      </c>
      <c r="BK664" s="2">
        <f t="shared" si="510"/>
        <v>0</v>
      </c>
      <c r="BL664" s="2">
        <f t="shared" si="510"/>
        <v>0</v>
      </c>
      <c r="BM664" s="2">
        <f t="shared" si="510"/>
        <v>0</v>
      </c>
      <c r="BN664" s="2">
        <f t="shared" si="510"/>
        <v>0</v>
      </c>
      <c r="BO664" s="2">
        <f t="shared" si="510"/>
        <v>0</v>
      </c>
      <c r="BP664" s="2">
        <f t="shared" si="510"/>
        <v>0</v>
      </c>
      <c r="BQ664" s="2">
        <f t="shared" si="510"/>
        <v>0</v>
      </c>
      <c r="BR664" s="2">
        <f t="shared" si="510"/>
        <v>0</v>
      </c>
      <c r="BS664" s="2">
        <f t="shared" si="510"/>
        <v>0</v>
      </c>
      <c r="BT664" s="2">
        <f t="shared" si="510"/>
        <v>0</v>
      </c>
      <c r="BU664" s="2">
        <f t="shared" si="510"/>
        <v>0</v>
      </c>
      <c r="BV664" s="2">
        <f t="shared" si="510"/>
        <v>0</v>
      </c>
      <c r="BW664" s="2">
        <f t="shared" si="510"/>
        <v>0</v>
      </c>
      <c r="BX664" s="2">
        <f t="shared" si="510"/>
        <v>0</v>
      </c>
      <c r="BY664" s="2">
        <f t="shared" si="510"/>
        <v>0</v>
      </c>
      <c r="BZ664" s="2">
        <f t="shared" si="510"/>
        <v>0</v>
      </c>
      <c r="CA664" s="2">
        <f t="shared" ref="CA664:DF664" si="511">CA666</f>
        <v>0</v>
      </c>
      <c r="CB664" s="2">
        <f t="shared" si="511"/>
        <v>0</v>
      </c>
      <c r="CC664" s="2">
        <f t="shared" si="511"/>
        <v>0</v>
      </c>
      <c r="CD664" s="2">
        <f t="shared" si="511"/>
        <v>0</v>
      </c>
      <c r="CE664" s="2">
        <f t="shared" si="511"/>
        <v>0</v>
      </c>
      <c r="CF664" s="2">
        <f t="shared" si="511"/>
        <v>0</v>
      </c>
      <c r="CG664" s="2">
        <f t="shared" si="511"/>
        <v>0</v>
      </c>
      <c r="CH664" s="2">
        <f t="shared" si="511"/>
        <v>0</v>
      </c>
      <c r="CI664" s="2">
        <f t="shared" si="511"/>
        <v>0</v>
      </c>
      <c r="CJ664" s="2">
        <f t="shared" si="511"/>
        <v>0</v>
      </c>
      <c r="CK664" s="2">
        <f t="shared" si="511"/>
        <v>0</v>
      </c>
      <c r="CL664" s="2">
        <f t="shared" si="511"/>
        <v>0</v>
      </c>
      <c r="CM664" s="2">
        <f t="shared" si="511"/>
        <v>0</v>
      </c>
      <c r="CN664" s="2">
        <f t="shared" si="511"/>
        <v>0</v>
      </c>
      <c r="CO664" s="2">
        <f t="shared" si="511"/>
        <v>0</v>
      </c>
      <c r="CP664" s="2">
        <f t="shared" si="511"/>
        <v>0</v>
      </c>
      <c r="CQ664" s="2">
        <f t="shared" si="511"/>
        <v>0</v>
      </c>
      <c r="CR664" s="2">
        <f t="shared" si="511"/>
        <v>0</v>
      </c>
      <c r="CS664" s="2">
        <f t="shared" si="511"/>
        <v>0</v>
      </c>
      <c r="CT664" s="2">
        <f t="shared" si="511"/>
        <v>0</v>
      </c>
      <c r="CU664" s="2">
        <f t="shared" si="511"/>
        <v>0</v>
      </c>
      <c r="CV664" s="2">
        <f t="shared" si="511"/>
        <v>0</v>
      </c>
      <c r="CW664" s="2">
        <f t="shared" si="511"/>
        <v>0</v>
      </c>
      <c r="CX664" s="2">
        <f t="shared" si="511"/>
        <v>0</v>
      </c>
      <c r="CY664" s="2">
        <f t="shared" si="511"/>
        <v>0</v>
      </c>
      <c r="CZ664" s="2">
        <f t="shared" si="511"/>
        <v>0</v>
      </c>
      <c r="DA664" s="2">
        <f t="shared" si="511"/>
        <v>0</v>
      </c>
      <c r="DB664" s="2">
        <f t="shared" si="511"/>
        <v>0</v>
      </c>
      <c r="DC664" s="2">
        <f t="shared" si="511"/>
        <v>0</v>
      </c>
      <c r="DD664" s="2">
        <f t="shared" si="511"/>
        <v>0</v>
      </c>
      <c r="DE664" s="2">
        <f t="shared" si="511"/>
        <v>0</v>
      </c>
      <c r="DF664" s="2">
        <f t="shared" si="511"/>
        <v>0</v>
      </c>
      <c r="DG664" s="3">
        <f t="shared" ref="DG664:EL664" si="512">DG666</f>
        <v>0</v>
      </c>
      <c r="DH664" s="3">
        <f t="shared" si="512"/>
        <v>0</v>
      </c>
      <c r="DI664" s="3">
        <f t="shared" si="512"/>
        <v>0</v>
      </c>
      <c r="DJ664" s="3">
        <f t="shared" si="512"/>
        <v>0</v>
      </c>
      <c r="DK664" s="3">
        <f t="shared" si="512"/>
        <v>0</v>
      </c>
      <c r="DL664" s="3">
        <f t="shared" si="512"/>
        <v>0</v>
      </c>
      <c r="DM664" s="3">
        <f t="shared" si="512"/>
        <v>0</v>
      </c>
      <c r="DN664" s="3">
        <f t="shared" si="512"/>
        <v>0</v>
      </c>
      <c r="DO664" s="3">
        <f t="shared" si="512"/>
        <v>0</v>
      </c>
      <c r="DP664" s="3">
        <f t="shared" si="512"/>
        <v>0</v>
      </c>
      <c r="DQ664" s="3">
        <f t="shared" si="512"/>
        <v>0</v>
      </c>
      <c r="DR664" s="3">
        <f t="shared" si="512"/>
        <v>0</v>
      </c>
      <c r="DS664" s="3">
        <f t="shared" si="512"/>
        <v>0</v>
      </c>
      <c r="DT664" s="3">
        <f t="shared" si="512"/>
        <v>0</v>
      </c>
      <c r="DU664" s="3">
        <f t="shared" si="512"/>
        <v>0</v>
      </c>
      <c r="DV664" s="3">
        <f t="shared" si="512"/>
        <v>0</v>
      </c>
      <c r="DW664" s="3">
        <f t="shared" si="512"/>
        <v>0</v>
      </c>
      <c r="DX664" s="3">
        <f t="shared" si="512"/>
        <v>0</v>
      </c>
      <c r="DY664" s="3">
        <f t="shared" si="512"/>
        <v>0</v>
      </c>
      <c r="DZ664" s="3">
        <f t="shared" si="512"/>
        <v>0</v>
      </c>
      <c r="EA664" s="3">
        <f t="shared" si="512"/>
        <v>0</v>
      </c>
      <c r="EB664" s="3">
        <f t="shared" si="512"/>
        <v>0</v>
      </c>
      <c r="EC664" s="3">
        <f t="shared" si="512"/>
        <v>0</v>
      </c>
      <c r="ED664" s="3">
        <f t="shared" si="512"/>
        <v>0</v>
      </c>
      <c r="EE664" s="3">
        <f t="shared" si="512"/>
        <v>0</v>
      </c>
      <c r="EF664" s="3">
        <f t="shared" si="512"/>
        <v>0</v>
      </c>
      <c r="EG664" s="3">
        <f t="shared" si="512"/>
        <v>0</v>
      </c>
      <c r="EH664" s="3">
        <f t="shared" si="512"/>
        <v>0</v>
      </c>
      <c r="EI664" s="3">
        <f t="shared" si="512"/>
        <v>0</v>
      </c>
      <c r="EJ664" s="3">
        <f t="shared" si="512"/>
        <v>0</v>
      </c>
      <c r="EK664" s="3">
        <f t="shared" si="512"/>
        <v>0</v>
      </c>
      <c r="EL664" s="3">
        <f t="shared" si="512"/>
        <v>0</v>
      </c>
      <c r="EM664" s="3">
        <f t="shared" ref="EM664:FR664" si="513">EM666</f>
        <v>0</v>
      </c>
      <c r="EN664" s="3">
        <f t="shared" si="513"/>
        <v>0</v>
      </c>
      <c r="EO664" s="3">
        <f t="shared" si="513"/>
        <v>0</v>
      </c>
      <c r="EP664" s="3">
        <f t="shared" si="513"/>
        <v>0</v>
      </c>
      <c r="EQ664" s="3">
        <f t="shared" si="513"/>
        <v>0</v>
      </c>
      <c r="ER664" s="3">
        <f t="shared" si="513"/>
        <v>0</v>
      </c>
      <c r="ES664" s="3">
        <f t="shared" si="513"/>
        <v>0</v>
      </c>
      <c r="ET664" s="3">
        <f t="shared" si="513"/>
        <v>0</v>
      </c>
      <c r="EU664" s="3">
        <f t="shared" si="513"/>
        <v>0</v>
      </c>
      <c r="EV664" s="3">
        <f t="shared" si="513"/>
        <v>0</v>
      </c>
      <c r="EW664" s="3">
        <f t="shared" si="513"/>
        <v>0</v>
      </c>
      <c r="EX664" s="3">
        <f t="shared" si="513"/>
        <v>0</v>
      </c>
      <c r="EY664" s="3">
        <f t="shared" si="513"/>
        <v>0</v>
      </c>
      <c r="EZ664" s="3">
        <f t="shared" si="513"/>
        <v>0</v>
      </c>
      <c r="FA664" s="3">
        <f t="shared" si="513"/>
        <v>0</v>
      </c>
      <c r="FB664" s="3">
        <f t="shared" si="513"/>
        <v>0</v>
      </c>
      <c r="FC664" s="3">
        <f t="shared" si="513"/>
        <v>0</v>
      </c>
      <c r="FD664" s="3">
        <f t="shared" si="513"/>
        <v>0</v>
      </c>
      <c r="FE664" s="3">
        <f t="shared" si="513"/>
        <v>0</v>
      </c>
      <c r="FF664" s="3">
        <f t="shared" si="513"/>
        <v>0</v>
      </c>
      <c r="FG664" s="3">
        <f t="shared" si="513"/>
        <v>0</v>
      </c>
      <c r="FH664" s="3">
        <f t="shared" si="513"/>
        <v>0</v>
      </c>
      <c r="FI664" s="3">
        <f t="shared" si="513"/>
        <v>0</v>
      </c>
      <c r="FJ664" s="3">
        <f t="shared" si="513"/>
        <v>0</v>
      </c>
      <c r="FK664" s="3">
        <f t="shared" si="513"/>
        <v>0</v>
      </c>
      <c r="FL664" s="3">
        <f t="shared" si="513"/>
        <v>0</v>
      </c>
      <c r="FM664" s="3">
        <f t="shared" si="513"/>
        <v>0</v>
      </c>
      <c r="FN664" s="3">
        <f t="shared" si="513"/>
        <v>0</v>
      </c>
      <c r="FO664" s="3">
        <f t="shared" si="513"/>
        <v>0</v>
      </c>
      <c r="FP664" s="3">
        <f t="shared" si="513"/>
        <v>0</v>
      </c>
      <c r="FQ664" s="3">
        <f t="shared" si="513"/>
        <v>0</v>
      </c>
      <c r="FR664" s="3">
        <f t="shared" si="513"/>
        <v>0</v>
      </c>
      <c r="FS664" s="3">
        <f t="shared" ref="FS664:GX664" si="514">FS666</f>
        <v>0</v>
      </c>
      <c r="FT664" s="3">
        <f t="shared" si="514"/>
        <v>0</v>
      </c>
      <c r="FU664" s="3">
        <f t="shared" si="514"/>
        <v>0</v>
      </c>
      <c r="FV664" s="3">
        <f t="shared" si="514"/>
        <v>0</v>
      </c>
      <c r="FW664" s="3">
        <f t="shared" si="514"/>
        <v>0</v>
      </c>
      <c r="FX664" s="3">
        <f t="shared" si="514"/>
        <v>0</v>
      </c>
      <c r="FY664" s="3">
        <f t="shared" si="514"/>
        <v>0</v>
      </c>
      <c r="FZ664" s="3">
        <f t="shared" si="514"/>
        <v>0</v>
      </c>
      <c r="GA664" s="3">
        <f t="shared" si="514"/>
        <v>0</v>
      </c>
      <c r="GB664" s="3">
        <f t="shared" si="514"/>
        <v>0</v>
      </c>
      <c r="GC664" s="3">
        <f t="shared" si="514"/>
        <v>0</v>
      </c>
      <c r="GD664" s="3">
        <f t="shared" si="514"/>
        <v>0</v>
      </c>
      <c r="GE664" s="3">
        <f t="shared" si="514"/>
        <v>0</v>
      </c>
      <c r="GF664" s="3">
        <f t="shared" si="514"/>
        <v>0</v>
      </c>
      <c r="GG664" s="3">
        <f t="shared" si="514"/>
        <v>0</v>
      </c>
      <c r="GH664" s="3">
        <f t="shared" si="514"/>
        <v>0</v>
      </c>
      <c r="GI664" s="3">
        <f t="shared" si="514"/>
        <v>0</v>
      </c>
      <c r="GJ664" s="3">
        <f t="shared" si="514"/>
        <v>0</v>
      </c>
      <c r="GK664" s="3">
        <f t="shared" si="514"/>
        <v>0</v>
      </c>
      <c r="GL664" s="3">
        <f t="shared" si="514"/>
        <v>0</v>
      </c>
      <c r="GM664" s="3">
        <f t="shared" si="514"/>
        <v>0</v>
      </c>
      <c r="GN664" s="3">
        <f t="shared" si="514"/>
        <v>0</v>
      </c>
      <c r="GO664" s="3">
        <f t="shared" si="514"/>
        <v>0</v>
      </c>
      <c r="GP664" s="3">
        <f t="shared" si="514"/>
        <v>0</v>
      </c>
      <c r="GQ664" s="3">
        <f t="shared" si="514"/>
        <v>0</v>
      </c>
      <c r="GR664" s="3">
        <f t="shared" si="514"/>
        <v>0</v>
      </c>
      <c r="GS664" s="3">
        <f t="shared" si="514"/>
        <v>0</v>
      </c>
      <c r="GT664" s="3">
        <f t="shared" si="514"/>
        <v>0</v>
      </c>
      <c r="GU664" s="3">
        <f t="shared" si="514"/>
        <v>0</v>
      </c>
      <c r="GV664" s="3">
        <f t="shared" si="514"/>
        <v>0</v>
      </c>
      <c r="GW664" s="3">
        <f t="shared" si="514"/>
        <v>0</v>
      </c>
      <c r="GX664" s="3">
        <f t="shared" si="514"/>
        <v>0</v>
      </c>
    </row>
    <row r="666" spans="1:206" x14ac:dyDescent="0.2">
      <c r="A666" s="2">
        <v>51</v>
      </c>
      <c r="B666" s="2">
        <f>B662</f>
        <v>1</v>
      </c>
      <c r="C666" s="2">
        <f>A662</f>
        <v>5</v>
      </c>
      <c r="D666" s="2">
        <f>ROW(A662)</f>
        <v>662</v>
      </c>
      <c r="E666" s="2"/>
      <c r="F666" s="2" t="str">
        <f>IF(F662&lt;&gt;"",F662,"")</f>
        <v>Новый подраздел</v>
      </c>
      <c r="G666" s="2" t="str">
        <f>IF(G662&lt;&gt;"",G662,"")</f>
        <v>Демонтаж</v>
      </c>
      <c r="H666" s="2">
        <v>0</v>
      </c>
      <c r="I666" s="2"/>
      <c r="J666" s="2"/>
      <c r="K666" s="2"/>
      <c r="L666" s="2"/>
      <c r="M666" s="2"/>
      <c r="N666" s="2"/>
      <c r="O666" s="2">
        <f t="shared" ref="O666:T666" si="515">ROUND(AB666,2)</f>
        <v>0</v>
      </c>
      <c r="P666" s="2">
        <f t="shared" si="515"/>
        <v>0</v>
      </c>
      <c r="Q666" s="2">
        <f t="shared" si="515"/>
        <v>0</v>
      </c>
      <c r="R666" s="2">
        <f t="shared" si="515"/>
        <v>0</v>
      </c>
      <c r="S666" s="2">
        <f t="shared" si="515"/>
        <v>0</v>
      </c>
      <c r="T666" s="2">
        <f t="shared" si="515"/>
        <v>0</v>
      </c>
      <c r="U666" s="2">
        <f>AH666</f>
        <v>0</v>
      </c>
      <c r="V666" s="2">
        <f>AI666</f>
        <v>0</v>
      </c>
      <c r="W666" s="2">
        <f>ROUND(AJ666,2)</f>
        <v>0</v>
      </c>
      <c r="X666" s="2">
        <f>ROUND(AK666,2)</f>
        <v>0</v>
      </c>
      <c r="Y666" s="2">
        <f>ROUND(AL666,2)</f>
        <v>0</v>
      </c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>
        <f t="shared" ref="AO666:BD666" si="516">ROUND(BX666,2)</f>
        <v>0</v>
      </c>
      <c r="AP666" s="2">
        <f t="shared" si="516"/>
        <v>0</v>
      </c>
      <c r="AQ666" s="2">
        <f t="shared" si="516"/>
        <v>0</v>
      </c>
      <c r="AR666" s="2">
        <f t="shared" si="516"/>
        <v>0</v>
      </c>
      <c r="AS666" s="2">
        <f t="shared" si="516"/>
        <v>0</v>
      </c>
      <c r="AT666" s="2">
        <f t="shared" si="516"/>
        <v>0</v>
      </c>
      <c r="AU666" s="2">
        <f t="shared" si="516"/>
        <v>0</v>
      </c>
      <c r="AV666" s="2">
        <f t="shared" si="516"/>
        <v>0</v>
      </c>
      <c r="AW666" s="2">
        <f t="shared" si="516"/>
        <v>0</v>
      </c>
      <c r="AX666" s="2">
        <f t="shared" si="516"/>
        <v>0</v>
      </c>
      <c r="AY666" s="2">
        <f t="shared" si="516"/>
        <v>0</v>
      </c>
      <c r="AZ666" s="2">
        <f t="shared" si="516"/>
        <v>0</v>
      </c>
      <c r="BA666" s="2">
        <f t="shared" si="516"/>
        <v>0</v>
      </c>
      <c r="BB666" s="2">
        <f t="shared" si="516"/>
        <v>0</v>
      </c>
      <c r="BC666" s="2">
        <f t="shared" si="516"/>
        <v>0</v>
      </c>
      <c r="BD666" s="2">
        <f t="shared" si="516"/>
        <v>0</v>
      </c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3"/>
      <c r="DH666" s="3"/>
      <c r="DI666" s="3"/>
      <c r="DJ666" s="3"/>
      <c r="DK666" s="3"/>
      <c r="DL666" s="3"/>
      <c r="DM666" s="3"/>
      <c r="DN666" s="3"/>
      <c r="DO666" s="3"/>
      <c r="DP666" s="3"/>
      <c r="DQ666" s="3"/>
      <c r="DR666" s="3"/>
      <c r="DS666" s="3"/>
      <c r="DT666" s="3"/>
      <c r="DU666" s="3"/>
      <c r="DV666" s="3"/>
      <c r="DW666" s="3"/>
      <c r="DX666" s="3"/>
      <c r="DY666" s="3"/>
      <c r="DZ666" s="3"/>
      <c r="EA666" s="3"/>
      <c r="EB666" s="3"/>
      <c r="EC666" s="3"/>
      <c r="ED666" s="3"/>
      <c r="EE666" s="3"/>
      <c r="EF666" s="3"/>
      <c r="EG666" s="3"/>
      <c r="EH666" s="3"/>
      <c r="EI666" s="3"/>
      <c r="EJ666" s="3"/>
      <c r="EK666" s="3"/>
      <c r="EL666" s="3"/>
      <c r="EM666" s="3"/>
      <c r="EN666" s="3"/>
      <c r="EO666" s="3"/>
      <c r="EP666" s="3"/>
      <c r="EQ666" s="3"/>
      <c r="ER666" s="3"/>
      <c r="ES666" s="3"/>
      <c r="ET666" s="3"/>
      <c r="EU666" s="3"/>
      <c r="EV666" s="3"/>
      <c r="EW666" s="3"/>
      <c r="EX666" s="3"/>
      <c r="EY666" s="3"/>
      <c r="EZ666" s="3"/>
      <c r="FA666" s="3"/>
      <c r="FB666" s="3"/>
      <c r="FC666" s="3"/>
      <c r="FD666" s="3"/>
      <c r="FE666" s="3"/>
      <c r="FF666" s="3"/>
      <c r="FG666" s="3"/>
      <c r="FH666" s="3"/>
      <c r="FI666" s="3"/>
      <c r="FJ666" s="3"/>
      <c r="FK666" s="3"/>
      <c r="FL666" s="3"/>
      <c r="FM666" s="3"/>
      <c r="FN666" s="3"/>
      <c r="FO666" s="3"/>
      <c r="FP666" s="3"/>
      <c r="FQ666" s="3"/>
      <c r="FR666" s="3"/>
      <c r="FS666" s="3"/>
      <c r="FT666" s="3"/>
      <c r="FU666" s="3"/>
      <c r="FV666" s="3"/>
      <c r="FW666" s="3"/>
      <c r="FX666" s="3"/>
      <c r="FY666" s="3"/>
      <c r="FZ666" s="3"/>
      <c r="GA666" s="3"/>
      <c r="GB666" s="3"/>
      <c r="GC666" s="3"/>
      <c r="GD666" s="3"/>
      <c r="GE666" s="3"/>
      <c r="GF666" s="3"/>
      <c r="GG666" s="3"/>
      <c r="GH666" s="3"/>
      <c r="GI666" s="3"/>
      <c r="GJ666" s="3"/>
      <c r="GK666" s="3"/>
      <c r="GL666" s="3"/>
      <c r="GM666" s="3"/>
      <c r="GN666" s="3"/>
      <c r="GO666" s="3"/>
      <c r="GP666" s="3"/>
      <c r="GQ666" s="3"/>
      <c r="GR666" s="3"/>
      <c r="GS666" s="3"/>
      <c r="GT666" s="3"/>
      <c r="GU666" s="3"/>
      <c r="GV666" s="3"/>
      <c r="GW666" s="3"/>
      <c r="GX666" s="3">
        <v>0</v>
      </c>
    </row>
    <row r="668" spans="1:206" x14ac:dyDescent="0.2">
      <c r="A668" s="4">
        <v>50</v>
      </c>
      <c r="B668" s="4">
        <v>0</v>
      </c>
      <c r="C668" s="4">
        <v>0</v>
      </c>
      <c r="D668" s="4">
        <v>1</v>
      </c>
      <c r="E668" s="4">
        <v>201</v>
      </c>
      <c r="F668" s="4">
        <f>ROUND(Source!O666,O668)</f>
        <v>0</v>
      </c>
      <c r="G668" s="4" t="s">
        <v>56</v>
      </c>
      <c r="H668" s="4" t="s">
        <v>57</v>
      </c>
      <c r="I668" s="4"/>
      <c r="J668" s="4"/>
      <c r="K668" s="4">
        <v>201</v>
      </c>
      <c r="L668" s="4">
        <v>1</v>
      </c>
      <c r="M668" s="4">
        <v>3</v>
      </c>
      <c r="N668" s="4" t="s">
        <v>3</v>
      </c>
      <c r="O668" s="4">
        <v>2</v>
      </c>
      <c r="P668" s="4"/>
      <c r="Q668" s="4"/>
      <c r="R668" s="4"/>
      <c r="S668" s="4"/>
      <c r="T668" s="4"/>
      <c r="U668" s="4"/>
      <c r="V668" s="4"/>
      <c r="W668" s="4"/>
    </row>
    <row r="669" spans="1:206" x14ac:dyDescent="0.2">
      <c r="A669" s="4">
        <v>50</v>
      </c>
      <c r="B669" s="4">
        <v>0</v>
      </c>
      <c r="C669" s="4">
        <v>0</v>
      </c>
      <c r="D669" s="4">
        <v>1</v>
      </c>
      <c r="E669" s="4">
        <v>202</v>
      </c>
      <c r="F669" s="4">
        <f>ROUND(Source!P666,O669)</f>
        <v>0</v>
      </c>
      <c r="G669" s="4" t="s">
        <v>58</v>
      </c>
      <c r="H669" s="4" t="s">
        <v>59</v>
      </c>
      <c r="I669" s="4"/>
      <c r="J669" s="4"/>
      <c r="K669" s="4">
        <v>202</v>
      </c>
      <c r="L669" s="4">
        <v>2</v>
      </c>
      <c r="M669" s="4">
        <v>3</v>
      </c>
      <c r="N669" s="4" t="s">
        <v>3</v>
      </c>
      <c r="O669" s="4">
        <v>2</v>
      </c>
      <c r="P669" s="4"/>
      <c r="Q669" s="4"/>
      <c r="R669" s="4"/>
      <c r="S669" s="4"/>
      <c r="T669" s="4"/>
      <c r="U669" s="4"/>
      <c r="V669" s="4"/>
      <c r="W669" s="4"/>
    </row>
    <row r="670" spans="1:206" x14ac:dyDescent="0.2">
      <c r="A670" s="4">
        <v>50</v>
      </c>
      <c r="B670" s="4">
        <v>0</v>
      </c>
      <c r="C670" s="4">
        <v>0</v>
      </c>
      <c r="D670" s="4">
        <v>1</v>
      </c>
      <c r="E670" s="4">
        <v>222</v>
      </c>
      <c r="F670" s="4">
        <f>ROUND(Source!AO666,O670)</f>
        <v>0</v>
      </c>
      <c r="G670" s="4" t="s">
        <v>60</v>
      </c>
      <c r="H670" s="4" t="s">
        <v>61</v>
      </c>
      <c r="I670" s="4"/>
      <c r="J670" s="4"/>
      <c r="K670" s="4">
        <v>222</v>
      </c>
      <c r="L670" s="4">
        <v>3</v>
      </c>
      <c r="M670" s="4">
        <v>3</v>
      </c>
      <c r="N670" s="4" t="s">
        <v>3</v>
      </c>
      <c r="O670" s="4">
        <v>2</v>
      </c>
      <c r="P670" s="4"/>
      <c r="Q670" s="4"/>
      <c r="R670" s="4"/>
      <c r="S670" s="4"/>
      <c r="T670" s="4"/>
      <c r="U670" s="4"/>
      <c r="V670" s="4"/>
      <c r="W670" s="4"/>
    </row>
    <row r="671" spans="1:206" x14ac:dyDescent="0.2">
      <c r="A671" s="4">
        <v>50</v>
      </c>
      <c r="B671" s="4">
        <v>0</v>
      </c>
      <c r="C671" s="4">
        <v>0</v>
      </c>
      <c r="D671" s="4">
        <v>1</v>
      </c>
      <c r="E671" s="4">
        <v>225</v>
      </c>
      <c r="F671" s="4">
        <f>ROUND(Source!AV666,O671)</f>
        <v>0</v>
      </c>
      <c r="G671" s="4" t="s">
        <v>62</v>
      </c>
      <c r="H671" s="4" t="s">
        <v>63</v>
      </c>
      <c r="I671" s="4"/>
      <c r="J671" s="4"/>
      <c r="K671" s="4">
        <v>225</v>
      </c>
      <c r="L671" s="4">
        <v>4</v>
      </c>
      <c r="M671" s="4">
        <v>3</v>
      </c>
      <c r="N671" s="4" t="s">
        <v>3</v>
      </c>
      <c r="O671" s="4">
        <v>2</v>
      </c>
      <c r="P671" s="4"/>
      <c r="Q671" s="4"/>
      <c r="R671" s="4"/>
      <c r="S671" s="4"/>
      <c r="T671" s="4"/>
      <c r="U671" s="4"/>
      <c r="V671" s="4"/>
      <c r="W671" s="4"/>
    </row>
    <row r="672" spans="1:206" x14ac:dyDescent="0.2">
      <c r="A672" s="4">
        <v>50</v>
      </c>
      <c r="B672" s="4">
        <v>0</v>
      </c>
      <c r="C672" s="4">
        <v>0</v>
      </c>
      <c r="D672" s="4">
        <v>1</v>
      </c>
      <c r="E672" s="4">
        <v>226</v>
      </c>
      <c r="F672" s="4">
        <f>ROUND(Source!AW666,O672)</f>
        <v>0</v>
      </c>
      <c r="G672" s="4" t="s">
        <v>64</v>
      </c>
      <c r="H672" s="4" t="s">
        <v>65</v>
      </c>
      <c r="I672" s="4"/>
      <c r="J672" s="4"/>
      <c r="K672" s="4">
        <v>226</v>
      </c>
      <c r="L672" s="4">
        <v>5</v>
      </c>
      <c r="M672" s="4">
        <v>3</v>
      </c>
      <c r="N672" s="4" t="s">
        <v>3</v>
      </c>
      <c r="O672" s="4">
        <v>2</v>
      </c>
      <c r="P672" s="4"/>
      <c r="Q672" s="4"/>
      <c r="R672" s="4"/>
      <c r="S672" s="4"/>
      <c r="T672" s="4"/>
      <c r="U672" s="4"/>
      <c r="V672" s="4"/>
      <c r="W672" s="4"/>
    </row>
    <row r="673" spans="1:23" x14ac:dyDescent="0.2">
      <c r="A673" s="4">
        <v>50</v>
      </c>
      <c r="B673" s="4">
        <v>0</v>
      </c>
      <c r="C673" s="4">
        <v>0</v>
      </c>
      <c r="D673" s="4">
        <v>1</v>
      </c>
      <c r="E673" s="4">
        <v>227</v>
      </c>
      <c r="F673" s="4">
        <f>ROUND(Source!AX666,O673)</f>
        <v>0</v>
      </c>
      <c r="G673" s="4" t="s">
        <v>66</v>
      </c>
      <c r="H673" s="4" t="s">
        <v>67</v>
      </c>
      <c r="I673" s="4"/>
      <c r="J673" s="4"/>
      <c r="K673" s="4">
        <v>227</v>
      </c>
      <c r="L673" s="4">
        <v>6</v>
      </c>
      <c r="M673" s="4">
        <v>3</v>
      </c>
      <c r="N673" s="4" t="s">
        <v>3</v>
      </c>
      <c r="O673" s="4">
        <v>2</v>
      </c>
      <c r="P673" s="4"/>
      <c r="Q673" s="4"/>
      <c r="R673" s="4"/>
      <c r="S673" s="4"/>
      <c r="T673" s="4"/>
      <c r="U673" s="4"/>
      <c r="V673" s="4"/>
      <c r="W673" s="4"/>
    </row>
    <row r="674" spans="1:23" x14ac:dyDescent="0.2">
      <c r="A674" s="4">
        <v>50</v>
      </c>
      <c r="B674" s="4">
        <v>0</v>
      </c>
      <c r="C674" s="4">
        <v>0</v>
      </c>
      <c r="D674" s="4">
        <v>1</v>
      </c>
      <c r="E674" s="4">
        <v>228</v>
      </c>
      <c r="F674" s="4">
        <f>ROUND(Source!AY666,O674)</f>
        <v>0</v>
      </c>
      <c r="G674" s="4" t="s">
        <v>68</v>
      </c>
      <c r="H674" s="4" t="s">
        <v>69</v>
      </c>
      <c r="I674" s="4"/>
      <c r="J674" s="4"/>
      <c r="K674" s="4">
        <v>228</v>
      </c>
      <c r="L674" s="4">
        <v>7</v>
      </c>
      <c r="M674" s="4">
        <v>3</v>
      </c>
      <c r="N674" s="4" t="s">
        <v>3</v>
      </c>
      <c r="O674" s="4">
        <v>2</v>
      </c>
      <c r="P674" s="4"/>
      <c r="Q674" s="4"/>
      <c r="R674" s="4"/>
      <c r="S674" s="4"/>
      <c r="T674" s="4"/>
      <c r="U674" s="4"/>
      <c r="V674" s="4"/>
      <c r="W674" s="4"/>
    </row>
    <row r="675" spans="1:23" x14ac:dyDescent="0.2">
      <c r="A675" s="4">
        <v>50</v>
      </c>
      <c r="B675" s="4">
        <v>0</v>
      </c>
      <c r="C675" s="4">
        <v>0</v>
      </c>
      <c r="D675" s="4">
        <v>1</v>
      </c>
      <c r="E675" s="4">
        <v>216</v>
      </c>
      <c r="F675" s="4">
        <f>ROUND(Source!AP666,O675)</f>
        <v>0</v>
      </c>
      <c r="G675" s="4" t="s">
        <v>70</v>
      </c>
      <c r="H675" s="4" t="s">
        <v>71</v>
      </c>
      <c r="I675" s="4"/>
      <c r="J675" s="4"/>
      <c r="K675" s="4">
        <v>216</v>
      </c>
      <c r="L675" s="4">
        <v>8</v>
      </c>
      <c r="M675" s="4">
        <v>3</v>
      </c>
      <c r="N675" s="4" t="s">
        <v>3</v>
      </c>
      <c r="O675" s="4">
        <v>2</v>
      </c>
      <c r="P675" s="4"/>
      <c r="Q675" s="4"/>
      <c r="R675" s="4"/>
      <c r="S675" s="4"/>
      <c r="T675" s="4"/>
      <c r="U675" s="4"/>
      <c r="V675" s="4"/>
      <c r="W675" s="4"/>
    </row>
    <row r="676" spans="1:23" x14ac:dyDescent="0.2">
      <c r="A676" s="4">
        <v>50</v>
      </c>
      <c r="B676" s="4">
        <v>0</v>
      </c>
      <c r="C676" s="4">
        <v>0</v>
      </c>
      <c r="D676" s="4">
        <v>1</v>
      </c>
      <c r="E676" s="4">
        <v>223</v>
      </c>
      <c r="F676" s="4">
        <f>ROUND(Source!AQ666,O676)</f>
        <v>0</v>
      </c>
      <c r="G676" s="4" t="s">
        <v>72</v>
      </c>
      <c r="H676" s="4" t="s">
        <v>73</v>
      </c>
      <c r="I676" s="4"/>
      <c r="J676" s="4"/>
      <c r="K676" s="4">
        <v>223</v>
      </c>
      <c r="L676" s="4">
        <v>9</v>
      </c>
      <c r="M676" s="4">
        <v>3</v>
      </c>
      <c r="N676" s="4" t="s">
        <v>3</v>
      </c>
      <c r="O676" s="4">
        <v>2</v>
      </c>
      <c r="P676" s="4"/>
      <c r="Q676" s="4"/>
      <c r="R676" s="4"/>
      <c r="S676" s="4"/>
      <c r="T676" s="4"/>
      <c r="U676" s="4"/>
      <c r="V676" s="4"/>
      <c r="W676" s="4"/>
    </row>
    <row r="677" spans="1:23" x14ac:dyDescent="0.2">
      <c r="A677" s="4">
        <v>50</v>
      </c>
      <c r="B677" s="4">
        <v>0</v>
      </c>
      <c r="C677" s="4">
        <v>0</v>
      </c>
      <c r="D677" s="4">
        <v>1</v>
      </c>
      <c r="E677" s="4">
        <v>229</v>
      </c>
      <c r="F677" s="4">
        <f>ROUND(Source!AZ666,O677)</f>
        <v>0</v>
      </c>
      <c r="G677" s="4" t="s">
        <v>74</v>
      </c>
      <c r="H677" s="4" t="s">
        <v>75</v>
      </c>
      <c r="I677" s="4"/>
      <c r="J677" s="4"/>
      <c r="K677" s="4">
        <v>229</v>
      </c>
      <c r="L677" s="4">
        <v>10</v>
      </c>
      <c r="M677" s="4">
        <v>3</v>
      </c>
      <c r="N677" s="4" t="s">
        <v>3</v>
      </c>
      <c r="O677" s="4">
        <v>2</v>
      </c>
      <c r="P677" s="4"/>
      <c r="Q677" s="4"/>
      <c r="R677" s="4"/>
      <c r="S677" s="4"/>
      <c r="T677" s="4"/>
      <c r="U677" s="4"/>
      <c r="V677" s="4"/>
      <c r="W677" s="4"/>
    </row>
    <row r="678" spans="1:23" x14ac:dyDescent="0.2">
      <c r="A678" s="4">
        <v>50</v>
      </c>
      <c r="B678" s="4">
        <v>0</v>
      </c>
      <c r="C678" s="4">
        <v>0</v>
      </c>
      <c r="D678" s="4">
        <v>1</v>
      </c>
      <c r="E678" s="4">
        <v>203</v>
      </c>
      <c r="F678" s="4">
        <f>ROUND(Source!Q666,O678)</f>
        <v>0</v>
      </c>
      <c r="G678" s="4" t="s">
        <v>76</v>
      </c>
      <c r="H678" s="4" t="s">
        <v>77</v>
      </c>
      <c r="I678" s="4"/>
      <c r="J678" s="4"/>
      <c r="K678" s="4">
        <v>203</v>
      </c>
      <c r="L678" s="4">
        <v>11</v>
      </c>
      <c r="M678" s="4">
        <v>3</v>
      </c>
      <c r="N678" s="4" t="s">
        <v>3</v>
      </c>
      <c r="O678" s="4">
        <v>2</v>
      </c>
      <c r="P678" s="4"/>
      <c r="Q678" s="4"/>
      <c r="R678" s="4"/>
      <c r="S678" s="4"/>
      <c r="T678" s="4"/>
      <c r="U678" s="4"/>
      <c r="V678" s="4"/>
      <c r="W678" s="4"/>
    </row>
    <row r="679" spans="1:23" x14ac:dyDescent="0.2">
      <c r="A679" s="4">
        <v>50</v>
      </c>
      <c r="B679" s="4">
        <v>0</v>
      </c>
      <c r="C679" s="4">
        <v>0</v>
      </c>
      <c r="D679" s="4">
        <v>1</v>
      </c>
      <c r="E679" s="4">
        <v>231</v>
      </c>
      <c r="F679" s="4">
        <f>ROUND(Source!BB666,O679)</f>
        <v>0</v>
      </c>
      <c r="G679" s="4" t="s">
        <v>78</v>
      </c>
      <c r="H679" s="4" t="s">
        <v>79</v>
      </c>
      <c r="I679" s="4"/>
      <c r="J679" s="4"/>
      <c r="K679" s="4">
        <v>231</v>
      </c>
      <c r="L679" s="4">
        <v>12</v>
      </c>
      <c r="M679" s="4">
        <v>3</v>
      </c>
      <c r="N679" s="4" t="s">
        <v>3</v>
      </c>
      <c r="O679" s="4">
        <v>2</v>
      </c>
      <c r="P679" s="4"/>
      <c r="Q679" s="4"/>
      <c r="R679" s="4"/>
      <c r="S679" s="4"/>
      <c r="T679" s="4"/>
      <c r="U679" s="4"/>
      <c r="V679" s="4"/>
      <c r="W679" s="4"/>
    </row>
    <row r="680" spans="1:23" x14ac:dyDescent="0.2">
      <c r="A680" s="4">
        <v>50</v>
      </c>
      <c r="B680" s="4">
        <v>0</v>
      </c>
      <c r="C680" s="4">
        <v>0</v>
      </c>
      <c r="D680" s="4">
        <v>1</v>
      </c>
      <c r="E680" s="4">
        <v>204</v>
      </c>
      <c r="F680" s="4">
        <f>ROUND(Source!R666,O680)</f>
        <v>0</v>
      </c>
      <c r="G680" s="4" t="s">
        <v>80</v>
      </c>
      <c r="H680" s="4" t="s">
        <v>81</v>
      </c>
      <c r="I680" s="4"/>
      <c r="J680" s="4"/>
      <c r="K680" s="4">
        <v>204</v>
      </c>
      <c r="L680" s="4">
        <v>13</v>
      </c>
      <c r="M680" s="4">
        <v>3</v>
      </c>
      <c r="N680" s="4" t="s">
        <v>3</v>
      </c>
      <c r="O680" s="4">
        <v>2</v>
      </c>
      <c r="P680" s="4"/>
      <c r="Q680" s="4"/>
      <c r="R680" s="4"/>
      <c r="S680" s="4"/>
      <c r="T680" s="4"/>
      <c r="U680" s="4"/>
      <c r="V680" s="4"/>
      <c r="W680" s="4"/>
    </row>
    <row r="681" spans="1:23" x14ac:dyDescent="0.2">
      <c r="A681" s="4">
        <v>50</v>
      </c>
      <c r="B681" s="4">
        <v>0</v>
      </c>
      <c r="C681" s="4">
        <v>0</v>
      </c>
      <c r="D681" s="4">
        <v>1</v>
      </c>
      <c r="E681" s="4">
        <v>205</v>
      </c>
      <c r="F681" s="4">
        <f>ROUND(Source!S666,O681)</f>
        <v>0</v>
      </c>
      <c r="G681" s="4" t="s">
        <v>82</v>
      </c>
      <c r="H681" s="4" t="s">
        <v>83</v>
      </c>
      <c r="I681" s="4"/>
      <c r="J681" s="4"/>
      <c r="K681" s="4">
        <v>205</v>
      </c>
      <c r="L681" s="4">
        <v>14</v>
      </c>
      <c r="M681" s="4">
        <v>3</v>
      </c>
      <c r="N681" s="4" t="s">
        <v>3</v>
      </c>
      <c r="O681" s="4">
        <v>2</v>
      </c>
      <c r="P681" s="4"/>
      <c r="Q681" s="4"/>
      <c r="R681" s="4"/>
      <c r="S681" s="4"/>
      <c r="T681" s="4"/>
      <c r="U681" s="4"/>
      <c r="V681" s="4"/>
      <c r="W681" s="4"/>
    </row>
    <row r="682" spans="1:23" x14ac:dyDescent="0.2">
      <c r="A682" s="4">
        <v>50</v>
      </c>
      <c r="B682" s="4">
        <v>0</v>
      </c>
      <c r="C682" s="4">
        <v>0</v>
      </c>
      <c r="D682" s="4">
        <v>1</v>
      </c>
      <c r="E682" s="4">
        <v>232</v>
      </c>
      <c r="F682" s="4">
        <f>ROUND(Source!BC666,O682)</f>
        <v>0</v>
      </c>
      <c r="G682" s="4" t="s">
        <v>84</v>
      </c>
      <c r="H682" s="4" t="s">
        <v>85</v>
      </c>
      <c r="I682" s="4"/>
      <c r="J682" s="4"/>
      <c r="K682" s="4">
        <v>232</v>
      </c>
      <c r="L682" s="4">
        <v>15</v>
      </c>
      <c r="M682" s="4">
        <v>3</v>
      </c>
      <c r="N682" s="4" t="s">
        <v>3</v>
      </c>
      <c r="O682" s="4">
        <v>2</v>
      </c>
      <c r="P682" s="4"/>
      <c r="Q682" s="4"/>
      <c r="R682" s="4"/>
      <c r="S682" s="4"/>
      <c r="T682" s="4"/>
      <c r="U682" s="4"/>
      <c r="V682" s="4"/>
      <c r="W682" s="4"/>
    </row>
    <row r="683" spans="1:23" x14ac:dyDescent="0.2">
      <c r="A683" s="4">
        <v>50</v>
      </c>
      <c r="B683" s="4">
        <v>0</v>
      </c>
      <c r="C683" s="4">
        <v>0</v>
      </c>
      <c r="D683" s="4">
        <v>1</v>
      </c>
      <c r="E683" s="4">
        <v>214</v>
      </c>
      <c r="F683" s="4">
        <f>ROUND(Source!AS666,O683)</f>
        <v>0</v>
      </c>
      <c r="G683" s="4" t="s">
        <v>86</v>
      </c>
      <c r="H683" s="4" t="s">
        <v>87</v>
      </c>
      <c r="I683" s="4"/>
      <c r="J683" s="4"/>
      <c r="K683" s="4">
        <v>214</v>
      </c>
      <c r="L683" s="4">
        <v>16</v>
      </c>
      <c r="M683" s="4">
        <v>3</v>
      </c>
      <c r="N683" s="4" t="s">
        <v>3</v>
      </c>
      <c r="O683" s="4">
        <v>2</v>
      </c>
      <c r="P683" s="4"/>
      <c r="Q683" s="4"/>
      <c r="R683" s="4"/>
      <c r="S683" s="4"/>
      <c r="T683" s="4"/>
      <c r="U683" s="4"/>
      <c r="V683" s="4"/>
      <c r="W683" s="4"/>
    </row>
    <row r="684" spans="1:23" x14ac:dyDescent="0.2">
      <c r="A684" s="4">
        <v>50</v>
      </c>
      <c r="B684" s="4">
        <v>0</v>
      </c>
      <c r="C684" s="4">
        <v>0</v>
      </c>
      <c r="D684" s="4">
        <v>1</v>
      </c>
      <c r="E684" s="4">
        <v>215</v>
      </c>
      <c r="F684" s="4">
        <f>ROUND(Source!AT666,O684)</f>
        <v>0</v>
      </c>
      <c r="G684" s="4" t="s">
        <v>88</v>
      </c>
      <c r="H684" s="4" t="s">
        <v>89</v>
      </c>
      <c r="I684" s="4"/>
      <c r="J684" s="4"/>
      <c r="K684" s="4">
        <v>215</v>
      </c>
      <c r="L684" s="4">
        <v>17</v>
      </c>
      <c r="M684" s="4">
        <v>3</v>
      </c>
      <c r="N684" s="4" t="s">
        <v>3</v>
      </c>
      <c r="O684" s="4">
        <v>2</v>
      </c>
      <c r="P684" s="4"/>
      <c r="Q684" s="4"/>
      <c r="R684" s="4"/>
      <c r="S684" s="4"/>
      <c r="T684" s="4"/>
      <c r="U684" s="4"/>
      <c r="V684" s="4"/>
      <c r="W684" s="4"/>
    </row>
    <row r="685" spans="1:23" x14ac:dyDescent="0.2">
      <c r="A685" s="4">
        <v>50</v>
      </c>
      <c r="B685" s="4">
        <v>0</v>
      </c>
      <c r="C685" s="4">
        <v>0</v>
      </c>
      <c r="D685" s="4">
        <v>1</v>
      </c>
      <c r="E685" s="4">
        <v>217</v>
      </c>
      <c r="F685" s="4">
        <f>ROUND(Source!AU666,O685)</f>
        <v>0</v>
      </c>
      <c r="G685" s="4" t="s">
        <v>90</v>
      </c>
      <c r="H685" s="4" t="s">
        <v>91</v>
      </c>
      <c r="I685" s="4"/>
      <c r="J685" s="4"/>
      <c r="K685" s="4">
        <v>217</v>
      </c>
      <c r="L685" s="4">
        <v>18</v>
      </c>
      <c r="M685" s="4">
        <v>3</v>
      </c>
      <c r="N685" s="4" t="s">
        <v>3</v>
      </c>
      <c r="O685" s="4">
        <v>2</v>
      </c>
      <c r="P685" s="4"/>
      <c r="Q685" s="4"/>
      <c r="R685" s="4"/>
      <c r="S685" s="4"/>
      <c r="T685" s="4"/>
      <c r="U685" s="4"/>
      <c r="V685" s="4"/>
      <c r="W685" s="4"/>
    </row>
    <row r="686" spans="1:23" x14ac:dyDescent="0.2">
      <c r="A686" s="4">
        <v>50</v>
      </c>
      <c r="B686" s="4">
        <v>0</v>
      </c>
      <c r="C686" s="4">
        <v>0</v>
      </c>
      <c r="D686" s="4">
        <v>1</v>
      </c>
      <c r="E686" s="4">
        <v>230</v>
      </c>
      <c r="F686" s="4">
        <f>ROUND(Source!BA666,O686)</f>
        <v>0</v>
      </c>
      <c r="G686" s="4" t="s">
        <v>92</v>
      </c>
      <c r="H686" s="4" t="s">
        <v>93</v>
      </c>
      <c r="I686" s="4"/>
      <c r="J686" s="4"/>
      <c r="K686" s="4">
        <v>230</v>
      </c>
      <c r="L686" s="4">
        <v>19</v>
      </c>
      <c r="M686" s="4">
        <v>3</v>
      </c>
      <c r="N686" s="4" t="s">
        <v>3</v>
      </c>
      <c r="O686" s="4">
        <v>2</v>
      </c>
      <c r="P686" s="4"/>
      <c r="Q686" s="4"/>
      <c r="R686" s="4"/>
      <c r="S686" s="4"/>
      <c r="T686" s="4"/>
      <c r="U686" s="4"/>
      <c r="V686" s="4"/>
      <c r="W686" s="4"/>
    </row>
    <row r="687" spans="1:23" x14ac:dyDescent="0.2">
      <c r="A687" s="4">
        <v>50</v>
      </c>
      <c r="B687" s="4">
        <v>0</v>
      </c>
      <c r="C687" s="4">
        <v>0</v>
      </c>
      <c r="D687" s="4">
        <v>1</v>
      </c>
      <c r="E687" s="4">
        <v>206</v>
      </c>
      <c r="F687" s="4">
        <f>ROUND(Source!T666,O687)</f>
        <v>0</v>
      </c>
      <c r="G687" s="4" t="s">
        <v>94</v>
      </c>
      <c r="H687" s="4" t="s">
        <v>95</v>
      </c>
      <c r="I687" s="4"/>
      <c r="J687" s="4"/>
      <c r="K687" s="4">
        <v>206</v>
      </c>
      <c r="L687" s="4">
        <v>20</v>
      </c>
      <c r="M687" s="4">
        <v>3</v>
      </c>
      <c r="N687" s="4" t="s">
        <v>3</v>
      </c>
      <c r="O687" s="4">
        <v>2</v>
      </c>
      <c r="P687" s="4"/>
      <c r="Q687" s="4"/>
      <c r="R687" s="4"/>
      <c r="S687" s="4"/>
      <c r="T687" s="4"/>
      <c r="U687" s="4"/>
      <c r="V687" s="4"/>
      <c r="W687" s="4"/>
    </row>
    <row r="688" spans="1:23" x14ac:dyDescent="0.2">
      <c r="A688" s="4">
        <v>50</v>
      </c>
      <c r="B688" s="4">
        <v>0</v>
      </c>
      <c r="C688" s="4">
        <v>0</v>
      </c>
      <c r="D688" s="4">
        <v>1</v>
      </c>
      <c r="E688" s="4">
        <v>207</v>
      </c>
      <c r="F688" s="4">
        <f>Source!U666</f>
        <v>0</v>
      </c>
      <c r="G688" s="4" t="s">
        <v>96</v>
      </c>
      <c r="H688" s="4" t="s">
        <v>97</v>
      </c>
      <c r="I688" s="4"/>
      <c r="J688" s="4"/>
      <c r="K688" s="4">
        <v>207</v>
      </c>
      <c r="L688" s="4">
        <v>21</v>
      </c>
      <c r="M688" s="4">
        <v>3</v>
      </c>
      <c r="N688" s="4" t="s">
        <v>3</v>
      </c>
      <c r="O688" s="4">
        <v>-1</v>
      </c>
      <c r="P688" s="4"/>
      <c r="Q688" s="4"/>
      <c r="R688" s="4"/>
      <c r="S688" s="4"/>
      <c r="T688" s="4"/>
      <c r="U688" s="4"/>
      <c r="V688" s="4"/>
      <c r="W688" s="4"/>
    </row>
    <row r="689" spans="1:206" x14ac:dyDescent="0.2">
      <c r="A689" s="4">
        <v>50</v>
      </c>
      <c r="B689" s="4">
        <v>0</v>
      </c>
      <c r="C689" s="4">
        <v>0</v>
      </c>
      <c r="D689" s="4">
        <v>1</v>
      </c>
      <c r="E689" s="4">
        <v>208</v>
      </c>
      <c r="F689" s="4">
        <f>Source!V666</f>
        <v>0</v>
      </c>
      <c r="G689" s="4" t="s">
        <v>98</v>
      </c>
      <c r="H689" s="4" t="s">
        <v>99</v>
      </c>
      <c r="I689" s="4"/>
      <c r="J689" s="4"/>
      <c r="K689" s="4">
        <v>208</v>
      </c>
      <c r="L689" s="4">
        <v>22</v>
      </c>
      <c r="M689" s="4">
        <v>3</v>
      </c>
      <c r="N689" s="4" t="s">
        <v>3</v>
      </c>
      <c r="O689" s="4">
        <v>-1</v>
      </c>
      <c r="P689" s="4"/>
      <c r="Q689" s="4"/>
      <c r="R689" s="4"/>
      <c r="S689" s="4"/>
      <c r="T689" s="4"/>
      <c r="U689" s="4"/>
      <c r="V689" s="4"/>
      <c r="W689" s="4"/>
    </row>
    <row r="690" spans="1:206" x14ac:dyDescent="0.2">
      <c r="A690" s="4">
        <v>50</v>
      </c>
      <c r="B690" s="4">
        <v>0</v>
      </c>
      <c r="C690" s="4">
        <v>0</v>
      </c>
      <c r="D690" s="4">
        <v>1</v>
      </c>
      <c r="E690" s="4">
        <v>209</v>
      </c>
      <c r="F690" s="4">
        <f>ROUND(Source!W666,O690)</f>
        <v>0</v>
      </c>
      <c r="G690" s="4" t="s">
        <v>100</v>
      </c>
      <c r="H690" s="4" t="s">
        <v>101</v>
      </c>
      <c r="I690" s="4"/>
      <c r="J690" s="4"/>
      <c r="K690" s="4">
        <v>209</v>
      </c>
      <c r="L690" s="4">
        <v>23</v>
      </c>
      <c r="M690" s="4">
        <v>3</v>
      </c>
      <c r="N690" s="4" t="s">
        <v>3</v>
      </c>
      <c r="O690" s="4">
        <v>2</v>
      </c>
      <c r="P690" s="4"/>
      <c r="Q690" s="4"/>
      <c r="R690" s="4"/>
      <c r="S690" s="4"/>
      <c r="T690" s="4"/>
      <c r="U690" s="4"/>
      <c r="V690" s="4"/>
      <c r="W690" s="4"/>
    </row>
    <row r="691" spans="1:206" x14ac:dyDescent="0.2">
      <c r="A691" s="4">
        <v>50</v>
      </c>
      <c r="B691" s="4">
        <v>0</v>
      </c>
      <c r="C691" s="4">
        <v>0</v>
      </c>
      <c r="D691" s="4">
        <v>1</v>
      </c>
      <c r="E691" s="4">
        <v>233</v>
      </c>
      <c r="F691" s="4">
        <f>ROUND(Source!BD666,O691)</f>
        <v>0</v>
      </c>
      <c r="G691" s="4" t="s">
        <v>102</v>
      </c>
      <c r="H691" s="4" t="s">
        <v>103</v>
      </c>
      <c r="I691" s="4"/>
      <c r="J691" s="4"/>
      <c r="K691" s="4">
        <v>233</v>
      </c>
      <c r="L691" s="4">
        <v>24</v>
      </c>
      <c r="M691" s="4">
        <v>3</v>
      </c>
      <c r="N691" s="4" t="s">
        <v>3</v>
      </c>
      <c r="O691" s="4">
        <v>2</v>
      </c>
      <c r="P691" s="4"/>
      <c r="Q691" s="4"/>
      <c r="R691" s="4"/>
      <c r="S691" s="4"/>
      <c r="T691" s="4"/>
      <c r="U691" s="4"/>
      <c r="V691" s="4"/>
      <c r="W691" s="4"/>
    </row>
    <row r="692" spans="1:206" x14ac:dyDescent="0.2">
      <c r="A692" s="4">
        <v>50</v>
      </c>
      <c r="B692" s="4">
        <v>0</v>
      </c>
      <c r="C692" s="4">
        <v>0</v>
      </c>
      <c r="D692" s="4">
        <v>1</v>
      </c>
      <c r="E692" s="4">
        <v>210</v>
      </c>
      <c r="F692" s="4">
        <f>ROUND(Source!X666,O692)</f>
        <v>0</v>
      </c>
      <c r="G692" s="4" t="s">
        <v>104</v>
      </c>
      <c r="H692" s="4" t="s">
        <v>105</v>
      </c>
      <c r="I692" s="4"/>
      <c r="J692" s="4"/>
      <c r="K692" s="4">
        <v>210</v>
      </c>
      <c r="L692" s="4">
        <v>25</v>
      </c>
      <c r="M692" s="4">
        <v>3</v>
      </c>
      <c r="N692" s="4" t="s">
        <v>3</v>
      </c>
      <c r="O692" s="4">
        <v>2</v>
      </c>
      <c r="P692" s="4"/>
      <c r="Q692" s="4"/>
      <c r="R692" s="4"/>
      <c r="S692" s="4"/>
      <c r="T692" s="4"/>
      <c r="U692" s="4"/>
      <c r="V692" s="4"/>
      <c r="W692" s="4"/>
    </row>
    <row r="693" spans="1:206" x14ac:dyDescent="0.2">
      <c r="A693" s="4">
        <v>50</v>
      </c>
      <c r="B693" s="4">
        <v>0</v>
      </c>
      <c r="C693" s="4">
        <v>0</v>
      </c>
      <c r="D693" s="4">
        <v>1</v>
      </c>
      <c r="E693" s="4">
        <v>211</v>
      </c>
      <c r="F693" s="4">
        <f>ROUND(Source!Y666,O693)</f>
        <v>0</v>
      </c>
      <c r="G693" s="4" t="s">
        <v>106</v>
      </c>
      <c r="H693" s="4" t="s">
        <v>107</v>
      </c>
      <c r="I693" s="4"/>
      <c r="J693" s="4"/>
      <c r="K693" s="4">
        <v>211</v>
      </c>
      <c r="L693" s="4">
        <v>26</v>
      </c>
      <c r="M693" s="4">
        <v>3</v>
      </c>
      <c r="N693" s="4" t="s">
        <v>3</v>
      </c>
      <c r="O693" s="4">
        <v>2</v>
      </c>
      <c r="P693" s="4"/>
      <c r="Q693" s="4"/>
      <c r="R693" s="4"/>
      <c r="S693" s="4"/>
      <c r="T693" s="4"/>
      <c r="U693" s="4"/>
      <c r="V693" s="4"/>
      <c r="W693" s="4"/>
    </row>
    <row r="694" spans="1:206" x14ac:dyDescent="0.2">
      <c r="A694" s="4">
        <v>50</v>
      </c>
      <c r="B694" s="4">
        <v>0</v>
      </c>
      <c r="C694" s="4">
        <v>0</v>
      </c>
      <c r="D694" s="4">
        <v>1</v>
      </c>
      <c r="E694" s="4">
        <v>224</v>
      </c>
      <c r="F694" s="4">
        <f>ROUND(Source!AR666,O694)</f>
        <v>0</v>
      </c>
      <c r="G694" s="4" t="s">
        <v>108</v>
      </c>
      <c r="H694" s="4" t="s">
        <v>109</v>
      </c>
      <c r="I694" s="4"/>
      <c r="J694" s="4"/>
      <c r="K694" s="4">
        <v>224</v>
      </c>
      <c r="L694" s="4">
        <v>27</v>
      </c>
      <c r="M694" s="4">
        <v>3</v>
      </c>
      <c r="N694" s="4" t="s">
        <v>3</v>
      </c>
      <c r="O694" s="4">
        <v>2</v>
      </c>
      <c r="P694" s="4"/>
      <c r="Q694" s="4"/>
      <c r="R694" s="4"/>
      <c r="S694" s="4"/>
      <c r="T694" s="4"/>
      <c r="U694" s="4"/>
      <c r="V694" s="4"/>
      <c r="W694" s="4"/>
    </row>
    <row r="696" spans="1:206" x14ac:dyDescent="0.2">
      <c r="A696" s="1">
        <v>5</v>
      </c>
      <c r="B696" s="1">
        <v>1</v>
      </c>
      <c r="C696" s="1"/>
      <c r="D696" s="1">
        <f>ROW(A700)</f>
        <v>700</v>
      </c>
      <c r="E696" s="1"/>
      <c r="F696" s="1" t="s">
        <v>17</v>
      </c>
      <c r="G696" s="1" t="s">
        <v>110</v>
      </c>
      <c r="H696" s="1" t="s">
        <v>3</v>
      </c>
      <c r="I696" s="1">
        <v>0</v>
      </c>
      <c r="J696" s="1"/>
      <c r="K696" s="1">
        <v>0</v>
      </c>
      <c r="L696" s="1"/>
      <c r="M696" s="1"/>
      <c r="N696" s="1"/>
      <c r="O696" s="1"/>
      <c r="P696" s="1"/>
      <c r="Q696" s="1"/>
      <c r="R696" s="1"/>
      <c r="S696" s="1"/>
      <c r="T696" s="1"/>
      <c r="U696" s="1" t="s">
        <v>3</v>
      </c>
      <c r="V696" s="1">
        <v>0</v>
      </c>
      <c r="W696" s="1"/>
      <c r="X696" s="1"/>
      <c r="Y696" s="1"/>
      <c r="Z696" s="1"/>
      <c r="AA696" s="1"/>
      <c r="AB696" s="1" t="s">
        <v>3</v>
      </c>
      <c r="AC696" s="1" t="s">
        <v>3</v>
      </c>
      <c r="AD696" s="1" t="s">
        <v>3</v>
      </c>
      <c r="AE696" s="1" t="s">
        <v>3</v>
      </c>
      <c r="AF696" s="1" t="s">
        <v>3</v>
      </c>
      <c r="AG696" s="1" t="s">
        <v>3</v>
      </c>
      <c r="AH696" s="1"/>
      <c r="AI696" s="1"/>
      <c r="AJ696" s="1"/>
      <c r="AK696" s="1"/>
      <c r="AL696" s="1"/>
      <c r="AM696" s="1"/>
      <c r="AN696" s="1"/>
      <c r="AO696" s="1"/>
      <c r="AP696" s="1" t="s">
        <v>3</v>
      </c>
      <c r="AQ696" s="1" t="s">
        <v>3</v>
      </c>
      <c r="AR696" s="1" t="s">
        <v>3</v>
      </c>
      <c r="AS696" s="1"/>
      <c r="AT696" s="1"/>
      <c r="AU696" s="1"/>
      <c r="AV696" s="1"/>
      <c r="AW696" s="1"/>
      <c r="AX696" s="1"/>
      <c r="AY696" s="1"/>
      <c r="AZ696" s="1" t="s">
        <v>3</v>
      </c>
      <c r="BA696" s="1"/>
      <c r="BB696" s="1" t="s">
        <v>3</v>
      </c>
      <c r="BC696" s="1" t="s">
        <v>3</v>
      </c>
      <c r="BD696" s="1" t="s">
        <v>3</v>
      </c>
      <c r="BE696" s="1" t="s">
        <v>3</v>
      </c>
      <c r="BF696" s="1" t="s">
        <v>3</v>
      </c>
      <c r="BG696" s="1" t="s">
        <v>3</v>
      </c>
      <c r="BH696" s="1" t="s">
        <v>3</v>
      </c>
      <c r="BI696" s="1" t="s">
        <v>3</v>
      </c>
      <c r="BJ696" s="1" t="s">
        <v>3</v>
      </c>
      <c r="BK696" s="1" t="s">
        <v>3</v>
      </c>
      <c r="BL696" s="1" t="s">
        <v>3</v>
      </c>
      <c r="BM696" s="1" t="s">
        <v>3</v>
      </c>
      <c r="BN696" s="1" t="s">
        <v>3</v>
      </c>
      <c r="BO696" s="1" t="s">
        <v>3</v>
      </c>
      <c r="BP696" s="1" t="s">
        <v>3</v>
      </c>
      <c r="BQ696" s="1"/>
      <c r="BR696" s="1"/>
      <c r="BS696" s="1"/>
      <c r="BT696" s="1"/>
      <c r="BU696" s="1"/>
      <c r="BV696" s="1"/>
      <c r="BW696" s="1"/>
      <c r="BX696" s="1">
        <v>0</v>
      </c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>
        <v>0</v>
      </c>
    </row>
    <row r="698" spans="1:206" x14ac:dyDescent="0.2">
      <c r="A698" s="2">
        <v>52</v>
      </c>
      <c r="B698" s="2">
        <f t="shared" ref="B698:G698" si="517">B700</f>
        <v>1</v>
      </c>
      <c r="C698" s="2">
        <f t="shared" si="517"/>
        <v>5</v>
      </c>
      <c r="D698" s="2">
        <f t="shared" si="517"/>
        <v>696</v>
      </c>
      <c r="E698" s="2">
        <f t="shared" si="517"/>
        <v>0</v>
      </c>
      <c r="F698" s="2" t="str">
        <f t="shared" si="517"/>
        <v>Новый подраздел</v>
      </c>
      <c r="G698" s="2" t="str">
        <f t="shared" si="517"/>
        <v>Установка оборудования для выгула собак</v>
      </c>
      <c r="H698" s="2"/>
      <c r="I698" s="2"/>
      <c r="J698" s="2"/>
      <c r="K698" s="2"/>
      <c r="L698" s="2"/>
      <c r="M698" s="2"/>
      <c r="N698" s="2"/>
      <c r="O698" s="2">
        <f t="shared" ref="O698:AT698" si="518">O700</f>
        <v>0</v>
      </c>
      <c r="P698" s="2">
        <f t="shared" si="518"/>
        <v>0</v>
      </c>
      <c r="Q698" s="2">
        <f t="shared" si="518"/>
        <v>0</v>
      </c>
      <c r="R698" s="2">
        <f t="shared" si="518"/>
        <v>0</v>
      </c>
      <c r="S698" s="2">
        <f t="shared" si="518"/>
        <v>0</v>
      </c>
      <c r="T698" s="2">
        <f t="shared" si="518"/>
        <v>0</v>
      </c>
      <c r="U698" s="2">
        <f t="shared" si="518"/>
        <v>0</v>
      </c>
      <c r="V698" s="2">
        <f t="shared" si="518"/>
        <v>0</v>
      </c>
      <c r="W698" s="2">
        <f t="shared" si="518"/>
        <v>0</v>
      </c>
      <c r="X698" s="2">
        <f t="shared" si="518"/>
        <v>0</v>
      </c>
      <c r="Y698" s="2">
        <f t="shared" si="518"/>
        <v>0</v>
      </c>
      <c r="Z698" s="2">
        <f t="shared" si="518"/>
        <v>0</v>
      </c>
      <c r="AA698" s="2">
        <f t="shared" si="518"/>
        <v>0</v>
      </c>
      <c r="AB698" s="2">
        <f t="shared" si="518"/>
        <v>0</v>
      </c>
      <c r="AC698" s="2">
        <f t="shared" si="518"/>
        <v>0</v>
      </c>
      <c r="AD698" s="2">
        <f t="shared" si="518"/>
        <v>0</v>
      </c>
      <c r="AE698" s="2">
        <f t="shared" si="518"/>
        <v>0</v>
      </c>
      <c r="AF698" s="2">
        <f t="shared" si="518"/>
        <v>0</v>
      </c>
      <c r="AG698" s="2">
        <f t="shared" si="518"/>
        <v>0</v>
      </c>
      <c r="AH698" s="2">
        <f t="shared" si="518"/>
        <v>0</v>
      </c>
      <c r="AI698" s="2">
        <f t="shared" si="518"/>
        <v>0</v>
      </c>
      <c r="AJ698" s="2">
        <f t="shared" si="518"/>
        <v>0</v>
      </c>
      <c r="AK698" s="2">
        <f t="shared" si="518"/>
        <v>0</v>
      </c>
      <c r="AL698" s="2">
        <f t="shared" si="518"/>
        <v>0</v>
      </c>
      <c r="AM698" s="2">
        <f t="shared" si="518"/>
        <v>0</v>
      </c>
      <c r="AN698" s="2">
        <f t="shared" si="518"/>
        <v>0</v>
      </c>
      <c r="AO698" s="2">
        <f t="shared" si="518"/>
        <v>0</v>
      </c>
      <c r="AP698" s="2">
        <f t="shared" si="518"/>
        <v>0</v>
      </c>
      <c r="AQ698" s="2">
        <f t="shared" si="518"/>
        <v>0</v>
      </c>
      <c r="AR698" s="2">
        <f t="shared" si="518"/>
        <v>0</v>
      </c>
      <c r="AS698" s="2">
        <f t="shared" si="518"/>
        <v>0</v>
      </c>
      <c r="AT698" s="2">
        <f t="shared" si="518"/>
        <v>0</v>
      </c>
      <c r="AU698" s="2">
        <f t="shared" ref="AU698:BZ698" si="519">AU700</f>
        <v>0</v>
      </c>
      <c r="AV698" s="2">
        <f t="shared" si="519"/>
        <v>0</v>
      </c>
      <c r="AW698" s="2">
        <f t="shared" si="519"/>
        <v>0</v>
      </c>
      <c r="AX698" s="2">
        <f t="shared" si="519"/>
        <v>0</v>
      </c>
      <c r="AY698" s="2">
        <f t="shared" si="519"/>
        <v>0</v>
      </c>
      <c r="AZ698" s="2">
        <f t="shared" si="519"/>
        <v>0</v>
      </c>
      <c r="BA698" s="2">
        <f t="shared" si="519"/>
        <v>0</v>
      </c>
      <c r="BB698" s="2">
        <f t="shared" si="519"/>
        <v>0</v>
      </c>
      <c r="BC698" s="2">
        <f t="shared" si="519"/>
        <v>0</v>
      </c>
      <c r="BD698" s="2">
        <f t="shared" si="519"/>
        <v>0</v>
      </c>
      <c r="BE698" s="2">
        <f t="shared" si="519"/>
        <v>0</v>
      </c>
      <c r="BF698" s="2">
        <f t="shared" si="519"/>
        <v>0</v>
      </c>
      <c r="BG698" s="2">
        <f t="shared" si="519"/>
        <v>0</v>
      </c>
      <c r="BH698" s="2">
        <f t="shared" si="519"/>
        <v>0</v>
      </c>
      <c r="BI698" s="2">
        <f t="shared" si="519"/>
        <v>0</v>
      </c>
      <c r="BJ698" s="2">
        <f t="shared" si="519"/>
        <v>0</v>
      </c>
      <c r="BK698" s="2">
        <f t="shared" si="519"/>
        <v>0</v>
      </c>
      <c r="BL698" s="2">
        <f t="shared" si="519"/>
        <v>0</v>
      </c>
      <c r="BM698" s="2">
        <f t="shared" si="519"/>
        <v>0</v>
      </c>
      <c r="BN698" s="2">
        <f t="shared" si="519"/>
        <v>0</v>
      </c>
      <c r="BO698" s="2">
        <f t="shared" si="519"/>
        <v>0</v>
      </c>
      <c r="BP698" s="2">
        <f t="shared" si="519"/>
        <v>0</v>
      </c>
      <c r="BQ698" s="2">
        <f t="shared" si="519"/>
        <v>0</v>
      </c>
      <c r="BR698" s="2">
        <f t="shared" si="519"/>
        <v>0</v>
      </c>
      <c r="BS698" s="2">
        <f t="shared" si="519"/>
        <v>0</v>
      </c>
      <c r="BT698" s="2">
        <f t="shared" si="519"/>
        <v>0</v>
      </c>
      <c r="BU698" s="2">
        <f t="shared" si="519"/>
        <v>0</v>
      </c>
      <c r="BV698" s="2">
        <f t="shared" si="519"/>
        <v>0</v>
      </c>
      <c r="BW698" s="2">
        <f t="shared" si="519"/>
        <v>0</v>
      </c>
      <c r="BX698" s="2">
        <f t="shared" si="519"/>
        <v>0</v>
      </c>
      <c r="BY698" s="2">
        <f t="shared" si="519"/>
        <v>0</v>
      </c>
      <c r="BZ698" s="2">
        <f t="shared" si="519"/>
        <v>0</v>
      </c>
      <c r="CA698" s="2">
        <f t="shared" ref="CA698:DF698" si="520">CA700</f>
        <v>0</v>
      </c>
      <c r="CB698" s="2">
        <f t="shared" si="520"/>
        <v>0</v>
      </c>
      <c r="CC698" s="2">
        <f t="shared" si="520"/>
        <v>0</v>
      </c>
      <c r="CD698" s="2">
        <f t="shared" si="520"/>
        <v>0</v>
      </c>
      <c r="CE698" s="2">
        <f t="shared" si="520"/>
        <v>0</v>
      </c>
      <c r="CF698" s="2">
        <f t="shared" si="520"/>
        <v>0</v>
      </c>
      <c r="CG698" s="2">
        <f t="shared" si="520"/>
        <v>0</v>
      </c>
      <c r="CH698" s="2">
        <f t="shared" si="520"/>
        <v>0</v>
      </c>
      <c r="CI698" s="2">
        <f t="shared" si="520"/>
        <v>0</v>
      </c>
      <c r="CJ698" s="2">
        <f t="shared" si="520"/>
        <v>0</v>
      </c>
      <c r="CK698" s="2">
        <f t="shared" si="520"/>
        <v>0</v>
      </c>
      <c r="CL698" s="2">
        <f t="shared" si="520"/>
        <v>0</v>
      </c>
      <c r="CM698" s="2">
        <f t="shared" si="520"/>
        <v>0</v>
      </c>
      <c r="CN698" s="2">
        <f t="shared" si="520"/>
        <v>0</v>
      </c>
      <c r="CO698" s="2">
        <f t="shared" si="520"/>
        <v>0</v>
      </c>
      <c r="CP698" s="2">
        <f t="shared" si="520"/>
        <v>0</v>
      </c>
      <c r="CQ698" s="2">
        <f t="shared" si="520"/>
        <v>0</v>
      </c>
      <c r="CR698" s="2">
        <f t="shared" si="520"/>
        <v>0</v>
      </c>
      <c r="CS698" s="2">
        <f t="shared" si="520"/>
        <v>0</v>
      </c>
      <c r="CT698" s="2">
        <f t="shared" si="520"/>
        <v>0</v>
      </c>
      <c r="CU698" s="2">
        <f t="shared" si="520"/>
        <v>0</v>
      </c>
      <c r="CV698" s="2">
        <f t="shared" si="520"/>
        <v>0</v>
      </c>
      <c r="CW698" s="2">
        <f t="shared" si="520"/>
        <v>0</v>
      </c>
      <c r="CX698" s="2">
        <f t="shared" si="520"/>
        <v>0</v>
      </c>
      <c r="CY698" s="2">
        <f t="shared" si="520"/>
        <v>0</v>
      </c>
      <c r="CZ698" s="2">
        <f t="shared" si="520"/>
        <v>0</v>
      </c>
      <c r="DA698" s="2">
        <f t="shared" si="520"/>
        <v>0</v>
      </c>
      <c r="DB698" s="2">
        <f t="shared" si="520"/>
        <v>0</v>
      </c>
      <c r="DC698" s="2">
        <f t="shared" si="520"/>
        <v>0</v>
      </c>
      <c r="DD698" s="2">
        <f t="shared" si="520"/>
        <v>0</v>
      </c>
      <c r="DE698" s="2">
        <f t="shared" si="520"/>
        <v>0</v>
      </c>
      <c r="DF698" s="2">
        <f t="shared" si="520"/>
        <v>0</v>
      </c>
      <c r="DG698" s="3">
        <f t="shared" ref="DG698:EL698" si="521">DG700</f>
        <v>0</v>
      </c>
      <c r="DH698" s="3">
        <f t="shared" si="521"/>
        <v>0</v>
      </c>
      <c r="DI698" s="3">
        <f t="shared" si="521"/>
        <v>0</v>
      </c>
      <c r="DJ698" s="3">
        <f t="shared" si="521"/>
        <v>0</v>
      </c>
      <c r="DK698" s="3">
        <f t="shared" si="521"/>
        <v>0</v>
      </c>
      <c r="DL698" s="3">
        <f t="shared" si="521"/>
        <v>0</v>
      </c>
      <c r="DM698" s="3">
        <f t="shared" si="521"/>
        <v>0</v>
      </c>
      <c r="DN698" s="3">
        <f t="shared" si="521"/>
        <v>0</v>
      </c>
      <c r="DO698" s="3">
        <f t="shared" si="521"/>
        <v>0</v>
      </c>
      <c r="DP698" s="3">
        <f t="shared" si="521"/>
        <v>0</v>
      </c>
      <c r="DQ698" s="3">
        <f t="shared" si="521"/>
        <v>0</v>
      </c>
      <c r="DR698" s="3">
        <f t="shared" si="521"/>
        <v>0</v>
      </c>
      <c r="DS698" s="3">
        <f t="shared" si="521"/>
        <v>0</v>
      </c>
      <c r="DT698" s="3">
        <f t="shared" si="521"/>
        <v>0</v>
      </c>
      <c r="DU698" s="3">
        <f t="shared" si="521"/>
        <v>0</v>
      </c>
      <c r="DV698" s="3">
        <f t="shared" si="521"/>
        <v>0</v>
      </c>
      <c r="DW698" s="3">
        <f t="shared" si="521"/>
        <v>0</v>
      </c>
      <c r="DX698" s="3">
        <f t="shared" si="521"/>
        <v>0</v>
      </c>
      <c r="DY698" s="3">
        <f t="shared" si="521"/>
        <v>0</v>
      </c>
      <c r="DZ698" s="3">
        <f t="shared" si="521"/>
        <v>0</v>
      </c>
      <c r="EA698" s="3">
        <f t="shared" si="521"/>
        <v>0</v>
      </c>
      <c r="EB698" s="3">
        <f t="shared" si="521"/>
        <v>0</v>
      </c>
      <c r="EC698" s="3">
        <f t="shared" si="521"/>
        <v>0</v>
      </c>
      <c r="ED698" s="3">
        <f t="shared" si="521"/>
        <v>0</v>
      </c>
      <c r="EE698" s="3">
        <f t="shared" si="521"/>
        <v>0</v>
      </c>
      <c r="EF698" s="3">
        <f t="shared" si="521"/>
        <v>0</v>
      </c>
      <c r="EG698" s="3">
        <f t="shared" si="521"/>
        <v>0</v>
      </c>
      <c r="EH698" s="3">
        <f t="shared" si="521"/>
        <v>0</v>
      </c>
      <c r="EI698" s="3">
        <f t="shared" si="521"/>
        <v>0</v>
      </c>
      <c r="EJ698" s="3">
        <f t="shared" si="521"/>
        <v>0</v>
      </c>
      <c r="EK698" s="3">
        <f t="shared" si="521"/>
        <v>0</v>
      </c>
      <c r="EL698" s="3">
        <f t="shared" si="521"/>
        <v>0</v>
      </c>
      <c r="EM698" s="3">
        <f t="shared" ref="EM698:FR698" si="522">EM700</f>
        <v>0</v>
      </c>
      <c r="EN698" s="3">
        <f t="shared" si="522"/>
        <v>0</v>
      </c>
      <c r="EO698" s="3">
        <f t="shared" si="522"/>
        <v>0</v>
      </c>
      <c r="EP698" s="3">
        <f t="shared" si="522"/>
        <v>0</v>
      </c>
      <c r="EQ698" s="3">
        <f t="shared" si="522"/>
        <v>0</v>
      </c>
      <c r="ER698" s="3">
        <f t="shared" si="522"/>
        <v>0</v>
      </c>
      <c r="ES698" s="3">
        <f t="shared" si="522"/>
        <v>0</v>
      </c>
      <c r="ET698" s="3">
        <f t="shared" si="522"/>
        <v>0</v>
      </c>
      <c r="EU698" s="3">
        <f t="shared" si="522"/>
        <v>0</v>
      </c>
      <c r="EV698" s="3">
        <f t="shared" si="522"/>
        <v>0</v>
      </c>
      <c r="EW698" s="3">
        <f t="shared" si="522"/>
        <v>0</v>
      </c>
      <c r="EX698" s="3">
        <f t="shared" si="522"/>
        <v>0</v>
      </c>
      <c r="EY698" s="3">
        <f t="shared" si="522"/>
        <v>0</v>
      </c>
      <c r="EZ698" s="3">
        <f t="shared" si="522"/>
        <v>0</v>
      </c>
      <c r="FA698" s="3">
        <f t="shared" si="522"/>
        <v>0</v>
      </c>
      <c r="FB698" s="3">
        <f t="shared" si="522"/>
        <v>0</v>
      </c>
      <c r="FC698" s="3">
        <f t="shared" si="522"/>
        <v>0</v>
      </c>
      <c r="FD698" s="3">
        <f t="shared" si="522"/>
        <v>0</v>
      </c>
      <c r="FE698" s="3">
        <f t="shared" si="522"/>
        <v>0</v>
      </c>
      <c r="FF698" s="3">
        <f t="shared" si="522"/>
        <v>0</v>
      </c>
      <c r="FG698" s="3">
        <f t="shared" si="522"/>
        <v>0</v>
      </c>
      <c r="FH698" s="3">
        <f t="shared" si="522"/>
        <v>0</v>
      </c>
      <c r="FI698" s="3">
        <f t="shared" si="522"/>
        <v>0</v>
      </c>
      <c r="FJ698" s="3">
        <f t="shared" si="522"/>
        <v>0</v>
      </c>
      <c r="FK698" s="3">
        <f t="shared" si="522"/>
        <v>0</v>
      </c>
      <c r="FL698" s="3">
        <f t="shared" si="522"/>
        <v>0</v>
      </c>
      <c r="FM698" s="3">
        <f t="shared" si="522"/>
        <v>0</v>
      </c>
      <c r="FN698" s="3">
        <f t="shared" si="522"/>
        <v>0</v>
      </c>
      <c r="FO698" s="3">
        <f t="shared" si="522"/>
        <v>0</v>
      </c>
      <c r="FP698" s="3">
        <f t="shared" si="522"/>
        <v>0</v>
      </c>
      <c r="FQ698" s="3">
        <f t="shared" si="522"/>
        <v>0</v>
      </c>
      <c r="FR698" s="3">
        <f t="shared" si="522"/>
        <v>0</v>
      </c>
      <c r="FS698" s="3">
        <f t="shared" ref="FS698:GX698" si="523">FS700</f>
        <v>0</v>
      </c>
      <c r="FT698" s="3">
        <f t="shared" si="523"/>
        <v>0</v>
      </c>
      <c r="FU698" s="3">
        <f t="shared" si="523"/>
        <v>0</v>
      </c>
      <c r="FV698" s="3">
        <f t="shared" si="523"/>
        <v>0</v>
      </c>
      <c r="FW698" s="3">
        <f t="shared" si="523"/>
        <v>0</v>
      </c>
      <c r="FX698" s="3">
        <f t="shared" si="523"/>
        <v>0</v>
      </c>
      <c r="FY698" s="3">
        <f t="shared" si="523"/>
        <v>0</v>
      </c>
      <c r="FZ698" s="3">
        <f t="shared" si="523"/>
        <v>0</v>
      </c>
      <c r="GA698" s="3">
        <f t="shared" si="523"/>
        <v>0</v>
      </c>
      <c r="GB698" s="3">
        <f t="shared" si="523"/>
        <v>0</v>
      </c>
      <c r="GC698" s="3">
        <f t="shared" si="523"/>
        <v>0</v>
      </c>
      <c r="GD698" s="3">
        <f t="shared" si="523"/>
        <v>0</v>
      </c>
      <c r="GE698" s="3">
        <f t="shared" si="523"/>
        <v>0</v>
      </c>
      <c r="GF698" s="3">
        <f t="shared" si="523"/>
        <v>0</v>
      </c>
      <c r="GG698" s="3">
        <f t="shared" si="523"/>
        <v>0</v>
      </c>
      <c r="GH698" s="3">
        <f t="shared" si="523"/>
        <v>0</v>
      </c>
      <c r="GI698" s="3">
        <f t="shared" si="523"/>
        <v>0</v>
      </c>
      <c r="GJ698" s="3">
        <f t="shared" si="523"/>
        <v>0</v>
      </c>
      <c r="GK698" s="3">
        <f t="shared" si="523"/>
        <v>0</v>
      </c>
      <c r="GL698" s="3">
        <f t="shared" si="523"/>
        <v>0</v>
      </c>
      <c r="GM698" s="3">
        <f t="shared" si="523"/>
        <v>0</v>
      </c>
      <c r="GN698" s="3">
        <f t="shared" si="523"/>
        <v>0</v>
      </c>
      <c r="GO698" s="3">
        <f t="shared" si="523"/>
        <v>0</v>
      </c>
      <c r="GP698" s="3">
        <f t="shared" si="523"/>
        <v>0</v>
      </c>
      <c r="GQ698" s="3">
        <f t="shared" si="523"/>
        <v>0</v>
      </c>
      <c r="GR698" s="3">
        <f t="shared" si="523"/>
        <v>0</v>
      </c>
      <c r="GS698" s="3">
        <f t="shared" si="523"/>
        <v>0</v>
      </c>
      <c r="GT698" s="3">
        <f t="shared" si="523"/>
        <v>0</v>
      </c>
      <c r="GU698" s="3">
        <f t="shared" si="523"/>
        <v>0</v>
      </c>
      <c r="GV698" s="3">
        <f t="shared" si="523"/>
        <v>0</v>
      </c>
      <c r="GW698" s="3">
        <f t="shared" si="523"/>
        <v>0</v>
      </c>
      <c r="GX698" s="3">
        <f t="shared" si="523"/>
        <v>0</v>
      </c>
    </row>
    <row r="700" spans="1:206" x14ac:dyDescent="0.2">
      <c r="A700" s="2">
        <v>51</v>
      </c>
      <c r="B700" s="2">
        <f>B696</f>
        <v>1</v>
      </c>
      <c r="C700" s="2">
        <f>A696</f>
        <v>5</v>
      </c>
      <c r="D700" s="2">
        <f>ROW(A696)</f>
        <v>696</v>
      </c>
      <c r="E700" s="2"/>
      <c r="F700" s="2" t="str">
        <f>IF(F696&lt;&gt;"",F696,"")</f>
        <v>Новый подраздел</v>
      </c>
      <c r="G700" s="2" t="str">
        <f>IF(G696&lt;&gt;"",G696,"")</f>
        <v>Установка оборудования для выгула собак</v>
      </c>
      <c r="H700" s="2">
        <v>0</v>
      </c>
      <c r="I700" s="2"/>
      <c r="J700" s="2"/>
      <c r="K700" s="2"/>
      <c r="L700" s="2"/>
      <c r="M700" s="2"/>
      <c r="N700" s="2"/>
      <c r="O700" s="2">
        <f t="shared" ref="O700:T700" si="524">ROUND(AB700,2)</f>
        <v>0</v>
      </c>
      <c r="P700" s="2">
        <f t="shared" si="524"/>
        <v>0</v>
      </c>
      <c r="Q700" s="2">
        <f t="shared" si="524"/>
        <v>0</v>
      </c>
      <c r="R700" s="2">
        <f t="shared" si="524"/>
        <v>0</v>
      </c>
      <c r="S700" s="2">
        <f t="shared" si="524"/>
        <v>0</v>
      </c>
      <c r="T700" s="2">
        <f t="shared" si="524"/>
        <v>0</v>
      </c>
      <c r="U700" s="2">
        <f>AH700</f>
        <v>0</v>
      </c>
      <c r="V700" s="2">
        <f>AI700</f>
        <v>0</v>
      </c>
      <c r="W700" s="2">
        <f>ROUND(AJ700,2)</f>
        <v>0</v>
      </c>
      <c r="X700" s="2">
        <f>ROUND(AK700,2)</f>
        <v>0</v>
      </c>
      <c r="Y700" s="2">
        <f>ROUND(AL700,2)</f>
        <v>0</v>
      </c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>
        <f t="shared" ref="AO700:BD700" si="525">ROUND(BX700,2)</f>
        <v>0</v>
      </c>
      <c r="AP700" s="2">
        <f t="shared" si="525"/>
        <v>0</v>
      </c>
      <c r="AQ700" s="2">
        <f t="shared" si="525"/>
        <v>0</v>
      </c>
      <c r="AR700" s="2">
        <f t="shared" si="525"/>
        <v>0</v>
      </c>
      <c r="AS700" s="2">
        <f t="shared" si="525"/>
        <v>0</v>
      </c>
      <c r="AT700" s="2">
        <f t="shared" si="525"/>
        <v>0</v>
      </c>
      <c r="AU700" s="2">
        <f t="shared" si="525"/>
        <v>0</v>
      </c>
      <c r="AV700" s="2">
        <f t="shared" si="525"/>
        <v>0</v>
      </c>
      <c r="AW700" s="2">
        <f t="shared" si="525"/>
        <v>0</v>
      </c>
      <c r="AX700" s="2">
        <f t="shared" si="525"/>
        <v>0</v>
      </c>
      <c r="AY700" s="2">
        <f t="shared" si="525"/>
        <v>0</v>
      </c>
      <c r="AZ700" s="2">
        <f t="shared" si="525"/>
        <v>0</v>
      </c>
      <c r="BA700" s="2">
        <f t="shared" si="525"/>
        <v>0</v>
      </c>
      <c r="BB700" s="2">
        <f t="shared" si="525"/>
        <v>0</v>
      </c>
      <c r="BC700" s="2">
        <f t="shared" si="525"/>
        <v>0</v>
      </c>
      <c r="BD700" s="2">
        <f t="shared" si="525"/>
        <v>0</v>
      </c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2"/>
      <c r="DE700" s="2"/>
      <c r="DF700" s="2"/>
      <c r="DG700" s="3"/>
      <c r="DH700" s="3"/>
      <c r="DI700" s="3"/>
      <c r="DJ700" s="3"/>
      <c r="DK700" s="3"/>
      <c r="DL700" s="3"/>
      <c r="DM700" s="3"/>
      <c r="DN700" s="3"/>
      <c r="DO700" s="3"/>
      <c r="DP700" s="3"/>
      <c r="DQ700" s="3"/>
      <c r="DR700" s="3"/>
      <c r="DS700" s="3"/>
      <c r="DT700" s="3"/>
      <c r="DU700" s="3"/>
      <c r="DV700" s="3"/>
      <c r="DW700" s="3"/>
      <c r="DX700" s="3"/>
      <c r="DY700" s="3"/>
      <c r="DZ700" s="3"/>
      <c r="EA700" s="3"/>
      <c r="EB700" s="3"/>
      <c r="EC700" s="3"/>
      <c r="ED700" s="3"/>
      <c r="EE700" s="3"/>
      <c r="EF700" s="3"/>
      <c r="EG700" s="3"/>
      <c r="EH700" s="3"/>
      <c r="EI700" s="3"/>
      <c r="EJ700" s="3"/>
      <c r="EK700" s="3"/>
      <c r="EL700" s="3"/>
      <c r="EM700" s="3"/>
      <c r="EN700" s="3"/>
      <c r="EO700" s="3"/>
      <c r="EP700" s="3"/>
      <c r="EQ700" s="3"/>
      <c r="ER700" s="3"/>
      <c r="ES700" s="3"/>
      <c r="ET700" s="3"/>
      <c r="EU700" s="3"/>
      <c r="EV700" s="3"/>
      <c r="EW700" s="3"/>
      <c r="EX700" s="3"/>
      <c r="EY700" s="3"/>
      <c r="EZ700" s="3"/>
      <c r="FA700" s="3"/>
      <c r="FB700" s="3"/>
      <c r="FC700" s="3"/>
      <c r="FD700" s="3"/>
      <c r="FE700" s="3"/>
      <c r="FF700" s="3"/>
      <c r="FG700" s="3"/>
      <c r="FH700" s="3"/>
      <c r="FI700" s="3"/>
      <c r="FJ700" s="3"/>
      <c r="FK700" s="3"/>
      <c r="FL700" s="3"/>
      <c r="FM700" s="3"/>
      <c r="FN700" s="3"/>
      <c r="FO700" s="3"/>
      <c r="FP700" s="3"/>
      <c r="FQ700" s="3"/>
      <c r="FR700" s="3"/>
      <c r="FS700" s="3"/>
      <c r="FT700" s="3"/>
      <c r="FU700" s="3"/>
      <c r="FV700" s="3"/>
      <c r="FW700" s="3"/>
      <c r="FX700" s="3"/>
      <c r="FY700" s="3"/>
      <c r="FZ700" s="3"/>
      <c r="GA700" s="3"/>
      <c r="GB700" s="3"/>
      <c r="GC700" s="3"/>
      <c r="GD700" s="3"/>
      <c r="GE700" s="3"/>
      <c r="GF700" s="3"/>
      <c r="GG700" s="3"/>
      <c r="GH700" s="3"/>
      <c r="GI700" s="3"/>
      <c r="GJ700" s="3"/>
      <c r="GK700" s="3"/>
      <c r="GL700" s="3"/>
      <c r="GM700" s="3"/>
      <c r="GN700" s="3"/>
      <c r="GO700" s="3"/>
      <c r="GP700" s="3"/>
      <c r="GQ700" s="3"/>
      <c r="GR700" s="3"/>
      <c r="GS700" s="3"/>
      <c r="GT700" s="3"/>
      <c r="GU700" s="3"/>
      <c r="GV700" s="3"/>
      <c r="GW700" s="3"/>
      <c r="GX700" s="3">
        <v>0</v>
      </c>
    </row>
    <row r="702" spans="1:206" x14ac:dyDescent="0.2">
      <c r="A702" s="4">
        <v>50</v>
      </c>
      <c r="B702" s="4">
        <v>0</v>
      </c>
      <c r="C702" s="4">
        <v>0</v>
      </c>
      <c r="D702" s="4">
        <v>1</v>
      </c>
      <c r="E702" s="4">
        <v>201</v>
      </c>
      <c r="F702" s="4">
        <f>ROUND(Source!O700,O702)</f>
        <v>0</v>
      </c>
      <c r="G702" s="4" t="s">
        <v>56</v>
      </c>
      <c r="H702" s="4" t="s">
        <v>57</v>
      </c>
      <c r="I702" s="4"/>
      <c r="J702" s="4"/>
      <c r="K702" s="4">
        <v>201</v>
      </c>
      <c r="L702" s="4">
        <v>1</v>
      </c>
      <c r="M702" s="4">
        <v>3</v>
      </c>
      <c r="N702" s="4" t="s">
        <v>3</v>
      </c>
      <c r="O702" s="4">
        <v>2</v>
      </c>
      <c r="P702" s="4"/>
      <c r="Q702" s="4"/>
      <c r="R702" s="4"/>
      <c r="S702" s="4"/>
      <c r="T702" s="4"/>
      <c r="U702" s="4"/>
      <c r="V702" s="4"/>
      <c r="W702" s="4"/>
    </row>
    <row r="703" spans="1:206" x14ac:dyDescent="0.2">
      <c r="A703" s="4">
        <v>50</v>
      </c>
      <c r="B703" s="4">
        <v>0</v>
      </c>
      <c r="C703" s="4">
        <v>0</v>
      </c>
      <c r="D703" s="4">
        <v>1</v>
      </c>
      <c r="E703" s="4">
        <v>202</v>
      </c>
      <c r="F703" s="4">
        <f>ROUND(Source!P700,O703)</f>
        <v>0</v>
      </c>
      <c r="G703" s="4" t="s">
        <v>58</v>
      </c>
      <c r="H703" s="4" t="s">
        <v>59</v>
      </c>
      <c r="I703" s="4"/>
      <c r="J703" s="4"/>
      <c r="K703" s="4">
        <v>202</v>
      </c>
      <c r="L703" s="4">
        <v>2</v>
      </c>
      <c r="M703" s="4">
        <v>3</v>
      </c>
      <c r="N703" s="4" t="s">
        <v>3</v>
      </c>
      <c r="O703" s="4">
        <v>2</v>
      </c>
      <c r="P703" s="4"/>
      <c r="Q703" s="4"/>
      <c r="R703" s="4"/>
      <c r="S703" s="4"/>
      <c r="T703" s="4"/>
      <c r="U703" s="4"/>
      <c r="V703" s="4"/>
      <c r="W703" s="4"/>
    </row>
    <row r="704" spans="1:206" x14ac:dyDescent="0.2">
      <c r="A704" s="4">
        <v>50</v>
      </c>
      <c r="B704" s="4">
        <v>0</v>
      </c>
      <c r="C704" s="4">
        <v>0</v>
      </c>
      <c r="D704" s="4">
        <v>1</v>
      </c>
      <c r="E704" s="4">
        <v>222</v>
      </c>
      <c r="F704" s="4">
        <f>ROUND(Source!AO700,O704)</f>
        <v>0</v>
      </c>
      <c r="G704" s="4" t="s">
        <v>60</v>
      </c>
      <c r="H704" s="4" t="s">
        <v>61</v>
      </c>
      <c r="I704" s="4"/>
      <c r="J704" s="4"/>
      <c r="K704" s="4">
        <v>222</v>
      </c>
      <c r="L704" s="4">
        <v>3</v>
      </c>
      <c r="M704" s="4">
        <v>3</v>
      </c>
      <c r="N704" s="4" t="s">
        <v>3</v>
      </c>
      <c r="O704" s="4">
        <v>2</v>
      </c>
      <c r="P704" s="4"/>
      <c r="Q704" s="4"/>
      <c r="R704" s="4"/>
      <c r="S704" s="4"/>
      <c r="T704" s="4"/>
      <c r="U704" s="4"/>
      <c r="V704" s="4"/>
      <c r="W704" s="4"/>
    </row>
    <row r="705" spans="1:23" x14ac:dyDescent="0.2">
      <c r="A705" s="4">
        <v>50</v>
      </c>
      <c r="B705" s="4">
        <v>0</v>
      </c>
      <c r="C705" s="4">
        <v>0</v>
      </c>
      <c r="D705" s="4">
        <v>1</v>
      </c>
      <c r="E705" s="4">
        <v>225</v>
      </c>
      <c r="F705" s="4">
        <f>ROUND(Source!AV700,O705)</f>
        <v>0</v>
      </c>
      <c r="G705" s="4" t="s">
        <v>62</v>
      </c>
      <c r="H705" s="4" t="s">
        <v>63</v>
      </c>
      <c r="I705" s="4"/>
      <c r="J705" s="4"/>
      <c r="K705" s="4">
        <v>225</v>
      </c>
      <c r="L705" s="4">
        <v>4</v>
      </c>
      <c r="M705" s="4">
        <v>3</v>
      </c>
      <c r="N705" s="4" t="s">
        <v>3</v>
      </c>
      <c r="O705" s="4">
        <v>2</v>
      </c>
      <c r="P705" s="4"/>
      <c r="Q705" s="4"/>
      <c r="R705" s="4"/>
      <c r="S705" s="4"/>
      <c r="T705" s="4"/>
      <c r="U705" s="4"/>
      <c r="V705" s="4"/>
      <c r="W705" s="4"/>
    </row>
    <row r="706" spans="1:23" x14ac:dyDescent="0.2">
      <c r="A706" s="4">
        <v>50</v>
      </c>
      <c r="B706" s="4">
        <v>0</v>
      </c>
      <c r="C706" s="4">
        <v>0</v>
      </c>
      <c r="D706" s="4">
        <v>1</v>
      </c>
      <c r="E706" s="4">
        <v>226</v>
      </c>
      <c r="F706" s="4">
        <f>ROUND(Source!AW700,O706)</f>
        <v>0</v>
      </c>
      <c r="G706" s="4" t="s">
        <v>64</v>
      </c>
      <c r="H706" s="4" t="s">
        <v>65</v>
      </c>
      <c r="I706" s="4"/>
      <c r="J706" s="4"/>
      <c r="K706" s="4">
        <v>226</v>
      </c>
      <c r="L706" s="4">
        <v>5</v>
      </c>
      <c r="M706" s="4">
        <v>3</v>
      </c>
      <c r="N706" s="4" t="s">
        <v>3</v>
      </c>
      <c r="O706" s="4">
        <v>2</v>
      </c>
      <c r="P706" s="4"/>
      <c r="Q706" s="4"/>
      <c r="R706" s="4"/>
      <c r="S706" s="4"/>
      <c r="T706" s="4"/>
      <c r="U706" s="4"/>
      <c r="V706" s="4"/>
      <c r="W706" s="4"/>
    </row>
    <row r="707" spans="1:23" x14ac:dyDescent="0.2">
      <c r="A707" s="4">
        <v>50</v>
      </c>
      <c r="B707" s="4">
        <v>0</v>
      </c>
      <c r="C707" s="4">
        <v>0</v>
      </c>
      <c r="D707" s="4">
        <v>1</v>
      </c>
      <c r="E707" s="4">
        <v>227</v>
      </c>
      <c r="F707" s="4">
        <f>ROUND(Source!AX700,O707)</f>
        <v>0</v>
      </c>
      <c r="G707" s="4" t="s">
        <v>66</v>
      </c>
      <c r="H707" s="4" t="s">
        <v>67</v>
      </c>
      <c r="I707" s="4"/>
      <c r="J707" s="4"/>
      <c r="K707" s="4">
        <v>227</v>
      </c>
      <c r="L707" s="4">
        <v>6</v>
      </c>
      <c r="M707" s="4">
        <v>3</v>
      </c>
      <c r="N707" s="4" t="s">
        <v>3</v>
      </c>
      <c r="O707" s="4">
        <v>2</v>
      </c>
      <c r="P707" s="4"/>
      <c r="Q707" s="4"/>
      <c r="R707" s="4"/>
      <c r="S707" s="4"/>
      <c r="T707" s="4"/>
      <c r="U707" s="4"/>
      <c r="V707" s="4"/>
      <c r="W707" s="4"/>
    </row>
    <row r="708" spans="1:23" x14ac:dyDescent="0.2">
      <c r="A708" s="4">
        <v>50</v>
      </c>
      <c r="B708" s="4">
        <v>0</v>
      </c>
      <c r="C708" s="4">
        <v>0</v>
      </c>
      <c r="D708" s="4">
        <v>1</v>
      </c>
      <c r="E708" s="4">
        <v>228</v>
      </c>
      <c r="F708" s="4">
        <f>ROUND(Source!AY700,O708)</f>
        <v>0</v>
      </c>
      <c r="G708" s="4" t="s">
        <v>68</v>
      </c>
      <c r="H708" s="4" t="s">
        <v>69</v>
      </c>
      <c r="I708" s="4"/>
      <c r="J708" s="4"/>
      <c r="K708" s="4">
        <v>228</v>
      </c>
      <c r="L708" s="4">
        <v>7</v>
      </c>
      <c r="M708" s="4">
        <v>3</v>
      </c>
      <c r="N708" s="4" t="s">
        <v>3</v>
      </c>
      <c r="O708" s="4">
        <v>2</v>
      </c>
      <c r="P708" s="4"/>
      <c r="Q708" s="4"/>
      <c r="R708" s="4"/>
      <c r="S708" s="4"/>
      <c r="T708" s="4"/>
      <c r="U708" s="4"/>
      <c r="V708" s="4"/>
      <c r="W708" s="4"/>
    </row>
    <row r="709" spans="1:23" x14ac:dyDescent="0.2">
      <c r="A709" s="4">
        <v>50</v>
      </c>
      <c r="B709" s="4">
        <v>0</v>
      </c>
      <c r="C709" s="4">
        <v>0</v>
      </c>
      <c r="D709" s="4">
        <v>1</v>
      </c>
      <c r="E709" s="4">
        <v>216</v>
      </c>
      <c r="F709" s="4">
        <f>ROUND(Source!AP700,O709)</f>
        <v>0</v>
      </c>
      <c r="G709" s="4" t="s">
        <v>70</v>
      </c>
      <c r="H709" s="4" t="s">
        <v>71</v>
      </c>
      <c r="I709" s="4"/>
      <c r="J709" s="4"/>
      <c r="K709" s="4">
        <v>216</v>
      </c>
      <c r="L709" s="4">
        <v>8</v>
      </c>
      <c r="M709" s="4">
        <v>3</v>
      </c>
      <c r="N709" s="4" t="s">
        <v>3</v>
      </c>
      <c r="O709" s="4">
        <v>2</v>
      </c>
      <c r="P709" s="4"/>
      <c r="Q709" s="4"/>
      <c r="R709" s="4"/>
      <c r="S709" s="4"/>
      <c r="T709" s="4"/>
      <c r="U709" s="4"/>
      <c r="V709" s="4"/>
      <c r="W709" s="4"/>
    </row>
    <row r="710" spans="1:23" x14ac:dyDescent="0.2">
      <c r="A710" s="4">
        <v>50</v>
      </c>
      <c r="B710" s="4">
        <v>0</v>
      </c>
      <c r="C710" s="4">
        <v>0</v>
      </c>
      <c r="D710" s="4">
        <v>1</v>
      </c>
      <c r="E710" s="4">
        <v>223</v>
      </c>
      <c r="F710" s="4">
        <f>ROUND(Source!AQ700,O710)</f>
        <v>0</v>
      </c>
      <c r="G710" s="4" t="s">
        <v>72</v>
      </c>
      <c r="H710" s="4" t="s">
        <v>73</v>
      </c>
      <c r="I710" s="4"/>
      <c r="J710" s="4"/>
      <c r="K710" s="4">
        <v>223</v>
      </c>
      <c r="L710" s="4">
        <v>9</v>
      </c>
      <c r="M710" s="4">
        <v>3</v>
      </c>
      <c r="N710" s="4" t="s">
        <v>3</v>
      </c>
      <c r="O710" s="4">
        <v>2</v>
      </c>
      <c r="P710" s="4"/>
      <c r="Q710" s="4"/>
      <c r="R710" s="4"/>
      <c r="S710" s="4"/>
      <c r="T710" s="4"/>
      <c r="U710" s="4"/>
      <c r="V710" s="4"/>
      <c r="W710" s="4"/>
    </row>
    <row r="711" spans="1:23" x14ac:dyDescent="0.2">
      <c r="A711" s="4">
        <v>50</v>
      </c>
      <c r="B711" s="4">
        <v>0</v>
      </c>
      <c r="C711" s="4">
        <v>0</v>
      </c>
      <c r="D711" s="4">
        <v>1</v>
      </c>
      <c r="E711" s="4">
        <v>229</v>
      </c>
      <c r="F711" s="4">
        <f>ROUND(Source!AZ700,O711)</f>
        <v>0</v>
      </c>
      <c r="G711" s="4" t="s">
        <v>74</v>
      </c>
      <c r="H711" s="4" t="s">
        <v>75</v>
      </c>
      <c r="I711" s="4"/>
      <c r="J711" s="4"/>
      <c r="K711" s="4">
        <v>229</v>
      </c>
      <c r="L711" s="4">
        <v>10</v>
      </c>
      <c r="M711" s="4">
        <v>3</v>
      </c>
      <c r="N711" s="4" t="s">
        <v>3</v>
      </c>
      <c r="O711" s="4">
        <v>2</v>
      </c>
      <c r="P711" s="4"/>
      <c r="Q711" s="4"/>
      <c r="R711" s="4"/>
      <c r="S711" s="4"/>
      <c r="T711" s="4"/>
      <c r="U711" s="4"/>
      <c r="V711" s="4"/>
      <c r="W711" s="4"/>
    </row>
    <row r="712" spans="1:23" x14ac:dyDescent="0.2">
      <c r="A712" s="4">
        <v>50</v>
      </c>
      <c r="B712" s="4">
        <v>0</v>
      </c>
      <c r="C712" s="4">
        <v>0</v>
      </c>
      <c r="D712" s="4">
        <v>1</v>
      </c>
      <c r="E712" s="4">
        <v>203</v>
      </c>
      <c r="F712" s="4">
        <f>ROUND(Source!Q700,O712)</f>
        <v>0</v>
      </c>
      <c r="G712" s="4" t="s">
        <v>76</v>
      </c>
      <c r="H712" s="4" t="s">
        <v>77</v>
      </c>
      <c r="I712" s="4"/>
      <c r="J712" s="4"/>
      <c r="K712" s="4">
        <v>203</v>
      </c>
      <c r="L712" s="4">
        <v>11</v>
      </c>
      <c r="M712" s="4">
        <v>3</v>
      </c>
      <c r="N712" s="4" t="s">
        <v>3</v>
      </c>
      <c r="O712" s="4">
        <v>2</v>
      </c>
      <c r="P712" s="4"/>
      <c r="Q712" s="4"/>
      <c r="R712" s="4"/>
      <c r="S712" s="4"/>
      <c r="T712" s="4"/>
      <c r="U712" s="4"/>
      <c r="V712" s="4"/>
      <c r="W712" s="4"/>
    </row>
    <row r="713" spans="1:23" x14ac:dyDescent="0.2">
      <c r="A713" s="4">
        <v>50</v>
      </c>
      <c r="B713" s="4">
        <v>0</v>
      </c>
      <c r="C713" s="4">
        <v>0</v>
      </c>
      <c r="D713" s="4">
        <v>1</v>
      </c>
      <c r="E713" s="4">
        <v>231</v>
      </c>
      <c r="F713" s="4">
        <f>ROUND(Source!BB700,O713)</f>
        <v>0</v>
      </c>
      <c r="G713" s="4" t="s">
        <v>78</v>
      </c>
      <c r="H713" s="4" t="s">
        <v>79</v>
      </c>
      <c r="I713" s="4"/>
      <c r="J713" s="4"/>
      <c r="K713" s="4">
        <v>231</v>
      </c>
      <c r="L713" s="4">
        <v>12</v>
      </c>
      <c r="M713" s="4">
        <v>3</v>
      </c>
      <c r="N713" s="4" t="s">
        <v>3</v>
      </c>
      <c r="O713" s="4">
        <v>2</v>
      </c>
      <c r="P713" s="4"/>
      <c r="Q713" s="4"/>
      <c r="R713" s="4"/>
      <c r="S713" s="4"/>
      <c r="T713" s="4"/>
      <c r="U713" s="4"/>
      <c r="V713" s="4"/>
      <c r="W713" s="4"/>
    </row>
    <row r="714" spans="1:23" x14ac:dyDescent="0.2">
      <c r="A714" s="4">
        <v>50</v>
      </c>
      <c r="B714" s="4">
        <v>0</v>
      </c>
      <c r="C714" s="4">
        <v>0</v>
      </c>
      <c r="D714" s="4">
        <v>1</v>
      </c>
      <c r="E714" s="4">
        <v>204</v>
      </c>
      <c r="F714" s="4">
        <f>ROUND(Source!R700,O714)</f>
        <v>0</v>
      </c>
      <c r="G714" s="4" t="s">
        <v>80</v>
      </c>
      <c r="H714" s="4" t="s">
        <v>81</v>
      </c>
      <c r="I714" s="4"/>
      <c r="J714" s="4"/>
      <c r="K714" s="4">
        <v>204</v>
      </c>
      <c r="L714" s="4">
        <v>13</v>
      </c>
      <c r="M714" s="4">
        <v>3</v>
      </c>
      <c r="N714" s="4" t="s">
        <v>3</v>
      </c>
      <c r="O714" s="4">
        <v>2</v>
      </c>
      <c r="P714" s="4"/>
      <c r="Q714" s="4"/>
      <c r="R714" s="4"/>
      <c r="S714" s="4"/>
      <c r="T714" s="4"/>
      <c r="U714" s="4"/>
      <c r="V714" s="4"/>
      <c r="W714" s="4"/>
    </row>
    <row r="715" spans="1:23" x14ac:dyDescent="0.2">
      <c r="A715" s="4">
        <v>50</v>
      </c>
      <c r="B715" s="4">
        <v>0</v>
      </c>
      <c r="C715" s="4">
        <v>0</v>
      </c>
      <c r="D715" s="4">
        <v>1</v>
      </c>
      <c r="E715" s="4">
        <v>205</v>
      </c>
      <c r="F715" s="4">
        <f>ROUND(Source!S700,O715)</f>
        <v>0</v>
      </c>
      <c r="G715" s="4" t="s">
        <v>82</v>
      </c>
      <c r="H715" s="4" t="s">
        <v>83</v>
      </c>
      <c r="I715" s="4"/>
      <c r="J715" s="4"/>
      <c r="K715" s="4">
        <v>205</v>
      </c>
      <c r="L715" s="4">
        <v>14</v>
      </c>
      <c r="M715" s="4">
        <v>3</v>
      </c>
      <c r="N715" s="4" t="s">
        <v>3</v>
      </c>
      <c r="O715" s="4">
        <v>2</v>
      </c>
      <c r="P715" s="4"/>
      <c r="Q715" s="4"/>
      <c r="R715" s="4"/>
      <c r="S715" s="4"/>
      <c r="T715" s="4"/>
      <c r="U715" s="4"/>
      <c r="V715" s="4"/>
      <c r="W715" s="4"/>
    </row>
    <row r="716" spans="1:23" x14ac:dyDescent="0.2">
      <c r="A716" s="4">
        <v>50</v>
      </c>
      <c r="B716" s="4">
        <v>0</v>
      </c>
      <c r="C716" s="4">
        <v>0</v>
      </c>
      <c r="D716" s="4">
        <v>1</v>
      </c>
      <c r="E716" s="4">
        <v>232</v>
      </c>
      <c r="F716" s="4">
        <f>ROUND(Source!BC700,O716)</f>
        <v>0</v>
      </c>
      <c r="G716" s="4" t="s">
        <v>84</v>
      </c>
      <c r="H716" s="4" t="s">
        <v>85</v>
      </c>
      <c r="I716" s="4"/>
      <c r="J716" s="4"/>
      <c r="K716" s="4">
        <v>232</v>
      </c>
      <c r="L716" s="4">
        <v>15</v>
      </c>
      <c r="M716" s="4">
        <v>3</v>
      </c>
      <c r="N716" s="4" t="s">
        <v>3</v>
      </c>
      <c r="O716" s="4">
        <v>2</v>
      </c>
      <c r="P716" s="4"/>
      <c r="Q716" s="4"/>
      <c r="R716" s="4"/>
      <c r="S716" s="4"/>
      <c r="T716" s="4"/>
      <c r="U716" s="4"/>
      <c r="V716" s="4"/>
      <c r="W716" s="4"/>
    </row>
    <row r="717" spans="1:23" x14ac:dyDescent="0.2">
      <c r="A717" s="4">
        <v>50</v>
      </c>
      <c r="B717" s="4">
        <v>0</v>
      </c>
      <c r="C717" s="4">
        <v>0</v>
      </c>
      <c r="D717" s="4">
        <v>1</v>
      </c>
      <c r="E717" s="4">
        <v>214</v>
      </c>
      <c r="F717" s="4">
        <f>ROUND(Source!AS700,O717)</f>
        <v>0</v>
      </c>
      <c r="G717" s="4" t="s">
        <v>86</v>
      </c>
      <c r="H717" s="4" t="s">
        <v>87</v>
      </c>
      <c r="I717" s="4"/>
      <c r="J717" s="4"/>
      <c r="K717" s="4">
        <v>214</v>
      </c>
      <c r="L717" s="4">
        <v>16</v>
      </c>
      <c r="M717" s="4">
        <v>3</v>
      </c>
      <c r="N717" s="4" t="s">
        <v>3</v>
      </c>
      <c r="O717" s="4">
        <v>2</v>
      </c>
      <c r="P717" s="4"/>
      <c r="Q717" s="4"/>
      <c r="R717" s="4"/>
      <c r="S717" s="4"/>
      <c r="T717" s="4"/>
      <c r="U717" s="4"/>
      <c r="V717" s="4"/>
      <c r="W717" s="4"/>
    </row>
    <row r="718" spans="1:23" x14ac:dyDescent="0.2">
      <c r="A718" s="4">
        <v>50</v>
      </c>
      <c r="B718" s="4">
        <v>0</v>
      </c>
      <c r="C718" s="4">
        <v>0</v>
      </c>
      <c r="D718" s="4">
        <v>1</v>
      </c>
      <c r="E718" s="4">
        <v>215</v>
      </c>
      <c r="F718" s="4">
        <f>ROUND(Source!AT700,O718)</f>
        <v>0</v>
      </c>
      <c r="G718" s="4" t="s">
        <v>88</v>
      </c>
      <c r="H718" s="4" t="s">
        <v>89</v>
      </c>
      <c r="I718" s="4"/>
      <c r="J718" s="4"/>
      <c r="K718" s="4">
        <v>215</v>
      </c>
      <c r="L718" s="4">
        <v>17</v>
      </c>
      <c r="M718" s="4">
        <v>3</v>
      </c>
      <c r="N718" s="4" t="s">
        <v>3</v>
      </c>
      <c r="O718" s="4">
        <v>2</v>
      </c>
      <c r="P718" s="4"/>
      <c r="Q718" s="4"/>
      <c r="R718" s="4"/>
      <c r="S718" s="4"/>
      <c r="T718" s="4"/>
      <c r="U718" s="4"/>
      <c r="V718" s="4"/>
      <c r="W718" s="4"/>
    </row>
    <row r="719" spans="1:23" x14ac:dyDescent="0.2">
      <c r="A719" s="4">
        <v>50</v>
      </c>
      <c r="B719" s="4">
        <v>0</v>
      </c>
      <c r="C719" s="4">
        <v>0</v>
      </c>
      <c r="D719" s="4">
        <v>1</v>
      </c>
      <c r="E719" s="4">
        <v>217</v>
      </c>
      <c r="F719" s="4">
        <f>ROUND(Source!AU700,O719)</f>
        <v>0</v>
      </c>
      <c r="G719" s="4" t="s">
        <v>90</v>
      </c>
      <c r="H719" s="4" t="s">
        <v>91</v>
      </c>
      <c r="I719" s="4"/>
      <c r="J719" s="4"/>
      <c r="K719" s="4">
        <v>217</v>
      </c>
      <c r="L719" s="4">
        <v>18</v>
      </c>
      <c r="M719" s="4">
        <v>3</v>
      </c>
      <c r="N719" s="4" t="s">
        <v>3</v>
      </c>
      <c r="O719" s="4">
        <v>2</v>
      </c>
      <c r="P719" s="4"/>
      <c r="Q719" s="4"/>
      <c r="R719" s="4"/>
      <c r="S719" s="4"/>
      <c r="T719" s="4"/>
      <c r="U719" s="4"/>
      <c r="V719" s="4"/>
      <c r="W719" s="4"/>
    </row>
    <row r="720" spans="1:23" x14ac:dyDescent="0.2">
      <c r="A720" s="4">
        <v>50</v>
      </c>
      <c r="B720" s="4">
        <v>0</v>
      </c>
      <c r="C720" s="4">
        <v>0</v>
      </c>
      <c r="D720" s="4">
        <v>1</v>
      </c>
      <c r="E720" s="4">
        <v>230</v>
      </c>
      <c r="F720" s="4">
        <f>ROUND(Source!BA700,O720)</f>
        <v>0</v>
      </c>
      <c r="G720" s="4" t="s">
        <v>92</v>
      </c>
      <c r="H720" s="4" t="s">
        <v>93</v>
      </c>
      <c r="I720" s="4"/>
      <c r="J720" s="4"/>
      <c r="K720" s="4">
        <v>230</v>
      </c>
      <c r="L720" s="4">
        <v>19</v>
      </c>
      <c r="M720" s="4">
        <v>3</v>
      </c>
      <c r="N720" s="4" t="s">
        <v>3</v>
      </c>
      <c r="O720" s="4">
        <v>2</v>
      </c>
      <c r="P720" s="4"/>
      <c r="Q720" s="4"/>
      <c r="R720" s="4"/>
      <c r="S720" s="4"/>
      <c r="T720" s="4"/>
      <c r="U720" s="4"/>
      <c r="V720" s="4"/>
      <c r="W720" s="4"/>
    </row>
    <row r="721" spans="1:206" x14ac:dyDescent="0.2">
      <c r="A721" s="4">
        <v>50</v>
      </c>
      <c r="B721" s="4">
        <v>0</v>
      </c>
      <c r="C721" s="4">
        <v>0</v>
      </c>
      <c r="D721" s="4">
        <v>1</v>
      </c>
      <c r="E721" s="4">
        <v>206</v>
      </c>
      <c r="F721" s="4">
        <f>ROUND(Source!T700,O721)</f>
        <v>0</v>
      </c>
      <c r="G721" s="4" t="s">
        <v>94</v>
      </c>
      <c r="H721" s="4" t="s">
        <v>95</v>
      </c>
      <c r="I721" s="4"/>
      <c r="J721" s="4"/>
      <c r="K721" s="4">
        <v>206</v>
      </c>
      <c r="L721" s="4">
        <v>20</v>
      </c>
      <c r="M721" s="4">
        <v>3</v>
      </c>
      <c r="N721" s="4" t="s">
        <v>3</v>
      </c>
      <c r="O721" s="4">
        <v>2</v>
      </c>
      <c r="P721" s="4"/>
      <c r="Q721" s="4"/>
      <c r="R721" s="4"/>
      <c r="S721" s="4"/>
      <c r="T721" s="4"/>
      <c r="U721" s="4"/>
      <c r="V721" s="4"/>
      <c r="W721" s="4"/>
    </row>
    <row r="722" spans="1:206" x14ac:dyDescent="0.2">
      <c r="A722" s="4">
        <v>50</v>
      </c>
      <c r="B722" s="4">
        <v>0</v>
      </c>
      <c r="C722" s="4">
        <v>0</v>
      </c>
      <c r="D722" s="4">
        <v>1</v>
      </c>
      <c r="E722" s="4">
        <v>207</v>
      </c>
      <c r="F722" s="4">
        <f>Source!U700</f>
        <v>0</v>
      </c>
      <c r="G722" s="4" t="s">
        <v>96</v>
      </c>
      <c r="H722" s="4" t="s">
        <v>97</v>
      </c>
      <c r="I722" s="4"/>
      <c r="J722" s="4"/>
      <c r="K722" s="4">
        <v>207</v>
      </c>
      <c r="L722" s="4">
        <v>21</v>
      </c>
      <c r="M722" s="4">
        <v>3</v>
      </c>
      <c r="N722" s="4" t="s">
        <v>3</v>
      </c>
      <c r="O722" s="4">
        <v>-1</v>
      </c>
      <c r="P722" s="4"/>
      <c r="Q722" s="4"/>
      <c r="R722" s="4"/>
      <c r="S722" s="4"/>
      <c r="T722" s="4"/>
      <c r="U722" s="4"/>
      <c r="V722" s="4"/>
      <c r="W722" s="4"/>
    </row>
    <row r="723" spans="1:206" x14ac:dyDescent="0.2">
      <c r="A723" s="4">
        <v>50</v>
      </c>
      <c r="B723" s="4">
        <v>0</v>
      </c>
      <c r="C723" s="4">
        <v>0</v>
      </c>
      <c r="D723" s="4">
        <v>1</v>
      </c>
      <c r="E723" s="4">
        <v>208</v>
      </c>
      <c r="F723" s="4">
        <f>Source!V700</f>
        <v>0</v>
      </c>
      <c r="G723" s="4" t="s">
        <v>98</v>
      </c>
      <c r="H723" s="4" t="s">
        <v>99</v>
      </c>
      <c r="I723" s="4"/>
      <c r="J723" s="4"/>
      <c r="K723" s="4">
        <v>208</v>
      </c>
      <c r="L723" s="4">
        <v>22</v>
      </c>
      <c r="M723" s="4">
        <v>3</v>
      </c>
      <c r="N723" s="4" t="s">
        <v>3</v>
      </c>
      <c r="O723" s="4">
        <v>-1</v>
      </c>
      <c r="P723" s="4"/>
      <c r="Q723" s="4"/>
      <c r="R723" s="4"/>
      <c r="S723" s="4"/>
      <c r="T723" s="4"/>
      <c r="U723" s="4"/>
      <c r="V723" s="4"/>
      <c r="W723" s="4"/>
    </row>
    <row r="724" spans="1:206" x14ac:dyDescent="0.2">
      <c r="A724" s="4">
        <v>50</v>
      </c>
      <c r="B724" s="4">
        <v>0</v>
      </c>
      <c r="C724" s="4">
        <v>0</v>
      </c>
      <c r="D724" s="4">
        <v>1</v>
      </c>
      <c r="E724" s="4">
        <v>209</v>
      </c>
      <c r="F724" s="4">
        <f>ROUND(Source!W700,O724)</f>
        <v>0</v>
      </c>
      <c r="G724" s="4" t="s">
        <v>100</v>
      </c>
      <c r="H724" s="4" t="s">
        <v>101</v>
      </c>
      <c r="I724" s="4"/>
      <c r="J724" s="4"/>
      <c r="K724" s="4">
        <v>209</v>
      </c>
      <c r="L724" s="4">
        <v>23</v>
      </c>
      <c r="M724" s="4">
        <v>3</v>
      </c>
      <c r="N724" s="4" t="s">
        <v>3</v>
      </c>
      <c r="O724" s="4">
        <v>2</v>
      </c>
      <c r="P724" s="4"/>
      <c r="Q724" s="4"/>
      <c r="R724" s="4"/>
      <c r="S724" s="4"/>
      <c r="T724" s="4"/>
      <c r="U724" s="4"/>
      <c r="V724" s="4"/>
      <c r="W724" s="4"/>
    </row>
    <row r="725" spans="1:206" x14ac:dyDescent="0.2">
      <c r="A725" s="4">
        <v>50</v>
      </c>
      <c r="B725" s="4">
        <v>0</v>
      </c>
      <c r="C725" s="4">
        <v>0</v>
      </c>
      <c r="D725" s="4">
        <v>1</v>
      </c>
      <c r="E725" s="4">
        <v>233</v>
      </c>
      <c r="F725" s="4">
        <f>ROUND(Source!BD700,O725)</f>
        <v>0</v>
      </c>
      <c r="G725" s="4" t="s">
        <v>102</v>
      </c>
      <c r="H725" s="4" t="s">
        <v>103</v>
      </c>
      <c r="I725" s="4"/>
      <c r="J725" s="4"/>
      <c r="K725" s="4">
        <v>233</v>
      </c>
      <c r="L725" s="4">
        <v>24</v>
      </c>
      <c r="M725" s="4">
        <v>3</v>
      </c>
      <c r="N725" s="4" t="s">
        <v>3</v>
      </c>
      <c r="O725" s="4">
        <v>2</v>
      </c>
      <c r="P725" s="4"/>
      <c r="Q725" s="4"/>
      <c r="R725" s="4"/>
      <c r="S725" s="4"/>
      <c r="T725" s="4"/>
      <c r="U725" s="4"/>
      <c r="V725" s="4"/>
      <c r="W725" s="4"/>
    </row>
    <row r="726" spans="1:206" x14ac:dyDescent="0.2">
      <c r="A726" s="4">
        <v>50</v>
      </c>
      <c r="B726" s="4">
        <v>0</v>
      </c>
      <c r="C726" s="4">
        <v>0</v>
      </c>
      <c r="D726" s="4">
        <v>1</v>
      </c>
      <c r="E726" s="4">
        <v>210</v>
      </c>
      <c r="F726" s="4">
        <f>ROUND(Source!X700,O726)</f>
        <v>0</v>
      </c>
      <c r="G726" s="4" t="s">
        <v>104</v>
      </c>
      <c r="H726" s="4" t="s">
        <v>105</v>
      </c>
      <c r="I726" s="4"/>
      <c r="J726" s="4"/>
      <c r="K726" s="4">
        <v>210</v>
      </c>
      <c r="L726" s="4">
        <v>25</v>
      </c>
      <c r="M726" s="4">
        <v>3</v>
      </c>
      <c r="N726" s="4" t="s">
        <v>3</v>
      </c>
      <c r="O726" s="4">
        <v>2</v>
      </c>
      <c r="P726" s="4"/>
      <c r="Q726" s="4"/>
      <c r="R726" s="4"/>
      <c r="S726" s="4"/>
      <c r="T726" s="4"/>
      <c r="U726" s="4"/>
      <c r="V726" s="4"/>
      <c r="W726" s="4"/>
    </row>
    <row r="727" spans="1:206" x14ac:dyDescent="0.2">
      <c r="A727" s="4">
        <v>50</v>
      </c>
      <c r="B727" s="4">
        <v>0</v>
      </c>
      <c r="C727" s="4">
        <v>0</v>
      </c>
      <c r="D727" s="4">
        <v>1</v>
      </c>
      <c r="E727" s="4">
        <v>211</v>
      </c>
      <c r="F727" s="4">
        <f>ROUND(Source!Y700,O727)</f>
        <v>0</v>
      </c>
      <c r="G727" s="4" t="s">
        <v>106</v>
      </c>
      <c r="H727" s="4" t="s">
        <v>107</v>
      </c>
      <c r="I727" s="4"/>
      <c r="J727" s="4"/>
      <c r="K727" s="4">
        <v>211</v>
      </c>
      <c r="L727" s="4">
        <v>26</v>
      </c>
      <c r="M727" s="4">
        <v>3</v>
      </c>
      <c r="N727" s="4" t="s">
        <v>3</v>
      </c>
      <c r="O727" s="4">
        <v>2</v>
      </c>
      <c r="P727" s="4"/>
      <c r="Q727" s="4"/>
      <c r="R727" s="4"/>
      <c r="S727" s="4"/>
      <c r="T727" s="4"/>
      <c r="U727" s="4"/>
      <c r="V727" s="4"/>
      <c r="W727" s="4"/>
    </row>
    <row r="728" spans="1:206" x14ac:dyDescent="0.2">
      <c r="A728" s="4">
        <v>50</v>
      </c>
      <c r="B728" s="4">
        <v>0</v>
      </c>
      <c r="C728" s="4">
        <v>0</v>
      </c>
      <c r="D728" s="4">
        <v>1</v>
      </c>
      <c r="E728" s="4">
        <v>224</v>
      </c>
      <c r="F728" s="4">
        <f>ROUND(Source!AR700,O728)</f>
        <v>0</v>
      </c>
      <c r="G728" s="4" t="s">
        <v>108</v>
      </c>
      <c r="H728" s="4" t="s">
        <v>109</v>
      </c>
      <c r="I728" s="4"/>
      <c r="J728" s="4"/>
      <c r="K728" s="4">
        <v>224</v>
      </c>
      <c r="L728" s="4">
        <v>27</v>
      </c>
      <c r="M728" s="4">
        <v>3</v>
      </c>
      <c r="N728" s="4" t="s">
        <v>3</v>
      </c>
      <c r="O728" s="4">
        <v>2</v>
      </c>
      <c r="P728" s="4"/>
      <c r="Q728" s="4"/>
      <c r="R728" s="4"/>
      <c r="S728" s="4"/>
      <c r="T728" s="4"/>
      <c r="U728" s="4"/>
      <c r="V728" s="4"/>
      <c r="W728" s="4"/>
    </row>
    <row r="730" spans="1:206" x14ac:dyDescent="0.2">
      <c r="A730" s="1">
        <v>5</v>
      </c>
      <c r="B730" s="1">
        <v>1</v>
      </c>
      <c r="C730" s="1"/>
      <c r="D730" s="1">
        <f>ROW(A734)</f>
        <v>734</v>
      </c>
      <c r="E730" s="1"/>
      <c r="F730" s="1" t="s">
        <v>17</v>
      </c>
      <c r="G730" s="1" t="s">
        <v>169</v>
      </c>
      <c r="H730" s="1" t="s">
        <v>3</v>
      </c>
      <c r="I730" s="1">
        <v>0</v>
      </c>
      <c r="J730" s="1"/>
      <c r="K730" s="1">
        <v>0</v>
      </c>
      <c r="L730" s="1"/>
      <c r="M730" s="1"/>
      <c r="N730" s="1"/>
      <c r="O730" s="1"/>
      <c r="P730" s="1"/>
      <c r="Q730" s="1"/>
      <c r="R730" s="1"/>
      <c r="S730" s="1"/>
      <c r="T730" s="1"/>
      <c r="U730" s="1" t="s">
        <v>3</v>
      </c>
      <c r="V730" s="1">
        <v>0</v>
      </c>
      <c r="W730" s="1"/>
      <c r="X730" s="1"/>
      <c r="Y730" s="1"/>
      <c r="Z730" s="1"/>
      <c r="AA730" s="1"/>
      <c r="AB730" s="1" t="s">
        <v>3</v>
      </c>
      <c r="AC730" s="1" t="s">
        <v>3</v>
      </c>
      <c r="AD730" s="1" t="s">
        <v>3</v>
      </c>
      <c r="AE730" s="1" t="s">
        <v>3</v>
      </c>
      <c r="AF730" s="1" t="s">
        <v>3</v>
      </c>
      <c r="AG730" s="1" t="s">
        <v>3</v>
      </c>
      <c r="AH730" s="1"/>
      <c r="AI730" s="1"/>
      <c r="AJ730" s="1"/>
      <c r="AK730" s="1"/>
      <c r="AL730" s="1"/>
      <c r="AM730" s="1"/>
      <c r="AN730" s="1"/>
      <c r="AO730" s="1"/>
      <c r="AP730" s="1" t="s">
        <v>3</v>
      </c>
      <c r="AQ730" s="1" t="s">
        <v>3</v>
      </c>
      <c r="AR730" s="1" t="s">
        <v>3</v>
      </c>
      <c r="AS730" s="1"/>
      <c r="AT730" s="1"/>
      <c r="AU730" s="1"/>
      <c r="AV730" s="1"/>
      <c r="AW730" s="1"/>
      <c r="AX730" s="1"/>
      <c r="AY730" s="1"/>
      <c r="AZ730" s="1" t="s">
        <v>3</v>
      </c>
      <c r="BA730" s="1"/>
      <c r="BB730" s="1" t="s">
        <v>3</v>
      </c>
      <c r="BC730" s="1" t="s">
        <v>3</v>
      </c>
      <c r="BD730" s="1" t="s">
        <v>3</v>
      </c>
      <c r="BE730" s="1" t="s">
        <v>3</v>
      </c>
      <c r="BF730" s="1" t="s">
        <v>3</v>
      </c>
      <c r="BG730" s="1" t="s">
        <v>3</v>
      </c>
      <c r="BH730" s="1" t="s">
        <v>3</v>
      </c>
      <c r="BI730" s="1" t="s">
        <v>3</v>
      </c>
      <c r="BJ730" s="1" t="s">
        <v>3</v>
      </c>
      <c r="BK730" s="1" t="s">
        <v>3</v>
      </c>
      <c r="BL730" s="1" t="s">
        <v>3</v>
      </c>
      <c r="BM730" s="1" t="s">
        <v>3</v>
      </c>
      <c r="BN730" s="1" t="s">
        <v>3</v>
      </c>
      <c r="BO730" s="1" t="s">
        <v>3</v>
      </c>
      <c r="BP730" s="1" t="s">
        <v>3</v>
      </c>
      <c r="BQ730" s="1"/>
      <c r="BR730" s="1"/>
      <c r="BS730" s="1"/>
      <c r="BT730" s="1"/>
      <c r="BU730" s="1"/>
      <c r="BV730" s="1"/>
      <c r="BW730" s="1"/>
      <c r="BX730" s="1">
        <v>0</v>
      </c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>
        <v>0</v>
      </c>
    </row>
    <row r="732" spans="1:206" x14ac:dyDescent="0.2">
      <c r="A732" s="2">
        <v>52</v>
      </c>
      <c r="B732" s="2">
        <f t="shared" ref="B732:G732" si="526">B734</f>
        <v>1</v>
      </c>
      <c r="C732" s="2">
        <f t="shared" si="526"/>
        <v>5</v>
      </c>
      <c r="D732" s="2">
        <f t="shared" si="526"/>
        <v>730</v>
      </c>
      <c r="E732" s="2">
        <f t="shared" si="526"/>
        <v>0</v>
      </c>
      <c r="F732" s="2" t="str">
        <f t="shared" si="526"/>
        <v>Новый подраздел</v>
      </c>
      <c r="G732" s="2" t="str">
        <f t="shared" si="526"/>
        <v>Установка ограждения</v>
      </c>
      <c r="H732" s="2"/>
      <c r="I732" s="2"/>
      <c r="J732" s="2"/>
      <c r="K732" s="2"/>
      <c r="L732" s="2"/>
      <c r="M732" s="2"/>
      <c r="N732" s="2"/>
      <c r="O732" s="2">
        <f t="shared" ref="O732:AT732" si="527">O734</f>
        <v>0</v>
      </c>
      <c r="P732" s="2">
        <f t="shared" si="527"/>
        <v>0</v>
      </c>
      <c r="Q732" s="2">
        <f t="shared" si="527"/>
        <v>0</v>
      </c>
      <c r="R732" s="2">
        <f t="shared" si="527"/>
        <v>0</v>
      </c>
      <c r="S732" s="2">
        <f t="shared" si="527"/>
        <v>0</v>
      </c>
      <c r="T732" s="2">
        <f t="shared" si="527"/>
        <v>0</v>
      </c>
      <c r="U732" s="2">
        <f t="shared" si="527"/>
        <v>0</v>
      </c>
      <c r="V732" s="2">
        <f t="shared" si="527"/>
        <v>0</v>
      </c>
      <c r="W732" s="2">
        <f t="shared" si="527"/>
        <v>0</v>
      </c>
      <c r="X732" s="2">
        <f t="shared" si="527"/>
        <v>0</v>
      </c>
      <c r="Y732" s="2">
        <f t="shared" si="527"/>
        <v>0</v>
      </c>
      <c r="Z732" s="2">
        <f t="shared" si="527"/>
        <v>0</v>
      </c>
      <c r="AA732" s="2">
        <f t="shared" si="527"/>
        <v>0</v>
      </c>
      <c r="AB732" s="2">
        <f t="shared" si="527"/>
        <v>0</v>
      </c>
      <c r="AC732" s="2">
        <f t="shared" si="527"/>
        <v>0</v>
      </c>
      <c r="AD732" s="2">
        <f t="shared" si="527"/>
        <v>0</v>
      </c>
      <c r="AE732" s="2">
        <f t="shared" si="527"/>
        <v>0</v>
      </c>
      <c r="AF732" s="2">
        <f t="shared" si="527"/>
        <v>0</v>
      </c>
      <c r="AG732" s="2">
        <f t="shared" si="527"/>
        <v>0</v>
      </c>
      <c r="AH732" s="2">
        <f t="shared" si="527"/>
        <v>0</v>
      </c>
      <c r="AI732" s="2">
        <f t="shared" si="527"/>
        <v>0</v>
      </c>
      <c r="AJ732" s="2">
        <f t="shared" si="527"/>
        <v>0</v>
      </c>
      <c r="AK732" s="2">
        <f t="shared" si="527"/>
        <v>0</v>
      </c>
      <c r="AL732" s="2">
        <f t="shared" si="527"/>
        <v>0</v>
      </c>
      <c r="AM732" s="2">
        <f t="shared" si="527"/>
        <v>0</v>
      </c>
      <c r="AN732" s="2">
        <f t="shared" si="527"/>
        <v>0</v>
      </c>
      <c r="AO732" s="2">
        <f t="shared" si="527"/>
        <v>0</v>
      </c>
      <c r="AP732" s="2">
        <f t="shared" si="527"/>
        <v>0</v>
      </c>
      <c r="AQ732" s="2">
        <f t="shared" si="527"/>
        <v>0</v>
      </c>
      <c r="AR732" s="2">
        <f t="shared" si="527"/>
        <v>0</v>
      </c>
      <c r="AS732" s="2">
        <f t="shared" si="527"/>
        <v>0</v>
      </c>
      <c r="AT732" s="2">
        <f t="shared" si="527"/>
        <v>0</v>
      </c>
      <c r="AU732" s="2">
        <f t="shared" ref="AU732:BZ732" si="528">AU734</f>
        <v>0</v>
      </c>
      <c r="AV732" s="2">
        <f t="shared" si="528"/>
        <v>0</v>
      </c>
      <c r="AW732" s="2">
        <f t="shared" si="528"/>
        <v>0</v>
      </c>
      <c r="AX732" s="2">
        <f t="shared" si="528"/>
        <v>0</v>
      </c>
      <c r="AY732" s="2">
        <f t="shared" si="528"/>
        <v>0</v>
      </c>
      <c r="AZ732" s="2">
        <f t="shared" si="528"/>
        <v>0</v>
      </c>
      <c r="BA732" s="2">
        <f t="shared" si="528"/>
        <v>0</v>
      </c>
      <c r="BB732" s="2">
        <f t="shared" si="528"/>
        <v>0</v>
      </c>
      <c r="BC732" s="2">
        <f t="shared" si="528"/>
        <v>0</v>
      </c>
      <c r="BD732" s="2">
        <f t="shared" si="528"/>
        <v>0</v>
      </c>
      <c r="BE732" s="2">
        <f t="shared" si="528"/>
        <v>0</v>
      </c>
      <c r="BF732" s="2">
        <f t="shared" si="528"/>
        <v>0</v>
      </c>
      <c r="BG732" s="2">
        <f t="shared" si="528"/>
        <v>0</v>
      </c>
      <c r="BH732" s="2">
        <f t="shared" si="528"/>
        <v>0</v>
      </c>
      <c r="BI732" s="2">
        <f t="shared" si="528"/>
        <v>0</v>
      </c>
      <c r="BJ732" s="2">
        <f t="shared" si="528"/>
        <v>0</v>
      </c>
      <c r="BK732" s="2">
        <f t="shared" si="528"/>
        <v>0</v>
      </c>
      <c r="BL732" s="2">
        <f t="shared" si="528"/>
        <v>0</v>
      </c>
      <c r="BM732" s="2">
        <f t="shared" si="528"/>
        <v>0</v>
      </c>
      <c r="BN732" s="2">
        <f t="shared" si="528"/>
        <v>0</v>
      </c>
      <c r="BO732" s="2">
        <f t="shared" si="528"/>
        <v>0</v>
      </c>
      <c r="BP732" s="2">
        <f t="shared" si="528"/>
        <v>0</v>
      </c>
      <c r="BQ732" s="2">
        <f t="shared" si="528"/>
        <v>0</v>
      </c>
      <c r="BR732" s="2">
        <f t="shared" si="528"/>
        <v>0</v>
      </c>
      <c r="BS732" s="2">
        <f t="shared" si="528"/>
        <v>0</v>
      </c>
      <c r="BT732" s="2">
        <f t="shared" si="528"/>
        <v>0</v>
      </c>
      <c r="BU732" s="2">
        <f t="shared" si="528"/>
        <v>0</v>
      </c>
      <c r="BV732" s="2">
        <f t="shared" si="528"/>
        <v>0</v>
      </c>
      <c r="BW732" s="2">
        <f t="shared" si="528"/>
        <v>0</v>
      </c>
      <c r="BX732" s="2">
        <f t="shared" si="528"/>
        <v>0</v>
      </c>
      <c r="BY732" s="2">
        <f t="shared" si="528"/>
        <v>0</v>
      </c>
      <c r="BZ732" s="2">
        <f t="shared" si="528"/>
        <v>0</v>
      </c>
      <c r="CA732" s="2">
        <f t="shared" ref="CA732:DF732" si="529">CA734</f>
        <v>0</v>
      </c>
      <c r="CB732" s="2">
        <f t="shared" si="529"/>
        <v>0</v>
      </c>
      <c r="CC732" s="2">
        <f t="shared" si="529"/>
        <v>0</v>
      </c>
      <c r="CD732" s="2">
        <f t="shared" si="529"/>
        <v>0</v>
      </c>
      <c r="CE732" s="2">
        <f t="shared" si="529"/>
        <v>0</v>
      </c>
      <c r="CF732" s="2">
        <f t="shared" si="529"/>
        <v>0</v>
      </c>
      <c r="CG732" s="2">
        <f t="shared" si="529"/>
        <v>0</v>
      </c>
      <c r="CH732" s="2">
        <f t="shared" si="529"/>
        <v>0</v>
      </c>
      <c r="CI732" s="2">
        <f t="shared" si="529"/>
        <v>0</v>
      </c>
      <c r="CJ732" s="2">
        <f t="shared" si="529"/>
        <v>0</v>
      </c>
      <c r="CK732" s="2">
        <f t="shared" si="529"/>
        <v>0</v>
      </c>
      <c r="CL732" s="2">
        <f t="shared" si="529"/>
        <v>0</v>
      </c>
      <c r="CM732" s="2">
        <f t="shared" si="529"/>
        <v>0</v>
      </c>
      <c r="CN732" s="2">
        <f t="shared" si="529"/>
        <v>0</v>
      </c>
      <c r="CO732" s="2">
        <f t="shared" si="529"/>
        <v>0</v>
      </c>
      <c r="CP732" s="2">
        <f t="shared" si="529"/>
        <v>0</v>
      </c>
      <c r="CQ732" s="2">
        <f t="shared" si="529"/>
        <v>0</v>
      </c>
      <c r="CR732" s="2">
        <f t="shared" si="529"/>
        <v>0</v>
      </c>
      <c r="CS732" s="2">
        <f t="shared" si="529"/>
        <v>0</v>
      </c>
      <c r="CT732" s="2">
        <f t="shared" si="529"/>
        <v>0</v>
      </c>
      <c r="CU732" s="2">
        <f t="shared" si="529"/>
        <v>0</v>
      </c>
      <c r="CV732" s="2">
        <f t="shared" si="529"/>
        <v>0</v>
      </c>
      <c r="CW732" s="2">
        <f t="shared" si="529"/>
        <v>0</v>
      </c>
      <c r="CX732" s="2">
        <f t="shared" si="529"/>
        <v>0</v>
      </c>
      <c r="CY732" s="2">
        <f t="shared" si="529"/>
        <v>0</v>
      </c>
      <c r="CZ732" s="2">
        <f t="shared" si="529"/>
        <v>0</v>
      </c>
      <c r="DA732" s="2">
        <f t="shared" si="529"/>
        <v>0</v>
      </c>
      <c r="DB732" s="2">
        <f t="shared" si="529"/>
        <v>0</v>
      </c>
      <c r="DC732" s="2">
        <f t="shared" si="529"/>
        <v>0</v>
      </c>
      <c r="DD732" s="2">
        <f t="shared" si="529"/>
        <v>0</v>
      </c>
      <c r="DE732" s="2">
        <f t="shared" si="529"/>
        <v>0</v>
      </c>
      <c r="DF732" s="2">
        <f t="shared" si="529"/>
        <v>0</v>
      </c>
      <c r="DG732" s="3">
        <f t="shared" ref="DG732:EL732" si="530">DG734</f>
        <v>0</v>
      </c>
      <c r="DH732" s="3">
        <f t="shared" si="530"/>
        <v>0</v>
      </c>
      <c r="DI732" s="3">
        <f t="shared" si="530"/>
        <v>0</v>
      </c>
      <c r="DJ732" s="3">
        <f t="shared" si="530"/>
        <v>0</v>
      </c>
      <c r="DK732" s="3">
        <f t="shared" si="530"/>
        <v>0</v>
      </c>
      <c r="DL732" s="3">
        <f t="shared" si="530"/>
        <v>0</v>
      </c>
      <c r="DM732" s="3">
        <f t="shared" si="530"/>
        <v>0</v>
      </c>
      <c r="DN732" s="3">
        <f t="shared" si="530"/>
        <v>0</v>
      </c>
      <c r="DO732" s="3">
        <f t="shared" si="530"/>
        <v>0</v>
      </c>
      <c r="DP732" s="3">
        <f t="shared" si="530"/>
        <v>0</v>
      </c>
      <c r="DQ732" s="3">
        <f t="shared" si="530"/>
        <v>0</v>
      </c>
      <c r="DR732" s="3">
        <f t="shared" si="530"/>
        <v>0</v>
      </c>
      <c r="DS732" s="3">
        <f t="shared" si="530"/>
        <v>0</v>
      </c>
      <c r="DT732" s="3">
        <f t="shared" si="530"/>
        <v>0</v>
      </c>
      <c r="DU732" s="3">
        <f t="shared" si="530"/>
        <v>0</v>
      </c>
      <c r="DV732" s="3">
        <f t="shared" si="530"/>
        <v>0</v>
      </c>
      <c r="DW732" s="3">
        <f t="shared" si="530"/>
        <v>0</v>
      </c>
      <c r="DX732" s="3">
        <f t="shared" si="530"/>
        <v>0</v>
      </c>
      <c r="DY732" s="3">
        <f t="shared" si="530"/>
        <v>0</v>
      </c>
      <c r="DZ732" s="3">
        <f t="shared" si="530"/>
        <v>0</v>
      </c>
      <c r="EA732" s="3">
        <f t="shared" si="530"/>
        <v>0</v>
      </c>
      <c r="EB732" s="3">
        <f t="shared" si="530"/>
        <v>0</v>
      </c>
      <c r="EC732" s="3">
        <f t="shared" si="530"/>
        <v>0</v>
      </c>
      <c r="ED732" s="3">
        <f t="shared" si="530"/>
        <v>0</v>
      </c>
      <c r="EE732" s="3">
        <f t="shared" si="530"/>
        <v>0</v>
      </c>
      <c r="EF732" s="3">
        <f t="shared" si="530"/>
        <v>0</v>
      </c>
      <c r="EG732" s="3">
        <f t="shared" si="530"/>
        <v>0</v>
      </c>
      <c r="EH732" s="3">
        <f t="shared" si="530"/>
        <v>0</v>
      </c>
      <c r="EI732" s="3">
        <f t="shared" si="530"/>
        <v>0</v>
      </c>
      <c r="EJ732" s="3">
        <f t="shared" si="530"/>
        <v>0</v>
      </c>
      <c r="EK732" s="3">
        <f t="shared" si="530"/>
        <v>0</v>
      </c>
      <c r="EL732" s="3">
        <f t="shared" si="530"/>
        <v>0</v>
      </c>
      <c r="EM732" s="3">
        <f t="shared" ref="EM732:FR732" si="531">EM734</f>
        <v>0</v>
      </c>
      <c r="EN732" s="3">
        <f t="shared" si="531"/>
        <v>0</v>
      </c>
      <c r="EO732" s="3">
        <f t="shared" si="531"/>
        <v>0</v>
      </c>
      <c r="EP732" s="3">
        <f t="shared" si="531"/>
        <v>0</v>
      </c>
      <c r="EQ732" s="3">
        <f t="shared" si="531"/>
        <v>0</v>
      </c>
      <c r="ER732" s="3">
        <f t="shared" si="531"/>
        <v>0</v>
      </c>
      <c r="ES732" s="3">
        <f t="shared" si="531"/>
        <v>0</v>
      </c>
      <c r="ET732" s="3">
        <f t="shared" si="531"/>
        <v>0</v>
      </c>
      <c r="EU732" s="3">
        <f t="shared" si="531"/>
        <v>0</v>
      </c>
      <c r="EV732" s="3">
        <f t="shared" si="531"/>
        <v>0</v>
      </c>
      <c r="EW732" s="3">
        <f t="shared" si="531"/>
        <v>0</v>
      </c>
      <c r="EX732" s="3">
        <f t="shared" si="531"/>
        <v>0</v>
      </c>
      <c r="EY732" s="3">
        <f t="shared" si="531"/>
        <v>0</v>
      </c>
      <c r="EZ732" s="3">
        <f t="shared" si="531"/>
        <v>0</v>
      </c>
      <c r="FA732" s="3">
        <f t="shared" si="531"/>
        <v>0</v>
      </c>
      <c r="FB732" s="3">
        <f t="shared" si="531"/>
        <v>0</v>
      </c>
      <c r="FC732" s="3">
        <f t="shared" si="531"/>
        <v>0</v>
      </c>
      <c r="FD732" s="3">
        <f t="shared" si="531"/>
        <v>0</v>
      </c>
      <c r="FE732" s="3">
        <f t="shared" si="531"/>
        <v>0</v>
      </c>
      <c r="FF732" s="3">
        <f t="shared" si="531"/>
        <v>0</v>
      </c>
      <c r="FG732" s="3">
        <f t="shared" si="531"/>
        <v>0</v>
      </c>
      <c r="FH732" s="3">
        <f t="shared" si="531"/>
        <v>0</v>
      </c>
      <c r="FI732" s="3">
        <f t="shared" si="531"/>
        <v>0</v>
      </c>
      <c r="FJ732" s="3">
        <f t="shared" si="531"/>
        <v>0</v>
      </c>
      <c r="FK732" s="3">
        <f t="shared" si="531"/>
        <v>0</v>
      </c>
      <c r="FL732" s="3">
        <f t="shared" si="531"/>
        <v>0</v>
      </c>
      <c r="FM732" s="3">
        <f t="shared" si="531"/>
        <v>0</v>
      </c>
      <c r="FN732" s="3">
        <f t="shared" si="531"/>
        <v>0</v>
      </c>
      <c r="FO732" s="3">
        <f t="shared" si="531"/>
        <v>0</v>
      </c>
      <c r="FP732" s="3">
        <f t="shared" si="531"/>
        <v>0</v>
      </c>
      <c r="FQ732" s="3">
        <f t="shared" si="531"/>
        <v>0</v>
      </c>
      <c r="FR732" s="3">
        <f t="shared" si="531"/>
        <v>0</v>
      </c>
      <c r="FS732" s="3">
        <f t="shared" ref="FS732:GX732" si="532">FS734</f>
        <v>0</v>
      </c>
      <c r="FT732" s="3">
        <f t="shared" si="532"/>
        <v>0</v>
      </c>
      <c r="FU732" s="3">
        <f t="shared" si="532"/>
        <v>0</v>
      </c>
      <c r="FV732" s="3">
        <f t="shared" si="532"/>
        <v>0</v>
      </c>
      <c r="FW732" s="3">
        <f t="shared" si="532"/>
        <v>0</v>
      </c>
      <c r="FX732" s="3">
        <f t="shared" si="532"/>
        <v>0</v>
      </c>
      <c r="FY732" s="3">
        <f t="shared" si="532"/>
        <v>0</v>
      </c>
      <c r="FZ732" s="3">
        <f t="shared" si="532"/>
        <v>0</v>
      </c>
      <c r="GA732" s="3">
        <f t="shared" si="532"/>
        <v>0</v>
      </c>
      <c r="GB732" s="3">
        <f t="shared" si="532"/>
        <v>0</v>
      </c>
      <c r="GC732" s="3">
        <f t="shared" si="532"/>
        <v>0</v>
      </c>
      <c r="GD732" s="3">
        <f t="shared" si="532"/>
        <v>0</v>
      </c>
      <c r="GE732" s="3">
        <f t="shared" si="532"/>
        <v>0</v>
      </c>
      <c r="GF732" s="3">
        <f t="shared" si="532"/>
        <v>0</v>
      </c>
      <c r="GG732" s="3">
        <f t="shared" si="532"/>
        <v>0</v>
      </c>
      <c r="GH732" s="3">
        <f t="shared" si="532"/>
        <v>0</v>
      </c>
      <c r="GI732" s="3">
        <f t="shared" si="532"/>
        <v>0</v>
      </c>
      <c r="GJ732" s="3">
        <f t="shared" si="532"/>
        <v>0</v>
      </c>
      <c r="GK732" s="3">
        <f t="shared" si="532"/>
        <v>0</v>
      </c>
      <c r="GL732" s="3">
        <f t="shared" si="532"/>
        <v>0</v>
      </c>
      <c r="GM732" s="3">
        <f t="shared" si="532"/>
        <v>0</v>
      </c>
      <c r="GN732" s="3">
        <f t="shared" si="532"/>
        <v>0</v>
      </c>
      <c r="GO732" s="3">
        <f t="shared" si="532"/>
        <v>0</v>
      </c>
      <c r="GP732" s="3">
        <f t="shared" si="532"/>
        <v>0</v>
      </c>
      <c r="GQ732" s="3">
        <f t="shared" si="532"/>
        <v>0</v>
      </c>
      <c r="GR732" s="3">
        <f t="shared" si="532"/>
        <v>0</v>
      </c>
      <c r="GS732" s="3">
        <f t="shared" si="532"/>
        <v>0</v>
      </c>
      <c r="GT732" s="3">
        <f t="shared" si="532"/>
        <v>0</v>
      </c>
      <c r="GU732" s="3">
        <f t="shared" si="532"/>
        <v>0</v>
      </c>
      <c r="GV732" s="3">
        <f t="shared" si="532"/>
        <v>0</v>
      </c>
      <c r="GW732" s="3">
        <f t="shared" si="532"/>
        <v>0</v>
      </c>
      <c r="GX732" s="3">
        <f t="shared" si="532"/>
        <v>0</v>
      </c>
    </row>
    <row r="734" spans="1:206" x14ac:dyDescent="0.2">
      <c r="A734" s="2">
        <v>51</v>
      </c>
      <c r="B734" s="2">
        <f>B730</f>
        <v>1</v>
      </c>
      <c r="C734" s="2">
        <f>A730</f>
        <v>5</v>
      </c>
      <c r="D734" s="2">
        <f>ROW(A730)</f>
        <v>730</v>
      </c>
      <c r="E734" s="2"/>
      <c r="F734" s="2" t="str">
        <f>IF(F730&lt;&gt;"",F730,"")</f>
        <v>Новый подраздел</v>
      </c>
      <c r="G734" s="2" t="str">
        <f>IF(G730&lt;&gt;"",G730,"")</f>
        <v>Установка ограждения</v>
      </c>
      <c r="H734" s="2">
        <v>0</v>
      </c>
      <c r="I734" s="2"/>
      <c r="J734" s="2"/>
      <c r="K734" s="2"/>
      <c r="L734" s="2"/>
      <c r="M734" s="2"/>
      <c r="N734" s="2"/>
      <c r="O734" s="2">
        <f t="shared" ref="O734:T734" si="533">ROUND(AB734,2)</f>
        <v>0</v>
      </c>
      <c r="P734" s="2">
        <f t="shared" si="533"/>
        <v>0</v>
      </c>
      <c r="Q734" s="2">
        <f t="shared" si="533"/>
        <v>0</v>
      </c>
      <c r="R734" s="2">
        <f t="shared" si="533"/>
        <v>0</v>
      </c>
      <c r="S734" s="2">
        <f t="shared" si="533"/>
        <v>0</v>
      </c>
      <c r="T734" s="2">
        <f t="shared" si="533"/>
        <v>0</v>
      </c>
      <c r="U734" s="2">
        <f>AH734</f>
        <v>0</v>
      </c>
      <c r="V734" s="2">
        <f>AI734</f>
        <v>0</v>
      </c>
      <c r="W734" s="2">
        <f>ROUND(AJ734,2)</f>
        <v>0</v>
      </c>
      <c r="X734" s="2">
        <f>ROUND(AK734,2)</f>
        <v>0</v>
      </c>
      <c r="Y734" s="2">
        <f>ROUND(AL734,2)</f>
        <v>0</v>
      </c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>
        <f t="shared" ref="AO734:BD734" si="534">ROUND(BX734,2)</f>
        <v>0</v>
      </c>
      <c r="AP734" s="2">
        <f t="shared" si="534"/>
        <v>0</v>
      </c>
      <c r="AQ734" s="2">
        <f t="shared" si="534"/>
        <v>0</v>
      </c>
      <c r="AR734" s="2">
        <f t="shared" si="534"/>
        <v>0</v>
      </c>
      <c r="AS734" s="2">
        <f t="shared" si="534"/>
        <v>0</v>
      </c>
      <c r="AT734" s="2">
        <f t="shared" si="534"/>
        <v>0</v>
      </c>
      <c r="AU734" s="2">
        <f t="shared" si="534"/>
        <v>0</v>
      </c>
      <c r="AV734" s="2">
        <f t="shared" si="534"/>
        <v>0</v>
      </c>
      <c r="AW734" s="2">
        <f t="shared" si="534"/>
        <v>0</v>
      </c>
      <c r="AX734" s="2">
        <f t="shared" si="534"/>
        <v>0</v>
      </c>
      <c r="AY734" s="2">
        <f t="shared" si="534"/>
        <v>0</v>
      </c>
      <c r="AZ734" s="2">
        <f t="shared" si="534"/>
        <v>0</v>
      </c>
      <c r="BA734" s="2">
        <f t="shared" si="534"/>
        <v>0</v>
      </c>
      <c r="BB734" s="2">
        <f t="shared" si="534"/>
        <v>0</v>
      </c>
      <c r="BC734" s="2">
        <f t="shared" si="534"/>
        <v>0</v>
      </c>
      <c r="BD734" s="2">
        <f t="shared" si="534"/>
        <v>0</v>
      </c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2"/>
      <c r="DE734" s="2"/>
      <c r="DF734" s="2"/>
      <c r="DG734" s="3"/>
      <c r="DH734" s="3"/>
      <c r="DI734" s="3"/>
      <c r="DJ734" s="3"/>
      <c r="DK734" s="3"/>
      <c r="DL734" s="3"/>
      <c r="DM734" s="3"/>
      <c r="DN734" s="3"/>
      <c r="DO734" s="3"/>
      <c r="DP734" s="3"/>
      <c r="DQ734" s="3"/>
      <c r="DR734" s="3"/>
      <c r="DS734" s="3"/>
      <c r="DT734" s="3"/>
      <c r="DU734" s="3"/>
      <c r="DV734" s="3"/>
      <c r="DW734" s="3"/>
      <c r="DX734" s="3"/>
      <c r="DY734" s="3"/>
      <c r="DZ734" s="3"/>
      <c r="EA734" s="3"/>
      <c r="EB734" s="3"/>
      <c r="EC734" s="3"/>
      <c r="ED734" s="3"/>
      <c r="EE734" s="3"/>
      <c r="EF734" s="3"/>
      <c r="EG734" s="3"/>
      <c r="EH734" s="3"/>
      <c r="EI734" s="3"/>
      <c r="EJ734" s="3"/>
      <c r="EK734" s="3"/>
      <c r="EL734" s="3"/>
      <c r="EM734" s="3"/>
      <c r="EN734" s="3"/>
      <c r="EO734" s="3"/>
      <c r="EP734" s="3"/>
      <c r="EQ734" s="3"/>
      <c r="ER734" s="3"/>
      <c r="ES734" s="3"/>
      <c r="ET734" s="3"/>
      <c r="EU734" s="3"/>
      <c r="EV734" s="3"/>
      <c r="EW734" s="3"/>
      <c r="EX734" s="3"/>
      <c r="EY734" s="3"/>
      <c r="EZ734" s="3"/>
      <c r="FA734" s="3"/>
      <c r="FB734" s="3"/>
      <c r="FC734" s="3"/>
      <c r="FD734" s="3"/>
      <c r="FE734" s="3"/>
      <c r="FF734" s="3"/>
      <c r="FG734" s="3"/>
      <c r="FH734" s="3"/>
      <c r="FI734" s="3"/>
      <c r="FJ734" s="3"/>
      <c r="FK734" s="3"/>
      <c r="FL734" s="3"/>
      <c r="FM734" s="3"/>
      <c r="FN734" s="3"/>
      <c r="FO734" s="3"/>
      <c r="FP734" s="3"/>
      <c r="FQ734" s="3"/>
      <c r="FR734" s="3"/>
      <c r="FS734" s="3"/>
      <c r="FT734" s="3"/>
      <c r="FU734" s="3"/>
      <c r="FV734" s="3"/>
      <c r="FW734" s="3"/>
      <c r="FX734" s="3"/>
      <c r="FY734" s="3"/>
      <c r="FZ734" s="3"/>
      <c r="GA734" s="3"/>
      <c r="GB734" s="3"/>
      <c r="GC734" s="3"/>
      <c r="GD734" s="3"/>
      <c r="GE734" s="3"/>
      <c r="GF734" s="3"/>
      <c r="GG734" s="3"/>
      <c r="GH734" s="3"/>
      <c r="GI734" s="3"/>
      <c r="GJ734" s="3"/>
      <c r="GK734" s="3"/>
      <c r="GL734" s="3"/>
      <c r="GM734" s="3"/>
      <c r="GN734" s="3"/>
      <c r="GO734" s="3"/>
      <c r="GP734" s="3"/>
      <c r="GQ734" s="3"/>
      <c r="GR734" s="3"/>
      <c r="GS734" s="3"/>
      <c r="GT734" s="3"/>
      <c r="GU734" s="3"/>
      <c r="GV734" s="3"/>
      <c r="GW734" s="3"/>
      <c r="GX734" s="3">
        <v>0</v>
      </c>
    </row>
    <row r="736" spans="1:206" x14ac:dyDescent="0.2">
      <c r="A736" s="4">
        <v>50</v>
      </c>
      <c r="B736" s="4">
        <v>0</v>
      </c>
      <c r="C736" s="4">
        <v>0</v>
      </c>
      <c r="D736" s="4">
        <v>1</v>
      </c>
      <c r="E736" s="4">
        <v>201</v>
      </c>
      <c r="F736" s="4">
        <f>ROUND(Source!O734,O736)</f>
        <v>0</v>
      </c>
      <c r="G736" s="4" t="s">
        <v>56</v>
      </c>
      <c r="H736" s="4" t="s">
        <v>57</v>
      </c>
      <c r="I736" s="4"/>
      <c r="J736" s="4"/>
      <c r="K736" s="4">
        <v>201</v>
      </c>
      <c r="L736" s="4">
        <v>1</v>
      </c>
      <c r="M736" s="4">
        <v>3</v>
      </c>
      <c r="N736" s="4" t="s">
        <v>3</v>
      </c>
      <c r="O736" s="4">
        <v>2</v>
      </c>
      <c r="P736" s="4"/>
      <c r="Q736" s="4"/>
      <c r="R736" s="4"/>
      <c r="S736" s="4"/>
      <c r="T736" s="4"/>
      <c r="U736" s="4"/>
      <c r="V736" s="4"/>
      <c r="W736" s="4"/>
    </row>
    <row r="737" spans="1:23" x14ac:dyDescent="0.2">
      <c r="A737" s="4">
        <v>50</v>
      </c>
      <c r="B737" s="4">
        <v>0</v>
      </c>
      <c r="C737" s="4">
        <v>0</v>
      </c>
      <c r="D737" s="4">
        <v>1</v>
      </c>
      <c r="E737" s="4">
        <v>202</v>
      </c>
      <c r="F737" s="4">
        <f>ROUND(Source!P734,O737)</f>
        <v>0</v>
      </c>
      <c r="G737" s="4" t="s">
        <v>58</v>
      </c>
      <c r="H737" s="4" t="s">
        <v>59</v>
      </c>
      <c r="I737" s="4"/>
      <c r="J737" s="4"/>
      <c r="K737" s="4">
        <v>202</v>
      </c>
      <c r="L737" s="4">
        <v>2</v>
      </c>
      <c r="M737" s="4">
        <v>3</v>
      </c>
      <c r="N737" s="4" t="s">
        <v>3</v>
      </c>
      <c r="O737" s="4">
        <v>2</v>
      </c>
      <c r="P737" s="4"/>
      <c r="Q737" s="4"/>
      <c r="R737" s="4"/>
      <c r="S737" s="4"/>
      <c r="T737" s="4"/>
      <c r="U737" s="4"/>
      <c r="V737" s="4"/>
      <c r="W737" s="4"/>
    </row>
    <row r="738" spans="1:23" x14ac:dyDescent="0.2">
      <c r="A738" s="4">
        <v>50</v>
      </c>
      <c r="B738" s="4">
        <v>0</v>
      </c>
      <c r="C738" s="4">
        <v>0</v>
      </c>
      <c r="D738" s="4">
        <v>1</v>
      </c>
      <c r="E738" s="4">
        <v>222</v>
      </c>
      <c r="F738" s="4">
        <f>ROUND(Source!AO734,O738)</f>
        <v>0</v>
      </c>
      <c r="G738" s="4" t="s">
        <v>60</v>
      </c>
      <c r="H738" s="4" t="s">
        <v>61</v>
      </c>
      <c r="I738" s="4"/>
      <c r="J738" s="4"/>
      <c r="K738" s="4">
        <v>222</v>
      </c>
      <c r="L738" s="4">
        <v>3</v>
      </c>
      <c r="M738" s="4">
        <v>3</v>
      </c>
      <c r="N738" s="4" t="s">
        <v>3</v>
      </c>
      <c r="O738" s="4">
        <v>2</v>
      </c>
      <c r="P738" s="4"/>
      <c r="Q738" s="4"/>
      <c r="R738" s="4"/>
      <c r="S738" s="4"/>
      <c r="T738" s="4"/>
      <c r="U738" s="4"/>
      <c r="V738" s="4"/>
      <c r="W738" s="4"/>
    </row>
    <row r="739" spans="1:23" x14ac:dyDescent="0.2">
      <c r="A739" s="4">
        <v>50</v>
      </c>
      <c r="B739" s="4">
        <v>0</v>
      </c>
      <c r="C739" s="4">
        <v>0</v>
      </c>
      <c r="D739" s="4">
        <v>1</v>
      </c>
      <c r="E739" s="4">
        <v>225</v>
      </c>
      <c r="F739" s="4">
        <f>ROUND(Source!AV734,O739)</f>
        <v>0</v>
      </c>
      <c r="G739" s="4" t="s">
        <v>62</v>
      </c>
      <c r="H739" s="4" t="s">
        <v>63</v>
      </c>
      <c r="I739" s="4"/>
      <c r="J739" s="4"/>
      <c r="K739" s="4">
        <v>225</v>
      </c>
      <c r="L739" s="4">
        <v>4</v>
      </c>
      <c r="M739" s="4">
        <v>3</v>
      </c>
      <c r="N739" s="4" t="s">
        <v>3</v>
      </c>
      <c r="O739" s="4">
        <v>2</v>
      </c>
      <c r="P739" s="4"/>
      <c r="Q739" s="4"/>
      <c r="R739" s="4"/>
      <c r="S739" s="4"/>
      <c r="T739" s="4"/>
      <c r="U739" s="4"/>
      <c r="V739" s="4"/>
      <c r="W739" s="4"/>
    </row>
    <row r="740" spans="1:23" x14ac:dyDescent="0.2">
      <c r="A740" s="4">
        <v>50</v>
      </c>
      <c r="B740" s="4">
        <v>0</v>
      </c>
      <c r="C740" s="4">
        <v>0</v>
      </c>
      <c r="D740" s="4">
        <v>1</v>
      </c>
      <c r="E740" s="4">
        <v>226</v>
      </c>
      <c r="F740" s="4">
        <f>ROUND(Source!AW734,O740)</f>
        <v>0</v>
      </c>
      <c r="G740" s="4" t="s">
        <v>64</v>
      </c>
      <c r="H740" s="4" t="s">
        <v>65</v>
      </c>
      <c r="I740" s="4"/>
      <c r="J740" s="4"/>
      <c r="K740" s="4">
        <v>226</v>
      </c>
      <c r="L740" s="4">
        <v>5</v>
      </c>
      <c r="M740" s="4">
        <v>3</v>
      </c>
      <c r="N740" s="4" t="s">
        <v>3</v>
      </c>
      <c r="O740" s="4">
        <v>2</v>
      </c>
      <c r="P740" s="4"/>
      <c r="Q740" s="4"/>
      <c r="R740" s="4"/>
      <c r="S740" s="4"/>
      <c r="T740" s="4"/>
      <c r="U740" s="4"/>
      <c r="V740" s="4"/>
      <c r="W740" s="4"/>
    </row>
    <row r="741" spans="1:23" x14ac:dyDescent="0.2">
      <c r="A741" s="4">
        <v>50</v>
      </c>
      <c r="B741" s="4">
        <v>0</v>
      </c>
      <c r="C741" s="4">
        <v>0</v>
      </c>
      <c r="D741" s="4">
        <v>1</v>
      </c>
      <c r="E741" s="4">
        <v>227</v>
      </c>
      <c r="F741" s="4">
        <f>ROUND(Source!AX734,O741)</f>
        <v>0</v>
      </c>
      <c r="G741" s="4" t="s">
        <v>66</v>
      </c>
      <c r="H741" s="4" t="s">
        <v>67</v>
      </c>
      <c r="I741" s="4"/>
      <c r="J741" s="4"/>
      <c r="K741" s="4">
        <v>227</v>
      </c>
      <c r="L741" s="4">
        <v>6</v>
      </c>
      <c r="M741" s="4">
        <v>3</v>
      </c>
      <c r="N741" s="4" t="s">
        <v>3</v>
      </c>
      <c r="O741" s="4">
        <v>2</v>
      </c>
      <c r="P741" s="4"/>
      <c r="Q741" s="4"/>
      <c r="R741" s="4"/>
      <c r="S741" s="4"/>
      <c r="T741" s="4"/>
      <c r="U741" s="4"/>
      <c r="V741" s="4"/>
      <c r="W741" s="4"/>
    </row>
    <row r="742" spans="1:23" x14ac:dyDescent="0.2">
      <c r="A742" s="4">
        <v>50</v>
      </c>
      <c r="B742" s="4">
        <v>0</v>
      </c>
      <c r="C742" s="4">
        <v>0</v>
      </c>
      <c r="D742" s="4">
        <v>1</v>
      </c>
      <c r="E742" s="4">
        <v>228</v>
      </c>
      <c r="F742" s="4">
        <f>ROUND(Source!AY734,O742)</f>
        <v>0</v>
      </c>
      <c r="G742" s="4" t="s">
        <v>68</v>
      </c>
      <c r="H742" s="4" t="s">
        <v>69</v>
      </c>
      <c r="I742" s="4"/>
      <c r="J742" s="4"/>
      <c r="K742" s="4">
        <v>228</v>
      </c>
      <c r="L742" s="4">
        <v>7</v>
      </c>
      <c r="M742" s="4">
        <v>3</v>
      </c>
      <c r="N742" s="4" t="s">
        <v>3</v>
      </c>
      <c r="O742" s="4">
        <v>2</v>
      </c>
      <c r="P742" s="4"/>
      <c r="Q742" s="4"/>
      <c r="R742" s="4"/>
      <c r="S742" s="4"/>
      <c r="T742" s="4"/>
      <c r="U742" s="4"/>
      <c r="V742" s="4"/>
      <c r="W742" s="4"/>
    </row>
    <row r="743" spans="1:23" x14ac:dyDescent="0.2">
      <c r="A743" s="4">
        <v>50</v>
      </c>
      <c r="B743" s="4">
        <v>0</v>
      </c>
      <c r="C743" s="4">
        <v>0</v>
      </c>
      <c r="D743" s="4">
        <v>1</v>
      </c>
      <c r="E743" s="4">
        <v>216</v>
      </c>
      <c r="F743" s="4">
        <f>ROUND(Source!AP734,O743)</f>
        <v>0</v>
      </c>
      <c r="G743" s="4" t="s">
        <v>70</v>
      </c>
      <c r="H743" s="4" t="s">
        <v>71</v>
      </c>
      <c r="I743" s="4"/>
      <c r="J743" s="4"/>
      <c r="K743" s="4">
        <v>216</v>
      </c>
      <c r="L743" s="4">
        <v>8</v>
      </c>
      <c r="M743" s="4">
        <v>3</v>
      </c>
      <c r="N743" s="4" t="s">
        <v>3</v>
      </c>
      <c r="O743" s="4">
        <v>2</v>
      </c>
      <c r="P743" s="4"/>
      <c r="Q743" s="4"/>
      <c r="R743" s="4"/>
      <c r="S743" s="4"/>
      <c r="T743" s="4"/>
      <c r="U743" s="4"/>
      <c r="V743" s="4"/>
      <c r="W743" s="4"/>
    </row>
    <row r="744" spans="1:23" x14ac:dyDescent="0.2">
      <c r="A744" s="4">
        <v>50</v>
      </c>
      <c r="B744" s="4">
        <v>0</v>
      </c>
      <c r="C744" s="4">
        <v>0</v>
      </c>
      <c r="D744" s="4">
        <v>1</v>
      </c>
      <c r="E744" s="4">
        <v>223</v>
      </c>
      <c r="F744" s="4">
        <f>ROUND(Source!AQ734,O744)</f>
        <v>0</v>
      </c>
      <c r="G744" s="4" t="s">
        <v>72</v>
      </c>
      <c r="H744" s="4" t="s">
        <v>73</v>
      </c>
      <c r="I744" s="4"/>
      <c r="J744" s="4"/>
      <c r="K744" s="4">
        <v>223</v>
      </c>
      <c r="L744" s="4">
        <v>9</v>
      </c>
      <c r="M744" s="4">
        <v>3</v>
      </c>
      <c r="N744" s="4" t="s">
        <v>3</v>
      </c>
      <c r="O744" s="4">
        <v>2</v>
      </c>
      <c r="P744" s="4"/>
      <c r="Q744" s="4"/>
      <c r="R744" s="4"/>
      <c r="S744" s="4"/>
      <c r="T744" s="4"/>
      <c r="U744" s="4"/>
      <c r="V744" s="4"/>
      <c r="W744" s="4"/>
    </row>
    <row r="745" spans="1:23" x14ac:dyDescent="0.2">
      <c r="A745" s="4">
        <v>50</v>
      </c>
      <c r="B745" s="4">
        <v>0</v>
      </c>
      <c r="C745" s="4">
        <v>0</v>
      </c>
      <c r="D745" s="4">
        <v>1</v>
      </c>
      <c r="E745" s="4">
        <v>229</v>
      </c>
      <c r="F745" s="4">
        <f>ROUND(Source!AZ734,O745)</f>
        <v>0</v>
      </c>
      <c r="G745" s="4" t="s">
        <v>74</v>
      </c>
      <c r="H745" s="4" t="s">
        <v>75</v>
      </c>
      <c r="I745" s="4"/>
      <c r="J745" s="4"/>
      <c r="K745" s="4">
        <v>229</v>
      </c>
      <c r="L745" s="4">
        <v>10</v>
      </c>
      <c r="M745" s="4">
        <v>3</v>
      </c>
      <c r="N745" s="4" t="s">
        <v>3</v>
      </c>
      <c r="O745" s="4">
        <v>2</v>
      </c>
      <c r="P745" s="4"/>
      <c r="Q745" s="4"/>
      <c r="R745" s="4"/>
      <c r="S745" s="4"/>
      <c r="T745" s="4"/>
      <c r="U745" s="4"/>
      <c r="V745" s="4"/>
      <c r="W745" s="4"/>
    </row>
    <row r="746" spans="1:23" x14ac:dyDescent="0.2">
      <c r="A746" s="4">
        <v>50</v>
      </c>
      <c r="B746" s="4">
        <v>0</v>
      </c>
      <c r="C746" s="4">
        <v>0</v>
      </c>
      <c r="D746" s="4">
        <v>1</v>
      </c>
      <c r="E746" s="4">
        <v>203</v>
      </c>
      <c r="F746" s="4">
        <f>ROUND(Source!Q734,O746)</f>
        <v>0</v>
      </c>
      <c r="G746" s="4" t="s">
        <v>76</v>
      </c>
      <c r="H746" s="4" t="s">
        <v>77</v>
      </c>
      <c r="I746" s="4"/>
      <c r="J746" s="4"/>
      <c r="K746" s="4">
        <v>203</v>
      </c>
      <c r="L746" s="4">
        <v>11</v>
      </c>
      <c r="M746" s="4">
        <v>3</v>
      </c>
      <c r="N746" s="4" t="s">
        <v>3</v>
      </c>
      <c r="O746" s="4">
        <v>2</v>
      </c>
      <c r="P746" s="4"/>
      <c r="Q746" s="4"/>
      <c r="R746" s="4"/>
      <c r="S746" s="4"/>
      <c r="T746" s="4"/>
      <c r="U746" s="4"/>
      <c r="V746" s="4"/>
      <c r="W746" s="4"/>
    </row>
    <row r="747" spans="1:23" x14ac:dyDescent="0.2">
      <c r="A747" s="4">
        <v>50</v>
      </c>
      <c r="B747" s="4">
        <v>0</v>
      </c>
      <c r="C747" s="4">
        <v>0</v>
      </c>
      <c r="D747" s="4">
        <v>1</v>
      </c>
      <c r="E747" s="4">
        <v>231</v>
      </c>
      <c r="F747" s="4">
        <f>ROUND(Source!BB734,O747)</f>
        <v>0</v>
      </c>
      <c r="G747" s="4" t="s">
        <v>78</v>
      </c>
      <c r="H747" s="4" t="s">
        <v>79</v>
      </c>
      <c r="I747" s="4"/>
      <c r="J747" s="4"/>
      <c r="K747" s="4">
        <v>231</v>
      </c>
      <c r="L747" s="4">
        <v>12</v>
      </c>
      <c r="M747" s="4">
        <v>3</v>
      </c>
      <c r="N747" s="4" t="s">
        <v>3</v>
      </c>
      <c r="O747" s="4">
        <v>2</v>
      </c>
      <c r="P747" s="4"/>
      <c r="Q747" s="4"/>
      <c r="R747" s="4"/>
      <c r="S747" s="4"/>
      <c r="T747" s="4"/>
      <c r="U747" s="4"/>
      <c r="V747" s="4"/>
      <c r="W747" s="4"/>
    </row>
    <row r="748" spans="1:23" x14ac:dyDescent="0.2">
      <c r="A748" s="4">
        <v>50</v>
      </c>
      <c r="B748" s="4">
        <v>0</v>
      </c>
      <c r="C748" s="4">
        <v>0</v>
      </c>
      <c r="D748" s="4">
        <v>1</v>
      </c>
      <c r="E748" s="4">
        <v>204</v>
      </c>
      <c r="F748" s="4">
        <f>ROUND(Source!R734,O748)</f>
        <v>0</v>
      </c>
      <c r="G748" s="4" t="s">
        <v>80</v>
      </c>
      <c r="H748" s="4" t="s">
        <v>81</v>
      </c>
      <c r="I748" s="4"/>
      <c r="J748" s="4"/>
      <c r="K748" s="4">
        <v>204</v>
      </c>
      <c r="L748" s="4">
        <v>13</v>
      </c>
      <c r="M748" s="4">
        <v>3</v>
      </c>
      <c r="N748" s="4" t="s">
        <v>3</v>
      </c>
      <c r="O748" s="4">
        <v>2</v>
      </c>
      <c r="P748" s="4"/>
      <c r="Q748" s="4"/>
      <c r="R748" s="4"/>
      <c r="S748" s="4"/>
      <c r="T748" s="4"/>
      <c r="U748" s="4"/>
      <c r="V748" s="4"/>
      <c r="W748" s="4"/>
    </row>
    <row r="749" spans="1:23" x14ac:dyDescent="0.2">
      <c r="A749" s="4">
        <v>50</v>
      </c>
      <c r="B749" s="4">
        <v>0</v>
      </c>
      <c r="C749" s="4">
        <v>0</v>
      </c>
      <c r="D749" s="4">
        <v>1</v>
      </c>
      <c r="E749" s="4">
        <v>205</v>
      </c>
      <c r="F749" s="4">
        <f>ROUND(Source!S734,O749)</f>
        <v>0</v>
      </c>
      <c r="G749" s="4" t="s">
        <v>82</v>
      </c>
      <c r="H749" s="4" t="s">
        <v>83</v>
      </c>
      <c r="I749" s="4"/>
      <c r="J749" s="4"/>
      <c r="K749" s="4">
        <v>205</v>
      </c>
      <c r="L749" s="4">
        <v>14</v>
      </c>
      <c r="M749" s="4">
        <v>3</v>
      </c>
      <c r="N749" s="4" t="s">
        <v>3</v>
      </c>
      <c r="O749" s="4">
        <v>2</v>
      </c>
      <c r="P749" s="4"/>
      <c r="Q749" s="4"/>
      <c r="R749" s="4"/>
      <c r="S749" s="4"/>
      <c r="T749" s="4"/>
      <c r="U749" s="4"/>
      <c r="V749" s="4"/>
      <c r="W749" s="4"/>
    </row>
    <row r="750" spans="1:23" x14ac:dyDescent="0.2">
      <c r="A750" s="4">
        <v>50</v>
      </c>
      <c r="B750" s="4">
        <v>0</v>
      </c>
      <c r="C750" s="4">
        <v>0</v>
      </c>
      <c r="D750" s="4">
        <v>1</v>
      </c>
      <c r="E750" s="4">
        <v>232</v>
      </c>
      <c r="F750" s="4">
        <f>ROUND(Source!BC734,O750)</f>
        <v>0</v>
      </c>
      <c r="G750" s="4" t="s">
        <v>84</v>
      </c>
      <c r="H750" s="4" t="s">
        <v>85</v>
      </c>
      <c r="I750" s="4"/>
      <c r="J750" s="4"/>
      <c r="K750" s="4">
        <v>232</v>
      </c>
      <c r="L750" s="4">
        <v>15</v>
      </c>
      <c r="M750" s="4">
        <v>3</v>
      </c>
      <c r="N750" s="4" t="s">
        <v>3</v>
      </c>
      <c r="O750" s="4">
        <v>2</v>
      </c>
      <c r="P750" s="4"/>
      <c r="Q750" s="4"/>
      <c r="R750" s="4"/>
      <c r="S750" s="4"/>
      <c r="T750" s="4"/>
      <c r="U750" s="4"/>
      <c r="V750" s="4"/>
      <c r="W750" s="4"/>
    </row>
    <row r="751" spans="1:23" x14ac:dyDescent="0.2">
      <c r="A751" s="4">
        <v>50</v>
      </c>
      <c r="B751" s="4">
        <v>0</v>
      </c>
      <c r="C751" s="4">
        <v>0</v>
      </c>
      <c r="D751" s="4">
        <v>1</v>
      </c>
      <c r="E751" s="4">
        <v>214</v>
      </c>
      <c r="F751" s="4">
        <f>ROUND(Source!AS734,O751)</f>
        <v>0</v>
      </c>
      <c r="G751" s="4" t="s">
        <v>86</v>
      </c>
      <c r="H751" s="4" t="s">
        <v>87</v>
      </c>
      <c r="I751" s="4"/>
      <c r="J751" s="4"/>
      <c r="K751" s="4">
        <v>214</v>
      </c>
      <c r="L751" s="4">
        <v>16</v>
      </c>
      <c r="M751" s="4">
        <v>3</v>
      </c>
      <c r="N751" s="4" t="s">
        <v>3</v>
      </c>
      <c r="O751" s="4">
        <v>2</v>
      </c>
      <c r="P751" s="4"/>
      <c r="Q751" s="4"/>
      <c r="R751" s="4"/>
      <c r="S751" s="4"/>
      <c r="T751" s="4"/>
      <c r="U751" s="4"/>
      <c r="V751" s="4"/>
      <c r="W751" s="4"/>
    </row>
    <row r="752" spans="1:23" x14ac:dyDescent="0.2">
      <c r="A752" s="4">
        <v>50</v>
      </c>
      <c r="B752" s="4">
        <v>0</v>
      </c>
      <c r="C752" s="4">
        <v>0</v>
      </c>
      <c r="D752" s="4">
        <v>1</v>
      </c>
      <c r="E752" s="4">
        <v>215</v>
      </c>
      <c r="F752" s="4">
        <f>ROUND(Source!AT734,O752)</f>
        <v>0</v>
      </c>
      <c r="G752" s="4" t="s">
        <v>88</v>
      </c>
      <c r="H752" s="4" t="s">
        <v>89</v>
      </c>
      <c r="I752" s="4"/>
      <c r="J752" s="4"/>
      <c r="K752" s="4">
        <v>215</v>
      </c>
      <c r="L752" s="4">
        <v>17</v>
      </c>
      <c r="M752" s="4">
        <v>3</v>
      </c>
      <c r="N752" s="4" t="s">
        <v>3</v>
      </c>
      <c r="O752" s="4">
        <v>2</v>
      </c>
      <c r="P752" s="4"/>
      <c r="Q752" s="4"/>
      <c r="R752" s="4"/>
      <c r="S752" s="4"/>
      <c r="T752" s="4"/>
      <c r="U752" s="4"/>
      <c r="V752" s="4"/>
      <c r="W752" s="4"/>
    </row>
    <row r="753" spans="1:245" x14ac:dyDescent="0.2">
      <c r="A753" s="4">
        <v>50</v>
      </c>
      <c r="B753" s="4">
        <v>0</v>
      </c>
      <c r="C753" s="4">
        <v>0</v>
      </c>
      <c r="D753" s="4">
        <v>1</v>
      </c>
      <c r="E753" s="4">
        <v>217</v>
      </c>
      <c r="F753" s="4">
        <f>ROUND(Source!AU734,O753)</f>
        <v>0</v>
      </c>
      <c r="G753" s="4" t="s">
        <v>90</v>
      </c>
      <c r="H753" s="4" t="s">
        <v>91</v>
      </c>
      <c r="I753" s="4"/>
      <c r="J753" s="4"/>
      <c r="K753" s="4">
        <v>217</v>
      </c>
      <c r="L753" s="4">
        <v>18</v>
      </c>
      <c r="M753" s="4">
        <v>3</v>
      </c>
      <c r="N753" s="4" t="s">
        <v>3</v>
      </c>
      <c r="O753" s="4">
        <v>2</v>
      </c>
      <c r="P753" s="4"/>
      <c r="Q753" s="4"/>
      <c r="R753" s="4"/>
      <c r="S753" s="4"/>
      <c r="T753" s="4"/>
      <c r="U753" s="4"/>
      <c r="V753" s="4"/>
      <c r="W753" s="4"/>
    </row>
    <row r="754" spans="1:245" x14ac:dyDescent="0.2">
      <c r="A754" s="4">
        <v>50</v>
      </c>
      <c r="B754" s="4">
        <v>0</v>
      </c>
      <c r="C754" s="4">
        <v>0</v>
      </c>
      <c r="D754" s="4">
        <v>1</v>
      </c>
      <c r="E754" s="4">
        <v>230</v>
      </c>
      <c r="F754" s="4">
        <f>ROUND(Source!BA734,O754)</f>
        <v>0</v>
      </c>
      <c r="G754" s="4" t="s">
        <v>92</v>
      </c>
      <c r="H754" s="4" t="s">
        <v>93</v>
      </c>
      <c r="I754" s="4"/>
      <c r="J754" s="4"/>
      <c r="K754" s="4">
        <v>230</v>
      </c>
      <c r="L754" s="4">
        <v>19</v>
      </c>
      <c r="M754" s="4">
        <v>3</v>
      </c>
      <c r="N754" s="4" t="s">
        <v>3</v>
      </c>
      <c r="O754" s="4">
        <v>2</v>
      </c>
      <c r="P754" s="4"/>
      <c r="Q754" s="4"/>
      <c r="R754" s="4"/>
      <c r="S754" s="4"/>
      <c r="T754" s="4"/>
      <c r="U754" s="4"/>
      <c r="V754" s="4"/>
      <c r="W754" s="4"/>
    </row>
    <row r="755" spans="1:245" x14ac:dyDescent="0.2">
      <c r="A755" s="4">
        <v>50</v>
      </c>
      <c r="B755" s="4">
        <v>0</v>
      </c>
      <c r="C755" s="4">
        <v>0</v>
      </c>
      <c r="D755" s="4">
        <v>1</v>
      </c>
      <c r="E755" s="4">
        <v>206</v>
      </c>
      <c r="F755" s="4">
        <f>ROUND(Source!T734,O755)</f>
        <v>0</v>
      </c>
      <c r="G755" s="4" t="s">
        <v>94</v>
      </c>
      <c r="H755" s="4" t="s">
        <v>95</v>
      </c>
      <c r="I755" s="4"/>
      <c r="J755" s="4"/>
      <c r="K755" s="4">
        <v>206</v>
      </c>
      <c r="L755" s="4">
        <v>20</v>
      </c>
      <c r="M755" s="4">
        <v>3</v>
      </c>
      <c r="N755" s="4" t="s">
        <v>3</v>
      </c>
      <c r="O755" s="4">
        <v>2</v>
      </c>
      <c r="P755" s="4"/>
      <c r="Q755" s="4"/>
      <c r="R755" s="4"/>
      <c r="S755" s="4"/>
      <c r="T755" s="4"/>
      <c r="U755" s="4"/>
      <c r="V755" s="4"/>
      <c r="W755" s="4"/>
    </row>
    <row r="756" spans="1:245" x14ac:dyDescent="0.2">
      <c r="A756" s="4">
        <v>50</v>
      </c>
      <c r="B756" s="4">
        <v>0</v>
      </c>
      <c r="C756" s="4">
        <v>0</v>
      </c>
      <c r="D756" s="4">
        <v>1</v>
      </c>
      <c r="E756" s="4">
        <v>207</v>
      </c>
      <c r="F756" s="4">
        <f>Source!U734</f>
        <v>0</v>
      </c>
      <c r="G756" s="4" t="s">
        <v>96</v>
      </c>
      <c r="H756" s="4" t="s">
        <v>97</v>
      </c>
      <c r="I756" s="4"/>
      <c r="J756" s="4"/>
      <c r="K756" s="4">
        <v>207</v>
      </c>
      <c r="L756" s="4">
        <v>21</v>
      </c>
      <c r="M756" s="4">
        <v>3</v>
      </c>
      <c r="N756" s="4" t="s">
        <v>3</v>
      </c>
      <c r="O756" s="4">
        <v>-1</v>
      </c>
      <c r="P756" s="4"/>
      <c r="Q756" s="4"/>
      <c r="R756" s="4"/>
      <c r="S756" s="4"/>
      <c r="T756" s="4"/>
      <c r="U756" s="4"/>
      <c r="V756" s="4"/>
      <c r="W756" s="4"/>
    </row>
    <row r="757" spans="1:245" x14ac:dyDescent="0.2">
      <c r="A757" s="4">
        <v>50</v>
      </c>
      <c r="B757" s="4">
        <v>0</v>
      </c>
      <c r="C757" s="4">
        <v>0</v>
      </c>
      <c r="D757" s="4">
        <v>1</v>
      </c>
      <c r="E757" s="4">
        <v>208</v>
      </c>
      <c r="F757" s="4">
        <f>Source!V734</f>
        <v>0</v>
      </c>
      <c r="G757" s="4" t="s">
        <v>98</v>
      </c>
      <c r="H757" s="4" t="s">
        <v>99</v>
      </c>
      <c r="I757" s="4"/>
      <c r="J757" s="4"/>
      <c r="K757" s="4">
        <v>208</v>
      </c>
      <c r="L757" s="4">
        <v>22</v>
      </c>
      <c r="M757" s="4">
        <v>3</v>
      </c>
      <c r="N757" s="4" t="s">
        <v>3</v>
      </c>
      <c r="O757" s="4">
        <v>-1</v>
      </c>
      <c r="P757" s="4"/>
      <c r="Q757" s="4"/>
      <c r="R757" s="4"/>
      <c r="S757" s="4"/>
      <c r="T757" s="4"/>
      <c r="U757" s="4"/>
      <c r="V757" s="4"/>
      <c r="W757" s="4"/>
    </row>
    <row r="758" spans="1:245" x14ac:dyDescent="0.2">
      <c r="A758" s="4">
        <v>50</v>
      </c>
      <c r="B758" s="4">
        <v>0</v>
      </c>
      <c r="C758" s="4">
        <v>0</v>
      </c>
      <c r="D758" s="4">
        <v>1</v>
      </c>
      <c r="E758" s="4">
        <v>209</v>
      </c>
      <c r="F758" s="4">
        <f>ROUND(Source!W734,O758)</f>
        <v>0</v>
      </c>
      <c r="G758" s="4" t="s">
        <v>100</v>
      </c>
      <c r="H758" s="4" t="s">
        <v>101</v>
      </c>
      <c r="I758" s="4"/>
      <c r="J758" s="4"/>
      <c r="K758" s="4">
        <v>209</v>
      </c>
      <c r="L758" s="4">
        <v>23</v>
      </c>
      <c r="M758" s="4">
        <v>3</v>
      </c>
      <c r="N758" s="4" t="s">
        <v>3</v>
      </c>
      <c r="O758" s="4">
        <v>2</v>
      </c>
      <c r="P758" s="4"/>
      <c r="Q758" s="4"/>
      <c r="R758" s="4"/>
      <c r="S758" s="4"/>
      <c r="T758" s="4"/>
      <c r="U758" s="4"/>
      <c r="V758" s="4"/>
      <c r="W758" s="4"/>
    </row>
    <row r="759" spans="1:245" x14ac:dyDescent="0.2">
      <c r="A759" s="4">
        <v>50</v>
      </c>
      <c r="B759" s="4">
        <v>0</v>
      </c>
      <c r="C759" s="4">
        <v>0</v>
      </c>
      <c r="D759" s="4">
        <v>1</v>
      </c>
      <c r="E759" s="4">
        <v>233</v>
      </c>
      <c r="F759" s="4">
        <f>ROUND(Source!BD734,O759)</f>
        <v>0</v>
      </c>
      <c r="G759" s="4" t="s">
        <v>102</v>
      </c>
      <c r="H759" s="4" t="s">
        <v>103</v>
      </c>
      <c r="I759" s="4"/>
      <c r="J759" s="4"/>
      <c r="K759" s="4">
        <v>233</v>
      </c>
      <c r="L759" s="4">
        <v>24</v>
      </c>
      <c r="M759" s="4">
        <v>3</v>
      </c>
      <c r="N759" s="4" t="s">
        <v>3</v>
      </c>
      <c r="O759" s="4">
        <v>2</v>
      </c>
      <c r="P759" s="4"/>
      <c r="Q759" s="4"/>
      <c r="R759" s="4"/>
      <c r="S759" s="4"/>
      <c r="T759" s="4"/>
      <c r="U759" s="4"/>
      <c r="V759" s="4"/>
      <c r="W759" s="4"/>
    </row>
    <row r="760" spans="1:245" x14ac:dyDescent="0.2">
      <c r="A760" s="4">
        <v>50</v>
      </c>
      <c r="B760" s="4">
        <v>0</v>
      </c>
      <c r="C760" s="4">
        <v>0</v>
      </c>
      <c r="D760" s="4">
        <v>1</v>
      </c>
      <c r="E760" s="4">
        <v>210</v>
      </c>
      <c r="F760" s="4">
        <f>ROUND(Source!X734,O760)</f>
        <v>0</v>
      </c>
      <c r="G760" s="4" t="s">
        <v>104</v>
      </c>
      <c r="H760" s="4" t="s">
        <v>105</v>
      </c>
      <c r="I760" s="4"/>
      <c r="J760" s="4"/>
      <c r="K760" s="4">
        <v>210</v>
      </c>
      <c r="L760" s="4">
        <v>25</v>
      </c>
      <c r="M760" s="4">
        <v>3</v>
      </c>
      <c r="N760" s="4" t="s">
        <v>3</v>
      </c>
      <c r="O760" s="4">
        <v>2</v>
      </c>
      <c r="P760" s="4"/>
      <c r="Q760" s="4"/>
      <c r="R760" s="4"/>
      <c r="S760" s="4"/>
      <c r="T760" s="4"/>
      <c r="U760" s="4"/>
      <c r="V760" s="4"/>
      <c r="W760" s="4"/>
    </row>
    <row r="761" spans="1:245" x14ac:dyDescent="0.2">
      <c r="A761" s="4">
        <v>50</v>
      </c>
      <c r="B761" s="4">
        <v>0</v>
      </c>
      <c r="C761" s="4">
        <v>0</v>
      </c>
      <c r="D761" s="4">
        <v>1</v>
      </c>
      <c r="E761" s="4">
        <v>211</v>
      </c>
      <c r="F761" s="4">
        <f>ROUND(Source!Y734,O761)</f>
        <v>0</v>
      </c>
      <c r="G761" s="4" t="s">
        <v>106</v>
      </c>
      <c r="H761" s="4" t="s">
        <v>107</v>
      </c>
      <c r="I761" s="4"/>
      <c r="J761" s="4"/>
      <c r="K761" s="4">
        <v>211</v>
      </c>
      <c r="L761" s="4">
        <v>26</v>
      </c>
      <c r="M761" s="4">
        <v>3</v>
      </c>
      <c r="N761" s="4" t="s">
        <v>3</v>
      </c>
      <c r="O761" s="4">
        <v>2</v>
      </c>
      <c r="P761" s="4"/>
      <c r="Q761" s="4"/>
      <c r="R761" s="4"/>
      <c r="S761" s="4"/>
      <c r="T761" s="4"/>
      <c r="U761" s="4"/>
      <c r="V761" s="4"/>
      <c r="W761" s="4"/>
    </row>
    <row r="762" spans="1:245" x14ac:dyDescent="0.2">
      <c r="A762" s="4">
        <v>50</v>
      </c>
      <c r="B762" s="4">
        <v>0</v>
      </c>
      <c r="C762" s="4">
        <v>0</v>
      </c>
      <c r="D762" s="4">
        <v>1</v>
      </c>
      <c r="E762" s="4">
        <v>224</v>
      </c>
      <c r="F762" s="4">
        <f>ROUND(Source!AR734,O762)</f>
        <v>0</v>
      </c>
      <c r="G762" s="4" t="s">
        <v>108</v>
      </c>
      <c r="H762" s="4" t="s">
        <v>109</v>
      </c>
      <c r="I762" s="4"/>
      <c r="J762" s="4"/>
      <c r="K762" s="4">
        <v>224</v>
      </c>
      <c r="L762" s="4">
        <v>27</v>
      </c>
      <c r="M762" s="4">
        <v>3</v>
      </c>
      <c r="N762" s="4" t="s">
        <v>3</v>
      </c>
      <c r="O762" s="4">
        <v>2</v>
      </c>
      <c r="P762" s="4"/>
      <c r="Q762" s="4"/>
      <c r="R762" s="4"/>
      <c r="S762" s="4"/>
      <c r="T762" s="4"/>
      <c r="U762" s="4"/>
      <c r="V762" s="4"/>
      <c r="W762" s="4"/>
    </row>
    <row r="764" spans="1:245" x14ac:dyDescent="0.2">
      <c r="A764" s="1">
        <v>5</v>
      </c>
      <c r="B764" s="1">
        <v>1</v>
      </c>
      <c r="C764" s="1"/>
      <c r="D764" s="1">
        <f>ROW(A783)</f>
        <v>783</v>
      </c>
      <c r="E764" s="1"/>
      <c r="F764" s="1" t="s">
        <v>17</v>
      </c>
      <c r="G764" s="1" t="s">
        <v>183</v>
      </c>
      <c r="H764" s="1" t="s">
        <v>3</v>
      </c>
      <c r="I764" s="1">
        <v>0</v>
      </c>
      <c r="J764" s="1"/>
      <c r="K764" s="1">
        <v>0</v>
      </c>
      <c r="L764" s="1"/>
      <c r="M764" s="1"/>
      <c r="N764" s="1"/>
      <c r="O764" s="1"/>
      <c r="P764" s="1"/>
      <c r="Q764" s="1"/>
      <c r="R764" s="1"/>
      <c r="S764" s="1"/>
      <c r="T764" s="1"/>
      <c r="U764" s="1" t="s">
        <v>3</v>
      </c>
      <c r="V764" s="1">
        <v>0</v>
      </c>
      <c r="W764" s="1"/>
      <c r="X764" s="1"/>
      <c r="Y764" s="1"/>
      <c r="Z764" s="1"/>
      <c r="AA764" s="1"/>
      <c r="AB764" s="1" t="s">
        <v>3</v>
      </c>
      <c r="AC764" s="1" t="s">
        <v>3</v>
      </c>
      <c r="AD764" s="1" t="s">
        <v>3</v>
      </c>
      <c r="AE764" s="1" t="s">
        <v>3</v>
      </c>
      <c r="AF764" s="1" t="s">
        <v>3</v>
      </c>
      <c r="AG764" s="1" t="s">
        <v>3</v>
      </c>
      <c r="AH764" s="1"/>
      <c r="AI764" s="1"/>
      <c r="AJ764" s="1"/>
      <c r="AK764" s="1"/>
      <c r="AL764" s="1"/>
      <c r="AM764" s="1"/>
      <c r="AN764" s="1"/>
      <c r="AO764" s="1"/>
      <c r="AP764" s="1" t="s">
        <v>3</v>
      </c>
      <c r="AQ764" s="1" t="s">
        <v>3</v>
      </c>
      <c r="AR764" s="1" t="s">
        <v>3</v>
      </c>
      <c r="AS764" s="1"/>
      <c r="AT764" s="1"/>
      <c r="AU764" s="1"/>
      <c r="AV764" s="1"/>
      <c r="AW764" s="1"/>
      <c r="AX764" s="1"/>
      <c r="AY764" s="1"/>
      <c r="AZ764" s="1" t="s">
        <v>3</v>
      </c>
      <c r="BA764" s="1"/>
      <c r="BB764" s="1" t="s">
        <v>3</v>
      </c>
      <c r="BC764" s="1" t="s">
        <v>3</v>
      </c>
      <c r="BD764" s="1" t="s">
        <v>3</v>
      </c>
      <c r="BE764" s="1" t="s">
        <v>3</v>
      </c>
      <c r="BF764" s="1" t="s">
        <v>3</v>
      </c>
      <c r="BG764" s="1" t="s">
        <v>3</v>
      </c>
      <c r="BH764" s="1" t="s">
        <v>3</v>
      </c>
      <c r="BI764" s="1" t="s">
        <v>3</v>
      </c>
      <c r="BJ764" s="1" t="s">
        <v>3</v>
      </c>
      <c r="BK764" s="1" t="s">
        <v>3</v>
      </c>
      <c r="BL764" s="1" t="s">
        <v>3</v>
      </c>
      <c r="BM764" s="1" t="s">
        <v>3</v>
      </c>
      <c r="BN764" s="1" t="s">
        <v>3</v>
      </c>
      <c r="BO764" s="1" t="s">
        <v>3</v>
      </c>
      <c r="BP764" s="1" t="s">
        <v>3</v>
      </c>
      <c r="BQ764" s="1"/>
      <c r="BR764" s="1"/>
      <c r="BS764" s="1"/>
      <c r="BT764" s="1"/>
      <c r="BU764" s="1"/>
      <c r="BV764" s="1"/>
      <c r="BW764" s="1"/>
      <c r="BX764" s="1">
        <v>0</v>
      </c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>
        <v>0</v>
      </c>
    </row>
    <row r="766" spans="1:245" x14ac:dyDescent="0.2">
      <c r="A766" s="2">
        <v>52</v>
      </c>
      <c r="B766" s="2">
        <f t="shared" ref="B766:G766" si="535">B783</f>
        <v>1</v>
      </c>
      <c r="C766" s="2">
        <f t="shared" si="535"/>
        <v>5</v>
      </c>
      <c r="D766" s="2">
        <f t="shared" si="535"/>
        <v>764</v>
      </c>
      <c r="E766" s="2">
        <f t="shared" si="535"/>
        <v>0</v>
      </c>
      <c r="F766" s="2" t="str">
        <f t="shared" si="535"/>
        <v>Новый подраздел</v>
      </c>
      <c r="G766" s="2" t="str">
        <f t="shared" si="535"/>
        <v>Устройство покрытия</v>
      </c>
      <c r="H766" s="2"/>
      <c r="I766" s="2"/>
      <c r="J766" s="2"/>
      <c r="K766" s="2"/>
      <c r="L766" s="2"/>
      <c r="M766" s="2"/>
      <c r="N766" s="2"/>
      <c r="O766" s="2">
        <f t="shared" ref="O766:AT766" si="536">O783</f>
        <v>41703.15</v>
      </c>
      <c r="P766" s="2">
        <f t="shared" si="536"/>
        <v>23038.52</v>
      </c>
      <c r="Q766" s="2">
        <f t="shared" si="536"/>
        <v>15890.47</v>
      </c>
      <c r="R766" s="2">
        <f t="shared" si="536"/>
        <v>8867.35</v>
      </c>
      <c r="S766" s="2">
        <f t="shared" si="536"/>
        <v>2774.16</v>
      </c>
      <c r="T766" s="2">
        <f t="shared" si="536"/>
        <v>0</v>
      </c>
      <c r="U766" s="2">
        <f t="shared" si="536"/>
        <v>17.084484500000002</v>
      </c>
      <c r="V766" s="2">
        <f t="shared" si="536"/>
        <v>0</v>
      </c>
      <c r="W766" s="2">
        <f t="shared" si="536"/>
        <v>0</v>
      </c>
      <c r="X766" s="2">
        <f t="shared" si="536"/>
        <v>1941.91</v>
      </c>
      <c r="Y766" s="2">
        <f t="shared" si="536"/>
        <v>277.42</v>
      </c>
      <c r="Z766" s="2">
        <f t="shared" si="536"/>
        <v>0</v>
      </c>
      <c r="AA766" s="2">
        <f t="shared" si="536"/>
        <v>0</v>
      </c>
      <c r="AB766" s="2">
        <f t="shared" si="536"/>
        <v>41703.15</v>
      </c>
      <c r="AC766" s="2">
        <f t="shared" si="536"/>
        <v>23038.52</v>
      </c>
      <c r="AD766" s="2">
        <f t="shared" si="536"/>
        <v>15890.47</v>
      </c>
      <c r="AE766" s="2">
        <f t="shared" si="536"/>
        <v>8867.35</v>
      </c>
      <c r="AF766" s="2">
        <f t="shared" si="536"/>
        <v>2774.16</v>
      </c>
      <c r="AG766" s="2">
        <f t="shared" si="536"/>
        <v>0</v>
      </c>
      <c r="AH766" s="2">
        <f t="shared" si="536"/>
        <v>17.084484500000002</v>
      </c>
      <c r="AI766" s="2">
        <f t="shared" si="536"/>
        <v>0</v>
      </c>
      <c r="AJ766" s="2">
        <f t="shared" si="536"/>
        <v>0</v>
      </c>
      <c r="AK766" s="2">
        <f t="shared" si="536"/>
        <v>1941.91</v>
      </c>
      <c r="AL766" s="2">
        <f t="shared" si="536"/>
        <v>277.42</v>
      </c>
      <c r="AM766" s="2">
        <f t="shared" si="536"/>
        <v>0</v>
      </c>
      <c r="AN766" s="2">
        <f t="shared" si="536"/>
        <v>0</v>
      </c>
      <c r="AO766" s="2">
        <f t="shared" si="536"/>
        <v>0</v>
      </c>
      <c r="AP766" s="2">
        <f t="shared" si="536"/>
        <v>0</v>
      </c>
      <c r="AQ766" s="2">
        <f t="shared" si="536"/>
        <v>0</v>
      </c>
      <c r="AR766" s="2">
        <f t="shared" si="536"/>
        <v>46998.55</v>
      </c>
      <c r="AS766" s="2">
        <f t="shared" si="536"/>
        <v>0</v>
      </c>
      <c r="AT766" s="2">
        <f t="shared" si="536"/>
        <v>0</v>
      </c>
      <c r="AU766" s="2">
        <f t="shared" ref="AU766:BZ766" si="537">AU783</f>
        <v>46998.55</v>
      </c>
      <c r="AV766" s="2">
        <f t="shared" si="537"/>
        <v>23038.52</v>
      </c>
      <c r="AW766" s="2">
        <f t="shared" si="537"/>
        <v>23038.52</v>
      </c>
      <c r="AX766" s="2">
        <f t="shared" si="537"/>
        <v>0</v>
      </c>
      <c r="AY766" s="2">
        <f t="shared" si="537"/>
        <v>23038.52</v>
      </c>
      <c r="AZ766" s="2">
        <f t="shared" si="537"/>
        <v>0</v>
      </c>
      <c r="BA766" s="2">
        <f t="shared" si="537"/>
        <v>0</v>
      </c>
      <c r="BB766" s="2">
        <f t="shared" si="537"/>
        <v>0</v>
      </c>
      <c r="BC766" s="2">
        <f t="shared" si="537"/>
        <v>0</v>
      </c>
      <c r="BD766" s="2">
        <f t="shared" si="537"/>
        <v>0</v>
      </c>
      <c r="BE766" s="2">
        <f t="shared" si="537"/>
        <v>0</v>
      </c>
      <c r="BF766" s="2">
        <f t="shared" si="537"/>
        <v>0</v>
      </c>
      <c r="BG766" s="2">
        <f t="shared" si="537"/>
        <v>0</v>
      </c>
      <c r="BH766" s="2">
        <f t="shared" si="537"/>
        <v>0</v>
      </c>
      <c r="BI766" s="2">
        <f t="shared" si="537"/>
        <v>0</v>
      </c>
      <c r="BJ766" s="2">
        <f t="shared" si="537"/>
        <v>0</v>
      </c>
      <c r="BK766" s="2">
        <f t="shared" si="537"/>
        <v>0</v>
      </c>
      <c r="BL766" s="2">
        <f t="shared" si="537"/>
        <v>0</v>
      </c>
      <c r="BM766" s="2">
        <f t="shared" si="537"/>
        <v>0</v>
      </c>
      <c r="BN766" s="2">
        <f t="shared" si="537"/>
        <v>0</v>
      </c>
      <c r="BO766" s="2">
        <f t="shared" si="537"/>
        <v>0</v>
      </c>
      <c r="BP766" s="2">
        <f t="shared" si="537"/>
        <v>0</v>
      </c>
      <c r="BQ766" s="2">
        <f t="shared" si="537"/>
        <v>0</v>
      </c>
      <c r="BR766" s="2">
        <f t="shared" si="537"/>
        <v>0</v>
      </c>
      <c r="BS766" s="2">
        <f t="shared" si="537"/>
        <v>0</v>
      </c>
      <c r="BT766" s="2">
        <f t="shared" si="537"/>
        <v>0</v>
      </c>
      <c r="BU766" s="2">
        <f t="shared" si="537"/>
        <v>0</v>
      </c>
      <c r="BV766" s="2">
        <f t="shared" si="537"/>
        <v>0</v>
      </c>
      <c r="BW766" s="2">
        <f t="shared" si="537"/>
        <v>0</v>
      </c>
      <c r="BX766" s="2">
        <f t="shared" si="537"/>
        <v>0</v>
      </c>
      <c r="BY766" s="2">
        <f t="shared" si="537"/>
        <v>0</v>
      </c>
      <c r="BZ766" s="2">
        <f t="shared" si="537"/>
        <v>0</v>
      </c>
      <c r="CA766" s="2">
        <f t="shared" ref="CA766:DF766" si="538">CA783</f>
        <v>46998.55</v>
      </c>
      <c r="CB766" s="2">
        <f t="shared" si="538"/>
        <v>0</v>
      </c>
      <c r="CC766" s="2">
        <f t="shared" si="538"/>
        <v>0</v>
      </c>
      <c r="CD766" s="2">
        <f t="shared" si="538"/>
        <v>46998.55</v>
      </c>
      <c r="CE766" s="2">
        <f t="shared" si="538"/>
        <v>23038.52</v>
      </c>
      <c r="CF766" s="2">
        <f t="shared" si="538"/>
        <v>23038.52</v>
      </c>
      <c r="CG766" s="2">
        <f t="shared" si="538"/>
        <v>0</v>
      </c>
      <c r="CH766" s="2">
        <f t="shared" si="538"/>
        <v>23038.52</v>
      </c>
      <c r="CI766" s="2">
        <f t="shared" si="538"/>
        <v>0</v>
      </c>
      <c r="CJ766" s="2">
        <f t="shared" si="538"/>
        <v>0</v>
      </c>
      <c r="CK766" s="2">
        <f t="shared" si="538"/>
        <v>0</v>
      </c>
      <c r="CL766" s="2">
        <f t="shared" si="538"/>
        <v>0</v>
      </c>
      <c r="CM766" s="2">
        <f t="shared" si="538"/>
        <v>0</v>
      </c>
      <c r="CN766" s="2">
        <f t="shared" si="538"/>
        <v>0</v>
      </c>
      <c r="CO766" s="2">
        <f t="shared" si="538"/>
        <v>0</v>
      </c>
      <c r="CP766" s="2">
        <f t="shared" si="538"/>
        <v>0</v>
      </c>
      <c r="CQ766" s="2">
        <f t="shared" si="538"/>
        <v>0</v>
      </c>
      <c r="CR766" s="2">
        <f t="shared" si="538"/>
        <v>0</v>
      </c>
      <c r="CS766" s="2">
        <f t="shared" si="538"/>
        <v>0</v>
      </c>
      <c r="CT766" s="2">
        <f t="shared" si="538"/>
        <v>0</v>
      </c>
      <c r="CU766" s="2">
        <f t="shared" si="538"/>
        <v>0</v>
      </c>
      <c r="CV766" s="2">
        <f t="shared" si="538"/>
        <v>0</v>
      </c>
      <c r="CW766" s="2">
        <f t="shared" si="538"/>
        <v>0</v>
      </c>
      <c r="CX766" s="2">
        <f t="shared" si="538"/>
        <v>0</v>
      </c>
      <c r="CY766" s="2">
        <f t="shared" si="538"/>
        <v>0</v>
      </c>
      <c r="CZ766" s="2">
        <f t="shared" si="538"/>
        <v>0</v>
      </c>
      <c r="DA766" s="2">
        <f t="shared" si="538"/>
        <v>0</v>
      </c>
      <c r="DB766" s="2">
        <f t="shared" si="538"/>
        <v>0</v>
      </c>
      <c r="DC766" s="2">
        <f t="shared" si="538"/>
        <v>0</v>
      </c>
      <c r="DD766" s="2">
        <f t="shared" si="538"/>
        <v>0</v>
      </c>
      <c r="DE766" s="2">
        <f t="shared" si="538"/>
        <v>0</v>
      </c>
      <c r="DF766" s="2">
        <f t="shared" si="538"/>
        <v>0</v>
      </c>
      <c r="DG766" s="3">
        <f t="shared" ref="DG766:EL766" si="539">DG783</f>
        <v>0</v>
      </c>
      <c r="DH766" s="3">
        <f t="shared" si="539"/>
        <v>0</v>
      </c>
      <c r="DI766" s="3">
        <f t="shared" si="539"/>
        <v>0</v>
      </c>
      <c r="DJ766" s="3">
        <f t="shared" si="539"/>
        <v>0</v>
      </c>
      <c r="DK766" s="3">
        <f t="shared" si="539"/>
        <v>0</v>
      </c>
      <c r="DL766" s="3">
        <f t="shared" si="539"/>
        <v>0</v>
      </c>
      <c r="DM766" s="3">
        <f t="shared" si="539"/>
        <v>0</v>
      </c>
      <c r="DN766" s="3">
        <f t="shared" si="539"/>
        <v>0</v>
      </c>
      <c r="DO766" s="3">
        <f t="shared" si="539"/>
        <v>0</v>
      </c>
      <c r="DP766" s="3">
        <f t="shared" si="539"/>
        <v>0</v>
      </c>
      <c r="DQ766" s="3">
        <f t="shared" si="539"/>
        <v>0</v>
      </c>
      <c r="DR766" s="3">
        <f t="shared" si="539"/>
        <v>0</v>
      </c>
      <c r="DS766" s="3">
        <f t="shared" si="539"/>
        <v>0</v>
      </c>
      <c r="DT766" s="3">
        <f t="shared" si="539"/>
        <v>0</v>
      </c>
      <c r="DU766" s="3">
        <f t="shared" si="539"/>
        <v>0</v>
      </c>
      <c r="DV766" s="3">
        <f t="shared" si="539"/>
        <v>0</v>
      </c>
      <c r="DW766" s="3">
        <f t="shared" si="539"/>
        <v>0</v>
      </c>
      <c r="DX766" s="3">
        <f t="shared" si="539"/>
        <v>0</v>
      </c>
      <c r="DY766" s="3">
        <f t="shared" si="539"/>
        <v>0</v>
      </c>
      <c r="DZ766" s="3">
        <f t="shared" si="539"/>
        <v>0</v>
      </c>
      <c r="EA766" s="3">
        <f t="shared" si="539"/>
        <v>0</v>
      </c>
      <c r="EB766" s="3">
        <f t="shared" si="539"/>
        <v>0</v>
      </c>
      <c r="EC766" s="3">
        <f t="shared" si="539"/>
        <v>0</v>
      </c>
      <c r="ED766" s="3">
        <f t="shared" si="539"/>
        <v>0</v>
      </c>
      <c r="EE766" s="3">
        <f t="shared" si="539"/>
        <v>0</v>
      </c>
      <c r="EF766" s="3">
        <f t="shared" si="539"/>
        <v>0</v>
      </c>
      <c r="EG766" s="3">
        <f t="shared" si="539"/>
        <v>0</v>
      </c>
      <c r="EH766" s="3">
        <f t="shared" si="539"/>
        <v>0</v>
      </c>
      <c r="EI766" s="3">
        <f t="shared" si="539"/>
        <v>0</v>
      </c>
      <c r="EJ766" s="3">
        <f t="shared" si="539"/>
        <v>0</v>
      </c>
      <c r="EK766" s="3">
        <f t="shared" si="539"/>
        <v>0</v>
      </c>
      <c r="EL766" s="3">
        <f t="shared" si="539"/>
        <v>0</v>
      </c>
      <c r="EM766" s="3">
        <f t="shared" ref="EM766:FR766" si="540">EM783</f>
        <v>0</v>
      </c>
      <c r="EN766" s="3">
        <f t="shared" si="540"/>
        <v>0</v>
      </c>
      <c r="EO766" s="3">
        <f t="shared" si="540"/>
        <v>0</v>
      </c>
      <c r="EP766" s="3">
        <f t="shared" si="540"/>
        <v>0</v>
      </c>
      <c r="EQ766" s="3">
        <f t="shared" si="540"/>
        <v>0</v>
      </c>
      <c r="ER766" s="3">
        <f t="shared" si="540"/>
        <v>0</v>
      </c>
      <c r="ES766" s="3">
        <f t="shared" si="540"/>
        <v>0</v>
      </c>
      <c r="ET766" s="3">
        <f t="shared" si="540"/>
        <v>0</v>
      </c>
      <c r="EU766" s="3">
        <f t="shared" si="540"/>
        <v>0</v>
      </c>
      <c r="EV766" s="3">
        <f t="shared" si="540"/>
        <v>0</v>
      </c>
      <c r="EW766" s="3">
        <f t="shared" si="540"/>
        <v>0</v>
      </c>
      <c r="EX766" s="3">
        <f t="shared" si="540"/>
        <v>0</v>
      </c>
      <c r="EY766" s="3">
        <f t="shared" si="540"/>
        <v>0</v>
      </c>
      <c r="EZ766" s="3">
        <f t="shared" si="540"/>
        <v>0</v>
      </c>
      <c r="FA766" s="3">
        <f t="shared" si="540"/>
        <v>0</v>
      </c>
      <c r="FB766" s="3">
        <f t="shared" si="540"/>
        <v>0</v>
      </c>
      <c r="FC766" s="3">
        <f t="shared" si="540"/>
        <v>0</v>
      </c>
      <c r="FD766" s="3">
        <f t="shared" si="540"/>
        <v>0</v>
      </c>
      <c r="FE766" s="3">
        <f t="shared" si="540"/>
        <v>0</v>
      </c>
      <c r="FF766" s="3">
        <f t="shared" si="540"/>
        <v>0</v>
      </c>
      <c r="FG766" s="3">
        <f t="shared" si="540"/>
        <v>0</v>
      </c>
      <c r="FH766" s="3">
        <f t="shared" si="540"/>
        <v>0</v>
      </c>
      <c r="FI766" s="3">
        <f t="shared" si="540"/>
        <v>0</v>
      </c>
      <c r="FJ766" s="3">
        <f t="shared" si="540"/>
        <v>0</v>
      </c>
      <c r="FK766" s="3">
        <f t="shared" si="540"/>
        <v>0</v>
      </c>
      <c r="FL766" s="3">
        <f t="shared" si="540"/>
        <v>0</v>
      </c>
      <c r="FM766" s="3">
        <f t="shared" si="540"/>
        <v>0</v>
      </c>
      <c r="FN766" s="3">
        <f t="shared" si="540"/>
        <v>0</v>
      </c>
      <c r="FO766" s="3">
        <f t="shared" si="540"/>
        <v>0</v>
      </c>
      <c r="FP766" s="3">
        <f t="shared" si="540"/>
        <v>0</v>
      </c>
      <c r="FQ766" s="3">
        <f t="shared" si="540"/>
        <v>0</v>
      </c>
      <c r="FR766" s="3">
        <f t="shared" si="540"/>
        <v>0</v>
      </c>
      <c r="FS766" s="3">
        <f t="shared" ref="FS766:GX766" si="541">FS783</f>
        <v>0</v>
      </c>
      <c r="FT766" s="3">
        <f t="shared" si="541"/>
        <v>0</v>
      </c>
      <c r="FU766" s="3">
        <f t="shared" si="541"/>
        <v>0</v>
      </c>
      <c r="FV766" s="3">
        <f t="shared" si="541"/>
        <v>0</v>
      </c>
      <c r="FW766" s="3">
        <f t="shared" si="541"/>
        <v>0</v>
      </c>
      <c r="FX766" s="3">
        <f t="shared" si="541"/>
        <v>0</v>
      </c>
      <c r="FY766" s="3">
        <f t="shared" si="541"/>
        <v>0</v>
      </c>
      <c r="FZ766" s="3">
        <f t="shared" si="541"/>
        <v>0</v>
      </c>
      <c r="GA766" s="3">
        <f t="shared" si="541"/>
        <v>0</v>
      </c>
      <c r="GB766" s="3">
        <f t="shared" si="541"/>
        <v>0</v>
      </c>
      <c r="GC766" s="3">
        <f t="shared" si="541"/>
        <v>0</v>
      </c>
      <c r="GD766" s="3">
        <f t="shared" si="541"/>
        <v>0</v>
      </c>
      <c r="GE766" s="3">
        <f t="shared" si="541"/>
        <v>0</v>
      </c>
      <c r="GF766" s="3">
        <f t="shared" si="541"/>
        <v>0</v>
      </c>
      <c r="GG766" s="3">
        <f t="shared" si="541"/>
        <v>0</v>
      </c>
      <c r="GH766" s="3">
        <f t="shared" si="541"/>
        <v>0</v>
      </c>
      <c r="GI766" s="3">
        <f t="shared" si="541"/>
        <v>0</v>
      </c>
      <c r="GJ766" s="3">
        <f t="shared" si="541"/>
        <v>0</v>
      </c>
      <c r="GK766" s="3">
        <f t="shared" si="541"/>
        <v>0</v>
      </c>
      <c r="GL766" s="3">
        <f t="shared" si="541"/>
        <v>0</v>
      </c>
      <c r="GM766" s="3">
        <f t="shared" si="541"/>
        <v>0</v>
      </c>
      <c r="GN766" s="3">
        <f t="shared" si="541"/>
        <v>0</v>
      </c>
      <c r="GO766" s="3">
        <f t="shared" si="541"/>
        <v>0</v>
      </c>
      <c r="GP766" s="3">
        <f t="shared" si="541"/>
        <v>0</v>
      </c>
      <c r="GQ766" s="3">
        <f t="shared" si="541"/>
        <v>0</v>
      </c>
      <c r="GR766" s="3">
        <f t="shared" si="541"/>
        <v>0</v>
      </c>
      <c r="GS766" s="3">
        <f t="shared" si="541"/>
        <v>0</v>
      </c>
      <c r="GT766" s="3">
        <f t="shared" si="541"/>
        <v>0</v>
      </c>
      <c r="GU766" s="3">
        <f t="shared" si="541"/>
        <v>0</v>
      </c>
      <c r="GV766" s="3">
        <f t="shared" si="541"/>
        <v>0</v>
      </c>
      <c r="GW766" s="3">
        <f t="shared" si="541"/>
        <v>0</v>
      </c>
      <c r="GX766" s="3">
        <f t="shared" si="541"/>
        <v>0</v>
      </c>
    </row>
    <row r="768" spans="1:245" x14ac:dyDescent="0.2">
      <c r="A768">
        <v>17</v>
      </c>
      <c r="B768">
        <v>1</v>
      </c>
      <c r="C768">
        <f>ROW(SmtRes!A191)</f>
        <v>191</v>
      </c>
      <c r="D768">
        <f>ROW(EtalonRes!A188)</f>
        <v>188</v>
      </c>
      <c r="E768" t="s">
        <v>304</v>
      </c>
      <c r="F768" t="s">
        <v>185</v>
      </c>
      <c r="G768" t="s">
        <v>186</v>
      </c>
      <c r="H768" t="s">
        <v>187</v>
      </c>
      <c r="I768">
        <f>ROUND(((299.5*0.1)/100)*0.9,9)</f>
        <v>0.26955000000000001</v>
      </c>
      <c r="J768">
        <v>0</v>
      </c>
      <c r="O768">
        <f t="shared" ref="O768:O781" si="542">ROUND(CP768,2)</f>
        <v>2372.6799999999998</v>
      </c>
      <c r="P768">
        <f t="shared" ref="P768:P781" si="543">ROUND(CQ768*I768,2)</f>
        <v>0</v>
      </c>
      <c r="Q768">
        <f t="shared" ref="Q768:Q781" si="544">ROUND(CR768*I768,2)</f>
        <v>2215.39</v>
      </c>
      <c r="R768">
        <f t="shared" ref="R768:R781" si="545">ROUND(CS768*I768,2)</f>
        <v>1517.32</v>
      </c>
      <c r="S768">
        <f t="shared" ref="S768:S781" si="546">ROUND(CT768*I768,2)</f>
        <v>157.29</v>
      </c>
      <c r="T768">
        <f t="shared" ref="T768:T781" si="547">ROUND(CU768*I768,2)</f>
        <v>0</v>
      </c>
      <c r="U768">
        <f t="shared" ref="U768:U781" si="548">CV768*I768</f>
        <v>0.91377450000000005</v>
      </c>
      <c r="V768">
        <f t="shared" ref="V768:V781" si="549">CW768*I768</f>
        <v>0</v>
      </c>
      <c r="W768">
        <f t="shared" ref="W768:W781" si="550">ROUND(CX768*I768,2)</f>
        <v>0</v>
      </c>
      <c r="X768">
        <f t="shared" ref="X768:X781" si="551">ROUND(CY768,2)</f>
        <v>110.1</v>
      </c>
      <c r="Y768">
        <f t="shared" ref="Y768:Y781" si="552">ROUND(CZ768,2)</f>
        <v>15.73</v>
      </c>
      <c r="AA768">
        <v>38214492</v>
      </c>
      <c r="AB768">
        <f t="shared" ref="AB768:AB781" si="553">ROUND((AC768+AD768+AF768),6)</f>
        <v>8802.35</v>
      </c>
      <c r="AC768">
        <f t="shared" ref="AC768:AC773" si="554">ROUND((ES768),6)</f>
        <v>0</v>
      </c>
      <c r="AD768">
        <f t="shared" ref="AD768:AD773" si="555">ROUND((((ET768)-(EU768))+AE768),6)</f>
        <v>8218.83</v>
      </c>
      <c r="AE768">
        <f t="shared" ref="AE768:AF773" si="556">ROUND((EU768),6)</f>
        <v>5629.09</v>
      </c>
      <c r="AF768">
        <f t="shared" si="556"/>
        <v>583.52</v>
      </c>
      <c r="AG768">
        <f t="shared" ref="AG768:AG781" si="557">ROUND((AP768),6)</f>
        <v>0</v>
      </c>
      <c r="AH768">
        <f t="shared" ref="AH768:AI773" si="558">(EW768)</f>
        <v>3.39</v>
      </c>
      <c r="AI768">
        <f t="shared" si="558"/>
        <v>0</v>
      </c>
      <c r="AJ768">
        <f t="shared" ref="AJ768:AJ781" si="559">(AS768)</f>
        <v>0</v>
      </c>
      <c r="AK768">
        <v>8802.35</v>
      </c>
      <c r="AL768">
        <v>0</v>
      </c>
      <c r="AM768">
        <v>8218.83</v>
      </c>
      <c r="AN768">
        <v>5629.09</v>
      </c>
      <c r="AO768">
        <v>583.52</v>
      </c>
      <c r="AP768">
        <v>0</v>
      </c>
      <c r="AQ768">
        <v>3.39</v>
      </c>
      <c r="AR768">
        <v>0</v>
      </c>
      <c r="AS768">
        <v>0</v>
      </c>
      <c r="AT768">
        <v>70</v>
      </c>
      <c r="AU768">
        <v>10</v>
      </c>
      <c r="AV768">
        <v>1</v>
      </c>
      <c r="AW768">
        <v>1</v>
      </c>
      <c r="AZ768">
        <v>1</v>
      </c>
      <c r="BA768">
        <v>1</v>
      </c>
      <c r="BB768">
        <v>1</v>
      </c>
      <c r="BC768">
        <v>1</v>
      </c>
      <c r="BD768" t="s">
        <v>3</v>
      </c>
      <c r="BE768" t="s">
        <v>3</v>
      </c>
      <c r="BF768" t="s">
        <v>3</v>
      </c>
      <c r="BG768" t="s">
        <v>3</v>
      </c>
      <c r="BH768">
        <v>0</v>
      </c>
      <c r="BI768">
        <v>4</v>
      </c>
      <c r="BJ768" t="s">
        <v>188</v>
      </c>
      <c r="BM768">
        <v>0</v>
      </c>
      <c r="BN768">
        <v>0</v>
      </c>
      <c r="BO768" t="s">
        <v>3</v>
      </c>
      <c r="BP768">
        <v>0</v>
      </c>
      <c r="BQ768">
        <v>1</v>
      </c>
      <c r="BR768">
        <v>0</v>
      </c>
      <c r="BS768">
        <v>1</v>
      </c>
      <c r="BT768">
        <v>1</v>
      </c>
      <c r="BU768">
        <v>1</v>
      </c>
      <c r="BV768">
        <v>1</v>
      </c>
      <c r="BW768">
        <v>1</v>
      </c>
      <c r="BX768">
        <v>1</v>
      </c>
      <c r="BY768" t="s">
        <v>3</v>
      </c>
      <c r="BZ768">
        <v>70</v>
      </c>
      <c r="CA768">
        <v>10</v>
      </c>
      <c r="CE768">
        <v>0</v>
      </c>
      <c r="CF768">
        <v>0</v>
      </c>
      <c r="CG768">
        <v>0</v>
      </c>
      <c r="CM768">
        <v>0</v>
      </c>
      <c r="CN768" t="s">
        <v>3</v>
      </c>
      <c r="CO768">
        <v>0</v>
      </c>
      <c r="CP768">
        <f t="shared" ref="CP768:CP781" si="560">(P768+Q768+S768)</f>
        <v>2372.6799999999998</v>
      </c>
      <c r="CQ768">
        <f t="shared" ref="CQ768:CQ781" si="561">(AC768*BC768*AW768)</f>
        <v>0</v>
      </c>
      <c r="CR768">
        <f t="shared" ref="CR768:CR773" si="562">((((ET768)*BB768-(EU768)*BS768)+AE768*BS768)*AV768)</f>
        <v>8218.83</v>
      </c>
      <c r="CS768">
        <f t="shared" ref="CS768:CS781" si="563">(AE768*BS768*AV768)</f>
        <v>5629.09</v>
      </c>
      <c r="CT768">
        <f t="shared" ref="CT768:CT781" si="564">(AF768*BA768*AV768)</f>
        <v>583.52</v>
      </c>
      <c r="CU768">
        <f t="shared" ref="CU768:CU781" si="565">AG768</f>
        <v>0</v>
      </c>
      <c r="CV768">
        <f t="shared" ref="CV768:CV781" si="566">(AH768*AV768)</f>
        <v>3.39</v>
      </c>
      <c r="CW768">
        <f t="shared" ref="CW768:CW781" si="567">AI768</f>
        <v>0</v>
      </c>
      <c r="CX768">
        <f t="shared" ref="CX768:CX781" si="568">AJ768</f>
        <v>0</v>
      </c>
      <c r="CY768">
        <f t="shared" ref="CY768:CY781" si="569">((S768*BZ768)/100)</f>
        <v>110.10299999999999</v>
      </c>
      <c r="CZ768">
        <f t="shared" ref="CZ768:CZ781" si="570">((S768*CA768)/100)</f>
        <v>15.728999999999999</v>
      </c>
      <c r="DC768" t="s">
        <v>3</v>
      </c>
      <c r="DD768" t="s">
        <v>3</v>
      </c>
      <c r="DE768" t="s">
        <v>3</v>
      </c>
      <c r="DF768" t="s">
        <v>3</v>
      </c>
      <c r="DG768" t="s">
        <v>3</v>
      </c>
      <c r="DH768" t="s">
        <v>3</v>
      </c>
      <c r="DI768" t="s">
        <v>3</v>
      </c>
      <c r="DJ768" t="s">
        <v>3</v>
      </c>
      <c r="DK768" t="s">
        <v>3</v>
      </c>
      <c r="DL768" t="s">
        <v>3</v>
      </c>
      <c r="DM768" t="s">
        <v>3</v>
      </c>
      <c r="DN768">
        <v>0</v>
      </c>
      <c r="DO768">
        <v>0</v>
      </c>
      <c r="DP768">
        <v>1</v>
      </c>
      <c r="DQ768">
        <v>1</v>
      </c>
      <c r="DU768">
        <v>1007</v>
      </c>
      <c r="DV768" t="s">
        <v>187</v>
      </c>
      <c r="DW768" t="s">
        <v>187</v>
      </c>
      <c r="DX768">
        <v>100</v>
      </c>
      <c r="EE768">
        <v>38628631</v>
      </c>
      <c r="EF768">
        <v>1</v>
      </c>
      <c r="EG768" t="s">
        <v>24</v>
      </c>
      <c r="EH768">
        <v>0</v>
      </c>
      <c r="EI768" t="s">
        <v>3</v>
      </c>
      <c r="EJ768">
        <v>4</v>
      </c>
      <c r="EK768">
        <v>0</v>
      </c>
      <c r="EL768" t="s">
        <v>25</v>
      </c>
      <c r="EM768" t="s">
        <v>26</v>
      </c>
      <c r="EO768" t="s">
        <v>3</v>
      </c>
      <c r="EQ768">
        <v>0</v>
      </c>
      <c r="ER768">
        <v>8802.35</v>
      </c>
      <c r="ES768">
        <v>0</v>
      </c>
      <c r="ET768">
        <v>8218.83</v>
      </c>
      <c r="EU768">
        <v>5629.09</v>
      </c>
      <c r="EV768">
        <v>583.52</v>
      </c>
      <c r="EW768">
        <v>3.39</v>
      </c>
      <c r="EX768">
        <v>0</v>
      </c>
      <c r="EY768">
        <v>0</v>
      </c>
      <c r="FQ768">
        <v>0</v>
      </c>
      <c r="FR768">
        <f t="shared" ref="FR768:FR781" si="571">ROUND(IF(AND(BH768=3,BI768=3),P768,0),2)</f>
        <v>0</v>
      </c>
      <c r="FS768">
        <v>0</v>
      </c>
      <c r="FX768">
        <v>70</v>
      </c>
      <c r="FY768">
        <v>10</v>
      </c>
      <c r="GA768" t="s">
        <v>3</v>
      </c>
      <c r="GD768">
        <v>0</v>
      </c>
      <c r="GF768">
        <v>-1496414240</v>
      </c>
      <c r="GG768">
        <v>2</v>
      </c>
      <c r="GH768">
        <v>1</v>
      </c>
      <c r="GI768">
        <v>-2</v>
      </c>
      <c r="GJ768">
        <v>0</v>
      </c>
      <c r="GK768">
        <f>ROUND(R768*(R12)/100,2)</f>
        <v>1638.71</v>
      </c>
      <c r="GL768">
        <f t="shared" ref="GL768:GL781" si="572">ROUND(IF(AND(BH768=3,BI768=3,FS768&lt;&gt;0),P768,0),2)</f>
        <v>0</v>
      </c>
      <c r="GM768">
        <f>ROUND(O768+X768+Y768+GK768,2)+GX768</f>
        <v>4137.22</v>
      </c>
      <c r="GN768">
        <f>IF(OR(BI768=0,BI768=1),ROUND(O768+X768+Y768+GK768,2),0)</f>
        <v>0</v>
      </c>
      <c r="GO768">
        <f>IF(BI768=2,ROUND(O768+X768+Y768+GK768,2),0)</f>
        <v>0</v>
      </c>
      <c r="GP768">
        <f>IF(BI768=4,ROUND(O768+X768+Y768+GK768,2)+GX768,0)</f>
        <v>4137.22</v>
      </c>
      <c r="GR768">
        <v>0</v>
      </c>
      <c r="GS768">
        <v>3</v>
      </c>
      <c r="GT768">
        <v>0</v>
      </c>
      <c r="GU768" t="s">
        <v>3</v>
      </c>
      <c r="GV768">
        <f t="shared" ref="GV768:GV781" si="573">ROUND((GT768),6)</f>
        <v>0</v>
      </c>
      <c r="GW768">
        <v>1</v>
      </c>
      <c r="GX768">
        <f t="shared" ref="GX768:GX781" si="574">ROUND(HC768*I768,2)</f>
        <v>0</v>
      </c>
      <c r="HA768">
        <v>0</v>
      </c>
      <c r="HB768">
        <v>0</v>
      </c>
      <c r="HC768">
        <f t="shared" ref="HC768:HC781" si="575">GV768*GW768</f>
        <v>0</v>
      </c>
      <c r="HE768" t="s">
        <v>3</v>
      </c>
      <c r="HF768" t="s">
        <v>3</v>
      </c>
      <c r="IK768">
        <v>0</v>
      </c>
    </row>
    <row r="769" spans="1:245" x14ac:dyDescent="0.2">
      <c r="A769">
        <v>17</v>
      </c>
      <c r="B769">
        <v>1</v>
      </c>
      <c r="C769">
        <f>ROW(SmtRes!A192)</f>
        <v>192</v>
      </c>
      <c r="D769">
        <f>ROW(EtalonRes!A189)</f>
        <v>189</v>
      </c>
      <c r="E769" t="s">
        <v>305</v>
      </c>
      <c r="F769" t="s">
        <v>190</v>
      </c>
      <c r="G769" t="s">
        <v>191</v>
      </c>
      <c r="H769" t="s">
        <v>187</v>
      </c>
      <c r="I769">
        <f>ROUND(((299.5*0.1)*0.1)/100,9)</f>
        <v>2.9950000000000001E-2</v>
      </c>
      <c r="J769">
        <v>0</v>
      </c>
      <c r="O769">
        <f t="shared" si="542"/>
        <v>1196.57</v>
      </c>
      <c r="P769">
        <f t="shared" si="543"/>
        <v>0</v>
      </c>
      <c r="Q769">
        <f t="shared" si="544"/>
        <v>0</v>
      </c>
      <c r="R769">
        <f t="shared" si="545"/>
        <v>0</v>
      </c>
      <c r="S769">
        <f t="shared" si="546"/>
        <v>1196.57</v>
      </c>
      <c r="T769">
        <f t="shared" si="547"/>
        <v>0</v>
      </c>
      <c r="U769">
        <f t="shared" si="548"/>
        <v>6.6369199999999999</v>
      </c>
      <c r="V769">
        <f t="shared" si="549"/>
        <v>0</v>
      </c>
      <c r="W769">
        <f t="shared" si="550"/>
        <v>0</v>
      </c>
      <c r="X769">
        <f t="shared" si="551"/>
        <v>837.6</v>
      </c>
      <c r="Y769">
        <f t="shared" si="552"/>
        <v>119.66</v>
      </c>
      <c r="AA769">
        <v>38214492</v>
      </c>
      <c r="AB769">
        <f t="shared" si="553"/>
        <v>39952.26</v>
      </c>
      <c r="AC769">
        <f t="shared" si="554"/>
        <v>0</v>
      </c>
      <c r="AD769">
        <f t="shared" si="555"/>
        <v>0</v>
      </c>
      <c r="AE769">
        <f t="shared" si="556"/>
        <v>0</v>
      </c>
      <c r="AF769">
        <f t="shared" si="556"/>
        <v>39952.26</v>
      </c>
      <c r="AG769">
        <f t="shared" si="557"/>
        <v>0</v>
      </c>
      <c r="AH769">
        <f t="shared" si="558"/>
        <v>221.6</v>
      </c>
      <c r="AI769">
        <f t="shared" si="558"/>
        <v>0</v>
      </c>
      <c r="AJ769">
        <f t="shared" si="559"/>
        <v>0</v>
      </c>
      <c r="AK769">
        <v>39952.26</v>
      </c>
      <c r="AL769">
        <v>0</v>
      </c>
      <c r="AM769">
        <v>0</v>
      </c>
      <c r="AN769">
        <v>0</v>
      </c>
      <c r="AO769">
        <v>39952.26</v>
      </c>
      <c r="AP769">
        <v>0</v>
      </c>
      <c r="AQ769">
        <v>221.6</v>
      </c>
      <c r="AR769">
        <v>0</v>
      </c>
      <c r="AS769">
        <v>0</v>
      </c>
      <c r="AT769">
        <v>70</v>
      </c>
      <c r="AU769">
        <v>10</v>
      </c>
      <c r="AV769">
        <v>1</v>
      </c>
      <c r="AW769">
        <v>1</v>
      </c>
      <c r="AZ769">
        <v>1</v>
      </c>
      <c r="BA769">
        <v>1</v>
      </c>
      <c r="BB769">
        <v>1</v>
      </c>
      <c r="BC769">
        <v>1</v>
      </c>
      <c r="BD769" t="s">
        <v>3</v>
      </c>
      <c r="BE769" t="s">
        <v>3</v>
      </c>
      <c r="BF769" t="s">
        <v>3</v>
      </c>
      <c r="BG769" t="s">
        <v>3</v>
      </c>
      <c r="BH769">
        <v>0</v>
      </c>
      <c r="BI769">
        <v>4</v>
      </c>
      <c r="BJ769" t="s">
        <v>192</v>
      </c>
      <c r="BM769">
        <v>0</v>
      </c>
      <c r="BN769">
        <v>0</v>
      </c>
      <c r="BO769" t="s">
        <v>3</v>
      </c>
      <c r="BP769">
        <v>0</v>
      </c>
      <c r="BQ769">
        <v>1</v>
      </c>
      <c r="BR769">
        <v>0</v>
      </c>
      <c r="BS769">
        <v>1</v>
      </c>
      <c r="BT769">
        <v>1</v>
      </c>
      <c r="BU769">
        <v>1</v>
      </c>
      <c r="BV769">
        <v>1</v>
      </c>
      <c r="BW769">
        <v>1</v>
      </c>
      <c r="BX769">
        <v>1</v>
      </c>
      <c r="BY769" t="s">
        <v>3</v>
      </c>
      <c r="BZ769">
        <v>70</v>
      </c>
      <c r="CA769">
        <v>10</v>
      </c>
      <c r="CE769">
        <v>0</v>
      </c>
      <c r="CF769">
        <v>0</v>
      </c>
      <c r="CG769">
        <v>0</v>
      </c>
      <c r="CM769">
        <v>0</v>
      </c>
      <c r="CN769" t="s">
        <v>3</v>
      </c>
      <c r="CO769">
        <v>0</v>
      </c>
      <c r="CP769">
        <f t="shared" si="560"/>
        <v>1196.57</v>
      </c>
      <c r="CQ769">
        <f t="shared" si="561"/>
        <v>0</v>
      </c>
      <c r="CR769">
        <f t="shared" si="562"/>
        <v>0</v>
      </c>
      <c r="CS769">
        <f t="shared" si="563"/>
        <v>0</v>
      </c>
      <c r="CT769">
        <f t="shared" si="564"/>
        <v>39952.26</v>
      </c>
      <c r="CU769">
        <f t="shared" si="565"/>
        <v>0</v>
      </c>
      <c r="CV769">
        <f t="shared" si="566"/>
        <v>221.6</v>
      </c>
      <c r="CW769">
        <f t="shared" si="567"/>
        <v>0</v>
      </c>
      <c r="CX769">
        <f t="shared" si="568"/>
        <v>0</v>
      </c>
      <c r="CY769">
        <f t="shared" si="569"/>
        <v>837.59899999999993</v>
      </c>
      <c r="CZ769">
        <f t="shared" si="570"/>
        <v>119.65699999999998</v>
      </c>
      <c r="DC769" t="s">
        <v>3</v>
      </c>
      <c r="DD769" t="s">
        <v>3</v>
      </c>
      <c r="DE769" t="s">
        <v>3</v>
      </c>
      <c r="DF769" t="s">
        <v>3</v>
      </c>
      <c r="DG769" t="s">
        <v>3</v>
      </c>
      <c r="DH769" t="s">
        <v>3</v>
      </c>
      <c r="DI769" t="s">
        <v>3</v>
      </c>
      <c r="DJ769" t="s">
        <v>3</v>
      </c>
      <c r="DK769" t="s">
        <v>3</v>
      </c>
      <c r="DL769" t="s">
        <v>3</v>
      </c>
      <c r="DM769" t="s">
        <v>3</v>
      </c>
      <c r="DN769">
        <v>0</v>
      </c>
      <c r="DO769">
        <v>0</v>
      </c>
      <c r="DP769">
        <v>1</v>
      </c>
      <c r="DQ769">
        <v>1</v>
      </c>
      <c r="DU769">
        <v>1007</v>
      </c>
      <c r="DV769" t="s">
        <v>187</v>
      </c>
      <c r="DW769" t="s">
        <v>187</v>
      </c>
      <c r="DX769">
        <v>100</v>
      </c>
      <c r="EE769">
        <v>38628631</v>
      </c>
      <c r="EF769">
        <v>1</v>
      </c>
      <c r="EG769" t="s">
        <v>24</v>
      </c>
      <c r="EH769">
        <v>0</v>
      </c>
      <c r="EI769" t="s">
        <v>3</v>
      </c>
      <c r="EJ769">
        <v>4</v>
      </c>
      <c r="EK769">
        <v>0</v>
      </c>
      <c r="EL769" t="s">
        <v>25</v>
      </c>
      <c r="EM769" t="s">
        <v>26</v>
      </c>
      <c r="EO769" t="s">
        <v>3</v>
      </c>
      <c r="EQ769">
        <v>0</v>
      </c>
      <c r="ER769">
        <v>39952.26</v>
      </c>
      <c r="ES769">
        <v>0</v>
      </c>
      <c r="ET769">
        <v>0</v>
      </c>
      <c r="EU769">
        <v>0</v>
      </c>
      <c r="EV769">
        <v>39952.26</v>
      </c>
      <c r="EW769">
        <v>221.6</v>
      </c>
      <c r="EX769">
        <v>0</v>
      </c>
      <c r="EY769">
        <v>0</v>
      </c>
      <c r="FQ769">
        <v>0</v>
      </c>
      <c r="FR769">
        <f t="shared" si="571"/>
        <v>0</v>
      </c>
      <c r="FS769">
        <v>0</v>
      </c>
      <c r="FX769">
        <v>70</v>
      </c>
      <c r="FY769">
        <v>10</v>
      </c>
      <c r="GA769" t="s">
        <v>3</v>
      </c>
      <c r="GD769">
        <v>0</v>
      </c>
      <c r="GF769">
        <v>-1026881037</v>
      </c>
      <c r="GG769">
        <v>2</v>
      </c>
      <c r="GH769">
        <v>1</v>
      </c>
      <c r="GI769">
        <v>-2</v>
      </c>
      <c r="GJ769">
        <v>0</v>
      </c>
      <c r="GK769">
        <f>ROUND(R769*(R12)/100,2)</f>
        <v>0</v>
      </c>
      <c r="GL769">
        <f t="shared" si="572"/>
        <v>0</v>
      </c>
      <c r="GM769">
        <f>ROUND(O769+X769+Y769+GK769,2)+GX769</f>
        <v>2153.83</v>
      </c>
      <c r="GN769">
        <f>IF(OR(BI769=0,BI769=1),ROUND(O769+X769+Y769+GK769,2),0)</f>
        <v>0</v>
      </c>
      <c r="GO769">
        <f>IF(BI769=2,ROUND(O769+X769+Y769+GK769,2),0)</f>
        <v>0</v>
      </c>
      <c r="GP769">
        <f>IF(BI769=4,ROUND(O769+X769+Y769+GK769,2)+GX769,0)</f>
        <v>2153.83</v>
      </c>
      <c r="GR769">
        <v>0</v>
      </c>
      <c r="GS769">
        <v>3</v>
      </c>
      <c r="GT769">
        <v>0</v>
      </c>
      <c r="GU769" t="s">
        <v>3</v>
      </c>
      <c r="GV769">
        <f t="shared" si="573"/>
        <v>0</v>
      </c>
      <c r="GW769">
        <v>1</v>
      </c>
      <c r="GX769">
        <f t="shared" si="574"/>
        <v>0</v>
      </c>
      <c r="HA769">
        <v>0</v>
      </c>
      <c r="HB769">
        <v>0</v>
      </c>
      <c r="HC769">
        <f t="shared" si="575"/>
        <v>0</v>
      </c>
      <c r="HE769" t="s">
        <v>3</v>
      </c>
      <c r="HF769" t="s">
        <v>3</v>
      </c>
      <c r="IK769">
        <v>0</v>
      </c>
    </row>
    <row r="770" spans="1:245" x14ac:dyDescent="0.2">
      <c r="A770">
        <v>17</v>
      </c>
      <c r="B770">
        <v>1</v>
      </c>
      <c r="C770">
        <f>ROW(SmtRes!A193)</f>
        <v>193</v>
      </c>
      <c r="D770">
        <f>ROW(EtalonRes!A190)</f>
        <v>190</v>
      </c>
      <c r="E770" t="s">
        <v>306</v>
      </c>
      <c r="F770" t="s">
        <v>194</v>
      </c>
      <c r="G770" t="s">
        <v>195</v>
      </c>
      <c r="H770" t="s">
        <v>30</v>
      </c>
      <c r="I770">
        <f>ROUND(((299.5*0.1)*0.6)*0.75,9)</f>
        <v>13.477499999999999</v>
      </c>
      <c r="J770">
        <v>0</v>
      </c>
      <c r="O770">
        <f t="shared" si="542"/>
        <v>1050.71</v>
      </c>
      <c r="P770">
        <f t="shared" si="543"/>
        <v>0</v>
      </c>
      <c r="Q770">
        <f t="shared" si="544"/>
        <v>1050.71</v>
      </c>
      <c r="R770">
        <f t="shared" si="545"/>
        <v>331.41</v>
      </c>
      <c r="S770">
        <f t="shared" si="546"/>
        <v>0</v>
      </c>
      <c r="T770">
        <f t="shared" si="547"/>
        <v>0</v>
      </c>
      <c r="U770">
        <f t="shared" si="548"/>
        <v>0</v>
      </c>
      <c r="V770">
        <f t="shared" si="549"/>
        <v>0</v>
      </c>
      <c r="W770">
        <f t="shared" si="550"/>
        <v>0</v>
      </c>
      <c r="X770">
        <f t="shared" si="551"/>
        <v>0</v>
      </c>
      <c r="Y770">
        <f t="shared" si="552"/>
        <v>0</v>
      </c>
      <c r="AA770">
        <v>38214492</v>
      </c>
      <c r="AB770">
        <f t="shared" si="553"/>
        <v>77.959999999999994</v>
      </c>
      <c r="AC770">
        <f t="shared" si="554"/>
        <v>0</v>
      </c>
      <c r="AD770">
        <f t="shared" si="555"/>
        <v>77.959999999999994</v>
      </c>
      <c r="AE770">
        <f t="shared" si="556"/>
        <v>24.59</v>
      </c>
      <c r="AF770">
        <f t="shared" si="556"/>
        <v>0</v>
      </c>
      <c r="AG770">
        <f t="shared" si="557"/>
        <v>0</v>
      </c>
      <c r="AH770">
        <f t="shared" si="558"/>
        <v>0</v>
      </c>
      <c r="AI770">
        <f t="shared" si="558"/>
        <v>0</v>
      </c>
      <c r="AJ770">
        <f t="shared" si="559"/>
        <v>0</v>
      </c>
      <c r="AK770">
        <v>77.959999999999994</v>
      </c>
      <c r="AL770">
        <v>0</v>
      </c>
      <c r="AM770">
        <v>77.959999999999994</v>
      </c>
      <c r="AN770">
        <v>24.59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70</v>
      </c>
      <c r="AU770">
        <v>10</v>
      </c>
      <c r="AV770">
        <v>1</v>
      </c>
      <c r="AW770">
        <v>1</v>
      </c>
      <c r="AZ770">
        <v>1</v>
      </c>
      <c r="BA770">
        <v>1</v>
      </c>
      <c r="BB770">
        <v>1</v>
      </c>
      <c r="BC770">
        <v>1</v>
      </c>
      <c r="BD770" t="s">
        <v>3</v>
      </c>
      <c r="BE770" t="s">
        <v>3</v>
      </c>
      <c r="BF770" t="s">
        <v>3</v>
      </c>
      <c r="BG770" t="s">
        <v>3</v>
      </c>
      <c r="BH770">
        <v>0</v>
      </c>
      <c r="BI770">
        <v>4</v>
      </c>
      <c r="BJ770" t="s">
        <v>196</v>
      </c>
      <c r="BM770">
        <v>0</v>
      </c>
      <c r="BN770">
        <v>0</v>
      </c>
      <c r="BO770" t="s">
        <v>3</v>
      </c>
      <c r="BP770">
        <v>0</v>
      </c>
      <c r="BQ770">
        <v>1</v>
      </c>
      <c r="BR770">
        <v>0</v>
      </c>
      <c r="BS770">
        <v>1</v>
      </c>
      <c r="BT770">
        <v>1</v>
      </c>
      <c r="BU770">
        <v>1</v>
      </c>
      <c r="BV770">
        <v>1</v>
      </c>
      <c r="BW770">
        <v>1</v>
      </c>
      <c r="BX770">
        <v>1</v>
      </c>
      <c r="BY770" t="s">
        <v>3</v>
      </c>
      <c r="BZ770">
        <v>70</v>
      </c>
      <c r="CA770">
        <v>10</v>
      </c>
      <c r="CE770">
        <v>0</v>
      </c>
      <c r="CF770">
        <v>0</v>
      </c>
      <c r="CG770">
        <v>0</v>
      </c>
      <c r="CM770">
        <v>0</v>
      </c>
      <c r="CN770" t="s">
        <v>3</v>
      </c>
      <c r="CO770">
        <v>0</v>
      </c>
      <c r="CP770">
        <f t="shared" si="560"/>
        <v>1050.71</v>
      </c>
      <c r="CQ770">
        <f t="shared" si="561"/>
        <v>0</v>
      </c>
      <c r="CR770">
        <f t="shared" si="562"/>
        <v>77.959999999999994</v>
      </c>
      <c r="CS770">
        <f t="shared" si="563"/>
        <v>24.59</v>
      </c>
      <c r="CT770">
        <f t="shared" si="564"/>
        <v>0</v>
      </c>
      <c r="CU770">
        <f t="shared" si="565"/>
        <v>0</v>
      </c>
      <c r="CV770">
        <f t="shared" si="566"/>
        <v>0</v>
      </c>
      <c r="CW770">
        <f t="shared" si="567"/>
        <v>0</v>
      </c>
      <c r="CX770">
        <f t="shared" si="568"/>
        <v>0</v>
      </c>
      <c r="CY770">
        <f t="shared" si="569"/>
        <v>0</v>
      </c>
      <c r="CZ770">
        <f t="shared" si="570"/>
        <v>0</v>
      </c>
      <c r="DC770" t="s">
        <v>3</v>
      </c>
      <c r="DD770" t="s">
        <v>3</v>
      </c>
      <c r="DE770" t="s">
        <v>3</v>
      </c>
      <c r="DF770" t="s">
        <v>3</v>
      </c>
      <c r="DG770" t="s">
        <v>3</v>
      </c>
      <c r="DH770" t="s">
        <v>3</v>
      </c>
      <c r="DI770" t="s">
        <v>3</v>
      </c>
      <c r="DJ770" t="s">
        <v>3</v>
      </c>
      <c r="DK770" t="s">
        <v>3</v>
      </c>
      <c r="DL770" t="s">
        <v>3</v>
      </c>
      <c r="DM770" t="s">
        <v>3</v>
      </c>
      <c r="DN770">
        <v>0</v>
      </c>
      <c r="DO770">
        <v>0</v>
      </c>
      <c r="DP770">
        <v>1</v>
      </c>
      <c r="DQ770">
        <v>1</v>
      </c>
      <c r="DU770">
        <v>1009</v>
      </c>
      <c r="DV770" t="s">
        <v>30</v>
      </c>
      <c r="DW770" t="s">
        <v>30</v>
      </c>
      <c r="DX770">
        <v>1000</v>
      </c>
      <c r="EE770">
        <v>38628631</v>
      </c>
      <c r="EF770">
        <v>1</v>
      </c>
      <c r="EG770" t="s">
        <v>24</v>
      </c>
      <c r="EH770">
        <v>0</v>
      </c>
      <c r="EI770" t="s">
        <v>3</v>
      </c>
      <c r="EJ770">
        <v>4</v>
      </c>
      <c r="EK770">
        <v>0</v>
      </c>
      <c r="EL770" t="s">
        <v>25</v>
      </c>
      <c r="EM770" t="s">
        <v>26</v>
      </c>
      <c r="EO770" t="s">
        <v>3</v>
      </c>
      <c r="EQ770">
        <v>0</v>
      </c>
      <c r="ER770">
        <v>77.959999999999994</v>
      </c>
      <c r="ES770">
        <v>0</v>
      </c>
      <c r="ET770">
        <v>77.959999999999994</v>
      </c>
      <c r="EU770">
        <v>24.59</v>
      </c>
      <c r="EV770">
        <v>0</v>
      </c>
      <c r="EW770">
        <v>0</v>
      </c>
      <c r="EX770">
        <v>0</v>
      </c>
      <c r="EY770">
        <v>0</v>
      </c>
      <c r="FQ770">
        <v>0</v>
      </c>
      <c r="FR770">
        <f t="shared" si="571"/>
        <v>0</v>
      </c>
      <c r="FS770">
        <v>0</v>
      </c>
      <c r="FX770">
        <v>70</v>
      </c>
      <c r="FY770">
        <v>10</v>
      </c>
      <c r="GA770" t="s">
        <v>3</v>
      </c>
      <c r="GD770">
        <v>0</v>
      </c>
      <c r="GF770">
        <v>-621992786</v>
      </c>
      <c r="GG770">
        <v>2</v>
      </c>
      <c r="GH770">
        <v>1</v>
      </c>
      <c r="GI770">
        <v>-2</v>
      </c>
      <c r="GJ770">
        <v>0</v>
      </c>
      <c r="GK770">
        <f>ROUND(R770*(R12)/100,2)</f>
        <v>357.92</v>
      </c>
      <c r="GL770">
        <f t="shared" si="572"/>
        <v>0</v>
      </c>
      <c r="GM770">
        <f>ROUND(O770+X770+Y770+GK770,2)+GX770</f>
        <v>1408.63</v>
      </c>
      <c r="GN770">
        <f>IF(OR(BI770=0,BI770=1),ROUND(O770+X770+Y770+GK770,2),0)</f>
        <v>0</v>
      </c>
      <c r="GO770">
        <f>IF(BI770=2,ROUND(O770+X770+Y770+GK770,2),0)</f>
        <v>0</v>
      </c>
      <c r="GP770">
        <f>IF(BI770=4,ROUND(O770+X770+Y770+GK770,2)+GX770,0)</f>
        <v>1408.63</v>
      </c>
      <c r="GR770">
        <v>0</v>
      </c>
      <c r="GS770">
        <v>3</v>
      </c>
      <c r="GT770">
        <v>0</v>
      </c>
      <c r="GU770" t="s">
        <v>3</v>
      </c>
      <c r="GV770">
        <f t="shared" si="573"/>
        <v>0</v>
      </c>
      <c r="GW770">
        <v>1</v>
      </c>
      <c r="GX770">
        <f t="shared" si="574"/>
        <v>0</v>
      </c>
      <c r="HA770">
        <v>0</v>
      </c>
      <c r="HB770">
        <v>0</v>
      </c>
      <c r="HC770">
        <f t="shared" si="575"/>
        <v>0</v>
      </c>
      <c r="HE770" t="s">
        <v>3</v>
      </c>
      <c r="HF770" t="s">
        <v>3</v>
      </c>
      <c r="IK770">
        <v>0</v>
      </c>
    </row>
    <row r="771" spans="1:245" x14ac:dyDescent="0.2">
      <c r="A771">
        <v>17</v>
      </c>
      <c r="B771">
        <v>1</v>
      </c>
      <c r="C771">
        <f>ROW(SmtRes!A194)</f>
        <v>194</v>
      </c>
      <c r="D771">
        <f>ROW(EtalonRes!A191)</f>
        <v>191</v>
      </c>
      <c r="E771" t="s">
        <v>307</v>
      </c>
      <c r="F771" t="s">
        <v>35</v>
      </c>
      <c r="G771" t="s">
        <v>36</v>
      </c>
      <c r="H771" t="s">
        <v>30</v>
      </c>
      <c r="I771">
        <f>ROUND(((299.5*0.1)*0.6)*0.25,9)</f>
        <v>4.4924999999999997</v>
      </c>
      <c r="J771">
        <v>0</v>
      </c>
      <c r="O771">
        <f t="shared" si="542"/>
        <v>537.71</v>
      </c>
      <c r="P771">
        <f t="shared" si="543"/>
        <v>0</v>
      </c>
      <c r="Q771">
        <f t="shared" si="544"/>
        <v>0</v>
      </c>
      <c r="R771">
        <f t="shared" si="545"/>
        <v>0</v>
      </c>
      <c r="S771">
        <f t="shared" si="546"/>
        <v>537.71</v>
      </c>
      <c r="T771">
        <f t="shared" si="547"/>
        <v>0</v>
      </c>
      <c r="U771">
        <f t="shared" si="548"/>
        <v>4.5823499999999999</v>
      </c>
      <c r="V771">
        <f t="shared" si="549"/>
        <v>0</v>
      </c>
      <c r="W771">
        <f t="shared" si="550"/>
        <v>0</v>
      </c>
      <c r="X771">
        <f t="shared" si="551"/>
        <v>376.4</v>
      </c>
      <c r="Y771">
        <f t="shared" si="552"/>
        <v>53.77</v>
      </c>
      <c r="AA771">
        <v>38214492</v>
      </c>
      <c r="AB771">
        <f t="shared" si="553"/>
        <v>119.69</v>
      </c>
      <c r="AC771">
        <f t="shared" si="554"/>
        <v>0</v>
      </c>
      <c r="AD771">
        <f t="shared" si="555"/>
        <v>0</v>
      </c>
      <c r="AE771">
        <f t="shared" si="556"/>
        <v>0</v>
      </c>
      <c r="AF771">
        <f t="shared" si="556"/>
        <v>119.69</v>
      </c>
      <c r="AG771">
        <f t="shared" si="557"/>
        <v>0</v>
      </c>
      <c r="AH771">
        <f t="shared" si="558"/>
        <v>1.02</v>
      </c>
      <c r="AI771">
        <f t="shared" si="558"/>
        <v>0</v>
      </c>
      <c r="AJ771">
        <f t="shared" si="559"/>
        <v>0</v>
      </c>
      <c r="AK771">
        <v>119.69</v>
      </c>
      <c r="AL771">
        <v>0</v>
      </c>
      <c r="AM771">
        <v>0</v>
      </c>
      <c r="AN771">
        <v>0</v>
      </c>
      <c r="AO771">
        <v>119.69</v>
      </c>
      <c r="AP771">
        <v>0</v>
      </c>
      <c r="AQ771">
        <v>1.02</v>
      </c>
      <c r="AR771">
        <v>0</v>
      </c>
      <c r="AS771">
        <v>0</v>
      </c>
      <c r="AT771">
        <v>70</v>
      </c>
      <c r="AU771">
        <v>10</v>
      </c>
      <c r="AV771">
        <v>1</v>
      </c>
      <c r="AW771">
        <v>1</v>
      </c>
      <c r="AZ771">
        <v>1</v>
      </c>
      <c r="BA771">
        <v>1</v>
      </c>
      <c r="BB771">
        <v>1</v>
      </c>
      <c r="BC771">
        <v>1</v>
      </c>
      <c r="BD771" t="s">
        <v>3</v>
      </c>
      <c r="BE771" t="s">
        <v>3</v>
      </c>
      <c r="BF771" t="s">
        <v>3</v>
      </c>
      <c r="BG771" t="s">
        <v>3</v>
      </c>
      <c r="BH771">
        <v>0</v>
      </c>
      <c r="BI771">
        <v>4</v>
      </c>
      <c r="BJ771" t="s">
        <v>37</v>
      </c>
      <c r="BM771">
        <v>0</v>
      </c>
      <c r="BN771">
        <v>0</v>
      </c>
      <c r="BO771" t="s">
        <v>3</v>
      </c>
      <c r="BP771">
        <v>0</v>
      </c>
      <c r="BQ771">
        <v>1</v>
      </c>
      <c r="BR771">
        <v>0</v>
      </c>
      <c r="BS771">
        <v>1</v>
      </c>
      <c r="BT771">
        <v>1</v>
      </c>
      <c r="BU771">
        <v>1</v>
      </c>
      <c r="BV771">
        <v>1</v>
      </c>
      <c r="BW771">
        <v>1</v>
      </c>
      <c r="BX771">
        <v>1</v>
      </c>
      <c r="BY771" t="s">
        <v>3</v>
      </c>
      <c r="BZ771">
        <v>70</v>
      </c>
      <c r="CA771">
        <v>10</v>
      </c>
      <c r="CE771">
        <v>0</v>
      </c>
      <c r="CF771">
        <v>0</v>
      </c>
      <c r="CG771">
        <v>0</v>
      </c>
      <c r="CM771">
        <v>0</v>
      </c>
      <c r="CN771" t="s">
        <v>3</v>
      </c>
      <c r="CO771">
        <v>0</v>
      </c>
      <c r="CP771">
        <f t="shared" si="560"/>
        <v>537.71</v>
      </c>
      <c r="CQ771">
        <f t="shared" si="561"/>
        <v>0</v>
      </c>
      <c r="CR771">
        <f t="shared" si="562"/>
        <v>0</v>
      </c>
      <c r="CS771">
        <f t="shared" si="563"/>
        <v>0</v>
      </c>
      <c r="CT771">
        <f t="shared" si="564"/>
        <v>119.69</v>
      </c>
      <c r="CU771">
        <f t="shared" si="565"/>
        <v>0</v>
      </c>
      <c r="CV771">
        <f t="shared" si="566"/>
        <v>1.02</v>
      </c>
      <c r="CW771">
        <f t="shared" si="567"/>
        <v>0</v>
      </c>
      <c r="CX771">
        <f t="shared" si="568"/>
        <v>0</v>
      </c>
      <c r="CY771">
        <f t="shared" si="569"/>
        <v>376.39700000000005</v>
      </c>
      <c r="CZ771">
        <f t="shared" si="570"/>
        <v>53.771000000000001</v>
      </c>
      <c r="DC771" t="s">
        <v>3</v>
      </c>
      <c r="DD771" t="s">
        <v>3</v>
      </c>
      <c r="DE771" t="s">
        <v>3</v>
      </c>
      <c r="DF771" t="s">
        <v>3</v>
      </c>
      <c r="DG771" t="s">
        <v>3</v>
      </c>
      <c r="DH771" t="s">
        <v>3</v>
      </c>
      <c r="DI771" t="s">
        <v>3</v>
      </c>
      <c r="DJ771" t="s">
        <v>3</v>
      </c>
      <c r="DK771" t="s">
        <v>3</v>
      </c>
      <c r="DL771" t="s">
        <v>3</v>
      </c>
      <c r="DM771" t="s">
        <v>3</v>
      </c>
      <c r="DN771">
        <v>0</v>
      </c>
      <c r="DO771">
        <v>0</v>
      </c>
      <c r="DP771">
        <v>1</v>
      </c>
      <c r="DQ771">
        <v>1</v>
      </c>
      <c r="DU771">
        <v>1009</v>
      </c>
      <c r="DV771" t="s">
        <v>30</v>
      </c>
      <c r="DW771" t="s">
        <v>30</v>
      </c>
      <c r="DX771">
        <v>1000</v>
      </c>
      <c r="EE771">
        <v>38628631</v>
      </c>
      <c r="EF771">
        <v>1</v>
      </c>
      <c r="EG771" t="s">
        <v>24</v>
      </c>
      <c r="EH771">
        <v>0</v>
      </c>
      <c r="EI771" t="s">
        <v>3</v>
      </c>
      <c r="EJ771">
        <v>4</v>
      </c>
      <c r="EK771">
        <v>0</v>
      </c>
      <c r="EL771" t="s">
        <v>25</v>
      </c>
      <c r="EM771" t="s">
        <v>26</v>
      </c>
      <c r="EO771" t="s">
        <v>3</v>
      </c>
      <c r="EQ771">
        <v>0</v>
      </c>
      <c r="ER771">
        <v>119.69</v>
      </c>
      <c r="ES771">
        <v>0</v>
      </c>
      <c r="ET771">
        <v>0</v>
      </c>
      <c r="EU771">
        <v>0</v>
      </c>
      <c r="EV771">
        <v>119.69</v>
      </c>
      <c r="EW771">
        <v>1.02</v>
      </c>
      <c r="EX771">
        <v>0</v>
      </c>
      <c r="EY771">
        <v>0</v>
      </c>
      <c r="FQ771">
        <v>0</v>
      </c>
      <c r="FR771">
        <f t="shared" si="571"/>
        <v>0</v>
      </c>
      <c r="FS771">
        <v>0</v>
      </c>
      <c r="FX771">
        <v>70</v>
      </c>
      <c r="FY771">
        <v>10</v>
      </c>
      <c r="GA771" t="s">
        <v>3</v>
      </c>
      <c r="GD771">
        <v>0</v>
      </c>
      <c r="GF771">
        <v>1555540630</v>
      </c>
      <c r="GG771">
        <v>2</v>
      </c>
      <c r="GH771">
        <v>1</v>
      </c>
      <c r="GI771">
        <v>-2</v>
      </c>
      <c r="GJ771">
        <v>0</v>
      </c>
      <c r="GK771">
        <f>ROUND(R771*(R12)/100,2)</f>
        <v>0</v>
      </c>
      <c r="GL771">
        <f t="shared" si="572"/>
        <v>0</v>
      </c>
      <c r="GM771">
        <f>ROUND(O771+X771+Y771+GK771,2)+GX771</f>
        <v>967.88</v>
      </c>
      <c r="GN771">
        <f>IF(OR(BI771=0,BI771=1),ROUND(O771+X771+Y771+GK771,2),0)</f>
        <v>0</v>
      </c>
      <c r="GO771">
        <f>IF(BI771=2,ROUND(O771+X771+Y771+GK771,2),0)</f>
        <v>0</v>
      </c>
      <c r="GP771">
        <f>IF(BI771=4,ROUND(O771+X771+Y771+GK771,2)+GX771,0)</f>
        <v>967.88</v>
      </c>
      <c r="GR771">
        <v>0</v>
      </c>
      <c r="GS771">
        <v>3</v>
      </c>
      <c r="GT771">
        <v>0</v>
      </c>
      <c r="GU771" t="s">
        <v>3</v>
      </c>
      <c r="GV771">
        <f t="shared" si="573"/>
        <v>0</v>
      </c>
      <c r="GW771">
        <v>1</v>
      </c>
      <c r="GX771">
        <f t="shared" si="574"/>
        <v>0</v>
      </c>
      <c r="HA771">
        <v>0</v>
      </c>
      <c r="HB771">
        <v>0</v>
      </c>
      <c r="HC771">
        <f t="shared" si="575"/>
        <v>0</v>
      </c>
      <c r="HE771" t="s">
        <v>3</v>
      </c>
      <c r="HF771" t="s">
        <v>3</v>
      </c>
      <c r="IK771">
        <v>0</v>
      </c>
    </row>
    <row r="772" spans="1:245" x14ac:dyDescent="0.2">
      <c r="A772">
        <v>17</v>
      </c>
      <c r="B772">
        <v>1</v>
      </c>
      <c r="C772">
        <f>ROW(SmtRes!A196)</f>
        <v>196</v>
      </c>
      <c r="D772">
        <f>ROW(EtalonRes!A193)</f>
        <v>193</v>
      </c>
      <c r="E772" t="s">
        <v>308</v>
      </c>
      <c r="F772" t="s">
        <v>39</v>
      </c>
      <c r="G772" t="s">
        <v>40</v>
      </c>
      <c r="H772" t="s">
        <v>30</v>
      </c>
      <c r="I772">
        <f>ROUND(I770,9)</f>
        <v>13.477499999999999</v>
      </c>
      <c r="J772">
        <v>0</v>
      </c>
      <c r="O772">
        <f t="shared" si="542"/>
        <v>842.34</v>
      </c>
      <c r="P772">
        <f t="shared" si="543"/>
        <v>0</v>
      </c>
      <c r="Q772">
        <f t="shared" si="544"/>
        <v>842.34</v>
      </c>
      <c r="R772">
        <f t="shared" si="545"/>
        <v>498.94</v>
      </c>
      <c r="S772">
        <f t="shared" si="546"/>
        <v>0</v>
      </c>
      <c r="T772">
        <f t="shared" si="547"/>
        <v>0</v>
      </c>
      <c r="U772">
        <f t="shared" si="548"/>
        <v>0</v>
      </c>
      <c r="V772">
        <f t="shared" si="549"/>
        <v>0</v>
      </c>
      <c r="W772">
        <f t="shared" si="550"/>
        <v>0</v>
      </c>
      <c r="X772">
        <f t="shared" si="551"/>
        <v>0</v>
      </c>
      <c r="Y772">
        <f t="shared" si="552"/>
        <v>0</v>
      </c>
      <c r="AA772">
        <v>38214492</v>
      </c>
      <c r="AB772">
        <f t="shared" si="553"/>
        <v>62.5</v>
      </c>
      <c r="AC772">
        <f t="shared" si="554"/>
        <v>0</v>
      </c>
      <c r="AD772">
        <f t="shared" si="555"/>
        <v>62.5</v>
      </c>
      <c r="AE772">
        <f t="shared" si="556"/>
        <v>37.020000000000003</v>
      </c>
      <c r="AF772">
        <f t="shared" si="556"/>
        <v>0</v>
      </c>
      <c r="AG772">
        <f t="shared" si="557"/>
        <v>0</v>
      </c>
      <c r="AH772">
        <f t="shared" si="558"/>
        <v>0</v>
      </c>
      <c r="AI772">
        <f t="shared" si="558"/>
        <v>0</v>
      </c>
      <c r="AJ772">
        <f t="shared" si="559"/>
        <v>0</v>
      </c>
      <c r="AK772">
        <v>62.5</v>
      </c>
      <c r="AL772">
        <v>0</v>
      </c>
      <c r="AM772">
        <v>62.5</v>
      </c>
      <c r="AN772">
        <v>37.020000000000003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1</v>
      </c>
      <c r="AW772">
        <v>1</v>
      </c>
      <c r="AZ772">
        <v>1</v>
      </c>
      <c r="BA772">
        <v>1</v>
      </c>
      <c r="BB772">
        <v>1</v>
      </c>
      <c r="BC772">
        <v>1</v>
      </c>
      <c r="BD772" t="s">
        <v>3</v>
      </c>
      <c r="BE772" t="s">
        <v>3</v>
      </c>
      <c r="BF772" t="s">
        <v>3</v>
      </c>
      <c r="BG772" t="s">
        <v>3</v>
      </c>
      <c r="BH772">
        <v>0</v>
      </c>
      <c r="BI772">
        <v>4</v>
      </c>
      <c r="BJ772" t="s">
        <v>41</v>
      </c>
      <c r="BM772">
        <v>1</v>
      </c>
      <c r="BN772">
        <v>0</v>
      </c>
      <c r="BO772" t="s">
        <v>3</v>
      </c>
      <c r="BP772">
        <v>0</v>
      </c>
      <c r="BQ772">
        <v>1</v>
      </c>
      <c r="BR772">
        <v>0</v>
      </c>
      <c r="BS772">
        <v>1</v>
      </c>
      <c r="BT772">
        <v>1</v>
      </c>
      <c r="BU772">
        <v>1</v>
      </c>
      <c r="BV772">
        <v>1</v>
      </c>
      <c r="BW772">
        <v>1</v>
      </c>
      <c r="BX772">
        <v>1</v>
      </c>
      <c r="BY772" t="s">
        <v>3</v>
      </c>
      <c r="BZ772">
        <v>0</v>
      </c>
      <c r="CA772">
        <v>0</v>
      </c>
      <c r="CE772">
        <v>0</v>
      </c>
      <c r="CF772">
        <v>0</v>
      </c>
      <c r="CG772">
        <v>0</v>
      </c>
      <c r="CM772">
        <v>0</v>
      </c>
      <c r="CN772" t="s">
        <v>3</v>
      </c>
      <c r="CO772">
        <v>0</v>
      </c>
      <c r="CP772">
        <f t="shared" si="560"/>
        <v>842.34</v>
      </c>
      <c r="CQ772">
        <f t="shared" si="561"/>
        <v>0</v>
      </c>
      <c r="CR772">
        <f t="shared" si="562"/>
        <v>62.5</v>
      </c>
      <c r="CS772">
        <f t="shared" si="563"/>
        <v>37.020000000000003</v>
      </c>
      <c r="CT772">
        <f t="shared" si="564"/>
        <v>0</v>
      </c>
      <c r="CU772">
        <f t="shared" si="565"/>
        <v>0</v>
      </c>
      <c r="CV772">
        <f t="shared" si="566"/>
        <v>0</v>
      </c>
      <c r="CW772">
        <f t="shared" si="567"/>
        <v>0</v>
      </c>
      <c r="CX772">
        <f t="shared" si="568"/>
        <v>0</v>
      </c>
      <c r="CY772">
        <f t="shared" si="569"/>
        <v>0</v>
      </c>
      <c r="CZ772">
        <f t="shared" si="570"/>
        <v>0</v>
      </c>
      <c r="DC772" t="s">
        <v>3</v>
      </c>
      <c r="DD772" t="s">
        <v>3</v>
      </c>
      <c r="DE772" t="s">
        <v>3</v>
      </c>
      <c r="DF772" t="s">
        <v>3</v>
      </c>
      <c r="DG772" t="s">
        <v>3</v>
      </c>
      <c r="DH772" t="s">
        <v>3</v>
      </c>
      <c r="DI772" t="s">
        <v>3</v>
      </c>
      <c r="DJ772" t="s">
        <v>3</v>
      </c>
      <c r="DK772" t="s">
        <v>3</v>
      </c>
      <c r="DL772" t="s">
        <v>3</v>
      </c>
      <c r="DM772" t="s">
        <v>3</v>
      </c>
      <c r="DN772">
        <v>0</v>
      </c>
      <c r="DO772">
        <v>0</v>
      </c>
      <c r="DP772">
        <v>1</v>
      </c>
      <c r="DQ772">
        <v>1</v>
      </c>
      <c r="DU772">
        <v>1009</v>
      </c>
      <c r="DV772" t="s">
        <v>30</v>
      </c>
      <c r="DW772" t="s">
        <v>30</v>
      </c>
      <c r="DX772">
        <v>1000</v>
      </c>
      <c r="EE772">
        <v>38628633</v>
      </c>
      <c r="EF772">
        <v>1</v>
      </c>
      <c r="EG772" t="s">
        <v>24</v>
      </c>
      <c r="EH772">
        <v>0</v>
      </c>
      <c r="EI772" t="s">
        <v>3</v>
      </c>
      <c r="EJ772">
        <v>4</v>
      </c>
      <c r="EK772">
        <v>1</v>
      </c>
      <c r="EL772" t="s">
        <v>42</v>
      </c>
      <c r="EM772" t="s">
        <v>26</v>
      </c>
      <c r="EO772" t="s">
        <v>3</v>
      </c>
      <c r="EQ772">
        <v>0</v>
      </c>
      <c r="ER772">
        <v>62.5</v>
      </c>
      <c r="ES772">
        <v>0</v>
      </c>
      <c r="ET772">
        <v>62.5</v>
      </c>
      <c r="EU772">
        <v>37.020000000000003</v>
      </c>
      <c r="EV772">
        <v>0</v>
      </c>
      <c r="EW772">
        <v>0</v>
      </c>
      <c r="EX772">
        <v>0</v>
      </c>
      <c r="EY772">
        <v>0</v>
      </c>
      <c r="FQ772">
        <v>0</v>
      </c>
      <c r="FR772">
        <f t="shared" si="571"/>
        <v>0</v>
      </c>
      <c r="FS772">
        <v>0</v>
      </c>
      <c r="FX772">
        <v>0</v>
      </c>
      <c r="FY772">
        <v>0</v>
      </c>
      <c r="GA772" t="s">
        <v>3</v>
      </c>
      <c r="GD772">
        <v>1</v>
      </c>
      <c r="GF772">
        <v>-283681225</v>
      </c>
      <c r="GG772">
        <v>2</v>
      </c>
      <c r="GH772">
        <v>1</v>
      </c>
      <c r="GI772">
        <v>-2</v>
      </c>
      <c r="GJ772">
        <v>0</v>
      </c>
      <c r="GK772">
        <v>0</v>
      </c>
      <c r="GL772">
        <f t="shared" si="572"/>
        <v>0</v>
      </c>
      <c r="GM772">
        <f>ROUND(O772+X772+Y772,2)+GX772</f>
        <v>842.34</v>
      </c>
      <c r="GN772">
        <f>IF(OR(BI772=0,BI772=1),ROUND(O772+X772+Y772,2),0)</f>
        <v>0</v>
      </c>
      <c r="GO772">
        <f>IF(BI772=2,ROUND(O772+X772+Y772,2),0)</f>
        <v>0</v>
      </c>
      <c r="GP772">
        <f>IF(BI772=4,ROUND(O772+X772+Y772,2)+GX772,0)</f>
        <v>842.34</v>
      </c>
      <c r="GR772">
        <v>0</v>
      </c>
      <c r="GS772">
        <v>3</v>
      </c>
      <c r="GT772">
        <v>0</v>
      </c>
      <c r="GU772" t="s">
        <v>3</v>
      </c>
      <c r="GV772">
        <f t="shared" si="573"/>
        <v>0</v>
      </c>
      <c r="GW772">
        <v>1</v>
      </c>
      <c r="GX772">
        <f t="shared" si="574"/>
        <v>0</v>
      </c>
      <c r="HA772">
        <v>0</v>
      </c>
      <c r="HB772">
        <v>0</v>
      </c>
      <c r="HC772">
        <f t="shared" si="575"/>
        <v>0</v>
      </c>
      <c r="HE772" t="s">
        <v>3</v>
      </c>
      <c r="HF772" t="s">
        <v>3</v>
      </c>
      <c r="IK772">
        <v>0</v>
      </c>
    </row>
    <row r="773" spans="1:245" x14ac:dyDescent="0.2">
      <c r="A773">
        <v>17</v>
      </c>
      <c r="B773">
        <v>1</v>
      </c>
      <c r="C773">
        <f>ROW(SmtRes!A198)</f>
        <v>198</v>
      </c>
      <c r="D773">
        <f>ROW(EtalonRes!A195)</f>
        <v>195</v>
      </c>
      <c r="E773" t="s">
        <v>309</v>
      </c>
      <c r="F773" t="s">
        <v>44</v>
      </c>
      <c r="G773" t="s">
        <v>45</v>
      </c>
      <c r="H773" t="s">
        <v>30</v>
      </c>
      <c r="I773">
        <f>ROUND(I771,9)</f>
        <v>4.4924999999999997</v>
      </c>
      <c r="J773">
        <v>0</v>
      </c>
      <c r="O773">
        <f t="shared" si="542"/>
        <v>805.95</v>
      </c>
      <c r="P773">
        <f t="shared" si="543"/>
        <v>0</v>
      </c>
      <c r="Q773">
        <f t="shared" si="544"/>
        <v>805.95</v>
      </c>
      <c r="R773">
        <f t="shared" si="545"/>
        <v>477.1</v>
      </c>
      <c r="S773">
        <f t="shared" si="546"/>
        <v>0</v>
      </c>
      <c r="T773">
        <f t="shared" si="547"/>
        <v>0</v>
      </c>
      <c r="U773">
        <f t="shared" si="548"/>
        <v>0</v>
      </c>
      <c r="V773">
        <f t="shared" si="549"/>
        <v>0</v>
      </c>
      <c r="W773">
        <f t="shared" si="550"/>
        <v>0</v>
      </c>
      <c r="X773">
        <f t="shared" si="551"/>
        <v>0</v>
      </c>
      <c r="Y773">
        <f t="shared" si="552"/>
        <v>0</v>
      </c>
      <c r="AA773">
        <v>38214492</v>
      </c>
      <c r="AB773">
        <f t="shared" si="553"/>
        <v>179.4</v>
      </c>
      <c r="AC773">
        <f t="shared" si="554"/>
        <v>0</v>
      </c>
      <c r="AD773">
        <f t="shared" si="555"/>
        <v>179.4</v>
      </c>
      <c r="AE773">
        <f t="shared" si="556"/>
        <v>106.2</v>
      </c>
      <c r="AF773">
        <f t="shared" si="556"/>
        <v>0</v>
      </c>
      <c r="AG773">
        <f t="shared" si="557"/>
        <v>0</v>
      </c>
      <c r="AH773">
        <f t="shared" si="558"/>
        <v>0</v>
      </c>
      <c r="AI773">
        <f t="shared" si="558"/>
        <v>0</v>
      </c>
      <c r="AJ773">
        <f t="shared" si="559"/>
        <v>0</v>
      </c>
      <c r="AK773">
        <v>179.4</v>
      </c>
      <c r="AL773">
        <v>0</v>
      </c>
      <c r="AM773">
        <v>179.4</v>
      </c>
      <c r="AN773">
        <v>106.2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1</v>
      </c>
      <c r="AW773">
        <v>1</v>
      </c>
      <c r="AZ773">
        <v>1</v>
      </c>
      <c r="BA773">
        <v>1</v>
      </c>
      <c r="BB773">
        <v>1</v>
      </c>
      <c r="BC773">
        <v>1</v>
      </c>
      <c r="BD773" t="s">
        <v>3</v>
      </c>
      <c r="BE773" t="s">
        <v>3</v>
      </c>
      <c r="BF773" t="s">
        <v>3</v>
      </c>
      <c r="BG773" t="s">
        <v>3</v>
      </c>
      <c r="BH773">
        <v>0</v>
      </c>
      <c r="BI773">
        <v>4</v>
      </c>
      <c r="BJ773" t="s">
        <v>46</v>
      </c>
      <c r="BM773">
        <v>1</v>
      </c>
      <c r="BN773">
        <v>0</v>
      </c>
      <c r="BO773" t="s">
        <v>3</v>
      </c>
      <c r="BP773">
        <v>0</v>
      </c>
      <c r="BQ773">
        <v>1</v>
      </c>
      <c r="BR773">
        <v>0</v>
      </c>
      <c r="BS773">
        <v>1</v>
      </c>
      <c r="BT773">
        <v>1</v>
      </c>
      <c r="BU773">
        <v>1</v>
      </c>
      <c r="BV773">
        <v>1</v>
      </c>
      <c r="BW773">
        <v>1</v>
      </c>
      <c r="BX773">
        <v>1</v>
      </c>
      <c r="BY773" t="s">
        <v>3</v>
      </c>
      <c r="BZ773">
        <v>0</v>
      </c>
      <c r="CA773">
        <v>0</v>
      </c>
      <c r="CE773">
        <v>0</v>
      </c>
      <c r="CF773">
        <v>0</v>
      </c>
      <c r="CG773">
        <v>0</v>
      </c>
      <c r="CM773">
        <v>0</v>
      </c>
      <c r="CN773" t="s">
        <v>3</v>
      </c>
      <c r="CO773">
        <v>0</v>
      </c>
      <c r="CP773">
        <f t="shared" si="560"/>
        <v>805.95</v>
      </c>
      <c r="CQ773">
        <f t="shared" si="561"/>
        <v>0</v>
      </c>
      <c r="CR773">
        <f t="shared" si="562"/>
        <v>179.4</v>
      </c>
      <c r="CS773">
        <f t="shared" si="563"/>
        <v>106.2</v>
      </c>
      <c r="CT773">
        <f t="shared" si="564"/>
        <v>0</v>
      </c>
      <c r="CU773">
        <f t="shared" si="565"/>
        <v>0</v>
      </c>
      <c r="CV773">
        <f t="shared" si="566"/>
        <v>0</v>
      </c>
      <c r="CW773">
        <f t="shared" si="567"/>
        <v>0</v>
      </c>
      <c r="CX773">
        <f t="shared" si="568"/>
        <v>0</v>
      </c>
      <c r="CY773">
        <f t="shared" si="569"/>
        <v>0</v>
      </c>
      <c r="CZ773">
        <f t="shared" si="570"/>
        <v>0</v>
      </c>
      <c r="DC773" t="s">
        <v>3</v>
      </c>
      <c r="DD773" t="s">
        <v>3</v>
      </c>
      <c r="DE773" t="s">
        <v>3</v>
      </c>
      <c r="DF773" t="s">
        <v>3</v>
      </c>
      <c r="DG773" t="s">
        <v>3</v>
      </c>
      <c r="DH773" t="s">
        <v>3</v>
      </c>
      <c r="DI773" t="s">
        <v>3</v>
      </c>
      <c r="DJ773" t="s">
        <v>3</v>
      </c>
      <c r="DK773" t="s">
        <v>3</v>
      </c>
      <c r="DL773" t="s">
        <v>3</v>
      </c>
      <c r="DM773" t="s">
        <v>3</v>
      </c>
      <c r="DN773">
        <v>0</v>
      </c>
      <c r="DO773">
        <v>0</v>
      </c>
      <c r="DP773">
        <v>1</v>
      </c>
      <c r="DQ773">
        <v>1</v>
      </c>
      <c r="DU773">
        <v>1009</v>
      </c>
      <c r="DV773" t="s">
        <v>30</v>
      </c>
      <c r="DW773" t="s">
        <v>30</v>
      </c>
      <c r="DX773">
        <v>1000</v>
      </c>
      <c r="EE773">
        <v>38628633</v>
      </c>
      <c r="EF773">
        <v>1</v>
      </c>
      <c r="EG773" t="s">
        <v>24</v>
      </c>
      <c r="EH773">
        <v>0</v>
      </c>
      <c r="EI773" t="s">
        <v>3</v>
      </c>
      <c r="EJ773">
        <v>4</v>
      </c>
      <c r="EK773">
        <v>1</v>
      </c>
      <c r="EL773" t="s">
        <v>42</v>
      </c>
      <c r="EM773" t="s">
        <v>26</v>
      </c>
      <c r="EO773" t="s">
        <v>3</v>
      </c>
      <c r="EQ773">
        <v>0</v>
      </c>
      <c r="ER773">
        <v>179.4</v>
      </c>
      <c r="ES773">
        <v>0</v>
      </c>
      <c r="ET773">
        <v>179.4</v>
      </c>
      <c r="EU773">
        <v>106.2</v>
      </c>
      <c r="EV773">
        <v>0</v>
      </c>
      <c r="EW773">
        <v>0</v>
      </c>
      <c r="EX773">
        <v>0</v>
      </c>
      <c r="EY773">
        <v>0</v>
      </c>
      <c r="FQ773">
        <v>0</v>
      </c>
      <c r="FR773">
        <f t="shared" si="571"/>
        <v>0</v>
      </c>
      <c r="FS773">
        <v>0</v>
      </c>
      <c r="FX773">
        <v>0</v>
      </c>
      <c r="FY773">
        <v>0</v>
      </c>
      <c r="GA773" t="s">
        <v>3</v>
      </c>
      <c r="GD773">
        <v>1</v>
      </c>
      <c r="GF773">
        <v>1779235029</v>
      </c>
      <c r="GG773">
        <v>2</v>
      </c>
      <c r="GH773">
        <v>1</v>
      </c>
      <c r="GI773">
        <v>-2</v>
      </c>
      <c r="GJ773">
        <v>0</v>
      </c>
      <c r="GK773">
        <v>0</v>
      </c>
      <c r="GL773">
        <f t="shared" si="572"/>
        <v>0</v>
      </c>
      <c r="GM773">
        <f>ROUND(O773+X773+Y773,2)+GX773</f>
        <v>805.95</v>
      </c>
      <c r="GN773">
        <f>IF(OR(BI773=0,BI773=1),ROUND(O773+X773+Y773,2),0)</f>
        <v>0</v>
      </c>
      <c r="GO773">
        <f>IF(BI773=2,ROUND(O773+X773+Y773,2),0)</f>
        <v>0</v>
      </c>
      <c r="GP773">
        <f>IF(BI773=4,ROUND(O773+X773+Y773,2)+GX773,0)</f>
        <v>805.95</v>
      </c>
      <c r="GR773">
        <v>0</v>
      </c>
      <c r="GS773">
        <v>3</v>
      </c>
      <c r="GT773">
        <v>0</v>
      </c>
      <c r="GU773" t="s">
        <v>3</v>
      </c>
      <c r="GV773">
        <f t="shared" si="573"/>
        <v>0</v>
      </c>
      <c r="GW773">
        <v>1</v>
      </c>
      <c r="GX773">
        <f t="shared" si="574"/>
        <v>0</v>
      </c>
      <c r="HA773">
        <v>0</v>
      </c>
      <c r="HB773">
        <v>0</v>
      </c>
      <c r="HC773">
        <f t="shared" si="575"/>
        <v>0</v>
      </c>
      <c r="HE773" t="s">
        <v>3</v>
      </c>
      <c r="HF773" t="s">
        <v>3</v>
      </c>
      <c r="IK773">
        <v>0</v>
      </c>
    </row>
    <row r="774" spans="1:245" x14ac:dyDescent="0.2">
      <c r="A774">
        <v>17</v>
      </c>
      <c r="B774">
        <v>1</v>
      </c>
      <c r="C774">
        <f>ROW(SmtRes!A200)</f>
        <v>200</v>
      </c>
      <c r="D774">
        <f>ROW(EtalonRes!A197)</f>
        <v>197</v>
      </c>
      <c r="E774" t="s">
        <v>310</v>
      </c>
      <c r="F774" t="s">
        <v>48</v>
      </c>
      <c r="G774" t="s">
        <v>49</v>
      </c>
      <c r="H774" t="s">
        <v>30</v>
      </c>
      <c r="I774">
        <f>ROUND(I772+I773,9)</f>
        <v>17.97</v>
      </c>
      <c r="J774">
        <v>0</v>
      </c>
      <c r="O774">
        <f t="shared" si="542"/>
        <v>8504.84</v>
      </c>
      <c r="P774">
        <f t="shared" si="543"/>
        <v>0</v>
      </c>
      <c r="Q774">
        <f t="shared" si="544"/>
        <v>8504.84</v>
      </c>
      <c r="R774">
        <f t="shared" si="545"/>
        <v>5043.1000000000004</v>
      </c>
      <c r="S774">
        <f t="shared" si="546"/>
        <v>0</v>
      </c>
      <c r="T774">
        <f t="shared" si="547"/>
        <v>0</v>
      </c>
      <c r="U774">
        <f t="shared" si="548"/>
        <v>0</v>
      </c>
      <c r="V774">
        <f t="shared" si="549"/>
        <v>0</v>
      </c>
      <c r="W774">
        <f t="shared" si="550"/>
        <v>0</v>
      </c>
      <c r="X774">
        <f t="shared" si="551"/>
        <v>0</v>
      </c>
      <c r="Y774">
        <f t="shared" si="552"/>
        <v>0</v>
      </c>
      <c r="AA774">
        <v>38214492</v>
      </c>
      <c r="AB774">
        <f t="shared" si="553"/>
        <v>473.28</v>
      </c>
      <c r="AC774">
        <f>ROUND(((ES774*16)),6)</f>
        <v>0</v>
      </c>
      <c r="AD774">
        <f>ROUND(((((ET774*16))-((EU774*16)))+AE774),6)</f>
        <v>473.28</v>
      </c>
      <c r="AE774">
        <f>ROUND(((EU774*16)),6)</f>
        <v>280.64</v>
      </c>
      <c r="AF774">
        <f>ROUND(((EV774*16)),6)</f>
        <v>0</v>
      </c>
      <c r="AG774">
        <f t="shared" si="557"/>
        <v>0</v>
      </c>
      <c r="AH774">
        <f>((EW774*16))</f>
        <v>0</v>
      </c>
      <c r="AI774">
        <f>((EX774*16))</f>
        <v>0</v>
      </c>
      <c r="AJ774">
        <f t="shared" si="559"/>
        <v>0</v>
      </c>
      <c r="AK774">
        <v>29.58</v>
      </c>
      <c r="AL774">
        <v>0</v>
      </c>
      <c r="AM774">
        <v>29.58</v>
      </c>
      <c r="AN774">
        <v>17.54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1</v>
      </c>
      <c r="AW774">
        <v>1</v>
      </c>
      <c r="AZ774">
        <v>1</v>
      </c>
      <c r="BA774">
        <v>1</v>
      </c>
      <c r="BB774">
        <v>1</v>
      </c>
      <c r="BC774">
        <v>1</v>
      </c>
      <c r="BD774" t="s">
        <v>3</v>
      </c>
      <c r="BE774" t="s">
        <v>3</v>
      </c>
      <c r="BF774" t="s">
        <v>3</v>
      </c>
      <c r="BG774" t="s">
        <v>3</v>
      </c>
      <c r="BH774">
        <v>0</v>
      </c>
      <c r="BI774">
        <v>4</v>
      </c>
      <c r="BJ774" t="s">
        <v>50</v>
      </c>
      <c r="BM774">
        <v>1</v>
      </c>
      <c r="BN774">
        <v>0</v>
      </c>
      <c r="BO774" t="s">
        <v>3</v>
      </c>
      <c r="BP774">
        <v>0</v>
      </c>
      <c r="BQ774">
        <v>1</v>
      </c>
      <c r="BR774">
        <v>0</v>
      </c>
      <c r="BS774">
        <v>1</v>
      </c>
      <c r="BT774">
        <v>1</v>
      </c>
      <c r="BU774">
        <v>1</v>
      </c>
      <c r="BV774">
        <v>1</v>
      </c>
      <c r="BW774">
        <v>1</v>
      </c>
      <c r="BX774">
        <v>1</v>
      </c>
      <c r="BY774" t="s">
        <v>3</v>
      </c>
      <c r="BZ774">
        <v>0</v>
      </c>
      <c r="CA774">
        <v>0</v>
      </c>
      <c r="CE774">
        <v>0</v>
      </c>
      <c r="CF774">
        <v>0</v>
      </c>
      <c r="CG774">
        <v>0</v>
      </c>
      <c r="CM774">
        <v>0</v>
      </c>
      <c r="CN774" t="s">
        <v>3</v>
      </c>
      <c r="CO774">
        <v>0</v>
      </c>
      <c r="CP774">
        <f t="shared" si="560"/>
        <v>8504.84</v>
      </c>
      <c r="CQ774">
        <f t="shared" si="561"/>
        <v>0</v>
      </c>
      <c r="CR774">
        <f>(((((ET774*16))*BB774-((EU774*16))*BS774)+AE774*BS774)*AV774)</f>
        <v>473.28</v>
      </c>
      <c r="CS774">
        <f t="shared" si="563"/>
        <v>280.64</v>
      </c>
      <c r="CT774">
        <f t="shared" si="564"/>
        <v>0</v>
      </c>
      <c r="CU774">
        <f t="shared" si="565"/>
        <v>0</v>
      </c>
      <c r="CV774">
        <f t="shared" si="566"/>
        <v>0</v>
      </c>
      <c r="CW774">
        <f t="shared" si="567"/>
        <v>0</v>
      </c>
      <c r="CX774">
        <f t="shared" si="568"/>
        <v>0</v>
      </c>
      <c r="CY774">
        <f t="shared" si="569"/>
        <v>0</v>
      </c>
      <c r="CZ774">
        <f t="shared" si="570"/>
        <v>0</v>
      </c>
      <c r="DC774" t="s">
        <v>3</v>
      </c>
      <c r="DD774" t="s">
        <v>201</v>
      </c>
      <c r="DE774" t="s">
        <v>201</v>
      </c>
      <c r="DF774" t="s">
        <v>201</v>
      </c>
      <c r="DG774" t="s">
        <v>201</v>
      </c>
      <c r="DH774" t="s">
        <v>3</v>
      </c>
      <c r="DI774" t="s">
        <v>201</v>
      </c>
      <c r="DJ774" t="s">
        <v>201</v>
      </c>
      <c r="DK774" t="s">
        <v>3</v>
      </c>
      <c r="DL774" t="s">
        <v>3</v>
      </c>
      <c r="DM774" t="s">
        <v>3</v>
      </c>
      <c r="DN774">
        <v>0</v>
      </c>
      <c r="DO774">
        <v>0</v>
      </c>
      <c r="DP774">
        <v>1</v>
      </c>
      <c r="DQ774">
        <v>1</v>
      </c>
      <c r="DU774">
        <v>1009</v>
      </c>
      <c r="DV774" t="s">
        <v>30</v>
      </c>
      <c r="DW774" t="s">
        <v>30</v>
      </c>
      <c r="DX774">
        <v>1000</v>
      </c>
      <c r="EE774">
        <v>38628633</v>
      </c>
      <c r="EF774">
        <v>1</v>
      </c>
      <c r="EG774" t="s">
        <v>24</v>
      </c>
      <c r="EH774">
        <v>0</v>
      </c>
      <c r="EI774" t="s">
        <v>3</v>
      </c>
      <c r="EJ774">
        <v>4</v>
      </c>
      <c r="EK774">
        <v>1</v>
      </c>
      <c r="EL774" t="s">
        <v>42</v>
      </c>
      <c r="EM774" t="s">
        <v>26</v>
      </c>
      <c r="EO774" t="s">
        <v>3</v>
      </c>
      <c r="EQ774">
        <v>0</v>
      </c>
      <c r="ER774">
        <v>29.58</v>
      </c>
      <c r="ES774">
        <v>0</v>
      </c>
      <c r="ET774">
        <v>29.58</v>
      </c>
      <c r="EU774">
        <v>17.54</v>
      </c>
      <c r="EV774">
        <v>0</v>
      </c>
      <c r="EW774">
        <v>0</v>
      </c>
      <c r="EX774">
        <v>0</v>
      </c>
      <c r="EY774">
        <v>0</v>
      </c>
      <c r="FQ774">
        <v>0</v>
      </c>
      <c r="FR774">
        <f t="shared" si="571"/>
        <v>0</v>
      </c>
      <c r="FS774">
        <v>0</v>
      </c>
      <c r="FX774">
        <v>0</v>
      </c>
      <c r="FY774">
        <v>0</v>
      </c>
      <c r="GA774" t="s">
        <v>3</v>
      </c>
      <c r="GD774">
        <v>1</v>
      </c>
      <c r="GF774">
        <v>-576512497</v>
      </c>
      <c r="GG774">
        <v>2</v>
      </c>
      <c r="GH774">
        <v>1</v>
      </c>
      <c r="GI774">
        <v>-2</v>
      </c>
      <c r="GJ774">
        <v>0</v>
      </c>
      <c r="GK774">
        <v>0</v>
      </c>
      <c r="GL774">
        <f t="shared" si="572"/>
        <v>0</v>
      </c>
      <c r="GM774">
        <f>ROUND(O774+X774+Y774,2)+GX774</f>
        <v>8504.84</v>
      </c>
      <c r="GN774">
        <f>IF(OR(BI774=0,BI774=1),ROUND(O774+X774+Y774,2),0)</f>
        <v>0</v>
      </c>
      <c r="GO774">
        <f>IF(BI774=2,ROUND(O774+X774+Y774,2),0)</f>
        <v>0</v>
      </c>
      <c r="GP774">
        <f>IF(BI774=4,ROUND(O774+X774+Y774,2)+GX774,0)</f>
        <v>8504.84</v>
      </c>
      <c r="GR774">
        <v>0</v>
      </c>
      <c r="GS774">
        <v>3</v>
      </c>
      <c r="GT774">
        <v>0</v>
      </c>
      <c r="GU774" t="s">
        <v>3</v>
      </c>
      <c r="GV774">
        <f t="shared" si="573"/>
        <v>0</v>
      </c>
      <c r="GW774">
        <v>1</v>
      </c>
      <c r="GX774">
        <f t="shared" si="574"/>
        <v>0</v>
      </c>
      <c r="HA774">
        <v>0</v>
      </c>
      <c r="HB774">
        <v>0</v>
      </c>
      <c r="HC774">
        <f t="shared" si="575"/>
        <v>0</v>
      </c>
      <c r="HE774" t="s">
        <v>3</v>
      </c>
      <c r="HF774" t="s">
        <v>3</v>
      </c>
      <c r="IK774">
        <v>0</v>
      </c>
    </row>
    <row r="775" spans="1:245" x14ac:dyDescent="0.2">
      <c r="A775">
        <v>17</v>
      </c>
      <c r="B775">
        <v>1</v>
      </c>
      <c r="E775" t="s">
        <v>311</v>
      </c>
      <c r="F775" t="s">
        <v>53</v>
      </c>
      <c r="G775" t="s">
        <v>54</v>
      </c>
      <c r="H775" t="s">
        <v>30</v>
      </c>
      <c r="I775">
        <f>ROUND(I774,9)</f>
        <v>17.97</v>
      </c>
      <c r="J775">
        <v>0</v>
      </c>
      <c r="O775">
        <f t="shared" si="542"/>
        <v>3557.34</v>
      </c>
      <c r="P775">
        <f t="shared" si="543"/>
        <v>3557.34</v>
      </c>
      <c r="Q775">
        <f t="shared" si="544"/>
        <v>0</v>
      </c>
      <c r="R775">
        <f t="shared" si="545"/>
        <v>0</v>
      </c>
      <c r="S775">
        <f t="shared" si="546"/>
        <v>0</v>
      </c>
      <c r="T775">
        <f t="shared" si="547"/>
        <v>0</v>
      </c>
      <c r="U775">
        <f t="shared" si="548"/>
        <v>0</v>
      </c>
      <c r="V775">
        <f t="shared" si="549"/>
        <v>0</v>
      </c>
      <c r="W775">
        <f t="shared" si="550"/>
        <v>0</v>
      </c>
      <c r="X775">
        <f t="shared" si="551"/>
        <v>0</v>
      </c>
      <c r="Y775">
        <f t="shared" si="552"/>
        <v>0</v>
      </c>
      <c r="AA775">
        <v>38214492</v>
      </c>
      <c r="AB775">
        <f t="shared" si="553"/>
        <v>197.96</v>
      </c>
      <c r="AC775">
        <f>ROUND((ES775),6)</f>
        <v>197.96</v>
      </c>
      <c r="AD775">
        <f>ROUND((((ET775)-(EU775))+AE775),6)</f>
        <v>0</v>
      </c>
      <c r="AE775">
        <f t="shared" ref="AE775:AF777" si="576">ROUND((EU775),6)</f>
        <v>0</v>
      </c>
      <c r="AF775">
        <f t="shared" si="576"/>
        <v>0</v>
      </c>
      <c r="AG775">
        <f t="shared" si="557"/>
        <v>0</v>
      </c>
      <c r="AH775">
        <f t="shared" ref="AH775:AI777" si="577">(EW775)</f>
        <v>0</v>
      </c>
      <c r="AI775">
        <f t="shared" si="577"/>
        <v>0</v>
      </c>
      <c r="AJ775">
        <f t="shared" si="559"/>
        <v>0</v>
      </c>
      <c r="AK775">
        <v>197.96</v>
      </c>
      <c r="AL775">
        <v>197.96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70</v>
      </c>
      <c r="AU775">
        <v>10</v>
      </c>
      <c r="AV775">
        <v>1</v>
      </c>
      <c r="AW775">
        <v>1</v>
      </c>
      <c r="AZ775">
        <v>1</v>
      </c>
      <c r="BA775">
        <v>1</v>
      </c>
      <c r="BB775">
        <v>1</v>
      </c>
      <c r="BC775">
        <v>1</v>
      </c>
      <c r="BD775" t="s">
        <v>3</v>
      </c>
      <c r="BE775" t="s">
        <v>3</v>
      </c>
      <c r="BF775" t="s">
        <v>3</v>
      </c>
      <c r="BG775" t="s">
        <v>3</v>
      </c>
      <c r="BH775">
        <v>3</v>
      </c>
      <c r="BI775">
        <v>4</v>
      </c>
      <c r="BJ775" t="s">
        <v>55</v>
      </c>
      <c r="BM775">
        <v>0</v>
      </c>
      <c r="BN775">
        <v>0</v>
      </c>
      <c r="BO775" t="s">
        <v>3</v>
      </c>
      <c r="BP775">
        <v>0</v>
      </c>
      <c r="BQ775">
        <v>1</v>
      </c>
      <c r="BR775">
        <v>0</v>
      </c>
      <c r="BS775">
        <v>1</v>
      </c>
      <c r="BT775">
        <v>1</v>
      </c>
      <c r="BU775">
        <v>1</v>
      </c>
      <c r="BV775">
        <v>1</v>
      </c>
      <c r="BW775">
        <v>1</v>
      </c>
      <c r="BX775">
        <v>1</v>
      </c>
      <c r="BY775" t="s">
        <v>3</v>
      </c>
      <c r="BZ775">
        <v>70</v>
      </c>
      <c r="CA775">
        <v>10</v>
      </c>
      <c r="CE775">
        <v>0</v>
      </c>
      <c r="CF775">
        <v>0</v>
      </c>
      <c r="CG775">
        <v>0</v>
      </c>
      <c r="CM775">
        <v>0</v>
      </c>
      <c r="CN775" t="s">
        <v>3</v>
      </c>
      <c r="CO775">
        <v>0</v>
      </c>
      <c r="CP775">
        <f t="shared" si="560"/>
        <v>3557.34</v>
      </c>
      <c r="CQ775">
        <f t="shared" si="561"/>
        <v>197.96</v>
      </c>
      <c r="CR775">
        <f>((((ET775)*BB775-(EU775)*BS775)+AE775*BS775)*AV775)</f>
        <v>0</v>
      </c>
      <c r="CS775">
        <f t="shared" si="563"/>
        <v>0</v>
      </c>
      <c r="CT775">
        <f t="shared" si="564"/>
        <v>0</v>
      </c>
      <c r="CU775">
        <f t="shared" si="565"/>
        <v>0</v>
      </c>
      <c r="CV775">
        <f t="shared" si="566"/>
        <v>0</v>
      </c>
      <c r="CW775">
        <f t="shared" si="567"/>
        <v>0</v>
      </c>
      <c r="CX775">
        <f t="shared" si="568"/>
        <v>0</v>
      </c>
      <c r="CY775">
        <f t="shared" si="569"/>
        <v>0</v>
      </c>
      <c r="CZ775">
        <f t="shared" si="570"/>
        <v>0</v>
      </c>
      <c r="DC775" t="s">
        <v>3</v>
      </c>
      <c r="DD775" t="s">
        <v>3</v>
      </c>
      <c r="DE775" t="s">
        <v>3</v>
      </c>
      <c r="DF775" t="s">
        <v>3</v>
      </c>
      <c r="DG775" t="s">
        <v>3</v>
      </c>
      <c r="DH775" t="s">
        <v>3</v>
      </c>
      <c r="DI775" t="s">
        <v>3</v>
      </c>
      <c r="DJ775" t="s">
        <v>3</v>
      </c>
      <c r="DK775" t="s">
        <v>3</v>
      </c>
      <c r="DL775" t="s">
        <v>3</v>
      </c>
      <c r="DM775" t="s">
        <v>3</v>
      </c>
      <c r="DN775">
        <v>0</v>
      </c>
      <c r="DO775">
        <v>0</v>
      </c>
      <c r="DP775">
        <v>1</v>
      </c>
      <c r="DQ775">
        <v>1</v>
      </c>
      <c r="DU775">
        <v>1009</v>
      </c>
      <c r="DV775" t="s">
        <v>30</v>
      </c>
      <c r="DW775" t="s">
        <v>30</v>
      </c>
      <c r="DX775">
        <v>1000</v>
      </c>
      <c r="EE775">
        <v>38628631</v>
      </c>
      <c r="EF775">
        <v>1</v>
      </c>
      <c r="EG775" t="s">
        <v>24</v>
      </c>
      <c r="EH775">
        <v>0</v>
      </c>
      <c r="EI775" t="s">
        <v>3</v>
      </c>
      <c r="EJ775">
        <v>4</v>
      </c>
      <c r="EK775">
        <v>0</v>
      </c>
      <c r="EL775" t="s">
        <v>25</v>
      </c>
      <c r="EM775" t="s">
        <v>26</v>
      </c>
      <c r="EO775" t="s">
        <v>3</v>
      </c>
      <c r="EQ775">
        <v>0</v>
      </c>
      <c r="ER775">
        <v>197.96</v>
      </c>
      <c r="ES775">
        <v>197.96</v>
      </c>
      <c r="ET775">
        <v>0</v>
      </c>
      <c r="EU775">
        <v>0</v>
      </c>
      <c r="EV775">
        <v>0</v>
      </c>
      <c r="EW775">
        <v>0</v>
      </c>
      <c r="EX775">
        <v>0</v>
      </c>
      <c r="EY775">
        <v>0</v>
      </c>
      <c r="FQ775">
        <v>0</v>
      </c>
      <c r="FR775">
        <f t="shared" si="571"/>
        <v>0</v>
      </c>
      <c r="FS775">
        <v>0</v>
      </c>
      <c r="FX775">
        <v>70</v>
      </c>
      <c r="FY775">
        <v>10</v>
      </c>
      <c r="GA775" t="s">
        <v>3</v>
      </c>
      <c r="GD775">
        <v>0</v>
      </c>
      <c r="GF775">
        <v>-1219268023</v>
      </c>
      <c r="GG775">
        <v>2</v>
      </c>
      <c r="GH775">
        <v>1</v>
      </c>
      <c r="GI775">
        <v>-2</v>
      </c>
      <c r="GJ775">
        <v>0</v>
      </c>
      <c r="GK775">
        <f>ROUND(R775*(R12)/100,2)</f>
        <v>0</v>
      </c>
      <c r="GL775">
        <f t="shared" si="572"/>
        <v>0</v>
      </c>
      <c r="GM775">
        <f>ROUND(O775+X775+Y775+GK775,2)+GX775</f>
        <v>3557.34</v>
      </c>
      <c r="GN775">
        <f>IF(OR(BI775=0,BI775=1),ROUND(O775+X775+Y775+GK775,2),0)</f>
        <v>0</v>
      </c>
      <c r="GO775">
        <f>IF(BI775=2,ROUND(O775+X775+Y775+GK775,2),0)</f>
        <v>0</v>
      </c>
      <c r="GP775">
        <f>IF(BI775=4,ROUND(O775+X775+Y775+GK775,2)+GX775,0)</f>
        <v>3557.34</v>
      </c>
      <c r="GR775">
        <v>0</v>
      </c>
      <c r="GS775">
        <v>3</v>
      </c>
      <c r="GT775">
        <v>0</v>
      </c>
      <c r="GU775" t="s">
        <v>3</v>
      </c>
      <c r="GV775">
        <f t="shared" si="573"/>
        <v>0</v>
      </c>
      <c r="GW775">
        <v>1</v>
      </c>
      <c r="GX775">
        <f t="shared" si="574"/>
        <v>0</v>
      </c>
      <c r="HA775">
        <v>0</v>
      </c>
      <c r="HB775">
        <v>0</v>
      </c>
      <c r="HC775">
        <f t="shared" si="575"/>
        <v>0</v>
      </c>
      <c r="HE775" t="s">
        <v>3</v>
      </c>
      <c r="HF775" t="s">
        <v>3</v>
      </c>
      <c r="IK775">
        <v>0</v>
      </c>
    </row>
    <row r="776" spans="1:245" x14ac:dyDescent="0.2">
      <c r="A776">
        <v>17</v>
      </c>
      <c r="B776">
        <v>1</v>
      </c>
      <c r="E776" t="s">
        <v>312</v>
      </c>
      <c r="F776" t="s">
        <v>204</v>
      </c>
      <c r="G776" t="s">
        <v>205</v>
      </c>
      <c r="H776" t="s">
        <v>206</v>
      </c>
      <c r="I776">
        <v>0</v>
      </c>
      <c r="J776">
        <v>0</v>
      </c>
      <c r="O776">
        <f t="shared" si="542"/>
        <v>0</v>
      </c>
      <c r="P776">
        <f t="shared" si="543"/>
        <v>0</v>
      </c>
      <c r="Q776">
        <f t="shared" si="544"/>
        <v>0</v>
      </c>
      <c r="R776">
        <f t="shared" si="545"/>
        <v>0</v>
      </c>
      <c r="S776">
        <f t="shared" si="546"/>
        <v>0</v>
      </c>
      <c r="T776">
        <f t="shared" si="547"/>
        <v>0</v>
      </c>
      <c r="U776">
        <f t="shared" si="548"/>
        <v>0</v>
      </c>
      <c r="V776">
        <f t="shared" si="549"/>
        <v>0</v>
      </c>
      <c r="W776">
        <f t="shared" si="550"/>
        <v>0</v>
      </c>
      <c r="X776">
        <f t="shared" si="551"/>
        <v>0</v>
      </c>
      <c r="Y776">
        <f t="shared" si="552"/>
        <v>0</v>
      </c>
      <c r="AA776">
        <v>38214492</v>
      </c>
      <c r="AB776">
        <f t="shared" si="553"/>
        <v>59.29</v>
      </c>
      <c r="AC776">
        <f>ROUND((ES776),6)</f>
        <v>0</v>
      </c>
      <c r="AD776">
        <f>ROUND((((ET776)-(EU776))+AE776),6)</f>
        <v>59.29</v>
      </c>
      <c r="AE776">
        <f t="shared" si="576"/>
        <v>44.76</v>
      </c>
      <c r="AF776">
        <f t="shared" si="576"/>
        <v>0</v>
      </c>
      <c r="AG776">
        <f t="shared" si="557"/>
        <v>0</v>
      </c>
      <c r="AH776">
        <f t="shared" si="577"/>
        <v>0</v>
      </c>
      <c r="AI776">
        <f t="shared" si="577"/>
        <v>0</v>
      </c>
      <c r="AJ776">
        <f t="shared" si="559"/>
        <v>0</v>
      </c>
      <c r="AK776">
        <v>59.29</v>
      </c>
      <c r="AL776">
        <v>0</v>
      </c>
      <c r="AM776">
        <v>59.29</v>
      </c>
      <c r="AN776">
        <v>44.76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70</v>
      </c>
      <c r="AU776">
        <v>10</v>
      </c>
      <c r="AV776">
        <v>1</v>
      </c>
      <c r="AW776">
        <v>1</v>
      </c>
      <c r="AZ776">
        <v>1</v>
      </c>
      <c r="BA776">
        <v>1</v>
      </c>
      <c r="BB776">
        <v>1</v>
      </c>
      <c r="BC776">
        <v>1</v>
      </c>
      <c r="BD776" t="s">
        <v>3</v>
      </c>
      <c r="BE776" t="s">
        <v>3</v>
      </c>
      <c r="BF776" t="s">
        <v>3</v>
      </c>
      <c r="BG776" t="s">
        <v>3</v>
      </c>
      <c r="BH776">
        <v>0</v>
      </c>
      <c r="BI776">
        <v>4</v>
      </c>
      <c r="BJ776" t="s">
        <v>207</v>
      </c>
      <c r="BM776">
        <v>0</v>
      </c>
      <c r="BN776">
        <v>0</v>
      </c>
      <c r="BO776" t="s">
        <v>3</v>
      </c>
      <c r="BP776">
        <v>0</v>
      </c>
      <c r="BQ776">
        <v>1</v>
      </c>
      <c r="BR776">
        <v>0</v>
      </c>
      <c r="BS776">
        <v>1</v>
      </c>
      <c r="BT776">
        <v>1</v>
      </c>
      <c r="BU776">
        <v>1</v>
      </c>
      <c r="BV776">
        <v>1</v>
      </c>
      <c r="BW776">
        <v>1</v>
      </c>
      <c r="BX776">
        <v>1</v>
      </c>
      <c r="BY776" t="s">
        <v>3</v>
      </c>
      <c r="BZ776">
        <v>70</v>
      </c>
      <c r="CA776">
        <v>10</v>
      </c>
      <c r="CE776">
        <v>0</v>
      </c>
      <c r="CF776">
        <v>0</v>
      </c>
      <c r="CG776">
        <v>0</v>
      </c>
      <c r="CM776">
        <v>0</v>
      </c>
      <c r="CN776" t="s">
        <v>3</v>
      </c>
      <c r="CO776">
        <v>0</v>
      </c>
      <c r="CP776">
        <f t="shared" si="560"/>
        <v>0</v>
      </c>
      <c r="CQ776">
        <f t="shared" si="561"/>
        <v>0</v>
      </c>
      <c r="CR776">
        <f>((((ET776)*BB776-(EU776)*BS776)+AE776*BS776)*AV776)</f>
        <v>59.29</v>
      </c>
      <c r="CS776">
        <f t="shared" si="563"/>
        <v>44.76</v>
      </c>
      <c r="CT776">
        <f t="shared" si="564"/>
        <v>0</v>
      </c>
      <c r="CU776">
        <f t="shared" si="565"/>
        <v>0</v>
      </c>
      <c r="CV776">
        <f t="shared" si="566"/>
        <v>0</v>
      </c>
      <c r="CW776">
        <f t="shared" si="567"/>
        <v>0</v>
      </c>
      <c r="CX776">
        <f t="shared" si="568"/>
        <v>0</v>
      </c>
      <c r="CY776">
        <f t="shared" si="569"/>
        <v>0</v>
      </c>
      <c r="CZ776">
        <f t="shared" si="570"/>
        <v>0</v>
      </c>
      <c r="DC776" t="s">
        <v>3</v>
      </c>
      <c r="DD776" t="s">
        <v>3</v>
      </c>
      <c r="DE776" t="s">
        <v>3</v>
      </c>
      <c r="DF776" t="s">
        <v>3</v>
      </c>
      <c r="DG776" t="s">
        <v>3</v>
      </c>
      <c r="DH776" t="s">
        <v>3</v>
      </c>
      <c r="DI776" t="s">
        <v>3</v>
      </c>
      <c r="DJ776" t="s">
        <v>3</v>
      </c>
      <c r="DK776" t="s">
        <v>3</v>
      </c>
      <c r="DL776" t="s">
        <v>3</v>
      </c>
      <c r="DM776" t="s">
        <v>3</v>
      </c>
      <c r="DN776">
        <v>0</v>
      </c>
      <c r="DO776">
        <v>0</v>
      </c>
      <c r="DP776">
        <v>1</v>
      </c>
      <c r="DQ776">
        <v>1</v>
      </c>
      <c r="DU776">
        <v>1007</v>
      </c>
      <c r="DV776" t="s">
        <v>206</v>
      </c>
      <c r="DW776" t="s">
        <v>206</v>
      </c>
      <c r="DX776">
        <v>1</v>
      </c>
      <c r="EE776">
        <v>38628631</v>
      </c>
      <c r="EF776">
        <v>1</v>
      </c>
      <c r="EG776" t="s">
        <v>24</v>
      </c>
      <c r="EH776">
        <v>0</v>
      </c>
      <c r="EI776" t="s">
        <v>3</v>
      </c>
      <c r="EJ776">
        <v>4</v>
      </c>
      <c r="EK776">
        <v>0</v>
      </c>
      <c r="EL776" t="s">
        <v>25</v>
      </c>
      <c r="EM776" t="s">
        <v>26</v>
      </c>
      <c r="EO776" t="s">
        <v>3</v>
      </c>
      <c r="EQ776">
        <v>0</v>
      </c>
      <c r="ER776">
        <v>59.29</v>
      </c>
      <c r="ES776">
        <v>0</v>
      </c>
      <c r="ET776">
        <v>59.29</v>
      </c>
      <c r="EU776">
        <v>44.76</v>
      </c>
      <c r="EV776">
        <v>0</v>
      </c>
      <c r="EW776">
        <v>0</v>
      </c>
      <c r="EX776">
        <v>0</v>
      </c>
      <c r="EY776">
        <v>0</v>
      </c>
      <c r="FQ776">
        <v>0</v>
      </c>
      <c r="FR776">
        <f t="shared" si="571"/>
        <v>0</v>
      </c>
      <c r="FS776">
        <v>0</v>
      </c>
      <c r="FX776">
        <v>70</v>
      </c>
      <c r="FY776">
        <v>10</v>
      </c>
      <c r="GA776" t="s">
        <v>3</v>
      </c>
      <c r="GD776">
        <v>1</v>
      </c>
      <c r="GF776">
        <v>10906184</v>
      </c>
      <c r="GG776">
        <v>2</v>
      </c>
      <c r="GH776">
        <v>1</v>
      </c>
      <c r="GI776">
        <v>-2</v>
      </c>
      <c r="GJ776">
        <v>0</v>
      </c>
      <c r="GK776">
        <v>0</v>
      </c>
      <c r="GL776">
        <f t="shared" si="572"/>
        <v>0</v>
      </c>
      <c r="GM776">
        <f>ROUND(O776+X776+Y776,2)+GX776</f>
        <v>0</v>
      </c>
      <c r="GN776">
        <f>IF(OR(BI776=0,BI776=1),ROUND(O776+X776+Y776,2),0)</f>
        <v>0</v>
      </c>
      <c r="GO776">
        <f>IF(BI776=2,ROUND(O776+X776+Y776,2),0)</f>
        <v>0</v>
      </c>
      <c r="GP776">
        <f>IF(BI776=4,ROUND(O776+X776+Y776,2)+GX776,0)</f>
        <v>0</v>
      </c>
      <c r="GR776">
        <v>0</v>
      </c>
      <c r="GS776">
        <v>0</v>
      </c>
      <c r="GT776">
        <v>0</v>
      </c>
      <c r="GU776" t="s">
        <v>3</v>
      </c>
      <c r="GV776">
        <f t="shared" si="573"/>
        <v>0</v>
      </c>
      <c r="GW776">
        <v>1</v>
      </c>
      <c r="GX776">
        <f t="shared" si="574"/>
        <v>0</v>
      </c>
      <c r="HA776">
        <v>0</v>
      </c>
      <c r="HB776">
        <v>0</v>
      </c>
      <c r="HC776">
        <f t="shared" si="575"/>
        <v>0</v>
      </c>
      <c r="HE776" t="s">
        <v>3</v>
      </c>
      <c r="HF776" t="s">
        <v>3</v>
      </c>
      <c r="IK776">
        <v>0</v>
      </c>
    </row>
    <row r="777" spans="1:245" x14ac:dyDescent="0.2">
      <c r="A777">
        <v>17</v>
      </c>
      <c r="B777">
        <v>1</v>
      </c>
      <c r="E777" t="s">
        <v>313</v>
      </c>
      <c r="F777" t="s">
        <v>209</v>
      </c>
      <c r="G777" t="s">
        <v>210</v>
      </c>
      <c r="H777" t="s">
        <v>30</v>
      </c>
      <c r="I777">
        <v>0</v>
      </c>
      <c r="J777">
        <v>0</v>
      </c>
      <c r="O777">
        <f t="shared" si="542"/>
        <v>0</v>
      </c>
      <c r="P777">
        <f t="shared" si="543"/>
        <v>0</v>
      </c>
      <c r="Q777">
        <f t="shared" si="544"/>
        <v>0</v>
      </c>
      <c r="R777">
        <f t="shared" si="545"/>
        <v>0</v>
      </c>
      <c r="S777">
        <f t="shared" si="546"/>
        <v>0</v>
      </c>
      <c r="T777">
        <f t="shared" si="547"/>
        <v>0</v>
      </c>
      <c r="U777">
        <f t="shared" si="548"/>
        <v>0</v>
      </c>
      <c r="V777">
        <f t="shared" si="549"/>
        <v>0</v>
      </c>
      <c r="W777">
        <f t="shared" si="550"/>
        <v>0</v>
      </c>
      <c r="X777">
        <f t="shared" si="551"/>
        <v>0</v>
      </c>
      <c r="Y777">
        <f t="shared" si="552"/>
        <v>0</v>
      </c>
      <c r="AA777">
        <v>38214492</v>
      </c>
      <c r="AB777">
        <f t="shared" si="553"/>
        <v>96.08</v>
      </c>
      <c r="AC777">
        <f>ROUND((ES777),6)</f>
        <v>96.08</v>
      </c>
      <c r="AD777">
        <f>ROUND((((ET777)-(EU777))+AE777),6)</f>
        <v>0</v>
      </c>
      <c r="AE777">
        <f t="shared" si="576"/>
        <v>0</v>
      </c>
      <c r="AF777">
        <f t="shared" si="576"/>
        <v>0</v>
      </c>
      <c r="AG777">
        <f t="shared" si="557"/>
        <v>0</v>
      </c>
      <c r="AH777">
        <f t="shared" si="577"/>
        <v>0</v>
      </c>
      <c r="AI777">
        <f t="shared" si="577"/>
        <v>0</v>
      </c>
      <c r="AJ777">
        <f t="shared" si="559"/>
        <v>0</v>
      </c>
      <c r="AK777">
        <v>96.08</v>
      </c>
      <c r="AL777">
        <v>96.08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70</v>
      </c>
      <c r="AU777">
        <v>10</v>
      </c>
      <c r="AV777">
        <v>1</v>
      </c>
      <c r="AW777">
        <v>1</v>
      </c>
      <c r="AZ777">
        <v>1</v>
      </c>
      <c r="BA777">
        <v>1</v>
      </c>
      <c r="BB777">
        <v>1</v>
      </c>
      <c r="BC777">
        <v>1</v>
      </c>
      <c r="BD777" t="s">
        <v>3</v>
      </c>
      <c r="BE777" t="s">
        <v>3</v>
      </c>
      <c r="BF777" t="s">
        <v>3</v>
      </c>
      <c r="BG777" t="s">
        <v>3</v>
      </c>
      <c r="BH777">
        <v>3</v>
      </c>
      <c r="BI777">
        <v>4</v>
      </c>
      <c r="BJ777" t="s">
        <v>211</v>
      </c>
      <c r="BM777">
        <v>0</v>
      </c>
      <c r="BN777">
        <v>0</v>
      </c>
      <c r="BO777" t="s">
        <v>3</v>
      </c>
      <c r="BP777">
        <v>0</v>
      </c>
      <c r="BQ777">
        <v>1</v>
      </c>
      <c r="BR777">
        <v>0</v>
      </c>
      <c r="BS777">
        <v>1</v>
      </c>
      <c r="BT777">
        <v>1</v>
      </c>
      <c r="BU777">
        <v>1</v>
      </c>
      <c r="BV777">
        <v>1</v>
      </c>
      <c r="BW777">
        <v>1</v>
      </c>
      <c r="BX777">
        <v>1</v>
      </c>
      <c r="BY777" t="s">
        <v>3</v>
      </c>
      <c r="BZ777">
        <v>70</v>
      </c>
      <c r="CA777">
        <v>10</v>
      </c>
      <c r="CE777">
        <v>0</v>
      </c>
      <c r="CF777">
        <v>0</v>
      </c>
      <c r="CG777">
        <v>0</v>
      </c>
      <c r="CM777">
        <v>0</v>
      </c>
      <c r="CN777" t="s">
        <v>3</v>
      </c>
      <c r="CO777">
        <v>0</v>
      </c>
      <c r="CP777">
        <f t="shared" si="560"/>
        <v>0</v>
      </c>
      <c r="CQ777">
        <f t="shared" si="561"/>
        <v>96.08</v>
      </c>
      <c r="CR777">
        <f>((((ET777)*BB777-(EU777)*BS777)+AE777*BS777)*AV777)</f>
        <v>0</v>
      </c>
      <c r="CS777">
        <f t="shared" si="563"/>
        <v>0</v>
      </c>
      <c r="CT777">
        <f t="shared" si="564"/>
        <v>0</v>
      </c>
      <c r="CU777">
        <f t="shared" si="565"/>
        <v>0</v>
      </c>
      <c r="CV777">
        <f t="shared" si="566"/>
        <v>0</v>
      </c>
      <c r="CW777">
        <f t="shared" si="567"/>
        <v>0</v>
      </c>
      <c r="CX777">
        <f t="shared" si="568"/>
        <v>0</v>
      </c>
      <c r="CY777">
        <f t="shared" si="569"/>
        <v>0</v>
      </c>
      <c r="CZ777">
        <f t="shared" si="570"/>
        <v>0</v>
      </c>
      <c r="DC777" t="s">
        <v>3</v>
      </c>
      <c r="DD777" t="s">
        <v>3</v>
      </c>
      <c r="DE777" t="s">
        <v>3</v>
      </c>
      <c r="DF777" t="s">
        <v>3</v>
      </c>
      <c r="DG777" t="s">
        <v>3</v>
      </c>
      <c r="DH777" t="s">
        <v>3</v>
      </c>
      <c r="DI777" t="s">
        <v>3</v>
      </c>
      <c r="DJ777" t="s">
        <v>3</v>
      </c>
      <c r="DK777" t="s">
        <v>3</v>
      </c>
      <c r="DL777" t="s">
        <v>3</v>
      </c>
      <c r="DM777" t="s">
        <v>3</v>
      </c>
      <c r="DN777">
        <v>0</v>
      </c>
      <c r="DO777">
        <v>0</v>
      </c>
      <c r="DP777">
        <v>1</v>
      </c>
      <c r="DQ777">
        <v>1</v>
      </c>
      <c r="DU777">
        <v>1009</v>
      </c>
      <c r="DV777" t="s">
        <v>30</v>
      </c>
      <c r="DW777" t="s">
        <v>30</v>
      </c>
      <c r="DX777">
        <v>1000</v>
      </c>
      <c r="EE777">
        <v>38628631</v>
      </c>
      <c r="EF777">
        <v>1</v>
      </c>
      <c r="EG777" t="s">
        <v>24</v>
      </c>
      <c r="EH777">
        <v>0</v>
      </c>
      <c r="EI777" t="s">
        <v>3</v>
      </c>
      <c r="EJ777">
        <v>4</v>
      </c>
      <c r="EK777">
        <v>0</v>
      </c>
      <c r="EL777" t="s">
        <v>25</v>
      </c>
      <c r="EM777" t="s">
        <v>26</v>
      </c>
      <c r="EO777" t="s">
        <v>3</v>
      </c>
      <c r="EQ777">
        <v>0</v>
      </c>
      <c r="ER777">
        <v>96.08</v>
      </c>
      <c r="ES777">
        <v>96.08</v>
      </c>
      <c r="ET777">
        <v>0</v>
      </c>
      <c r="EU777">
        <v>0</v>
      </c>
      <c r="EV777">
        <v>0</v>
      </c>
      <c r="EW777">
        <v>0</v>
      </c>
      <c r="EX777">
        <v>0</v>
      </c>
      <c r="EY777">
        <v>0</v>
      </c>
      <c r="FQ777">
        <v>0</v>
      </c>
      <c r="FR777">
        <f t="shared" si="571"/>
        <v>0</v>
      </c>
      <c r="FS777">
        <v>0</v>
      </c>
      <c r="FX777">
        <v>70</v>
      </c>
      <c r="FY777">
        <v>10</v>
      </c>
      <c r="GA777" t="s">
        <v>3</v>
      </c>
      <c r="GD777">
        <v>0</v>
      </c>
      <c r="GF777">
        <v>-1286717690</v>
      </c>
      <c r="GG777">
        <v>2</v>
      </c>
      <c r="GH777">
        <v>1</v>
      </c>
      <c r="GI777">
        <v>-2</v>
      </c>
      <c r="GJ777">
        <v>0</v>
      </c>
      <c r="GK777">
        <f>ROUND(R777*(R12)/100,2)</f>
        <v>0</v>
      </c>
      <c r="GL777">
        <f t="shared" si="572"/>
        <v>0</v>
      </c>
      <c r="GM777">
        <f>ROUND(O777+X777+Y777+GK777,2)+GX777</f>
        <v>0</v>
      </c>
      <c r="GN777">
        <f>IF(OR(BI777=0,BI777=1),ROUND(O777+X777+Y777+GK777,2),0)</f>
        <v>0</v>
      </c>
      <c r="GO777">
        <f>IF(BI777=2,ROUND(O777+X777+Y777+GK777,2),0)</f>
        <v>0</v>
      </c>
      <c r="GP777">
        <f>IF(BI777=4,ROUND(O777+X777+Y777+GK777,2)+GX777,0)</f>
        <v>0</v>
      </c>
      <c r="GR777">
        <v>0</v>
      </c>
      <c r="GS777">
        <v>0</v>
      </c>
      <c r="GT777">
        <v>0</v>
      </c>
      <c r="GU777" t="s">
        <v>3</v>
      </c>
      <c r="GV777">
        <f t="shared" si="573"/>
        <v>0</v>
      </c>
      <c r="GW777">
        <v>1</v>
      </c>
      <c r="GX777">
        <f t="shared" si="574"/>
        <v>0</v>
      </c>
      <c r="HA777">
        <v>0</v>
      </c>
      <c r="HB777">
        <v>0</v>
      </c>
      <c r="HC777">
        <f t="shared" si="575"/>
        <v>0</v>
      </c>
      <c r="HE777" t="s">
        <v>3</v>
      </c>
      <c r="HF777" t="s">
        <v>3</v>
      </c>
      <c r="IK777">
        <v>0</v>
      </c>
    </row>
    <row r="778" spans="1:245" x14ac:dyDescent="0.2">
      <c r="A778">
        <v>17</v>
      </c>
      <c r="B778">
        <v>1</v>
      </c>
      <c r="E778" t="s">
        <v>314</v>
      </c>
      <c r="F778" t="s">
        <v>213</v>
      </c>
      <c r="G778" t="s">
        <v>214</v>
      </c>
      <c r="H778" t="s">
        <v>206</v>
      </c>
      <c r="I778">
        <f>ROUND(I174,9)</f>
        <v>0</v>
      </c>
      <c r="J778">
        <v>0</v>
      </c>
      <c r="O778">
        <f t="shared" si="542"/>
        <v>0</v>
      </c>
      <c r="P778">
        <f t="shared" si="543"/>
        <v>0</v>
      </c>
      <c r="Q778">
        <f t="shared" si="544"/>
        <v>0</v>
      </c>
      <c r="R778">
        <f t="shared" si="545"/>
        <v>0</v>
      </c>
      <c r="S778">
        <f t="shared" si="546"/>
        <v>0</v>
      </c>
      <c r="T778">
        <f t="shared" si="547"/>
        <v>0</v>
      </c>
      <c r="U778">
        <f t="shared" si="548"/>
        <v>0</v>
      </c>
      <c r="V778">
        <f t="shared" si="549"/>
        <v>0</v>
      </c>
      <c r="W778">
        <f t="shared" si="550"/>
        <v>0</v>
      </c>
      <c r="X778">
        <f t="shared" si="551"/>
        <v>0</v>
      </c>
      <c r="Y778">
        <f t="shared" si="552"/>
        <v>0</v>
      </c>
      <c r="AA778">
        <v>38214492</v>
      </c>
      <c r="AB778">
        <f t="shared" si="553"/>
        <v>765.2</v>
      </c>
      <c r="AC778">
        <f>ROUND(((ES778*40)),6)</f>
        <v>0</v>
      </c>
      <c r="AD778">
        <f>ROUND(((((ET778*40))-((EU778*40)))+AE778),6)</f>
        <v>765.2</v>
      </c>
      <c r="AE778">
        <f>ROUND(((EU778*40)),6)</f>
        <v>577.6</v>
      </c>
      <c r="AF778">
        <f>ROUND(((EV778*40)),6)</f>
        <v>0</v>
      </c>
      <c r="AG778">
        <f t="shared" si="557"/>
        <v>0</v>
      </c>
      <c r="AH778">
        <f>((EW778*40))</f>
        <v>0</v>
      </c>
      <c r="AI778">
        <f>((EX778*40))</f>
        <v>0</v>
      </c>
      <c r="AJ778">
        <f t="shared" si="559"/>
        <v>0</v>
      </c>
      <c r="AK778">
        <v>19.13</v>
      </c>
      <c r="AL778">
        <v>0</v>
      </c>
      <c r="AM778">
        <v>19.13</v>
      </c>
      <c r="AN778">
        <v>14.44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70</v>
      </c>
      <c r="AU778">
        <v>10</v>
      </c>
      <c r="AV778">
        <v>1</v>
      </c>
      <c r="AW778">
        <v>1</v>
      </c>
      <c r="AZ778">
        <v>1</v>
      </c>
      <c r="BA778">
        <v>1</v>
      </c>
      <c r="BB778">
        <v>1</v>
      </c>
      <c r="BC778">
        <v>1</v>
      </c>
      <c r="BD778" t="s">
        <v>3</v>
      </c>
      <c r="BE778" t="s">
        <v>3</v>
      </c>
      <c r="BF778" t="s">
        <v>3</v>
      </c>
      <c r="BG778" t="s">
        <v>3</v>
      </c>
      <c r="BH778">
        <v>0</v>
      </c>
      <c r="BI778">
        <v>4</v>
      </c>
      <c r="BJ778" t="s">
        <v>215</v>
      </c>
      <c r="BM778">
        <v>0</v>
      </c>
      <c r="BN778">
        <v>0</v>
      </c>
      <c r="BO778" t="s">
        <v>3</v>
      </c>
      <c r="BP778">
        <v>0</v>
      </c>
      <c r="BQ778">
        <v>1</v>
      </c>
      <c r="BR778">
        <v>0</v>
      </c>
      <c r="BS778">
        <v>1</v>
      </c>
      <c r="BT778">
        <v>1</v>
      </c>
      <c r="BU778">
        <v>1</v>
      </c>
      <c r="BV778">
        <v>1</v>
      </c>
      <c r="BW778">
        <v>1</v>
      </c>
      <c r="BX778">
        <v>1</v>
      </c>
      <c r="BY778" t="s">
        <v>3</v>
      </c>
      <c r="BZ778">
        <v>70</v>
      </c>
      <c r="CA778">
        <v>10</v>
      </c>
      <c r="CE778">
        <v>0</v>
      </c>
      <c r="CF778">
        <v>0</v>
      </c>
      <c r="CG778">
        <v>0</v>
      </c>
      <c r="CM778">
        <v>0</v>
      </c>
      <c r="CN778" t="s">
        <v>3</v>
      </c>
      <c r="CO778">
        <v>0</v>
      </c>
      <c r="CP778">
        <f t="shared" si="560"/>
        <v>0</v>
      </c>
      <c r="CQ778">
        <f t="shared" si="561"/>
        <v>0</v>
      </c>
      <c r="CR778">
        <f>(((((ET778*40))*BB778-((EU778*40))*BS778)+AE778*BS778)*AV778)</f>
        <v>765.19999999999993</v>
      </c>
      <c r="CS778">
        <f t="shared" si="563"/>
        <v>577.6</v>
      </c>
      <c r="CT778">
        <f t="shared" si="564"/>
        <v>0</v>
      </c>
      <c r="CU778">
        <f t="shared" si="565"/>
        <v>0</v>
      </c>
      <c r="CV778">
        <f t="shared" si="566"/>
        <v>0</v>
      </c>
      <c r="CW778">
        <f t="shared" si="567"/>
        <v>0</v>
      </c>
      <c r="CX778">
        <f t="shared" si="568"/>
        <v>0</v>
      </c>
      <c r="CY778">
        <f t="shared" si="569"/>
        <v>0</v>
      </c>
      <c r="CZ778">
        <f t="shared" si="570"/>
        <v>0</v>
      </c>
      <c r="DC778" t="s">
        <v>3</v>
      </c>
      <c r="DD778" t="s">
        <v>216</v>
      </c>
      <c r="DE778" t="s">
        <v>216</v>
      </c>
      <c r="DF778" t="s">
        <v>216</v>
      </c>
      <c r="DG778" t="s">
        <v>216</v>
      </c>
      <c r="DH778" t="s">
        <v>3</v>
      </c>
      <c r="DI778" t="s">
        <v>216</v>
      </c>
      <c r="DJ778" t="s">
        <v>216</v>
      </c>
      <c r="DK778" t="s">
        <v>3</v>
      </c>
      <c r="DL778" t="s">
        <v>3</v>
      </c>
      <c r="DM778" t="s">
        <v>217</v>
      </c>
      <c r="DN778">
        <v>0</v>
      </c>
      <c r="DO778">
        <v>0</v>
      </c>
      <c r="DP778">
        <v>1</v>
      </c>
      <c r="DQ778">
        <v>1</v>
      </c>
      <c r="DU778">
        <v>1007</v>
      </c>
      <c r="DV778" t="s">
        <v>206</v>
      </c>
      <c r="DW778" t="s">
        <v>206</v>
      </c>
      <c r="DX778">
        <v>1</v>
      </c>
      <c r="EE778">
        <v>38628631</v>
      </c>
      <c r="EF778">
        <v>1</v>
      </c>
      <c r="EG778" t="s">
        <v>24</v>
      </c>
      <c r="EH778">
        <v>0</v>
      </c>
      <c r="EI778" t="s">
        <v>3</v>
      </c>
      <c r="EJ778">
        <v>4</v>
      </c>
      <c r="EK778">
        <v>0</v>
      </c>
      <c r="EL778" t="s">
        <v>25</v>
      </c>
      <c r="EM778" t="s">
        <v>26</v>
      </c>
      <c r="EO778" t="s">
        <v>3</v>
      </c>
      <c r="EQ778">
        <v>0</v>
      </c>
      <c r="ER778">
        <v>19.13</v>
      </c>
      <c r="ES778">
        <v>0</v>
      </c>
      <c r="ET778">
        <v>19.13</v>
      </c>
      <c r="EU778">
        <v>14.44</v>
      </c>
      <c r="EV778">
        <v>0</v>
      </c>
      <c r="EW778">
        <v>0</v>
      </c>
      <c r="EX778">
        <v>0</v>
      </c>
      <c r="EY778">
        <v>0</v>
      </c>
      <c r="FQ778">
        <v>0</v>
      </c>
      <c r="FR778">
        <f t="shared" si="571"/>
        <v>0</v>
      </c>
      <c r="FS778">
        <v>0</v>
      </c>
      <c r="FX778">
        <v>70</v>
      </c>
      <c r="FY778">
        <v>280</v>
      </c>
      <c r="GA778" t="s">
        <v>3</v>
      </c>
      <c r="GD778">
        <v>1</v>
      </c>
      <c r="GF778">
        <v>1386989528</v>
      </c>
      <c r="GG778">
        <v>2</v>
      </c>
      <c r="GH778">
        <v>1</v>
      </c>
      <c r="GI778">
        <v>-2</v>
      </c>
      <c r="GJ778">
        <v>0</v>
      </c>
      <c r="GK778">
        <v>0</v>
      </c>
      <c r="GL778">
        <f t="shared" si="572"/>
        <v>0</v>
      </c>
      <c r="GM778">
        <f>ROUND(O778+X778+Y778,2)+GX778</f>
        <v>0</v>
      </c>
      <c r="GN778">
        <f>IF(OR(BI778=0,BI778=1),ROUND(O778+X778+Y778,2),0)</f>
        <v>0</v>
      </c>
      <c r="GO778">
        <f>IF(BI778=2,ROUND(O778+X778+Y778,2),0)</f>
        <v>0</v>
      </c>
      <c r="GP778">
        <f>IF(BI778=4,ROUND(O778+X778+Y778,2)+GX778,0)</f>
        <v>0</v>
      </c>
      <c r="GR778">
        <v>0</v>
      </c>
      <c r="GS778">
        <v>0</v>
      </c>
      <c r="GT778">
        <v>0</v>
      </c>
      <c r="GU778" t="s">
        <v>3</v>
      </c>
      <c r="GV778">
        <f t="shared" si="573"/>
        <v>0</v>
      </c>
      <c r="GW778">
        <v>1</v>
      </c>
      <c r="GX778">
        <f t="shared" si="574"/>
        <v>0</v>
      </c>
      <c r="HA778">
        <v>0</v>
      </c>
      <c r="HB778">
        <v>0</v>
      </c>
      <c r="HC778">
        <f t="shared" si="575"/>
        <v>0</v>
      </c>
      <c r="HE778" t="s">
        <v>3</v>
      </c>
      <c r="HF778" t="s">
        <v>3</v>
      </c>
      <c r="IK778">
        <v>0</v>
      </c>
    </row>
    <row r="779" spans="1:245" x14ac:dyDescent="0.2">
      <c r="A779">
        <v>17</v>
      </c>
      <c r="B779">
        <v>1</v>
      </c>
      <c r="C779">
        <f>ROW(SmtRes!A208)</f>
        <v>208</v>
      </c>
      <c r="D779">
        <f>ROW(EtalonRes!A205)</f>
        <v>205</v>
      </c>
      <c r="E779" t="s">
        <v>315</v>
      </c>
      <c r="F779" t="s">
        <v>219</v>
      </c>
      <c r="G779" t="s">
        <v>220</v>
      </c>
      <c r="H779" t="s">
        <v>187</v>
      </c>
      <c r="I779">
        <f>ROUND((299*0.1)/100,9)</f>
        <v>0.29899999999999999</v>
      </c>
      <c r="J779">
        <v>0</v>
      </c>
      <c r="O779">
        <f t="shared" si="542"/>
        <v>22835.01</v>
      </c>
      <c r="P779">
        <f t="shared" si="543"/>
        <v>19481.18</v>
      </c>
      <c r="Q779">
        <f t="shared" si="544"/>
        <v>2471.2399999999998</v>
      </c>
      <c r="R779">
        <f t="shared" si="545"/>
        <v>999.48</v>
      </c>
      <c r="S779">
        <f t="shared" si="546"/>
        <v>882.59</v>
      </c>
      <c r="T779">
        <f t="shared" si="547"/>
        <v>0</v>
      </c>
      <c r="U779">
        <f t="shared" si="548"/>
        <v>4.9514399999999998</v>
      </c>
      <c r="V779">
        <f t="shared" si="549"/>
        <v>0</v>
      </c>
      <c r="W779">
        <f t="shared" si="550"/>
        <v>0</v>
      </c>
      <c r="X779">
        <f t="shared" si="551"/>
        <v>617.80999999999995</v>
      </c>
      <c r="Y779">
        <f t="shared" si="552"/>
        <v>88.26</v>
      </c>
      <c r="AA779">
        <v>38214492</v>
      </c>
      <c r="AB779">
        <f t="shared" si="553"/>
        <v>76371.3</v>
      </c>
      <c r="AC779">
        <f>ROUND((ES779),6)</f>
        <v>65154.45</v>
      </c>
      <c r="AD779">
        <f>ROUND((((ET779)-(EU779))+AE779),6)</f>
        <v>8265.0300000000007</v>
      </c>
      <c r="AE779">
        <f t="shared" ref="AE779:AF781" si="578">ROUND((EU779),6)</f>
        <v>3342.74</v>
      </c>
      <c r="AF779">
        <f t="shared" si="578"/>
        <v>2951.82</v>
      </c>
      <c r="AG779">
        <f t="shared" si="557"/>
        <v>0</v>
      </c>
      <c r="AH779">
        <f t="shared" ref="AH779:AI781" si="579">(EW779)</f>
        <v>16.559999999999999</v>
      </c>
      <c r="AI779">
        <f t="shared" si="579"/>
        <v>0</v>
      </c>
      <c r="AJ779">
        <f t="shared" si="559"/>
        <v>0</v>
      </c>
      <c r="AK779">
        <v>76371.3</v>
      </c>
      <c r="AL779">
        <v>65154.45</v>
      </c>
      <c r="AM779">
        <v>8265.0300000000007</v>
      </c>
      <c r="AN779">
        <v>3342.74</v>
      </c>
      <c r="AO779">
        <v>2951.82</v>
      </c>
      <c r="AP779">
        <v>0</v>
      </c>
      <c r="AQ779">
        <v>16.559999999999999</v>
      </c>
      <c r="AR779">
        <v>0</v>
      </c>
      <c r="AS779">
        <v>0</v>
      </c>
      <c r="AT779">
        <v>70</v>
      </c>
      <c r="AU779">
        <v>10</v>
      </c>
      <c r="AV779">
        <v>1</v>
      </c>
      <c r="AW779">
        <v>1</v>
      </c>
      <c r="AZ779">
        <v>1</v>
      </c>
      <c r="BA779">
        <v>1</v>
      </c>
      <c r="BB779">
        <v>1</v>
      </c>
      <c r="BC779">
        <v>1</v>
      </c>
      <c r="BD779" t="s">
        <v>3</v>
      </c>
      <c r="BE779" t="s">
        <v>3</v>
      </c>
      <c r="BF779" t="s">
        <v>3</v>
      </c>
      <c r="BG779" t="s">
        <v>3</v>
      </c>
      <c r="BH779">
        <v>0</v>
      </c>
      <c r="BI779">
        <v>4</v>
      </c>
      <c r="BJ779" t="s">
        <v>221</v>
      </c>
      <c r="BM779">
        <v>0</v>
      </c>
      <c r="BN779">
        <v>0</v>
      </c>
      <c r="BO779" t="s">
        <v>3</v>
      </c>
      <c r="BP779">
        <v>0</v>
      </c>
      <c r="BQ779">
        <v>1</v>
      </c>
      <c r="BR779">
        <v>0</v>
      </c>
      <c r="BS779">
        <v>1</v>
      </c>
      <c r="BT779">
        <v>1</v>
      </c>
      <c r="BU779">
        <v>1</v>
      </c>
      <c r="BV779">
        <v>1</v>
      </c>
      <c r="BW779">
        <v>1</v>
      </c>
      <c r="BX779">
        <v>1</v>
      </c>
      <c r="BY779" t="s">
        <v>3</v>
      </c>
      <c r="BZ779">
        <v>70</v>
      </c>
      <c r="CA779">
        <v>10</v>
      </c>
      <c r="CE779">
        <v>0</v>
      </c>
      <c r="CF779">
        <v>0</v>
      </c>
      <c r="CG779">
        <v>0</v>
      </c>
      <c r="CM779">
        <v>0</v>
      </c>
      <c r="CN779" t="s">
        <v>3</v>
      </c>
      <c r="CO779">
        <v>0</v>
      </c>
      <c r="CP779">
        <f t="shared" si="560"/>
        <v>22835.01</v>
      </c>
      <c r="CQ779">
        <f t="shared" si="561"/>
        <v>65154.45</v>
      </c>
      <c r="CR779">
        <f>((((ET779)*BB779-(EU779)*BS779)+AE779*BS779)*AV779)</f>
        <v>8265.0300000000007</v>
      </c>
      <c r="CS779">
        <f t="shared" si="563"/>
        <v>3342.74</v>
      </c>
      <c r="CT779">
        <f t="shared" si="564"/>
        <v>2951.82</v>
      </c>
      <c r="CU779">
        <f t="shared" si="565"/>
        <v>0</v>
      </c>
      <c r="CV779">
        <f t="shared" si="566"/>
        <v>16.559999999999999</v>
      </c>
      <c r="CW779">
        <f t="shared" si="567"/>
        <v>0</v>
      </c>
      <c r="CX779">
        <f t="shared" si="568"/>
        <v>0</v>
      </c>
      <c r="CY779">
        <f t="shared" si="569"/>
        <v>617.81299999999999</v>
      </c>
      <c r="CZ779">
        <f t="shared" si="570"/>
        <v>88.259</v>
      </c>
      <c r="DC779" t="s">
        <v>3</v>
      </c>
      <c r="DD779" t="s">
        <v>3</v>
      </c>
      <c r="DE779" t="s">
        <v>3</v>
      </c>
      <c r="DF779" t="s">
        <v>3</v>
      </c>
      <c r="DG779" t="s">
        <v>3</v>
      </c>
      <c r="DH779" t="s">
        <v>3</v>
      </c>
      <c r="DI779" t="s">
        <v>3</v>
      </c>
      <c r="DJ779" t="s">
        <v>3</v>
      </c>
      <c r="DK779" t="s">
        <v>3</v>
      </c>
      <c r="DL779" t="s">
        <v>3</v>
      </c>
      <c r="DM779" t="s">
        <v>3</v>
      </c>
      <c r="DN779">
        <v>0</v>
      </c>
      <c r="DO779">
        <v>0</v>
      </c>
      <c r="DP779">
        <v>1</v>
      </c>
      <c r="DQ779">
        <v>1</v>
      </c>
      <c r="DU779">
        <v>1007</v>
      </c>
      <c r="DV779" t="s">
        <v>187</v>
      </c>
      <c r="DW779" t="s">
        <v>187</v>
      </c>
      <c r="DX779">
        <v>100</v>
      </c>
      <c r="EE779">
        <v>38628631</v>
      </c>
      <c r="EF779">
        <v>1</v>
      </c>
      <c r="EG779" t="s">
        <v>24</v>
      </c>
      <c r="EH779">
        <v>0</v>
      </c>
      <c r="EI779" t="s">
        <v>3</v>
      </c>
      <c r="EJ779">
        <v>4</v>
      </c>
      <c r="EK779">
        <v>0</v>
      </c>
      <c r="EL779" t="s">
        <v>25</v>
      </c>
      <c r="EM779" t="s">
        <v>26</v>
      </c>
      <c r="EO779" t="s">
        <v>3</v>
      </c>
      <c r="EQ779">
        <v>0</v>
      </c>
      <c r="ER779">
        <v>76371.3</v>
      </c>
      <c r="ES779">
        <v>65154.45</v>
      </c>
      <c r="ET779">
        <v>8265.0300000000007</v>
      </c>
      <c r="EU779">
        <v>3342.74</v>
      </c>
      <c r="EV779">
        <v>2951.82</v>
      </c>
      <c r="EW779">
        <v>16.559999999999999</v>
      </c>
      <c r="EX779">
        <v>0</v>
      </c>
      <c r="EY779">
        <v>0</v>
      </c>
      <c r="FQ779">
        <v>0</v>
      </c>
      <c r="FR779">
        <f t="shared" si="571"/>
        <v>0</v>
      </c>
      <c r="FS779">
        <v>0</v>
      </c>
      <c r="FX779">
        <v>70</v>
      </c>
      <c r="FY779">
        <v>10</v>
      </c>
      <c r="GA779" t="s">
        <v>3</v>
      </c>
      <c r="GD779">
        <v>0</v>
      </c>
      <c r="GF779">
        <v>1364004777</v>
      </c>
      <c r="GG779">
        <v>2</v>
      </c>
      <c r="GH779">
        <v>1</v>
      </c>
      <c r="GI779">
        <v>-2</v>
      </c>
      <c r="GJ779">
        <v>0</v>
      </c>
      <c r="GK779">
        <f>ROUND(R779*(R12)/100,2)</f>
        <v>1079.44</v>
      </c>
      <c r="GL779">
        <f t="shared" si="572"/>
        <v>0</v>
      </c>
      <c r="GM779">
        <f>ROUND(O779+X779+Y779+GK779,2)+GX779</f>
        <v>24620.52</v>
      </c>
      <c r="GN779">
        <f>IF(OR(BI779=0,BI779=1),ROUND(O779+X779+Y779+GK779,2),0)</f>
        <v>0</v>
      </c>
      <c r="GO779">
        <f>IF(BI779=2,ROUND(O779+X779+Y779+GK779,2),0)</f>
        <v>0</v>
      </c>
      <c r="GP779">
        <f>IF(BI779=4,ROUND(O779+X779+Y779+GK779,2)+GX779,0)</f>
        <v>24620.52</v>
      </c>
      <c r="GR779">
        <v>0</v>
      </c>
      <c r="GS779">
        <v>3</v>
      </c>
      <c r="GT779">
        <v>0</v>
      </c>
      <c r="GU779" t="s">
        <v>3</v>
      </c>
      <c r="GV779">
        <f t="shared" si="573"/>
        <v>0</v>
      </c>
      <c r="GW779">
        <v>1</v>
      </c>
      <c r="GX779">
        <f t="shared" si="574"/>
        <v>0</v>
      </c>
      <c r="HA779">
        <v>0</v>
      </c>
      <c r="HB779">
        <v>0</v>
      </c>
      <c r="HC779">
        <f t="shared" si="575"/>
        <v>0</v>
      </c>
      <c r="HE779" t="s">
        <v>3</v>
      </c>
      <c r="HF779" t="s">
        <v>3</v>
      </c>
      <c r="IK779">
        <v>0</v>
      </c>
    </row>
    <row r="780" spans="1:245" x14ac:dyDescent="0.2">
      <c r="A780">
        <v>17</v>
      </c>
      <c r="B780">
        <v>1</v>
      </c>
      <c r="C780">
        <f>ROW(SmtRes!A212)</f>
        <v>212</v>
      </c>
      <c r="D780">
        <f>ROW(EtalonRes!A209)</f>
        <v>209</v>
      </c>
      <c r="E780" t="s">
        <v>316</v>
      </c>
      <c r="F780" t="s">
        <v>223</v>
      </c>
      <c r="G780" t="s">
        <v>224</v>
      </c>
      <c r="H780" t="s">
        <v>225</v>
      </c>
      <c r="I780">
        <v>0</v>
      </c>
      <c r="J780">
        <v>0</v>
      </c>
      <c r="O780">
        <f t="shared" si="542"/>
        <v>0</v>
      </c>
      <c r="P780">
        <f t="shared" si="543"/>
        <v>0</v>
      </c>
      <c r="Q780">
        <f t="shared" si="544"/>
        <v>0</v>
      </c>
      <c r="R780">
        <f t="shared" si="545"/>
        <v>0</v>
      </c>
      <c r="S780">
        <f t="shared" si="546"/>
        <v>0</v>
      </c>
      <c r="T780">
        <f t="shared" si="547"/>
        <v>0</v>
      </c>
      <c r="U780">
        <f t="shared" si="548"/>
        <v>0</v>
      </c>
      <c r="V780">
        <f t="shared" si="549"/>
        <v>0</v>
      </c>
      <c r="W780">
        <f t="shared" si="550"/>
        <v>0</v>
      </c>
      <c r="X780">
        <f t="shared" si="551"/>
        <v>0</v>
      </c>
      <c r="Y780">
        <f t="shared" si="552"/>
        <v>0</v>
      </c>
      <c r="AA780">
        <v>38214492</v>
      </c>
      <c r="AB780">
        <f t="shared" si="553"/>
        <v>140.43</v>
      </c>
      <c r="AC780">
        <f>ROUND((ES780),6)</f>
        <v>62.37</v>
      </c>
      <c r="AD780">
        <f>ROUND((((ET780)-(EU780))+AE780),6)</f>
        <v>3.71</v>
      </c>
      <c r="AE780">
        <f t="shared" si="578"/>
        <v>1.41</v>
      </c>
      <c r="AF780">
        <f t="shared" si="578"/>
        <v>74.349999999999994</v>
      </c>
      <c r="AG780">
        <f t="shared" si="557"/>
        <v>0</v>
      </c>
      <c r="AH780">
        <f t="shared" si="579"/>
        <v>0.37</v>
      </c>
      <c r="AI780">
        <f t="shared" si="579"/>
        <v>0</v>
      </c>
      <c r="AJ780">
        <f t="shared" si="559"/>
        <v>0</v>
      </c>
      <c r="AK780">
        <v>140.43</v>
      </c>
      <c r="AL780">
        <v>62.37</v>
      </c>
      <c r="AM780">
        <v>3.71</v>
      </c>
      <c r="AN780">
        <v>1.41</v>
      </c>
      <c r="AO780">
        <v>74.349999999999994</v>
      </c>
      <c r="AP780">
        <v>0</v>
      </c>
      <c r="AQ780">
        <v>0.37</v>
      </c>
      <c r="AR780">
        <v>0</v>
      </c>
      <c r="AS780">
        <v>0</v>
      </c>
      <c r="AT780">
        <v>70</v>
      </c>
      <c r="AU780">
        <v>10</v>
      </c>
      <c r="AV780">
        <v>1</v>
      </c>
      <c r="AW780">
        <v>1</v>
      </c>
      <c r="AZ780">
        <v>1</v>
      </c>
      <c r="BA780">
        <v>1</v>
      </c>
      <c r="BB780">
        <v>1</v>
      </c>
      <c r="BC780">
        <v>1</v>
      </c>
      <c r="BD780" t="s">
        <v>3</v>
      </c>
      <c r="BE780" t="s">
        <v>3</v>
      </c>
      <c r="BF780" t="s">
        <v>3</v>
      </c>
      <c r="BG780" t="s">
        <v>3</v>
      </c>
      <c r="BH780">
        <v>0</v>
      </c>
      <c r="BI780">
        <v>4</v>
      </c>
      <c r="BJ780" t="s">
        <v>226</v>
      </c>
      <c r="BM780">
        <v>0</v>
      </c>
      <c r="BN780">
        <v>0</v>
      </c>
      <c r="BO780" t="s">
        <v>3</v>
      </c>
      <c r="BP780">
        <v>0</v>
      </c>
      <c r="BQ780">
        <v>1</v>
      </c>
      <c r="BR780">
        <v>0</v>
      </c>
      <c r="BS780">
        <v>1</v>
      </c>
      <c r="BT780">
        <v>1</v>
      </c>
      <c r="BU780">
        <v>1</v>
      </c>
      <c r="BV780">
        <v>1</v>
      </c>
      <c r="BW780">
        <v>1</v>
      </c>
      <c r="BX780">
        <v>1</v>
      </c>
      <c r="BY780" t="s">
        <v>3</v>
      </c>
      <c r="BZ780">
        <v>70</v>
      </c>
      <c r="CA780">
        <v>10</v>
      </c>
      <c r="CE780">
        <v>0</v>
      </c>
      <c r="CF780">
        <v>0</v>
      </c>
      <c r="CG780">
        <v>0</v>
      </c>
      <c r="CM780">
        <v>0</v>
      </c>
      <c r="CN780" t="s">
        <v>3</v>
      </c>
      <c r="CO780">
        <v>0</v>
      </c>
      <c r="CP780">
        <f t="shared" si="560"/>
        <v>0</v>
      </c>
      <c r="CQ780">
        <f t="shared" si="561"/>
        <v>62.37</v>
      </c>
      <c r="CR780">
        <f>((((ET780)*BB780-(EU780)*BS780)+AE780*BS780)*AV780)</f>
        <v>3.71</v>
      </c>
      <c r="CS780">
        <f t="shared" si="563"/>
        <v>1.41</v>
      </c>
      <c r="CT780">
        <f t="shared" si="564"/>
        <v>74.349999999999994</v>
      </c>
      <c r="CU780">
        <f t="shared" si="565"/>
        <v>0</v>
      </c>
      <c r="CV780">
        <f t="shared" si="566"/>
        <v>0.37</v>
      </c>
      <c r="CW780">
        <f t="shared" si="567"/>
        <v>0</v>
      </c>
      <c r="CX780">
        <f t="shared" si="568"/>
        <v>0</v>
      </c>
      <c r="CY780">
        <f t="shared" si="569"/>
        <v>0</v>
      </c>
      <c r="CZ780">
        <f t="shared" si="570"/>
        <v>0</v>
      </c>
      <c r="DC780" t="s">
        <v>3</v>
      </c>
      <c r="DD780" t="s">
        <v>3</v>
      </c>
      <c r="DE780" t="s">
        <v>3</v>
      </c>
      <c r="DF780" t="s">
        <v>3</v>
      </c>
      <c r="DG780" t="s">
        <v>3</v>
      </c>
      <c r="DH780" t="s">
        <v>3</v>
      </c>
      <c r="DI780" t="s">
        <v>3</v>
      </c>
      <c r="DJ780" t="s">
        <v>3</v>
      </c>
      <c r="DK780" t="s">
        <v>3</v>
      </c>
      <c r="DL780" t="s">
        <v>3</v>
      </c>
      <c r="DM780" t="s">
        <v>3</v>
      </c>
      <c r="DN780">
        <v>0</v>
      </c>
      <c r="DO780">
        <v>0</v>
      </c>
      <c r="DP780">
        <v>1</v>
      </c>
      <c r="DQ780">
        <v>1</v>
      </c>
      <c r="DU780">
        <v>1005</v>
      </c>
      <c r="DV780" t="s">
        <v>225</v>
      </c>
      <c r="DW780" t="s">
        <v>225</v>
      </c>
      <c r="DX780">
        <v>1</v>
      </c>
      <c r="EE780">
        <v>38628631</v>
      </c>
      <c r="EF780">
        <v>1</v>
      </c>
      <c r="EG780" t="s">
        <v>24</v>
      </c>
      <c r="EH780">
        <v>0</v>
      </c>
      <c r="EI780" t="s">
        <v>3</v>
      </c>
      <c r="EJ780">
        <v>4</v>
      </c>
      <c r="EK780">
        <v>0</v>
      </c>
      <c r="EL780" t="s">
        <v>25</v>
      </c>
      <c r="EM780" t="s">
        <v>26</v>
      </c>
      <c r="EO780" t="s">
        <v>3</v>
      </c>
      <c r="EQ780">
        <v>0</v>
      </c>
      <c r="ER780">
        <v>140.43</v>
      </c>
      <c r="ES780">
        <v>62.37</v>
      </c>
      <c r="ET780">
        <v>3.71</v>
      </c>
      <c r="EU780">
        <v>1.41</v>
      </c>
      <c r="EV780">
        <v>74.349999999999994</v>
      </c>
      <c r="EW780">
        <v>0.37</v>
      </c>
      <c r="EX780">
        <v>0</v>
      </c>
      <c r="EY780">
        <v>0</v>
      </c>
      <c r="FQ780">
        <v>0</v>
      </c>
      <c r="FR780">
        <f t="shared" si="571"/>
        <v>0</v>
      </c>
      <c r="FS780">
        <v>0</v>
      </c>
      <c r="FX780">
        <v>70</v>
      </c>
      <c r="FY780">
        <v>10</v>
      </c>
      <c r="GA780" t="s">
        <v>3</v>
      </c>
      <c r="GD780">
        <v>0</v>
      </c>
      <c r="GF780">
        <v>1783203198</v>
      </c>
      <c r="GG780">
        <v>2</v>
      </c>
      <c r="GH780">
        <v>1</v>
      </c>
      <c r="GI780">
        <v>-2</v>
      </c>
      <c r="GJ780">
        <v>0</v>
      </c>
      <c r="GK780">
        <f>ROUND(R780*(R12)/100,2)</f>
        <v>0</v>
      </c>
      <c r="GL780">
        <f t="shared" si="572"/>
        <v>0</v>
      </c>
      <c r="GM780">
        <f>ROUND(O780+X780+Y780+GK780,2)+GX780</f>
        <v>0</v>
      </c>
      <c r="GN780">
        <f>IF(OR(BI780=0,BI780=1),ROUND(O780+X780+Y780+GK780,2),0)</f>
        <v>0</v>
      </c>
      <c r="GO780">
        <f>IF(BI780=2,ROUND(O780+X780+Y780+GK780,2),0)</f>
        <v>0</v>
      </c>
      <c r="GP780">
        <f>IF(BI780=4,ROUND(O780+X780+Y780+GK780,2)+GX780,0)</f>
        <v>0</v>
      </c>
      <c r="GR780">
        <v>0</v>
      </c>
      <c r="GS780">
        <v>3</v>
      </c>
      <c r="GT780">
        <v>0</v>
      </c>
      <c r="GU780" t="s">
        <v>3</v>
      </c>
      <c r="GV780">
        <f t="shared" si="573"/>
        <v>0</v>
      </c>
      <c r="GW780">
        <v>1</v>
      </c>
      <c r="GX780">
        <f t="shared" si="574"/>
        <v>0</v>
      </c>
      <c r="HA780">
        <v>0</v>
      </c>
      <c r="HB780">
        <v>0</v>
      </c>
      <c r="HC780">
        <f t="shared" si="575"/>
        <v>0</v>
      </c>
      <c r="HE780" t="s">
        <v>3</v>
      </c>
      <c r="HF780" t="s">
        <v>3</v>
      </c>
      <c r="IK780">
        <v>0</v>
      </c>
    </row>
    <row r="781" spans="1:245" x14ac:dyDescent="0.2">
      <c r="A781">
        <v>17</v>
      </c>
      <c r="B781">
        <v>1</v>
      </c>
      <c r="C781">
        <f>ROW(SmtRes!A217)</f>
        <v>217</v>
      </c>
      <c r="D781">
        <f>ROW(EtalonRes!A214)</f>
        <v>214</v>
      </c>
      <c r="E781" t="s">
        <v>317</v>
      </c>
      <c r="F781" t="s">
        <v>112</v>
      </c>
      <c r="G781" t="s">
        <v>239</v>
      </c>
      <c r="H781" t="s">
        <v>30</v>
      </c>
      <c r="I781">
        <v>0</v>
      </c>
      <c r="J781">
        <v>0</v>
      </c>
      <c r="O781">
        <f t="shared" si="542"/>
        <v>0</v>
      </c>
      <c r="P781">
        <f t="shared" si="543"/>
        <v>0</v>
      </c>
      <c r="Q781">
        <f t="shared" si="544"/>
        <v>0</v>
      </c>
      <c r="R781">
        <f t="shared" si="545"/>
        <v>0</v>
      </c>
      <c r="S781">
        <f t="shared" si="546"/>
        <v>0</v>
      </c>
      <c r="T781">
        <f t="shared" si="547"/>
        <v>0</v>
      </c>
      <c r="U781">
        <f t="shared" si="548"/>
        <v>0</v>
      </c>
      <c r="V781">
        <f t="shared" si="549"/>
        <v>0</v>
      </c>
      <c r="W781">
        <f t="shared" si="550"/>
        <v>0</v>
      </c>
      <c r="X781">
        <f t="shared" si="551"/>
        <v>0</v>
      </c>
      <c r="Y781">
        <f t="shared" si="552"/>
        <v>0</v>
      </c>
      <c r="AA781">
        <v>38214492</v>
      </c>
      <c r="AB781">
        <f t="shared" si="553"/>
        <v>97500</v>
      </c>
      <c r="AC781">
        <f>ROUND((ES781),6)</f>
        <v>75491.69</v>
      </c>
      <c r="AD781">
        <f>ROUND((((ET781)-(EU781))+AE781),6)</f>
        <v>589.19000000000005</v>
      </c>
      <c r="AE781">
        <f t="shared" si="578"/>
        <v>24.51</v>
      </c>
      <c r="AF781">
        <f t="shared" si="578"/>
        <v>21419.119999999999</v>
      </c>
      <c r="AG781">
        <f t="shared" si="557"/>
        <v>0</v>
      </c>
      <c r="AH781">
        <f t="shared" si="579"/>
        <v>87.4</v>
      </c>
      <c r="AI781">
        <f t="shared" si="579"/>
        <v>0</v>
      </c>
      <c r="AJ781">
        <f t="shared" si="559"/>
        <v>0</v>
      </c>
      <c r="AK781">
        <v>97500</v>
      </c>
      <c r="AL781">
        <v>75491.69</v>
      </c>
      <c r="AM781">
        <v>589.19000000000005</v>
      </c>
      <c r="AN781">
        <v>24.51</v>
      </c>
      <c r="AO781">
        <v>21419.119999999999</v>
      </c>
      <c r="AP781">
        <v>0</v>
      </c>
      <c r="AQ781">
        <v>87.4</v>
      </c>
      <c r="AR781">
        <v>0</v>
      </c>
      <c r="AS781">
        <v>0</v>
      </c>
      <c r="AT781">
        <v>70</v>
      </c>
      <c r="AU781">
        <v>10</v>
      </c>
      <c r="AV781">
        <v>1</v>
      </c>
      <c r="AW781">
        <v>1</v>
      </c>
      <c r="AZ781">
        <v>1</v>
      </c>
      <c r="BA781">
        <v>1</v>
      </c>
      <c r="BB781">
        <v>1</v>
      </c>
      <c r="BC781">
        <v>1</v>
      </c>
      <c r="BD781" t="s">
        <v>3</v>
      </c>
      <c r="BE781" t="s">
        <v>3</v>
      </c>
      <c r="BF781" t="s">
        <v>3</v>
      </c>
      <c r="BG781" t="s">
        <v>3</v>
      </c>
      <c r="BH781">
        <v>0</v>
      </c>
      <c r="BI781">
        <v>4</v>
      </c>
      <c r="BJ781" t="s">
        <v>114</v>
      </c>
      <c r="BM781">
        <v>0</v>
      </c>
      <c r="BN781">
        <v>0</v>
      </c>
      <c r="BO781" t="s">
        <v>3</v>
      </c>
      <c r="BP781">
        <v>0</v>
      </c>
      <c r="BQ781">
        <v>1</v>
      </c>
      <c r="BR781">
        <v>0</v>
      </c>
      <c r="BS781">
        <v>1</v>
      </c>
      <c r="BT781">
        <v>1</v>
      </c>
      <c r="BU781">
        <v>1</v>
      </c>
      <c r="BV781">
        <v>1</v>
      </c>
      <c r="BW781">
        <v>1</v>
      </c>
      <c r="BX781">
        <v>1</v>
      </c>
      <c r="BY781" t="s">
        <v>3</v>
      </c>
      <c r="BZ781">
        <v>70</v>
      </c>
      <c r="CA781">
        <v>10</v>
      </c>
      <c r="CE781">
        <v>0</v>
      </c>
      <c r="CF781">
        <v>0</v>
      </c>
      <c r="CG781">
        <v>0</v>
      </c>
      <c r="CM781">
        <v>0</v>
      </c>
      <c r="CN781" t="s">
        <v>3</v>
      </c>
      <c r="CO781">
        <v>0</v>
      </c>
      <c r="CP781">
        <f t="shared" si="560"/>
        <v>0</v>
      </c>
      <c r="CQ781">
        <f t="shared" si="561"/>
        <v>75491.69</v>
      </c>
      <c r="CR781">
        <f>((((ET781)*BB781-(EU781)*BS781)+AE781*BS781)*AV781)</f>
        <v>589.19000000000005</v>
      </c>
      <c r="CS781">
        <f t="shared" si="563"/>
        <v>24.51</v>
      </c>
      <c r="CT781">
        <f t="shared" si="564"/>
        <v>21419.119999999999</v>
      </c>
      <c r="CU781">
        <f t="shared" si="565"/>
        <v>0</v>
      </c>
      <c r="CV781">
        <f t="shared" si="566"/>
        <v>87.4</v>
      </c>
      <c r="CW781">
        <f t="shared" si="567"/>
        <v>0</v>
      </c>
      <c r="CX781">
        <f t="shared" si="568"/>
        <v>0</v>
      </c>
      <c r="CY781">
        <f t="shared" si="569"/>
        <v>0</v>
      </c>
      <c r="CZ781">
        <f t="shared" si="570"/>
        <v>0</v>
      </c>
      <c r="DC781" t="s">
        <v>3</v>
      </c>
      <c r="DD781" t="s">
        <v>3</v>
      </c>
      <c r="DE781" t="s">
        <v>3</v>
      </c>
      <c r="DF781" t="s">
        <v>3</v>
      </c>
      <c r="DG781" t="s">
        <v>3</v>
      </c>
      <c r="DH781" t="s">
        <v>3</v>
      </c>
      <c r="DI781" t="s">
        <v>3</v>
      </c>
      <c r="DJ781" t="s">
        <v>3</v>
      </c>
      <c r="DK781" t="s">
        <v>3</v>
      </c>
      <c r="DL781" t="s">
        <v>3</v>
      </c>
      <c r="DM781" t="s">
        <v>3</v>
      </c>
      <c r="DN781">
        <v>0</v>
      </c>
      <c r="DO781">
        <v>0</v>
      </c>
      <c r="DP781">
        <v>1</v>
      </c>
      <c r="DQ781">
        <v>1</v>
      </c>
      <c r="DU781">
        <v>1009</v>
      </c>
      <c r="DV781" t="s">
        <v>30</v>
      </c>
      <c r="DW781" t="s">
        <v>30</v>
      </c>
      <c r="DX781">
        <v>1000</v>
      </c>
      <c r="EE781">
        <v>38628631</v>
      </c>
      <c r="EF781">
        <v>1</v>
      </c>
      <c r="EG781" t="s">
        <v>24</v>
      </c>
      <c r="EH781">
        <v>0</v>
      </c>
      <c r="EI781" t="s">
        <v>3</v>
      </c>
      <c r="EJ781">
        <v>4</v>
      </c>
      <c r="EK781">
        <v>0</v>
      </c>
      <c r="EL781" t="s">
        <v>25</v>
      </c>
      <c r="EM781" t="s">
        <v>26</v>
      </c>
      <c r="EO781" t="s">
        <v>3</v>
      </c>
      <c r="EQ781">
        <v>0</v>
      </c>
      <c r="ER781">
        <v>97500</v>
      </c>
      <c r="ES781">
        <v>75491.69</v>
      </c>
      <c r="ET781">
        <v>589.19000000000005</v>
      </c>
      <c r="EU781">
        <v>24.51</v>
      </c>
      <c r="EV781">
        <v>21419.119999999999</v>
      </c>
      <c r="EW781">
        <v>87.4</v>
      </c>
      <c r="EX781">
        <v>0</v>
      </c>
      <c r="EY781">
        <v>0</v>
      </c>
      <c r="FQ781">
        <v>0</v>
      </c>
      <c r="FR781">
        <f t="shared" si="571"/>
        <v>0</v>
      </c>
      <c r="FS781">
        <v>0</v>
      </c>
      <c r="FX781">
        <v>70</v>
      </c>
      <c r="FY781">
        <v>10</v>
      </c>
      <c r="GA781" t="s">
        <v>3</v>
      </c>
      <c r="GD781">
        <v>0</v>
      </c>
      <c r="GF781">
        <v>-1767418442</v>
      </c>
      <c r="GG781">
        <v>2</v>
      </c>
      <c r="GH781">
        <v>1</v>
      </c>
      <c r="GI781">
        <v>-2</v>
      </c>
      <c r="GJ781">
        <v>0</v>
      </c>
      <c r="GK781">
        <f>ROUND(R781*(R12)/100,2)</f>
        <v>0</v>
      </c>
      <c r="GL781">
        <f t="shared" si="572"/>
        <v>0</v>
      </c>
      <c r="GM781">
        <f>ROUND(O781+X781+Y781+GK781,2)+GX781</f>
        <v>0</v>
      </c>
      <c r="GN781">
        <f>IF(OR(BI781=0,BI781=1),ROUND(O781+X781+Y781+GK781,2),0)</f>
        <v>0</v>
      </c>
      <c r="GO781">
        <f>IF(BI781=2,ROUND(O781+X781+Y781+GK781,2),0)</f>
        <v>0</v>
      </c>
      <c r="GP781">
        <f>IF(BI781=4,ROUND(O781+X781+Y781+GK781,2)+GX781,0)</f>
        <v>0</v>
      </c>
      <c r="GR781">
        <v>0</v>
      </c>
      <c r="GS781">
        <v>3</v>
      </c>
      <c r="GT781">
        <v>0</v>
      </c>
      <c r="GU781" t="s">
        <v>3</v>
      </c>
      <c r="GV781">
        <f t="shared" si="573"/>
        <v>0</v>
      </c>
      <c r="GW781">
        <v>1</v>
      </c>
      <c r="GX781">
        <f t="shared" si="574"/>
        <v>0</v>
      </c>
      <c r="HA781">
        <v>0</v>
      </c>
      <c r="HB781">
        <v>0</v>
      </c>
      <c r="HC781">
        <f t="shared" si="575"/>
        <v>0</v>
      </c>
      <c r="HE781" t="s">
        <v>3</v>
      </c>
      <c r="HF781" t="s">
        <v>3</v>
      </c>
      <c r="IK781">
        <v>0</v>
      </c>
    </row>
    <row r="783" spans="1:245" x14ac:dyDescent="0.2">
      <c r="A783" s="2">
        <v>51</v>
      </c>
      <c r="B783" s="2">
        <f>B764</f>
        <v>1</v>
      </c>
      <c r="C783" s="2">
        <f>A764</f>
        <v>5</v>
      </c>
      <c r="D783" s="2">
        <f>ROW(A764)</f>
        <v>764</v>
      </c>
      <c r="E783" s="2"/>
      <c r="F783" s="2" t="str">
        <f>IF(F764&lt;&gt;"",F764,"")</f>
        <v>Новый подраздел</v>
      </c>
      <c r="G783" s="2" t="str">
        <f>IF(G764&lt;&gt;"",G764,"")</f>
        <v>Устройство покрытия</v>
      </c>
      <c r="H783" s="2">
        <v>0</v>
      </c>
      <c r="I783" s="2"/>
      <c r="J783" s="2"/>
      <c r="K783" s="2"/>
      <c r="L783" s="2"/>
      <c r="M783" s="2"/>
      <c r="N783" s="2"/>
      <c r="O783" s="2">
        <f t="shared" ref="O783:T783" si="580">ROUND(AB783,2)</f>
        <v>41703.15</v>
      </c>
      <c r="P783" s="2">
        <f t="shared" si="580"/>
        <v>23038.52</v>
      </c>
      <c r="Q783" s="2">
        <f t="shared" si="580"/>
        <v>15890.47</v>
      </c>
      <c r="R783" s="2">
        <f t="shared" si="580"/>
        <v>8867.35</v>
      </c>
      <c r="S783" s="2">
        <f t="shared" si="580"/>
        <v>2774.16</v>
      </c>
      <c r="T783" s="2">
        <f t="shared" si="580"/>
        <v>0</v>
      </c>
      <c r="U783" s="2">
        <f>AH783</f>
        <v>17.084484500000002</v>
      </c>
      <c r="V783" s="2">
        <f>AI783</f>
        <v>0</v>
      </c>
      <c r="W783" s="2">
        <f>ROUND(AJ783,2)</f>
        <v>0</v>
      </c>
      <c r="X783" s="2">
        <f>ROUND(AK783,2)</f>
        <v>1941.91</v>
      </c>
      <c r="Y783" s="2">
        <f>ROUND(AL783,2)</f>
        <v>277.42</v>
      </c>
      <c r="Z783" s="2"/>
      <c r="AA783" s="2"/>
      <c r="AB783" s="2">
        <f>ROUND(SUMIF(AA768:AA781,"=38214492",O768:O781),2)</f>
        <v>41703.15</v>
      </c>
      <c r="AC783" s="2">
        <f>ROUND(SUMIF(AA768:AA781,"=38214492",P768:P781),2)</f>
        <v>23038.52</v>
      </c>
      <c r="AD783" s="2">
        <f>ROUND(SUMIF(AA768:AA781,"=38214492",Q768:Q781),2)</f>
        <v>15890.47</v>
      </c>
      <c r="AE783" s="2">
        <f>ROUND(SUMIF(AA768:AA781,"=38214492",R768:R781),2)</f>
        <v>8867.35</v>
      </c>
      <c r="AF783" s="2">
        <f>ROUND(SUMIF(AA768:AA781,"=38214492",S768:S781),2)</f>
        <v>2774.16</v>
      </c>
      <c r="AG783" s="2">
        <f>ROUND(SUMIF(AA768:AA781,"=38214492",T768:T781),2)</f>
        <v>0</v>
      </c>
      <c r="AH783" s="2">
        <f>SUMIF(AA768:AA781,"=38214492",U768:U781)</f>
        <v>17.084484500000002</v>
      </c>
      <c r="AI783" s="2">
        <f>SUMIF(AA768:AA781,"=38214492",V768:V781)</f>
        <v>0</v>
      </c>
      <c r="AJ783" s="2">
        <f>ROUND(SUMIF(AA768:AA781,"=38214492",W768:W781),2)</f>
        <v>0</v>
      </c>
      <c r="AK783" s="2">
        <f>ROUND(SUMIF(AA768:AA781,"=38214492",X768:X781),2)</f>
        <v>1941.91</v>
      </c>
      <c r="AL783" s="2">
        <f>ROUND(SUMIF(AA768:AA781,"=38214492",Y768:Y781),2)</f>
        <v>277.42</v>
      </c>
      <c r="AM783" s="2"/>
      <c r="AN783" s="2"/>
      <c r="AO783" s="2">
        <f t="shared" ref="AO783:BD783" si="581">ROUND(BX783,2)</f>
        <v>0</v>
      </c>
      <c r="AP783" s="2">
        <f t="shared" si="581"/>
        <v>0</v>
      </c>
      <c r="AQ783" s="2">
        <f t="shared" si="581"/>
        <v>0</v>
      </c>
      <c r="AR783" s="2">
        <f t="shared" si="581"/>
        <v>46998.55</v>
      </c>
      <c r="AS783" s="2">
        <f t="shared" si="581"/>
        <v>0</v>
      </c>
      <c r="AT783" s="2">
        <f t="shared" si="581"/>
        <v>0</v>
      </c>
      <c r="AU783" s="2">
        <f t="shared" si="581"/>
        <v>46998.55</v>
      </c>
      <c r="AV783" s="2">
        <f t="shared" si="581"/>
        <v>23038.52</v>
      </c>
      <c r="AW783" s="2">
        <f t="shared" si="581"/>
        <v>23038.52</v>
      </c>
      <c r="AX783" s="2">
        <f t="shared" si="581"/>
        <v>0</v>
      </c>
      <c r="AY783" s="2">
        <f t="shared" si="581"/>
        <v>23038.52</v>
      </c>
      <c r="AZ783" s="2">
        <f t="shared" si="581"/>
        <v>0</v>
      </c>
      <c r="BA783" s="2">
        <f t="shared" si="581"/>
        <v>0</v>
      </c>
      <c r="BB783" s="2">
        <f t="shared" si="581"/>
        <v>0</v>
      </c>
      <c r="BC783" s="2">
        <f t="shared" si="581"/>
        <v>0</v>
      </c>
      <c r="BD783" s="2">
        <f t="shared" si="581"/>
        <v>0</v>
      </c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>
        <f>ROUND(SUMIF(AA768:AA781,"=38214492",FQ768:FQ781),2)</f>
        <v>0</v>
      </c>
      <c r="BY783" s="2">
        <f>ROUND(SUMIF(AA768:AA781,"=38214492",FR768:FR781),2)</f>
        <v>0</v>
      </c>
      <c r="BZ783" s="2">
        <f>ROUND(SUMIF(AA768:AA781,"=38214492",GL768:GL781),2)</f>
        <v>0</v>
      </c>
      <c r="CA783" s="2">
        <f>ROUND(SUMIF(AA768:AA781,"=38214492",GM768:GM781),2)</f>
        <v>46998.55</v>
      </c>
      <c r="CB783" s="2">
        <f>ROUND(SUMIF(AA768:AA781,"=38214492",GN768:GN781),2)</f>
        <v>0</v>
      </c>
      <c r="CC783" s="2">
        <f>ROUND(SUMIF(AA768:AA781,"=38214492",GO768:GO781),2)</f>
        <v>0</v>
      </c>
      <c r="CD783" s="2">
        <f>ROUND(SUMIF(AA768:AA781,"=38214492",GP768:GP781),2)</f>
        <v>46998.55</v>
      </c>
      <c r="CE783" s="2">
        <f>AC783-BX783</f>
        <v>23038.52</v>
      </c>
      <c r="CF783" s="2">
        <f>AC783-BY783</f>
        <v>23038.52</v>
      </c>
      <c r="CG783" s="2">
        <f>BX783-BZ783</f>
        <v>0</v>
      </c>
      <c r="CH783" s="2">
        <f>AC783-BX783-BY783+BZ783</f>
        <v>23038.52</v>
      </c>
      <c r="CI783" s="2">
        <f>BY783-BZ783</f>
        <v>0</v>
      </c>
      <c r="CJ783" s="2">
        <f>ROUND(SUMIF(AA768:AA781,"=38214492",GX768:GX781),2)</f>
        <v>0</v>
      </c>
      <c r="CK783" s="2">
        <f>ROUND(SUMIF(AA768:AA781,"=38214492",GY768:GY781),2)</f>
        <v>0</v>
      </c>
      <c r="CL783" s="2">
        <f>ROUND(SUMIF(AA768:AA781,"=38214492",GZ768:GZ781),2)</f>
        <v>0</v>
      </c>
      <c r="CM783" s="2">
        <f>ROUND(SUMIF(AA768:AA781,"=38214492",HD768:HD781),2)</f>
        <v>0</v>
      </c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2"/>
      <c r="DE783" s="2"/>
      <c r="DF783" s="2"/>
      <c r="DG783" s="3"/>
      <c r="DH783" s="3"/>
      <c r="DI783" s="3"/>
      <c r="DJ783" s="3"/>
      <c r="DK783" s="3"/>
      <c r="DL783" s="3"/>
      <c r="DM783" s="3"/>
      <c r="DN783" s="3"/>
      <c r="DO783" s="3"/>
      <c r="DP783" s="3"/>
      <c r="DQ783" s="3"/>
      <c r="DR783" s="3"/>
      <c r="DS783" s="3"/>
      <c r="DT783" s="3"/>
      <c r="DU783" s="3"/>
      <c r="DV783" s="3"/>
      <c r="DW783" s="3"/>
      <c r="DX783" s="3"/>
      <c r="DY783" s="3"/>
      <c r="DZ783" s="3"/>
      <c r="EA783" s="3"/>
      <c r="EB783" s="3"/>
      <c r="EC783" s="3"/>
      <c r="ED783" s="3"/>
      <c r="EE783" s="3"/>
      <c r="EF783" s="3"/>
      <c r="EG783" s="3"/>
      <c r="EH783" s="3"/>
      <c r="EI783" s="3"/>
      <c r="EJ783" s="3"/>
      <c r="EK783" s="3"/>
      <c r="EL783" s="3"/>
      <c r="EM783" s="3"/>
      <c r="EN783" s="3"/>
      <c r="EO783" s="3"/>
      <c r="EP783" s="3"/>
      <c r="EQ783" s="3"/>
      <c r="ER783" s="3"/>
      <c r="ES783" s="3"/>
      <c r="ET783" s="3"/>
      <c r="EU783" s="3"/>
      <c r="EV783" s="3"/>
      <c r="EW783" s="3"/>
      <c r="EX783" s="3"/>
      <c r="EY783" s="3"/>
      <c r="EZ783" s="3"/>
      <c r="FA783" s="3"/>
      <c r="FB783" s="3"/>
      <c r="FC783" s="3"/>
      <c r="FD783" s="3"/>
      <c r="FE783" s="3"/>
      <c r="FF783" s="3"/>
      <c r="FG783" s="3"/>
      <c r="FH783" s="3"/>
      <c r="FI783" s="3"/>
      <c r="FJ783" s="3"/>
      <c r="FK783" s="3"/>
      <c r="FL783" s="3"/>
      <c r="FM783" s="3"/>
      <c r="FN783" s="3"/>
      <c r="FO783" s="3"/>
      <c r="FP783" s="3"/>
      <c r="FQ783" s="3"/>
      <c r="FR783" s="3"/>
      <c r="FS783" s="3"/>
      <c r="FT783" s="3"/>
      <c r="FU783" s="3"/>
      <c r="FV783" s="3"/>
      <c r="FW783" s="3"/>
      <c r="FX783" s="3"/>
      <c r="FY783" s="3"/>
      <c r="FZ783" s="3"/>
      <c r="GA783" s="3"/>
      <c r="GB783" s="3"/>
      <c r="GC783" s="3"/>
      <c r="GD783" s="3"/>
      <c r="GE783" s="3"/>
      <c r="GF783" s="3"/>
      <c r="GG783" s="3"/>
      <c r="GH783" s="3"/>
      <c r="GI783" s="3"/>
      <c r="GJ783" s="3"/>
      <c r="GK783" s="3"/>
      <c r="GL783" s="3"/>
      <c r="GM783" s="3"/>
      <c r="GN783" s="3"/>
      <c r="GO783" s="3"/>
      <c r="GP783" s="3"/>
      <c r="GQ783" s="3"/>
      <c r="GR783" s="3"/>
      <c r="GS783" s="3"/>
      <c r="GT783" s="3"/>
      <c r="GU783" s="3"/>
      <c r="GV783" s="3"/>
      <c r="GW783" s="3"/>
      <c r="GX783" s="3">
        <v>0</v>
      </c>
    </row>
    <row r="785" spans="1:23" x14ac:dyDescent="0.2">
      <c r="A785" s="4">
        <v>50</v>
      </c>
      <c r="B785" s="4">
        <v>0</v>
      </c>
      <c r="C785" s="4">
        <v>0</v>
      </c>
      <c r="D785" s="4">
        <v>1</v>
      </c>
      <c r="E785" s="4">
        <v>201</v>
      </c>
      <c r="F785" s="4">
        <f>ROUND(Source!O783,O785)</f>
        <v>41703.15</v>
      </c>
      <c r="G785" s="4" t="s">
        <v>56</v>
      </c>
      <c r="H785" s="4" t="s">
        <v>57</v>
      </c>
      <c r="I785" s="4"/>
      <c r="J785" s="4"/>
      <c r="K785" s="4">
        <v>201</v>
      </c>
      <c r="L785" s="4">
        <v>1</v>
      </c>
      <c r="M785" s="4">
        <v>3</v>
      </c>
      <c r="N785" s="4" t="s">
        <v>3</v>
      </c>
      <c r="O785" s="4">
        <v>2</v>
      </c>
      <c r="P785" s="4"/>
      <c r="Q785" s="4"/>
      <c r="R785" s="4"/>
      <c r="S785" s="4"/>
      <c r="T785" s="4"/>
      <c r="U785" s="4"/>
      <c r="V785" s="4"/>
      <c r="W785" s="4"/>
    </row>
    <row r="786" spans="1:23" x14ac:dyDescent="0.2">
      <c r="A786" s="4">
        <v>50</v>
      </c>
      <c r="B786" s="4">
        <v>0</v>
      </c>
      <c r="C786" s="4">
        <v>0</v>
      </c>
      <c r="D786" s="4">
        <v>1</v>
      </c>
      <c r="E786" s="4">
        <v>202</v>
      </c>
      <c r="F786" s="4">
        <f>ROUND(Source!P783,O786)</f>
        <v>23038.52</v>
      </c>
      <c r="G786" s="4" t="s">
        <v>58</v>
      </c>
      <c r="H786" s="4" t="s">
        <v>59</v>
      </c>
      <c r="I786" s="4"/>
      <c r="J786" s="4"/>
      <c r="K786" s="4">
        <v>202</v>
      </c>
      <c r="L786" s="4">
        <v>2</v>
      </c>
      <c r="M786" s="4">
        <v>3</v>
      </c>
      <c r="N786" s="4" t="s">
        <v>3</v>
      </c>
      <c r="O786" s="4">
        <v>2</v>
      </c>
      <c r="P786" s="4"/>
      <c r="Q786" s="4"/>
      <c r="R786" s="4"/>
      <c r="S786" s="4"/>
      <c r="T786" s="4"/>
      <c r="U786" s="4"/>
      <c r="V786" s="4"/>
      <c r="W786" s="4"/>
    </row>
    <row r="787" spans="1:23" x14ac:dyDescent="0.2">
      <c r="A787" s="4">
        <v>50</v>
      </c>
      <c r="B787" s="4">
        <v>0</v>
      </c>
      <c r="C787" s="4">
        <v>0</v>
      </c>
      <c r="D787" s="4">
        <v>1</v>
      </c>
      <c r="E787" s="4">
        <v>222</v>
      </c>
      <c r="F787" s="4">
        <f>ROUND(Source!AO783,O787)</f>
        <v>0</v>
      </c>
      <c r="G787" s="4" t="s">
        <v>60</v>
      </c>
      <c r="H787" s="4" t="s">
        <v>61</v>
      </c>
      <c r="I787" s="4"/>
      <c r="J787" s="4"/>
      <c r="K787" s="4">
        <v>222</v>
      </c>
      <c r="L787" s="4">
        <v>3</v>
      </c>
      <c r="M787" s="4">
        <v>3</v>
      </c>
      <c r="N787" s="4" t="s">
        <v>3</v>
      </c>
      <c r="O787" s="4">
        <v>2</v>
      </c>
      <c r="P787" s="4"/>
      <c r="Q787" s="4"/>
      <c r="R787" s="4"/>
      <c r="S787" s="4"/>
      <c r="T787" s="4"/>
      <c r="U787" s="4"/>
      <c r="V787" s="4"/>
      <c r="W787" s="4"/>
    </row>
    <row r="788" spans="1:23" x14ac:dyDescent="0.2">
      <c r="A788" s="4">
        <v>50</v>
      </c>
      <c r="B788" s="4">
        <v>0</v>
      </c>
      <c r="C788" s="4">
        <v>0</v>
      </c>
      <c r="D788" s="4">
        <v>1</v>
      </c>
      <c r="E788" s="4">
        <v>225</v>
      </c>
      <c r="F788" s="4">
        <f>ROUND(Source!AV783,O788)</f>
        <v>23038.52</v>
      </c>
      <c r="G788" s="4" t="s">
        <v>62</v>
      </c>
      <c r="H788" s="4" t="s">
        <v>63</v>
      </c>
      <c r="I788" s="4"/>
      <c r="J788" s="4"/>
      <c r="K788" s="4">
        <v>225</v>
      </c>
      <c r="L788" s="4">
        <v>4</v>
      </c>
      <c r="M788" s="4">
        <v>3</v>
      </c>
      <c r="N788" s="4" t="s">
        <v>3</v>
      </c>
      <c r="O788" s="4">
        <v>2</v>
      </c>
      <c r="P788" s="4"/>
      <c r="Q788" s="4"/>
      <c r="R788" s="4"/>
      <c r="S788" s="4"/>
      <c r="T788" s="4"/>
      <c r="U788" s="4"/>
      <c r="V788" s="4"/>
      <c r="W788" s="4"/>
    </row>
    <row r="789" spans="1:23" x14ac:dyDescent="0.2">
      <c r="A789" s="4">
        <v>50</v>
      </c>
      <c r="B789" s="4">
        <v>0</v>
      </c>
      <c r="C789" s="4">
        <v>0</v>
      </c>
      <c r="D789" s="4">
        <v>1</v>
      </c>
      <c r="E789" s="4">
        <v>226</v>
      </c>
      <c r="F789" s="4">
        <f>ROUND(Source!AW783,O789)</f>
        <v>23038.52</v>
      </c>
      <c r="G789" s="4" t="s">
        <v>64</v>
      </c>
      <c r="H789" s="4" t="s">
        <v>65</v>
      </c>
      <c r="I789" s="4"/>
      <c r="J789" s="4"/>
      <c r="K789" s="4">
        <v>226</v>
      </c>
      <c r="L789" s="4">
        <v>5</v>
      </c>
      <c r="M789" s="4">
        <v>3</v>
      </c>
      <c r="N789" s="4" t="s">
        <v>3</v>
      </c>
      <c r="O789" s="4">
        <v>2</v>
      </c>
      <c r="P789" s="4"/>
      <c r="Q789" s="4"/>
      <c r="R789" s="4"/>
      <c r="S789" s="4"/>
      <c r="T789" s="4"/>
      <c r="U789" s="4"/>
      <c r="V789" s="4"/>
      <c r="W789" s="4"/>
    </row>
    <row r="790" spans="1:23" x14ac:dyDescent="0.2">
      <c r="A790" s="4">
        <v>50</v>
      </c>
      <c r="B790" s="4">
        <v>0</v>
      </c>
      <c r="C790" s="4">
        <v>0</v>
      </c>
      <c r="D790" s="4">
        <v>1</v>
      </c>
      <c r="E790" s="4">
        <v>227</v>
      </c>
      <c r="F790" s="4">
        <f>ROUND(Source!AX783,O790)</f>
        <v>0</v>
      </c>
      <c r="G790" s="4" t="s">
        <v>66</v>
      </c>
      <c r="H790" s="4" t="s">
        <v>67</v>
      </c>
      <c r="I790" s="4"/>
      <c r="J790" s="4"/>
      <c r="K790" s="4">
        <v>227</v>
      </c>
      <c r="L790" s="4">
        <v>6</v>
      </c>
      <c r="M790" s="4">
        <v>3</v>
      </c>
      <c r="N790" s="4" t="s">
        <v>3</v>
      </c>
      <c r="O790" s="4">
        <v>2</v>
      </c>
      <c r="P790" s="4"/>
      <c r="Q790" s="4"/>
      <c r="R790" s="4"/>
      <c r="S790" s="4"/>
      <c r="T790" s="4"/>
      <c r="U790" s="4"/>
      <c r="V790" s="4"/>
      <c r="W790" s="4"/>
    </row>
    <row r="791" spans="1:23" x14ac:dyDescent="0.2">
      <c r="A791" s="4">
        <v>50</v>
      </c>
      <c r="B791" s="4">
        <v>0</v>
      </c>
      <c r="C791" s="4">
        <v>0</v>
      </c>
      <c r="D791" s="4">
        <v>1</v>
      </c>
      <c r="E791" s="4">
        <v>228</v>
      </c>
      <c r="F791" s="4">
        <f>ROUND(Source!AY783,O791)</f>
        <v>23038.52</v>
      </c>
      <c r="G791" s="4" t="s">
        <v>68</v>
      </c>
      <c r="H791" s="4" t="s">
        <v>69</v>
      </c>
      <c r="I791" s="4"/>
      <c r="J791" s="4"/>
      <c r="K791" s="4">
        <v>228</v>
      </c>
      <c r="L791" s="4">
        <v>7</v>
      </c>
      <c r="M791" s="4">
        <v>3</v>
      </c>
      <c r="N791" s="4" t="s">
        <v>3</v>
      </c>
      <c r="O791" s="4">
        <v>2</v>
      </c>
      <c r="P791" s="4"/>
      <c r="Q791" s="4"/>
      <c r="R791" s="4"/>
      <c r="S791" s="4"/>
      <c r="T791" s="4"/>
      <c r="U791" s="4"/>
      <c r="V791" s="4"/>
      <c r="W791" s="4"/>
    </row>
    <row r="792" spans="1:23" x14ac:dyDescent="0.2">
      <c r="A792" s="4">
        <v>50</v>
      </c>
      <c r="B792" s="4">
        <v>0</v>
      </c>
      <c r="C792" s="4">
        <v>0</v>
      </c>
      <c r="D792" s="4">
        <v>1</v>
      </c>
      <c r="E792" s="4">
        <v>216</v>
      </c>
      <c r="F792" s="4">
        <f>ROUND(Source!AP783,O792)</f>
        <v>0</v>
      </c>
      <c r="G792" s="4" t="s">
        <v>70</v>
      </c>
      <c r="H792" s="4" t="s">
        <v>71</v>
      </c>
      <c r="I792" s="4"/>
      <c r="J792" s="4"/>
      <c r="K792" s="4">
        <v>216</v>
      </c>
      <c r="L792" s="4">
        <v>8</v>
      </c>
      <c r="M792" s="4">
        <v>3</v>
      </c>
      <c r="N792" s="4" t="s">
        <v>3</v>
      </c>
      <c r="O792" s="4">
        <v>2</v>
      </c>
      <c r="P792" s="4"/>
      <c r="Q792" s="4"/>
      <c r="R792" s="4"/>
      <c r="S792" s="4"/>
      <c r="T792" s="4"/>
      <c r="U792" s="4"/>
      <c r="V792" s="4"/>
      <c r="W792" s="4"/>
    </row>
    <row r="793" spans="1:23" x14ac:dyDescent="0.2">
      <c r="A793" s="4">
        <v>50</v>
      </c>
      <c r="B793" s="4">
        <v>0</v>
      </c>
      <c r="C793" s="4">
        <v>0</v>
      </c>
      <c r="D793" s="4">
        <v>1</v>
      </c>
      <c r="E793" s="4">
        <v>223</v>
      </c>
      <c r="F793" s="4">
        <f>ROUND(Source!AQ783,O793)</f>
        <v>0</v>
      </c>
      <c r="G793" s="4" t="s">
        <v>72</v>
      </c>
      <c r="H793" s="4" t="s">
        <v>73</v>
      </c>
      <c r="I793" s="4"/>
      <c r="J793" s="4"/>
      <c r="K793" s="4">
        <v>223</v>
      </c>
      <c r="L793" s="4">
        <v>9</v>
      </c>
      <c r="M793" s="4">
        <v>3</v>
      </c>
      <c r="N793" s="4" t="s">
        <v>3</v>
      </c>
      <c r="O793" s="4">
        <v>2</v>
      </c>
      <c r="P793" s="4"/>
      <c r="Q793" s="4"/>
      <c r="R793" s="4"/>
      <c r="S793" s="4"/>
      <c r="T793" s="4"/>
      <c r="U793" s="4"/>
      <c r="V793" s="4"/>
      <c r="W793" s="4"/>
    </row>
    <row r="794" spans="1:23" x14ac:dyDescent="0.2">
      <c r="A794" s="4">
        <v>50</v>
      </c>
      <c r="B794" s="4">
        <v>0</v>
      </c>
      <c r="C794" s="4">
        <v>0</v>
      </c>
      <c r="D794" s="4">
        <v>1</v>
      </c>
      <c r="E794" s="4">
        <v>229</v>
      </c>
      <c r="F794" s="4">
        <f>ROUND(Source!AZ783,O794)</f>
        <v>0</v>
      </c>
      <c r="G794" s="4" t="s">
        <v>74</v>
      </c>
      <c r="H794" s="4" t="s">
        <v>75</v>
      </c>
      <c r="I794" s="4"/>
      <c r="J794" s="4"/>
      <c r="K794" s="4">
        <v>229</v>
      </c>
      <c r="L794" s="4">
        <v>10</v>
      </c>
      <c r="M794" s="4">
        <v>3</v>
      </c>
      <c r="N794" s="4" t="s">
        <v>3</v>
      </c>
      <c r="O794" s="4">
        <v>2</v>
      </c>
      <c r="P794" s="4"/>
      <c r="Q794" s="4"/>
      <c r="R794" s="4"/>
      <c r="S794" s="4"/>
      <c r="T794" s="4"/>
      <c r="U794" s="4"/>
      <c r="V794" s="4"/>
      <c r="W794" s="4"/>
    </row>
    <row r="795" spans="1:23" x14ac:dyDescent="0.2">
      <c r="A795" s="4">
        <v>50</v>
      </c>
      <c r="B795" s="4">
        <v>0</v>
      </c>
      <c r="C795" s="4">
        <v>0</v>
      </c>
      <c r="D795" s="4">
        <v>1</v>
      </c>
      <c r="E795" s="4">
        <v>203</v>
      </c>
      <c r="F795" s="4">
        <f>ROUND(Source!Q783,O795)</f>
        <v>15890.47</v>
      </c>
      <c r="G795" s="4" t="s">
        <v>76</v>
      </c>
      <c r="H795" s="4" t="s">
        <v>77</v>
      </c>
      <c r="I795" s="4"/>
      <c r="J795" s="4"/>
      <c r="K795" s="4">
        <v>203</v>
      </c>
      <c r="L795" s="4">
        <v>11</v>
      </c>
      <c r="M795" s="4">
        <v>3</v>
      </c>
      <c r="N795" s="4" t="s">
        <v>3</v>
      </c>
      <c r="O795" s="4">
        <v>2</v>
      </c>
      <c r="P795" s="4"/>
      <c r="Q795" s="4"/>
      <c r="R795" s="4"/>
      <c r="S795" s="4"/>
      <c r="T795" s="4"/>
      <c r="U795" s="4"/>
      <c r="V795" s="4"/>
      <c r="W795" s="4"/>
    </row>
    <row r="796" spans="1:23" x14ac:dyDescent="0.2">
      <c r="A796" s="4">
        <v>50</v>
      </c>
      <c r="B796" s="4">
        <v>0</v>
      </c>
      <c r="C796" s="4">
        <v>0</v>
      </c>
      <c r="D796" s="4">
        <v>1</v>
      </c>
      <c r="E796" s="4">
        <v>231</v>
      </c>
      <c r="F796" s="4">
        <f>ROUND(Source!BB783,O796)</f>
        <v>0</v>
      </c>
      <c r="G796" s="4" t="s">
        <v>78</v>
      </c>
      <c r="H796" s="4" t="s">
        <v>79</v>
      </c>
      <c r="I796" s="4"/>
      <c r="J796" s="4"/>
      <c r="K796" s="4">
        <v>231</v>
      </c>
      <c r="L796" s="4">
        <v>12</v>
      </c>
      <c r="M796" s="4">
        <v>3</v>
      </c>
      <c r="N796" s="4" t="s">
        <v>3</v>
      </c>
      <c r="O796" s="4">
        <v>2</v>
      </c>
      <c r="P796" s="4"/>
      <c r="Q796" s="4"/>
      <c r="R796" s="4"/>
      <c r="S796" s="4"/>
      <c r="T796" s="4"/>
      <c r="U796" s="4"/>
      <c r="V796" s="4"/>
      <c r="W796" s="4"/>
    </row>
    <row r="797" spans="1:23" x14ac:dyDescent="0.2">
      <c r="A797" s="4">
        <v>50</v>
      </c>
      <c r="B797" s="4">
        <v>0</v>
      </c>
      <c r="C797" s="4">
        <v>0</v>
      </c>
      <c r="D797" s="4">
        <v>1</v>
      </c>
      <c r="E797" s="4">
        <v>204</v>
      </c>
      <c r="F797" s="4">
        <f>ROUND(Source!R783,O797)</f>
        <v>8867.35</v>
      </c>
      <c r="G797" s="4" t="s">
        <v>80</v>
      </c>
      <c r="H797" s="4" t="s">
        <v>81</v>
      </c>
      <c r="I797" s="4"/>
      <c r="J797" s="4"/>
      <c r="K797" s="4">
        <v>204</v>
      </c>
      <c r="L797" s="4">
        <v>13</v>
      </c>
      <c r="M797" s="4">
        <v>3</v>
      </c>
      <c r="N797" s="4" t="s">
        <v>3</v>
      </c>
      <c r="O797" s="4">
        <v>2</v>
      </c>
      <c r="P797" s="4"/>
      <c r="Q797" s="4"/>
      <c r="R797" s="4"/>
      <c r="S797" s="4"/>
      <c r="T797" s="4"/>
      <c r="U797" s="4"/>
      <c r="V797" s="4"/>
      <c r="W797" s="4"/>
    </row>
    <row r="798" spans="1:23" x14ac:dyDescent="0.2">
      <c r="A798" s="4">
        <v>50</v>
      </c>
      <c r="B798" s="4">
        <v>0</v>
      </c>
      <c r="C798" s="4">
        <v>0</v>
      </c>
      <c r="D798" s="4">
        <v>1</v>
      </c>
      <c r="E798" s="4">
        <v>205</v>
      </c>
      <c r="F798" s="4">
        <f>ROUND(Source!S783,O798)</f>
        <v>2774.16</v>
      </c>
      <c r="G798" s="4" t="s">
        <v>82</v>
      </c>
      <c r="H798" s="4" t="s">
        <v>83</v>
      </c>
      <c r="I798" s="4"/>
      <c r="J798" s="4"/>
      <c r="K798" s="4">
        <v>205</v>
      </c>
      <c r="L798" s="4">
        <v>14</v>
      </c>
      <c r="M798" s="4">
        <v>3</v>
      </c>
      <c r="N798" s="4" t="s">
        <v>3</v>
      </c>
      <c r="O798" s="4">
        <v>2</v>
      </c>
      <c r="P798" s="4"/>
      <c r="Q798" s="4"/>
      <c r="R798" s="4"/>
      <c r="S798" s="4"/>
      <c r="T798" s="4"/>
      <c r="U798" s="4"/>
      <c r="V798" s="4"/>
      <c r="W798" s="4"/>
    </row>
    <row r="799" spans="1:23" x14ac:dyDescent="0.2">
      <c r="A799" s="4">
        <v>50</v>
      </c>
      <c r="B799" s="4">
        <v>0</v>
      </c>
      <c r="C799" s="4">
        <v>0</v>
      </c>
      <c r="D799" s="4">
        <v>1</v>
      </c>
      <c r="E799" s="4">
        <v>232</v>
      </c>
      <c r="F799" s="4">
        <f>ROUND(Source!BC783,O799)</f>
        <v>0</v>
      </c>
      <c r="G799" s="4" t="s">
        <v>84</v>
      </c>
      <c r="H799" s="4" t="s">
        <v>85</v>
      </c>
      <c r="I799" s="4"/>
      <c r="J799" s="4"/>
      <c r="K799" s="4">
        <v>232</v>
      </c>
      <c r="L799" s="4">
        <v>15</v>
      </c>
      <c r="M799" s="4">
        <v>3</v>
      </c>
      <c r="N799" s="4" t="s">
        <v>3</v>
      </c>
      <c r="O799" s="4">
        <v>2</v>
      </c>
      <c r="P799" s="4"/>
      <c r="Q799" s="4"/>
      <c r="R799" s="4"/>
      <c r="S799" s="4"/>
      <c r="T799" s="4"/>
      <c r="U799" s="4"/>
      <c r="V799" s="4"/>
      <c r="W799" s="4"/>
    </row>
    <row r="800" spans="1:23" x14ac:dyDescent="0.2">
      <c r="A800" s="4">
        <v>50</v>
      </c>
      <c r="B800" s="4">
        <v>0</v>
      </c>
      <c r="C800" s="4">
        <v>0</v>
      </c>
      <c r="D800" s="4">
        <v>1</v>
      </c>
      <c r="E800" s="4">
        <v>214</v>
      </c>
      <c r="F800" s="4">
        <f>ROUND(Source!AS783,O800)</f>
        <v>0</v>
      </c>
      <c r="G800" s="4" t="s">
        <v>86</v>
      </c>
      <c r="H800" s="4" t="s">
        <v>87</v>
      </c>
      <c r="I800" s="4"/>
      <c r="J800" s="4"/>
      <c r="K800" s="4">
        <v>214</v>
      </c>
      <c r="L800" s="4">
        <v>16</v>
      </c>
      <c r="M800" s="4">
        <v>3</v>
      </c>
      <c r="N800" s="4" t="s">
        <v>3</v>
      </c>
      <c r="O800" s="4">
        <v>2</v>
      </c>
      <c r="P800" s="4"/>
      <c r="Q800" s="4"/>
      <c r="R800" s="4"/>
      <c r="S800" s="4"/>
      <c r="T800" s="4"/>
      <c r="U800" s="4"/>
      <c r="V800" s="4"/>
      <c r="W800" s="4"/>
    </row>
    <row r="801" spans="1:206" x14ac:dyDescent="0.2">
      <c r="A801" s="4">
        <v>50</v>
      </c>
      <c r="B801" s="4">
        <v>0</v>
      </c>
      <c r="C801" s="4">
        <v>0</v>
      </c>
      <c r="D801" s="4">
        <v>1</v>
      </c>
      <c r="E801" s="4">
        <v>215</v>
      </c>
      <c r="F801" s="4">
        <f>ROUND(Source!AT783,O801)</f>
        <v>0</v>
      </c>
      <c r="G801" s="4" t="s">
        <v>88</v>
      </c>
      <c r="H801" s="4" t="s">
        <v>89</v>
      </c>
      <c r="I801" s="4"/>
      <c r="J801" s="4"/>
      <c r="K801" s="4">
        <v>215</v>
      </c>
      <c r="L801" s="4">
        <v>17</v>
      </c>
      <c r="M801" s="4">
        <v>3</v>
      </c>
      <c r="N801" s="4" t="s">
        <v>3</v>
      </c>
      <c r="O801" s="4">
        <v>2</v>
      </c>
      <c r="P801" s="4"/>
      <c r="Q801" s="4"/>
      <c r="R801" s="4"/>
      <c r="S801" s="4"/>
      <c r="T801" s="4"/>
      <c r="U801" s="4"/>
      <c r="V801" s="4"/>
      <c r="W801" s="4"/>
    </row>
    <row r="802" spans="1:206" x14ac:dyDescent="0.2">
      <c r="A802" s="4">
        <v>50</v>
      </c>
      <c r="B802" s="4">
        <v>0</v>
      </c>
      <c r="C802" s="4">
        <v>0</v>
      </c>
      <c r="D802" s="4">
        <v>1</v>
      </c>
      <c r="E802" s="4">
        <v>217</v>
      </c>
      <c r="F802" s="4">
        <f>ROUND(Source!AU783,O802)</f>
        <v>46998.55</v>
      </c>
      <c r="G802" s="4" t="s">
        <v>90</v>
      </c>
      <c r="H802" s="4" t="s">
        <v>91</v>
      </c>
      <c r="I802" s="4"/>
      <c r="J802" s="4"/>
      <c r="K802" s="4">
        <v>217</v>
      </c>
      <c r="L802" s="4">
        <v>18</v>
      </c>
      <c r="M802" s="4">
        <v>3</v>
      </c>
      <c r="N802" s="4" t="s">
        <v>3</v>
      </c>
      <c r="O802" s="4">
        <v>2</v>
      </c>
      <c r="P802" s="4"/>
      <c r="Q802" s="4"/>
      <c r="R802" s="4"/>
      <c r="S802" s="4"/>
      <c r="T802" s="4"/>
      <c r="U802" s="4"/>
      <c r="V802" s="4"/>
      <c r="W802" s="4"/>
    </row>
    <row r="803" spans="1:206" x14ac:dyDescent="0.2">
      <c r="A803" s="4">
        <v>50</v>
      </c>
      <c r="B803" s="4">
        <v>0</v>
      </c>
      <c r="C803" s="4">
        <v>0</v>
      </c>
      <c r="D803" s="4">
        <v>1</v>
      </c>
      <c r="E803" s="4">
        <v>230</v>
      </c>
      <c r="F803" s="4">
        <f>ROUND(Source!BA783,O803)</f>
        <v>0</v>
      </c>
      <c r="G803" s="4" t="s">
        <v>92</v>
      </c>
      <c r="H803" s="4" t="s">
        <v>93</v>
      </c>
      <c r="I803" s="4"/>
      <c r="J803" s="4"/>
      <c r="K803" s="4">
        <v>230</v>
      </c>
      <c r="L803" s="4">
        <v>19</v>
      </c>
      <c r="M803" s="4">
        <v>3</v>
      </c>
      <c r="N803" s="4" t="s">
        <v>3</v>
      </c>
      <c r="O803" s="4">
        <v>2</v>
      </c>
      <c r="P803" s="4"/>
      <c r="Q803" s="4"/>
      <c r="R803" s="4"/>
      <c r="S803" s="4"/>
      <c r="T803" s="4"/>
      <c r="U803" s="4"/>
      <c r="V803" s="4"/>
      <c r="W803" s="4"/>
    </row>
    <row r="804" spans="1:206" x14ac:dyDescent="0.2">
      <c r="A804" s="4">
        <v>50</v>
      </c>
      <c r="B804" s="4">
        <v>0</v>
      </c>
      <c r="C804" s="4">
        <v>0</v>
      </c>
      <c r="D804" s="4">
        <v>1</v>
      </c>
      <c r="E804" s="4">
        <v>206</v>
      </c>
      <c r="F804" s="4">
        <f>ROUND(Source!T783,O804)</f>
        <v>0</v>
      </c>
      <c r="G804" s="4" t="s">
        <v>94</v>
      </c>
      <c r="H804" s="4" t="s">
        <v>95</v>
      </c>
      <c r="I804" s="4"/>
      <c r="J804" s="4"/>
      <c r="K804" s="4">
        <v>206</v>
      </c>
      <c r="L804" s="4">
        <v>20</v>
      </c>
      <c r="M804" s="4">
        <v>3</v>
      </c>
      <c r="N804" s="4" t="s">
        <v>3</v>
      </c>
      <c r="O804" s="4">
        <v>2</v>
      </c>
      <c r="P804" s="4"/>
      <c r="Q804" s="4"/>
      <c r="R804" s="4"/>
      <c r="S804" s="4"/>
      <c r="T804" s="4"/>
      <c r="U804" s="4"/>
      <c r="V804" s="4"/>
      <c r="W804" s="4"/>
    </row>
    <row r="805" spans="1:206" x14ac:dyDescent="0.2">
      <c r="A805" s="4">
        <v>50</v>
      </c>
      <c r="B805" s="4">
        <v>0</v>
      </c>
      <c r="C805" s="4">
        <v>0</v>
      </c>
      <c r="D805" s="4">
        <v>1</v>
      </c>
      <c r="E805" s="4">
        <v>207</v>
      </c>
      <c r="F805" s="4">
        <f>Source!U783</f>
        <v>17.084484500000002</v>
      </c>
      <c r="G805" s="4" t="s">
        <v>96</v>
      </c>
      <c r="H805" s="4" t="s">
        <v>97</v>
      </c>
      <c r="I805" s="4"/>
      <c r="J805" s="4"/>
      <c r="K805" s="4">
        <v>207</v>
      </c>
      <c r="L805" s="4">
        <v>21</v>
      </c>
      <c r="M805" s="4">
        <v>3</v>
      </c>
      <c r="N805" s="4" t="s">
        <v>3</v>
      </c>
      <c r="O805" s="4">
        <v>-1</v>
      </c>
      <c r="P805" s="4"/>
      <c r="Q805" s="4"/>
      <c r="R805" s="4"/>
      <c r="S805" s="4"/>
      <c r="T805" s="4"/>
      <c r="U805" s="4"/>
      <c r="V805" s="4"/>
      <c r="W805" s="4"/>
    </row>
    <row r="806" spans="1:206" x14ac:dyDescent="0.2">
      <c r="A806" s="4">
        <v>50</v>
      </c>
      <c r="B806" s="4">
        <v>0</v>
      </c>
      <c r="C806" s="4">
        <v>0</v>
      </c>
      <c r="D806" s="4">
        <v>1</v>
      </c>
      <c r="E806" s="4">
        <v>208</v>
      </c>
      <c r="F806" s="4">
        <f>Source!V783</f>
        <v>0</v>
      </c>
      <c r="G806" s="4" t="s">
        <v>98</v>
      </c>
      <c r="H806" s="4" t="s">
        <v>99</v>
      </c>
      <c r="I806" s="4"/>
      <c r="J806" s="4"/>
      <c r="K806" s="4">
        <v>208</v>
      </c>
      <c r="L806" s="4">
        <v>22</v>
      </c>
      <c r="M806" s="4">
        <v>3</v>
      </c>
      <c r="N806" s="4" t="s">
        <v>3</v>
      </c>
      <c r="O806" s="4">
        <v>-1</v>
      </c>
      <c r="P806" s="4"/>
      <c r="Q806" s="4"/>
      <c r="R806" s="4"/>
      <c r="S806" s="4"/>
      <c r="T806" s="4"/>
      <c r="U806" s="4"/>
      <c r="V806" s="4"/>
      <c r="W806" s="4"/>
    </row>
    <row r="807" spans="1:206" x14ac:dyDescent="0.2">
      <c r="A807" s="4">
        <v>50</v>
      </c>
      <c r="B807" s="4">
        <v>0</v>
      </c>
      <c r="C807" s="4">
        <v>0</v>
      </c>
      <c r="D807" s="4">
        <v>1</v>
      </c>
      <c r="E807" s="4">
        <v>209</v>
      </c>
      <c r="F807" s="4">
        <f>ROUND(Source!W783,O807)</f>
        <v>0</v>
      </c>
      <c r="G807" s="4" t="s">
        <v>100</v>
      </c>
      <c r="H807" s="4" t="s">
        <v>101</v>
      </c>
      <c r="I807" s="4"/>
      <c r="J807" s="4"/>
      <c r="K807" s="4">
        <v>209</v>
      </c>
      <c r="L807" s="4">
        <v>23</v>
      </c>
      <c r="M807" s="4">
        <v>3</v>
      </c>
      <c r="N807" s="4" t="s">
        <v>3</v>
      </c>
      <c r="O807" s="4">
        <v>2</v>
      </c>
      <c r="P807" s="4"/>
      <c r="Q807" s="4"/>
      <c r="R807" s="4"/>
      <c r="S807" s="4"/>
      <c r="T807" s="4"/>
      <c r="U807" s="4"/>
      <c r="V807" s="4"/>
      <c r="W807" s="4"/>
    </row>
    <row r="808" spans="1:206" x14ac:dyDescent="0.2">
      <c r="A808" s="4">
        <v>50</v>
      </c>
      <c r="B808" s="4">
        <v>0</v>
      </c>
      <c r="C808" s="4">
        <v>0</v>
      </c>
      <c r="D808" s="4">
        <v>1</v>
      </c>
      <c r="E808" s="4">
        <v>233</v>
      </c>
      <c r="F808" s="4">
        <f>ROUND(Source!BD783,O808)</f>
        <v>0</v>
      </c>
      <c r="G808" s="4" t="s">
        <v>102</v>
      </c>
      <c r="H808" s="4" t="s">
        <v>103</v>
      </c>
      <c r="I808" s="4"/>
      <c r="J808" s="4"/>
      <c r="K808" s="4">
        <v>233</v>
      </c>
      <c r="L808" s="4">
        <v>24</v>
      </c>
      <c r="M808" s="4">
        <v>3</v>
      </c>
      <c r="N808" s="4" t="s">
        <v>3</v>
      </c>
      <c r="O808" s="4">
        <v>2</v>
      </c>
      <c r="P808" s="4"/>
      <c r="Q808" s="4"/>
      <c r="R808" s="4"/>
      <c r="S808" s="4"/>
      <c r="T808" s="4"/>
      <c r="U808" s="4"/>
      <c r="V808" s="4"/>
      <c r="W808" s="4"/>
    </row>
    <row r="809" spans="1:206" x14ac:dyDescent="0.2">
      <c r="A809" s="4">
        <v>50</v>
      </c>
      <c r="B809" s="4">
        <v>0</v>
      </c>
      <c r="C809" s="4">
        <v>0</v>
      </c>
      <c r="D809" s="4">
        <v>1</v>
      </c>
      <c r="E809" s="4">
        <v>210</v>
      </c>
      <c r="F809" s="4">
        <f>ROUND(Source!X783,O809)</f>
        <v>1941.91</v>
      </c>
      <c r="G809" s="4" t="s">
        <v>104</v>
      </c>
      <c r="H809" s="4" t="s">
        <v>105</v>
      </c>
      <c r="I809" s="4"/>
      <c r="J809" s="4"/>
      <c r="K809" s="4">
        <v>210</v>
      </c>
      <c r="L809" s="4">
        <v>25</v>
      </c>
      <c r="M809" s="4">
        <v>3</v>
      </c>
      <c r="N809" s="4" t="s">
        <v>3</v>
      </c>
      <c r="O809" s="4">
        <v>2</v>
      </c>
      <c r="P809" s="4"/>
      <c r="Q809" s="4"/>
      <c r="R809" s="4"/>
      <c r="S809" s="4"/>
      <c r="T809" s="4"/>
      <c r="U809" s="4"/>
      <c r="V809" s="4"/>
      <c r="W809" s="4"/>
    </row>
    <row r="810" spans="1:206" x14ac:dyDescent="0.2">
      <c r="A810" s="4">
        <v>50</v>
      </c>
      <c r="B810" s="4">
        <v>0</v>
      </c>
      <c r="C810" s="4">
        <v>0</v>
      </c>
      <c r="D810" s="4">
        <v>1</v>
      </c>
      <c r="E810" s="4">
        <v>211</v>
      </c>
      <c r="F810" s="4">
        <f>ROUND(Source!Y783,O810)</f>
        <v>277.42</v>
      </c>
      <c r="G810" s="4" t="s">
        <v>106</v>
      </c>
      <c r="H810" s="4" t="s">
        <v>107</v>
      </c>
      <c r="I810" s="4"/>
      <c r="J810" s="4"/>
      <c r="K810" s="4">
        <v>211</v>
      </c>
      <c r="L810" s="4">
        <v>26</v>
      </c>
      <c r="M810" s="4">
        <v>3</v>
      </c>
      <c r="N810" s="4" t="s">
        <v>3</v>
      </c>
      <c r="O810" s="4">
        <v>2</v>
      </c>
      <c r="P810" s="4"/>
      <c r="Q810" s="4"/>
      <c r="R810" s="4"/>
      <c r="S810" s="4"/>
      <c r="T810" s="4"/>
      <c r="U810" s="4"/>
      <c r="V810" s="4"/>
      <c r="W810" s="4"/>
    </row>
    <row r="811" spans="1:206" x14ac:dyDescent="0.2">
      <c r="A811" s="4">
        <v>50</v>
      </c>
      <c r="B811" s="4">
        <v>0</v>
      </c>
      <c r="C811" s="4">
        <v>0</v>
      </c>
      <c r="D811" s="4">
        <v>1</v>
      </c>
      <c r="E811" s="4">
        <v>224</v>
      </c>
      <c r="F811" s="4">
        <f>ROUND(Source!AR783,O811)</f>
        <v>46998.55</v>
      </c>
      <c r="G811" s="4" t="s">
        <v>108</v>
      </c>
      <c r="H811" s="4" t="s">
        <v>109</v>
      </c>
      <c r="I811" s="4"/>
      <c r="J811" s="4"/>
      <c r="K811" s="4">
        <v>224</v>
      </c>
      <c r="L811" s="4">
        <v>27</v>
      </c>
      <c r="M811" s="4">
        <v>3</v>
      </c>
      <c r="N811" s="4" t="s">
        <v>3</v>
      </c>
      <c r="O811" s="4">
        <v>2</v>
      </c>
      <c r="P811" s="4"/>
      <c r="Q811" s="4"/>
      <c r="R811" s="4"/>
      <c r="S811" s="4"/>
      <c r="T811" s="4"/>
      <c r="U811" s="4"/>
      <c r="V811" s="4"/>
      <c r="W811" s="4"/>
    </row>
    <row r="813" spans="1:206" x14ac:dyDescent="0.2">
      <c r="A813" s="2">
        <v>51</v>
      </c>
      <c r="B813" s="2">
        <f>B658</f>
        <v>1</v>
      </c>
      <c r="C813" s="2">
        <f>A658</f>
        <v>4</v>
      </c>
      <c r="D813" s="2">
        <f>ROW(A658)</f>
        <v>658</v>
      </c>
      <c r="E813" s="2"/>
      <c r="F813" s="2" t="str">
        <f>IF(F658&lt;&gt;"",F658,"")</f>
        <v>Новый раздел</v>
      </c>
      <c r="G813" s="2" t="str">
        <f>IF(G658&lt;&gt;"",G658,"")</f>
        <v>ПК № 67 - 299,5 кв.м (кв. 18, выд. 32)</v>
      </c>
      <c r="H813" s="2">
        <v>0</v>
      </c>
      <c r="I813" s="2"/>
      <c r="J813" s="2"/>
      <c r="K813" s="2"/>
      <c r="L813" s="2"/>
      <c r="M813" s="2"/>
      <c r="N813" s="2"/>
      <c r="O813" s="2">
        <f t="shared" ref="O813:T813" si="582">ROUND(O666+O700+O734+O783+AB813,2)</f>
        <v>41703.15</v>
      </c>
      <c r="P813" s="2">
        <f t="shared" si="582"/>
        <v>23038.52</v>
      </c>
      <c r="Q813" s="2">
        <f t="shared" si="582"/>
        <v>15890.47</v>
      </c>
      <c r="R813" s="2">
        <f t="shared" si="582"/>
        <v>8867.35</v>
      </c>
      <c r="S813" s="2">
        <f t="shared" si="582"/>
        <v>2774.16</v>
      </c>
      <c r="T813" s="2">
        <f t="shared" si="582"/>
        <v>0</v>
      </c>
      <c r="U813" s="2">
        <f>U666+U700+U734+U783+AH813</f>
        <v>17.084484500000002</v>
      </c>
      <c r="V813" s="2">
        <f>V666+V700+V734+V783+AI813</f>
        <v>0</v>
      </c>
      <c r="W813" s="2">
        <f>ROUND(W666+W700+W734+W783+AJ813,2)</f>
        <v>0</v>
      </c>
      <c r="X813" s="2">
        <f>ROUND(X666+X700+X734+X783+AK813,2)</f>
        <v>1941.91</v>
      </c>
      <c r="Y813" s="2">
        <f>ROUND(Y666+Y700+Y734+Y783+AL813,2)</f>
        <v>277.42</v>
      </c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>
        <f t="shared" ref="AO813:BD813" si="583">ROUND(AO666+AO700+AO734+AO783+BX813,2)</f>
        <v>0</v>
      </c>
      <c r="AP813" s="2">
        <f t="shared" si="583"/>
        <v>0</v>
      </c>
      <c r="AQ813" s="2">
        <f t="shared" si="583"/>
        <v>0</v>
      </c>
      <c r="AR813" s="2">
        <f t="shared" si="583"/>
        <v>46998.55</v>
      </c>
      <c r="AS813" s="2">
        <f t="shared" si="583"/>
        <v>0</v>
      </c>
      <c r="AT813" s="2">
        <f t="shared" si="583"/>
        <v>0</v>
      </c>
      <c r="AU813" s="2">
        <f t="shared" si="583"/>
        <v>46998.55</v>
      </c>
      <c r="AV813" s="2">
        <f t="shared" si="583"/>
        <v>23038.52</v>
      </c>
      <c r="AW813" s="2">
        <f t="shared" si="583"/>
        <v>23038.52</v>
      </c>
      <c r="AX813" s="2">
        <f t="shared" si="583"/>
        <v>0</v>
      </c>
      <c r="AY813" s="2">
        <f t="shared" si="583"/>
        <v>23038.52</v>
      </c>
      <c r="AZ813" s="2">
        <f t="shared" si="583"/>
        <v>0</v>
      </c>
      <c r="BA813" s="2">
        <f t="shared" si="583"/>
        <v>0</v>
      </c>
      <c r="BB813" s="2">
        <f t="shared" si="583"/>
        <v>0</v>
      </c>
      <c r="BC813" s="2">
        <f t="shared" si="583"/>
        <v>0</v>
      </c>
      <c r="BD813" s="2">
        <f t="shared" si="583"/>
        <v>0</v>
      </c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  <c r="DD813" s="2"/>
      <c r="DE813" s="2"/>
      <c r="DF813" s="2"/>
      <c r="DG813" s="3"/>
      <c r="DH813" s="3"/>
      <c r="DI813" s="3"/>
      <c r="DJ813" s="3"/>
      <c r="DK813" s="3"/>
      <c r="DL813" s="3"/>
      <c r="DM813" s="3"/>
      <c r="DN813" s="3"/>
      <c r="DO813" s="3"/>
      <c r="DP813" s="3"/>
      <c r="DQ813" s="3"/>
      <c r="DR813" s="3"/>
      <c r="DS813" s="3"/>
      <c r="DT813" s="3"/>
      <c r="DU813" s="3"/>
      <c r="DV813" s="3"/>
      <c r="DW813" s="3"/>
      <c r="DX813" s="3"/>
      <c r="DY813" s="3"/>
      <c r="DZ813" s="3"/>
      <c r="EA813" s="3"/>
      <c r="EB813" s="3"/>
      <c r="EC813" s="3"/>
      <c r="ED813" s="3"/>
      <c r="EE813" s="3"/>
      <c r="EF813" s="3"/>
      <c r="EG813" s="3"/>
      <c r="EH813" s="3"/>
      <c r="EI813" s="3"/>
      <c r="EJ813" s="3"/>
      <c r="EK813" s="3"/>
      <c r="EL813" s="3"/>
      <c r="EM813" s="3"/>
      <c r="EN813" s="3"/>
      <c r="EO813" s="3"/>
      <c r="EP813" s="3"/>
      <c r="EQ813" s="3"/>
      <c r="ER813" s="3"/>
      <c r="ES813" s="3"/>
      <c r="ET813" s="3"/>
      <c r="EU813" s="3"/>
      <c r="EV813" s="3"/>
      <c r="EW813" s="3"/>
      <c r="EX813" s="3"/>
      <c r="EY813" s="3"/>
      <c r="EZ813" s="3"/>
      <c r="FA813" s="3"/>
      <c r="FB813" s="3"/>
      <c r="FC813" s="3"/>
      <c r="FD813" s="3"/>
      <c r="FE813" s="3"/>
      <c r="FF813" s="3"/>
      <c r="FG813" s="3"/>
      <c r="FH813" s="3"/>
      <c r="FI813" s="3"/>
      <c r="FJ813" s="3"/>
      <c r="FK813" s="3"/>
      <c r="FL813" s="3"/>
      <c r="FM813" s="3"/>
      <c r="FN813" s="3"/>
      <c r="FO813" s="3"/>
      <c r="FP813" s="3"/>
      <c r="FQ813" s="3"/>
      <c r="FR813" s="3"/>
      <c r="FS813" s="3"/>
      <c r="FT813" s="3"/>
      <c r="FU813" s="3"/>
      <c r="FV813" s="3"/>
      <c r="FW813" s="3"/>
      <c r="FX813" s="3"/>
      <c r="FY813" s="3"/>
      <c r="FZ813" s="3"/>
      <c r="GA813" s="3"/>
      <c r="GB813" s="3"/>
      <c r="GC813" s="3"/>
      <c r="GD813" s="3"/>
      <c r="GE813" s="3"/>
      <c r="GF813" s="3"/>
      <c r="GG813" s="3"/>
      <c r="GH813" s="3"/>
      <c r="GI813" s="3"/>
      <c r="GJ813" s="3"/>
      <c r="GK813" s="3"/>
      <c r="GL813" s="3"/>
      <c r="GM813" s="3"/>
      <c r="GN813" s="3"/>
      <c r="GO813" s="3"/>
      <c r="GP813" s="3"/>
      <c r="GQ813" s="3"/>
      <c r="GR813" s="3"/>
      <c r="GS813" s="3"/>
      <c r="GT813" s="3"/>
      <c r="GU813" s="3"/>
      <c r="GV813" s="3"/>
      <c r="GW813" s="3"/>
      <c r="GX813" s="3">
        <v>0</v>
      </c>
    </row>
    <row r="815" spans="1:206" x14ac:dyDescent="0.2">
      <c r="A815" s="4">
        <v>50</v>
      </c>
      <c r="B815" s="4">
        <v>0</v>
      </c>
      <c r="C815" s="4">
        <v>0</v>
      </c>
      <c r="D815" s="4">
        <v>1</v>
      </c>
      <c r="E815" s="4">
        <v>201</v>
      </c>
      <c r="F815" s="4">
        <f>ROUND(Source!O813,O815)</f>
        <v>41703.15</v>
      </c>
      <c r="G815" s="4" t="s">
        <v>56</v>
      </c>
      <c r="H815" s="4" t="s">
        <v>57</v>
      </c>
      <c r="I815" s="4"/>
      <c r="J815" s="4"/>
      <c r="K815" s="4">
        <v>201</v>
      </c>
      <c r="L815" s="4">
        <v>1</v>
      </c>
      <c r="M815" s="4">
        <v>3</v>
      </c>
      <c r="N815" s="4" t="s">
        <v>3</v>
      </c>
      <c r="O815" s="4">
        <v>2</v>
      </c>
      <c r="P815" s="4"/>
      <c r="Q815" s="4"/>
      <c r="R815" s="4"/>
      <c r="S815" s="4"/>
      <c r="T815" s="4"/>
      <c r="U815" s="4"/>
      <c r="V815" s="4"/>
      <c r="W815" s="4"/>
    </row>
    <row r="816" spans="1:206" x14ac:dyDescent="0.2">
      <c r="A816" s="4">
        <v>50</v>
      </c>
      <c r="B816" s="4">
        <v>0</v>
      </c>
      <c r="C816" s="4">
        <v>0</v>
      </c>
      <c r="D816" s="4">
        <v>1</v>
      </c>
      <c r="E816" s="4">
        <v>202</v>
      </c>
      <c r="F816" s="4">
        <f>ROUND(Source!P813,O816)</f>
        <v>23038.52</v>
      </c>
      <c r="G816" s="4" t="s">
        <v>58</v>
      </c>
      <c r="H816" s="4" t="s">
        <v>59</v>
      </c>
      <c r="I816" s="4"/>
      <c r="J816" s="4"/>
      <c r="K816" s="4">
        <v>202</v>
      </c>
      <c r="L816" s="4">
        <v>2</v>
      </c>
      <c r="M816" s="4">
        <v>3</v>
      </c>
      <c r="N816" s="4" t="s">
        <v>3</v>
      </c>
      <c r="O816" s="4">
        <v>2</v>
      </c>
      <c r="P816" s="4"/>
      <c r="Q816" s="4"/>
      <c r="R816" s="4"/>
      <c r="S816" s="4"/>
      <c r="T816" s="4"/>
      <c r="U816" s="4"/>
      <c r="V816" s="4"/>
      <c r="W816" s="4"/>
    </row>
    <row r="817" spans="1:23" x14ac:dyDescent="0.2">
      <c r="A817" s="4">
        <v>50</v>
      </c>
      <c r="B817" s="4">
        <v>0</v>
      </c>
      <c r="C817" s="4">
        <v>0</v>
      </c>
      <c r="D817" s="4">
        <v>1</v>
      </c>
      <c r="E817" s="4">
        <v>222</v>
      </c>
      <c r="F817" s="4">
        <f>ROUND(Source!AO813,O817)</f>
        <v>0</v>
      </c>
      <c r="G817" s="4" t="s">
        <v>60</v>
      </c>
      <c r="H817" s="4" t="s">
        <v>61</v>
      </c>
      <c r="I817" s="4"/>
      <c r="J817" s="4"/>
      <c r="K817" s="4">
        <v>222</v>
      </c>
      <c r="L817" s="4">
        <v>3</v>
      </c>
      <c r="M817" s="4">
        <v>3</v>
      </c>
      <c r="N817" s="4" t="s">
        <v>3</v>
      </c>
      <c r="O817" s="4">
        <v>2</v>
      </c>
      <c r="P817" s="4"/>
      <c r="Q817" s="4"/>
      <c r="R817" s="4"/>
      <c r="S817" s="4"/>
      <c r="T817" s="4"/>
      <c r="U817" s="4"/>
      <c r="V817" s="4"/>
      <c r="W817" s="4"/>
    </row>
    <row r="818" spans="1:23" x14ac:dyDescent="0.2">
      <c r="A818" s="4">
        <v>50</v>
      </c>
      <c r="B818" s="4">
        <v>0</v>
      </c>
      <c r="C818" s="4">
        <v>0</v>
      </c>
      <c r="D818" s="4">
        <v>1</v>
      </c>
      <c r="E818" s="4">
        <v>225</v>
      </c>
      <c r="F818" s="4">
        <f>ROUND(Source!AV813,O818)</f>
        <v>23038.52</v>
      </c>
      <c r="G818" s="4" t="s">
        <v>62</v>
      </c>
      <c r="H818" s="4" t="s">
        <v>63</v>
      </c>
      <c r="I818" s="4"/>
      <c r="J818" s="4"/>
      <c r="K818" s="4">
        <v>225</v>
      </c>
      <c r="L818" s="4">
        <v>4</v>
      </c>
      <c r="M818" s="4">
        <v>3</v>
      </c>
      <c r="N818" s="4" t="s">
        <v>3</v>
      </c>
      <c r="O818" s="4">
        <v>2</v>
      </c>
      <c r="P818" s="4"/>
      <c r="Q818" s="4"/>
      <c r="R818" s="4"/>
      <c r="S818" s="4"/>
      <c r="T818" s="4"/>
      <c r="U818" s="4"/>
      <c r="V818" s="4"/>
      <c r="W818" s="4"/>
    </row>
    <row r="819" spans="1:23" x14ac:dyDescent="0.2">
      <c r="A819" s="4">
        <v>50</v>
      </c>
      <c r="B819" s="4">
        <v>0</v>
      </c>
      <c r="C819" s="4">
        <v>0</v>
      </c>
      <c r="D819" s="4">
        <v>1</v>
      </c>
      <c r="E819" s="4">
        <v>226</v>
      </c>
      <c r="F819" s="4">
        <f>ROUND(Source!AW813,O819)</f>
        <v>23038.52</v>
      </c>
      <c r="G819" s="4" t="s">
        <v>64</v>
      </c>
      <c r="H819" s="4" t="s">
        <v>65</v>
      </c>
      <c r="I819" s="4"/>
      <c r="J819" s="4"/>
      <c r="K819" s="4">
        <v>226</v>
      </c>
      <c r="L819" s="4">
        <v>5</v>
      </c>
      <c r="M819" s="4">
        <v>3</v>
      </c>
      <c r="N819" s="4" t="s">
        <v>3</v>
      </c>
      <c r="O819" s="4">
        <v>2</v>
      </c>
      <c r="P819" s="4"/>
      <c r="Q819" s="4"/>
      <c r="R819" s="4"/>
      <c r="S819" s="4"/>
      <c r="T819" s="4"/>
      <c r="U819" s="4"/>
      <c r="V819" s="4"/>
      <c r="W819" s="4"/>
    </row>
    <row r="820" spans="1:23" x14ac:dyDescent="0.2">
      <c r="A820" s="4">
        <v>50</v>
      </c>
      <c r="B820" s="4">
        <v>0</v>
      </c>
      <c r="C820" s="4">
        <v>0</v>
      </c>
      <c r="D820" s="4">
        <v>1</v>
      </c>
      <c r="E820" s="4">
        <v>227</v>
      </c>
      <c r="F820" s="4">
        <f>ROUND(Source!AX813,O820)</f>
        <v>0</v>
      </c>
      <c r="G820" s="4" t="s">
        <v>66</v>
      </c>
      <c r="H820" s="4" t="s">
        <v>67</v>
      </c>
      <c r="I820" s="4"/>
      <c r="J820" s="4"/>
      <c r="K820" s="4">
        <v>227</v>
      </c>
      <c r="L820" s="4">
        <v>6</v>
      </c>
      <c r="M820" s="4">
        <v>3</v>
      </c>
      <c r="N820" s="4" t="s">
        <v>3</v>
      </c>
      <c r="O820" s="4">
        <v>2</v>
      </c>
      <c r="P820" s="4"/>
      <c r="Q820" s="4"/>
      <c r="R820" s="4"/>
      <c r="S820" s="4"/>
      <c r="T820" s="4"/>
      <c r="U820" s="4"/>
      <c r="V820" s="4"/>
      <c r="W820" s="4"/>
    </row>
    <row r="821" spans="1:23" x14ac:dyDescent="0.2">
      <c r="A821" s="4">
        <v>50</v>
      </c>
      <c r="B821" s="4">
        <v>0</v>
      </c>
      <c r="C821" s="4">
        <v>0</v>
      </c>
      <c r="D821" s="4">
        <v>1</v>
      </c>
      <c r="E821" s="4">
        <v>228</v>
      </c>
      <c r="F821" s="4">
        <f>ROUND(Source!AY813,O821)</f>
        <v>23038.52</v>
      </c>
      <c r="G821" s="4" t="s">
        <v>68</v>
      </c>
      <c r="H821" s="4" t="s">
        <v>69</v>
      </c>
      <c r="I821" s="4"/>
      <c r="J821" s="4"/>
      <c r="K821" s="4">
        <v>228</v>
      </c>
      <c r="L821" s="4">
        <v>7</v>
      </c>
      <c r="M821" s="4">
        <v>3</v>
      </c>
      <c r="N821" s="4" t="s">
        <v>3</v>
      </c>
      <c r="O821" s="4">
        <v>2</v>
      </c>
      <c r="P821" s="4"/>
      <c r="Q821" s="4"/>
      <c r="R821" s="4"/>
      <c r="S821" s="4"/>
      <c r="T821" s="4"/>
      <c r="U821" s="4"/>
      <c r="V821" s="4"/>
      <c r="W821" s="4"/>
    </row>
    <row r="822" spans="1:23" x14ac:dyDescent="0.2">
      <c r="A822" s="4">
        <v>50</v>
      </c>
      <c r="B822" s="4">
        <v>0</v>
      </c>
      <c r="C822" s="4">
        <v>0</v>
      </c>
      <c r="D822" s="4">
        <v>1</v>
      </c>
      <c r="E822" s="4">
        <v>216</v>
      </c>
      <c r="F822" s="4">
        <f>ROUND(Source!AP813,O822)</f>
        <v>0</v>
      </c>
      <c r="G822" s="4" t="s">
        <v>70</v>
      </c>
      <c r="H822" s="4" t="s">
        <v>71</v>
      </c>
      <c r="I822" s="4"/>
      <c r="J822" s="4"/>
      <c r="K822" s="4">
        <v>216</v>
      </c>
      <c r="L822" s="4">
        <v>8</v>
      </c>
      <c r="M822" s="4">
        <v>3</v>
      </c>
      <c r="N822" s="4" t="s">
        <v>3</v>
      </c>
      <c r="O822" s="4">
        <v>2</v>
      </c>
      <c r="P822" s="4"/>
      <c r="Q822" s="4"/>
      <c r="R822" s="4"/>
      <c r="S822" s="4"/>
      <c r="T822" s="4"/>
      <c r="U822" s="4"/>
      <c r="V822" s="4"/>
      <c r="W822" s="4"/>
    </row>
    <row r="823" spans="1:23" x14ac:dyDescent="0.2">
      <c r="A823" s="4">
        <v>50</v>
      </c>
      <c r="B823" s="4">
        <v>0</v>
      </c>
      <c r="C823" s="4">
        <v>0</v>
      </c>
      <c r="D823" s="4">
        <v>1</v>
      </c>
      <c r="E823" s="4">
        <v>223</v>
      </c>
      <c r="F823" s="4">
        <f>ROUND(Source!AQ813,O823)</f>
        <v>0</v>
      </c>
      <c r="G823" s="4" t="s">
        <v>72</v>
      </c>
      <c r="H823" s="4" t="s">
        <v>73</v>
      </c>
      <c r="I823" s="4"/>
      <c r="J823" s="4"/>
      <c r="K823" s="4">
        <v>223</v>
      </c>
      <c r="L823" s="4">
        <v>9</v>
      </c>
      <c r="M823" s="4">
        <v>3</v>
      </c>
      <c r="N823" s="4" t="s">
        <v>3</v>
      </c>
      <c r="O823" s="4">
        <v>2</v>
      </c>
      <c r="P823" s="4"/>
      <c r="Q823" s="4"/>
      <c r="R823" s="4"/>
      <c r="S823" s="4"/>
      <c r="T823" s="4"/>
      <c r="U823" s="4"/>
      <c r="V823" s="4"/>
      <c r="W823" s="4"/>
    </row>
    <row r="824" spans="1:23" x14ac:dyDescent="0.2">
      <c r="A824" s="4">
        <v>50</v>
      </c>
      <c r="B824" s="4">
        <v>0</v>
      </c>
      <c r="C824" s="4">
        <v>0</v>
      </c>
      <c r="D824" s="4">
        <v>1</v>
      </c>
      <c r="E824" s="4">
        <v>229</v>
      </c>
      <c r="F824" s="4">
        <f>ROUND(Source!AZ813,O824)</f>
        <v>0</v>
      </c>
      <c r="G824" s="4" t="s">
        <v>74</v>
      </c>
      <c r="H824" s="4" t="s">
        <v>75</v>
      </c>
      <c r="I824" s="4"/>
      <c r="J824" s="4"/>
      <c r="K824" s="4">
        <v>229</v>
      </c>
      <c r="L824" s="4">
        <v>10</v>
      </c>
      <c r="M824" s="4">
        <v>3</v>
      </c>
      <c r="N824" s="4" t="s">
        <v>3</v>
      </c>
      <c r="O824" s="4">
        <v>2</v>
      </c>
      <c r="P824" s="4"/>
      <c r="Q824" s="4"/>
      <c r="R824" s="4"/>
      <c r="S824" s="4"/>
      <c r="T824" s="4"/>
      <c r="U824" s="4"/>
      <c r="V824" s="4"/>
      <c r="W824" s="4"/>
    </row>
    <row r="825" spans="1:23" x14ac:dyDescent="0.2">
      <c r="A825" s="4">
        <v>50</v>
      </c>
      <c r="B825" s="4">
        <v>0</v>
      </c>
      <c r="C825" s="4">
        <v>0</v>
      </c>
      <c r="D825" s="4">
        <v>1</v>
      </c>
      <c r="E825" s="4">
        <v>203</v>
      </c>
      <c r="F825" s="4">
        <f>ROUND(Source!Q813,O825)</f>
        <v>15890.47</v>
      </c>
      <c r="G825" s="4" t="s">
        <v>76</v>
      </c>
      <c r="H825" s="4" t="s">
        <v>77</v>
      </c>
      <c r="I825" s="4"/>
      <c r="J825" s="4"/>
      <c r="K825" s="4">
        <v>203</v>
      </c>
      <c r="L825" s="4">
        <v>11</v>
      </c>
      <c r="M825" s="4">
        <v>3</v>
      </c>
      <c r="N825" s="4" t="s">
        <v>3</v>
      </c>
      <c r="O825" s="4">
        <v>2</v>
      </c>
      <c r="P825" s="4"/>
      <c r="Q825" s="4"/>
      <c r="R825" s="4"/>
      <c r="S825" s="4"/>
      <c r="T825" s="4"/>
      <c r="U825" s="4"/>
      <c r="V825" s="4"/>
      <c r="W825" s="4"/>
    </row>
    <row r="826" spans="1:23" x14ac:dyDescent="0.2">
      <c r="A826" s="4">
        <v>50</v>
      </c>
      <c r="B826" s="4">
        <v>0</v>
      </c>
      <c r="C826" s="4">
        <v>0</v>
      </c>
      <c r="D826" s="4">
        <v>1</v>
      </c>
      <c r="E826" s="4">
        <v>231</v>
      </c>
      <c r="F826" s="4">
        <f>ROUND(Source!BB813,O826)</f>
        <v>0</v>
      </c>
      <c r="G826" s="4" t="s">
        <v>78</v>
      </c>
      <c r="H826" s="4" t="s">
        <v>79</v>
      </c>
      <c r="I826" s="4"/>
      <c r="J826" s="4"/>
      <c r="K826" s="4">
        <v>231</v>
      </c>
      <c r="L826" s="4">
        <v>12</v>
      </c>
      <c r="M826" s="4">
        <v>3</v>
      </c>
      <c r="N826" s="4" t="s">
        <v>3</v>
      </c>
      <c r="O826" s="4">
        <v>2</v>
      </c>
      <c r="P826" s="4"/>
      <c r="Q826" s="4"/>
      <c r="R826" s="4"/>
      <c r="S826" s="4"/>
      <c r="T826" s="4"/>
      <c r="U826" s="4"/>
      <c r="V826" s="4"/>
      <c r="W826" s="4"/>
    </row>
    <row r="827" spans="1:23" x14ac:dyDescent="0.2">
      <c r="A827" s="4">
        <v>50</v>
      </c>
      <c r="B827" s="4">
        <v>0</v>
      </c>
      <c r="C827" s="4">
        <v>0</v>
      </c>
      <c r="D827" s="4">
        <v>1</v>
      </c>
      <c r="E827" s="4">
        <v>204</v>
      </c>
      <c r="F827" s="4">
        <f>ROUND(Source!R813,O827)</f>
        <v>8867.35</v>
      </c>
      <c r="G827" s="4" t="s">
        <v>80</v>
      </c>
      <c r="H827" s="4" t="s">
        <v>81</v>
      </c>
      <c r="I827" s="4"/>
      <c r="J827" s="4"/>
      <c r="K827" s="4">
        <v>204</v>
      </c>
      <c r="L827" s="4">
        <v>13</v>
      </c>
      <c r="M827" s="4">
        <v>3</v>
      </c>
      <c r="N827" s="4" t="s">
        <v>3</v>
      </c>
      <c r="O827" s="4">
        <v>2</v>
      </c>
      <c r="P827" s="4"/>
      <c r="Q827" s="4"/>
      <c r="R827" s="4"/>
      <c r="S827" s="4"/>
      <c r="T827" s="4"/>
      <c r="U827" s="4"/>
      <c r="V827" s="4"/>
      <c r="W827" s="4"/>
    </row>
    <row r="828" spans="1:23" x14ac:dyDescent="0.2">
      <c r="A828" s="4">
        <v>50</v>
      </c>
      <c r="B828" s="4">
        <v>0</v>
      </c>
      <c r="C828" s="4">
        <v>0</v>
      </c>
      <c r="D828" s="4">
        <v>1</v>
      </c>
      <c r="E828" s="4">
        <v>205</v>
      </c>
      <c r="F828" s="4">
        <f>ROUND(Source!S813,O828)</f>
        <v>2774.16</v>
      </c>
      <c r="G828" s="4" t="s">
        <v>82</v>
      </c>
      <c r="H828" s="4" t="s">
        <v>83</v>
      </c>
      <c r="I828" s="4"/>
      <c r="J828" s="4"/>
      <c r="K828" s="4">
        <v>205</v>
      </c>
      <c r="L828" s="4">
        <v>14</v>
      </c>
      <c r="M828" s="4">
        <v>3</v>
      </c>
      <c r="N828" s="4" t="s">
        <v>3</v>
      </c>
      <c r="O828" s="4">
        <v>2</v>
      </c>
      <c r="P828" s="4"/>
      <c r="Q828" s="4"/>
      <c r="R828" s="4"/>
      <c r="S828" s="4"/>
      <c r="T828" s="4"/>
      <c r="U828" s="4"/>
      <c r="V828" s="4"/>
      <c r="W828" s="4"/>
    </row>
    <row r="829" spans="1:23" x14ac:dyDescent="0.2">
      <c r="A829" s="4">
        <v>50</v>
      </c>
      <c r="B829" s="4">
        <v>0</v>
      </c>
      <c r="C829" s="4">
        <v>0</v>
      </c>
      <c r="D829" s="4">
        <v>1</v>
      </c>
      <c r="E829" s="4">
        <v>232</v>
      </c>
      <c r="F829" s="4">
        <f>ROUND(Source!BC813,O829)</f>
        <v>0</v>
      </c>
      <c r="G829" s="4" t="s">
        <v>84</v>
      </c>
      <c r="H829" s="4" t="s">
        <v>85</v>
      </c>
      <c r="I829" s="4"/>
      <c r="J829" s="4"/>
      <c r="K829" s="4">
        <v>232</v>
      </c>
      <c r="L829" s="4">
        <v>15</v>
      </c>
      <c r="M829" s="4">
        <v>3</v>
      </c>
      <c r="N829" s="4" t="s">
        <v>3</v>
      </c>
      <c r="O829" s="4">
        <v>2</v>
      </c>
      <c r="P829" s="4"/>
      <c r="Q829" s="4"/>
      <c r="R829" s="4"/>
      <c r="S829" s="4"/>
      <c r="T829" s="4"/>
      <c r="U829" s="4"/>
      <c r="V829" s="4"/>
      <c r="W829" s="4"/>
    </row>
    <row r="830" spans="1:23" x14ac:dyDescent="0.2">
      <c r="A830" s="4">
        <v>50</v>
      </c>
      <c r="B830" s="4">
        <v>0</v>
      </c>
      <c r="C830" s="4">
        <v>0</v>
      </c>
      <c r="D830" s="4">
        <v>1</v>
      </c>
      <c r="E830" s="4">
        <v>214</v>
      </c>
      <c r="F830" s="4">
        <f>ROUND(Source!AS813,O830)</f>
        <v>0</v>
      </c>
      <c r="G830" s="4" t="s">
        <v>86</v>
      </c>
      <c r="H830" s="4" t="s">
        <v>87</v>
      </c>
      <c r="I830" s="4"/>
      <c r="J830" s="4"/>
      <c r="K830" s="4">
        <v>214</v>
      </c>
      <c r="L830" s="4">
        <v>16</v>
      </c>
      <c r="M830" s="4">
        <v>3</v>
      </c>
      <c r="N830" s="4" t="s">
        <v>3</v>
      </c>
      <c r="O830" s="4">
        <v>2</v>
      </c>
      <c r="P830" s="4"/>
      <c r="Q830" s="4"/>
      <c r="R830" s="4"/>
      <c r="S830" s="4"/>
      <c r="T830" s="4"/>
      <c r="U830" s="4"/>
      <c r="V830" s="4"/>
      <c r="W830" s="4"/>
    </row>
    <row r="831" spans="1:23" x14ac:dyDescent="0.2">
      <c r="A831" s="4">
        <v>50</v>
      </c>
      <c r="B831" s="4">
        <v>0</v>
      </c>
      <c r="C831" s="4">
        <v>0</v>
      </c>
      <c r="D831" s="4">
        <v>1</v>
      </c>
      <c r="E831" s="4">
        <v>215</v>
      </c>
      <c r="F831" s="4">
        <f>ROUND(Source!AT813,O831)</f>
        <v>0</v>
      </c>
      <c r="G831" s="4" t="s">
        <v>88</v>
      </c>
      <c r="H831" s="4" t="s">
        <v>89</v>
      </c>
      <c r="I831" s="4"/>
      <c r="J831" s="4"/>
      <c r="K831" s="4">
        <v>215</v>
      </c>
      <c r="L831" s="4">
        <v>17</v>
      </c>
      <c r="M831" s="4">
        <v>3</v>
      </c>
      <c r="N831" s="4" t="s">
        <v>3</v>
      </c>
      <c r="O831" s="4">
        <v>2</v>
      </c>
      <c r="P831" s="4"/>
      <c r="Q831" s="4"/>
      <c r="R831" s="4"/>
      <c r="S831" s="4"/>
      <c r="T831" s="4"/>
      <c r="U831" s="4"/>
      <c r="V831" s="4"/>
      <c r="W831" s="4"/>
    </row>
    <row r="832" spans="1:23" x14ac:dyDescent="0.2">
      <c r="A832" s="4">
        <v>50</v>
      </c>
      <c r="B832" s="4">
        <v>0</v>
      </c>
      <c r="C832" s="4">
        <v>0</v>
      </c>
      <c r="D832" s="4">
        <v>1</v>
      </c>
      <c r="E832" s="4">
        <v>217</v>
      </c>
      <c r="F832" s="4">
        <f>ROUND(Source!AU813,O832)</f>
        <v>46998.55</v>
      </c>
      <c r="G832" s="4" t="s">
        <v>90</v>
      </c>
      <c r="H832" s="4" t="s">
        <v>91</v>
      </c>
      <c r="I832" s="4"/>
      <c r="J832" s="4"/>
      <c r="K832" s="4">
        <v>217</v>
      </c>
      <c r="L832" s="4">
        <v>18</v>
      </c>
      <c r="M832" s="4">
        <v>3</v>
      </c>
      <c r="N832" s="4" t="s">
        <v>3</v>
      </c>
      <c r="O832" s="4">
        <v>2</v>
      </c>
      <c r="P832" s="4"/>
      <c r="Q832" s="4"/>
      <c r="R832" s="4"/>
      <c r="S832" s="4"/>
      <c r="T832" s="4"/>
      <c r="U832" s="4"/>
      <c r="V832" s="4"/>
      <c r="W832" s="4"/>
    </row>
    <row r="833" spans="1:206" x14ac:dyDescent="0.2">
      <c r="A833" s="4">
        <v>50</v>
      </c>
      <c r="B833" s="4">
        <v>0</v>
      </c>
      <c r="C833" s="4">
        <v>0</v>
      </c>
      <c r="D833" s="4">
        <v>1</v>
      </c>
      <c r="E833" s="4">
        <v>230</v>
      </c>
      <c r="F833" s="4">
        <f>ROUND(Source!BA813,O833)</f>
        <v>0</v>
      </c>
      <c r="G833" s="4" t="s">
        <v>92</v>
      </c>
      <c r="H833" s="4" t="s">
        <v>93</v>
      </c>
      <c r="I833" s="4"/>
      <c r="J833" s="4"/>
      <c r="K833" s="4">
        <v>230</v>
      </c>
      <c r="L833" s="4">
        <v>19</v>
      </c>
      <c r="M833" s="4">
        <v>3</v>
      </c>
      <c r="N833" s="4" t="s">
        <v>3</v>
      </c>
      <c r="O833" s="4">
        <v>2</v>
      </c>
      <c r="P833" s="4"/>
      <c r="Q833" s="4"/>
      <c r="R833" s="4"/>
      <c r="S833" s="4"/>
      <c r="T833" s="4"/>
      <c r="U833" s="4"/>
      <c r="V833" s="4"/>
      <c r="W833" s="4"/>
    </row>
    <row r="834" spans="1:206" x14ac:dyDescent="0.2">
      <c r="A834" s="4">
        <v>50</v>
      </c>
      <c r="B834" s="4">
        <v>0</v>
      </c>
      <c r="C834" s="4">
        <v>0</v>
      </c>
      <c r="D834" s="4">
        <v>1</v>
      </c>
      <c r="E834" s="4">
        <v>206</v>
      </c>
      <c r="F834" s="4">
        <f>ROUND(Source!T813,O834)</f>
        <v>0</v>
      </c>
      <c r="G834" s="4" t="s">
        <v>94</v>
      </c>
      <c r="H834" s="4" t="s">
        <v>95</v>
      </c>
      <c r="I834" s="4"/>
      <c r="J834" s="4"/>
      <c r="K834" s="4">
        <v>206</v>
      </c>
      <c r="L834" s="4">
        <v>20</v>
      </c>
      <c r="M834" s="4">
        <v>3</v>
      </c>
      <c r="N834" s="4" t="s">
        <v>3</v>
      </c>
      <c r="O834" s="4">
        <v>2</v>
      </c>
      <c r="P834" s="4"/>
      <c r="Q834" s="4"/>
      <c r="R834" s="4"/>
      <c r="S834" s="4"/>
      <c r="T834" s="4"/>
      <c r="U834" s="4"/>
      <c r="V834" s="4"/>
      <c r="W834" s="4"/>
    </row>
    <row r="835" spans="1:206" x14ac:dyDescent="0.2">
      <c r="A835" s="4">
        <v>50</v>
      </c>
      <c r="B835" s="4">
        <v>0</v>
      </c>
      <c r="C835" s="4">
        <v>0</v>
      </c>
      <c r="D835" s="4">
        <v>1</v>
      </c>
      <c r="E835" s="4">
        <v>207</v>
      </c>
      <c r="F835" s="4">
        <f>Source!U813</f>
        <v>17.084484500000002</v>
      </c>
      <c r="G835" s="4" t="s">
        <v>96</v>
      </c>
      <c r="H835" s="4" t="s">
        <v>97</v>
      </c>
      <c r="I835" s="4"/>
      <c r="J835" s="4"/>
      <c r="K835" s="4">
        <v>207</v>
      </c>
      <c r="L835" s="4">
        <v>21</v>
      </c>
      <c r="M835" s="4">
        <v>3</v>
      </c>
      <c r="N835" s="4" t="s">
        <v>3</v>
      </c>
      <c r="O835" s="4">
        <v>-1</v>
      </c>
      <c r="P835" s="4"/>
      <c r="Q835" s="4"/>
      <c r="R835" s="4"/>
      <c r="S835" s="4"/>
      <c r="T835" s="4"/>
      <c r="U835" s="4"/>
      <c r="V835" s="4"/>
      <c r="W835" s="4"/>
    </row>
    <row r="836" spans="1:206" x14ac:dyDescent="0.2">
      <c r="A836" s="4">
        <v>50</v>
      </c>
      <c r="B836" s="4">
        <v>0</v>
      </c>
      <c r="C836" s="4">
        <v>0</v>
      </c>
      <c r="D836" s="4">
        <v>1</v>
      </c>
      <c r="E836" s="4">
        <v>208</v>
      </c>
      <c r="F836" s="4">
        <f>Source!V813</f>
        <v>0</v>
      </c>
      <c r="G836" s="4" t="s">
        <v>98</v>
      </c>
      <c r="H836" s="4" t="s">
        <v>99</v>
      </c>
      <c r="I836" s="4"/>
      <c r="J836" s="4"/>
      <c r="K836" s="4">
        <v>208</v>
      </c>
      <c r="L836" s="4">
        <v>22</v>
      </c>
      <c r="M836" s="4">
        <v>3</v>
      </c>
      <c r="N836" s="4" t="s">
        <v>3</v>
      </c>
      <c r="O836" s="4">
        <v>-1</v>
      </c>
      <c r="P836" s="4"/>
      <c r="Q836" s="4"/>
      <c r="R836" s="4"/>
      <c r="S836" s="4"/>
      <c r="T836" s="4"/>
      <c r="U836" s="4"/>
      <c r="V836" s="4"/>
      <c r="W836" s="4"/>
    </row>
    <row r="837" spans="1:206" x14ac:dyDescent="0.2">
      <c r="A837" s="4">
        <v>50</v>
      </c>
      <c r="B837" s="4">
        <v>0</v>
      </c>
      <c r="C837" s="4">
        <v>0</v>
      </c>
      <c r="D837" s="4">
        <v>1</v>
      </c>
      <c r="E837" s="4">
        <v>209</v>
      </c>
      <c r="F837" s="4">
        <f>ROUND(Source!W813,O837)</f>
        <v>0</v>
      </c>
      <c r="G837" s="4" t="s">
        <v>100</v>
      </c>
      <c r="H837" s="4" t="s">
        <v>101</v>
      </c>
      <c r="I837" s="4"/>
      <c r="J837" s="4"/>
      <c r="K837" s="4">
        <v>209</v>
      </c>
      <c r="L837" s="4">
        <v>23</v>
      </c>
      <c r="M837" s="4">
        <v>3</v>
      </c>
      <c r="N837" s="4" t="s">
        <v>3</v>
      </c>
      <c r="O837" s="4">
        <v>2</v>
      </c>
      <c r="P837" s="4"/>
      <c r="Q837" s="4"/>
      <c r="R837" s="4"/>
      <c r="S837" s="4"/>
      <c r="T837" s="4"/>
      <c r="U837" s="4"/>
      <c r="V837" s="4"/>
      <c r="W837" s="4"/>
    </row>
    <row r="838" spans="1:206" x14ac:dyDescent="0.2">
      <c r="A838" s="4">
        <v>50</v>
      </c>
      <c r="B838" s="4">
        <v>0</v>
      </c>
      <c r="C838" s="4">
        <v>0</v>
      </c>
      <c r="D838" s="4">
        <v>1</v>
      </c>
      <c r="E838" s="4">
        <v>233</v>
      </c>
      <c r="F838" s="4">
        <f>ROUND(Source!BD813,O838)</f>
        <v>0</v>
      </c>
      <c r="G838" s="4" t="s">
        <v>102</v>
      </c>
      <c r="H838" s="4" t="s">
        <v>103</v>
      </c>
      <c r="I838" s="4"/>
      <c r="J838" s="4"/>
      <c r="K838" s="4">
        <v>233</v>
      </c>
      <c r="L838" s="4">
        <v>24</v>
      </c>
      <c r="M838" s="4">
        <v>3</v>
      </c>
      <c r="N838" s="4" t="s">
        <v>3</v>
      </c>
      <c r="O838" s="4">
        <v>2</v>
      </c>
      <c r="P838" s="4"/>
      <c r="Q838" s="4"/>
      <c r="R838" s="4"/>
      <c r="S838" s="4"/>
      <c r="T838" s="4"/>
      <c r="U838" s="4"/>
      <c r="V838" s="4"/>
      <c r="W838" s="4"/>
    </row>
    <row r="839" spans="1:206" x14ac:dyDescent="0.2">
      <c r="A839" s="4">
        <v>50</v>
      </c>
      <c r="B839" s="4">
        <v>0</v>
      </c>
      <c r="C839" s="4">
        <v>0</v>
      </c>
      <c r="D839" s="4">
        <v>1</v>
      </c>
      <c r="E839" s="4">
        <v>210</v>
      </c>
      <c r="F839" s="4">
        <f>ROUND(Source!X813,O839)</f>
        <v>1941.91</v>
      </c>
      <c r="G839" s="4" t="s">
        <v>104</v>
      </c>
      <c r="H839" s="4" t="s">
        <v>105</v>
      </c>
      <c r="I839" s="4"/>
      <c r="J839" s="4"/>
      <c r="K839" s="4">
        <v>210</v>
      </c>
      <c r="L839" s="4">
        <v>25</v>
      </c>
      <c r="M839" s="4">
        <v>3</v>
      </c>
      <c r="N839" s="4" t="s">
        <v>3</v>
      </c>
      <c r="O839" s="4">
        <v>2</v>
      </c>
      <c r="P839" s="4"/>
      <c r="Q839" s="4"/>
      <c r="R839" s="4"/>
      <c r="S839" s="4"/>
      <c r="T839" s="4"/>
      <c r="U839" s="4"/>
      <c r="V839" s="4"/>
      <c r="W839" s="4"/>
    </row>
    <row r="840" spans="1:206" x14ac:dyDescent="0.2">
      <c r="A840" s="4">
        <v>50</v>
      </c>
      <c r="B840" s="4">
        <v>0</v>
      </c>
      <c r="C840" s="4">
        <v>0</v>
      </c>
      <c r="D840" s="4">
        <v>1</v>
      </c>
      <c r="E840" s="4">
        <v>211</v>
      </c>
      <c r="F840" s="4">
        <f>ROUND(Source!Y813,O840)</f>
        <v>277.42</v>
      </c>
      <c r="G840" s="4" t="s">
        <v>106</v>
      </c>
      <c r="H840" s="4" t="s">
        <v>107</v>
      </c>
      <c r="I840" s="4"/>
      <c r="J840" s="4"/>
      <c r="K840" s="4">
        <v>211</v>
      </c>
      <c r="L840" s="4">
        <v>26</v>
      </c>
      <c r="M840" s="4">
        <v>3</v>
      </c>
      <c r="N840" s="4" t="s">
        <v>3</v>
      </c>
      <c r="O840" s="4">
        <v>2</v>
      </c>
      <c r="P840" s="4"/>
      <c r="Q840" s="4"/>
      <c r="R840" s="4"/>
      <c r="S840" s="4"/>
      <c r="T840" s="4"/>
      <c r="U840" s="4"/>
      <c r="V840" s="4"/>
      <c r="W840" s="4"/>
    </row>
    <row r="841" spans="1:206" x14ac:dyDescent="0.2">
      <c r="A841" s="4">
        <v>50</v>
      </c>
      <c r="B841" s="4">
        <v>0</v>
      </c>
      <c r="C841" s="4">
        <v>0</v>
      </c>
      <c r="D841" s="4">
        <v>1</v>
      </c>
      <c r="E841" s="4">
        <v>224</v>
      </c>
      <c r="F841" s="4">
        <f>ROUND(Source!AR813,O841)</f>
        <v>46998.55</v>
      </c>
      <c r="G841" s="4" t="s">
        <v>108</v>
      </c>
      <c r="H841" s="4" t="s">
        <v>109</v>
      </c>
      <c r="I841" s="4"/>
      <c r="J841" s="4"/>
      <c r="K841" s="4">
        <v>224</v>
      </c>
      <c r="L841" s="4">
        <v>27</v>
      </c>
      <c r="M841" s="4">
        <v>3</v>
      </c>
      <c r="N841" s="4" t="s">
        <v>3</v>
      </c>
      <c r="O841" s="4">
        <v>2</v>
      </c>
      <c r="P841" s="4"/>
      <c r="Q841" s="4"/>
      <c r="R841" s="4"/>
      <c r="S841" s="4"/>
      <c r="T841" s="4"/>
      <c r="U841" s="4"/>
      <c r="V841" s="4"/>
      <c r="W841" s="4"/>
    </row>
    <row r="842" spans="1:206" x14ac:dyDescent="0.2">
      <c r="A842" s="4">
        <v>50</v>
      </c>
      <c r="B842" s="4">
        <v>1</v>
      </c>
      <c r="C842" s="4">
        <v>0</v>
      </c>
      <c r="D842" s="4">
        <v>2</v>
      </c>
      <c r="E842" s="4">
        <v>0</v>
      </c>
      <c r="F842" s="4">
        <f>ROUND(F841*0.2,O842)</f>
        <v>9399.7099999999991</v>
      </c>
      <c r="G842" s="4" t="s">
        <v>227</v>
      </c>
      <c r="H842" s="4" t="s">
        <v>228</v>
      </c>
      <c r="I842" s="4"/>
      <c r="J842" s="4"/>
      <c r="K842" s="4">
        <v>212</v>
      </c>
      <c r="L842" s="4">
        <v>28</v>
      </c>
      <c r="M842" s="4">
        <v>0</v>
      </c>
      <c r="N842" s="4" t="s">
        <v>3</v>
      </c>
      <c r="O842" s="4">
        <v>2</v>
      </c>
      <c r="P842" s="4"/>
      <c r="Q842" s="4"/>
      <c r="R842" s="4"/>
      <c r="S842" s="4"/>
      <c r="T842" s="4"/>
      <c r="U842" s="4"/>
      <c r="V842" s="4"/>
      <c r="W842" s="4"/>
    </row>
    <row r="843" spans="1:206" x14ac:dyDescent="0.2">
      <c r="A843" s="4">
        <v>50</v>
      </c>
      <c r="B843" s="4">
        <v>1</v>
      </c>
      <c r="C843" s="4">
        <v>0</v>
      </c>
      <c r="D843" s="4">
        <v>2</v>
      </c>
      <c r="E843" s="4">
        <v>213</v>
      </c>
      <c r="F843" s="4">
        <f>ROUND(F841+F842,O843)</f>
        <v>56398.26</v>
      </c>
      <c r="G843" s="4" t="s">
        <v>229</v>
      </c>
      <c r="H843" s="4" t="s">
        <v>230</v>
      </c>
      <c r="I843" s="4"/>
      <c r="J843" s="4"/>
      <c r="K843" s="4">
        <v>212</v>
      </c>
      <c r="L843" s="4">
        <v>29</v>
      </c>
      <c r="M843" s="4">
        <v>0</v>
      </c>
      <c r="N843" s="4" t="s">
        <v>3</v>
      </c>
      <c r="O843" s="4">
        <v>2</v>
      </c>
      <c r="P843" s="4"/>
      <c r="Q843" s="4"/>
      <c r="R843" s="4"/>
      <c r="S843" s="4"/>
      <c r="T843" s="4"/>
      <c r="U843" s="4"/>
      <c r="V843" s="4"/>
      <c r="W843" s="4"/>
    </row>
    <row r="845" spans="1:206" x14ac:dyDescent="0.2">
      <c r="A845" s="2">
        <v>51</v>
      </c>
      <c r="B845" s="2">
        <f>B20</f>
        <v>1</v>
      </c>
      <c r="C845" s="2">
        <f>A20</f>
        <v>3</v>
      </c>
      <c r="D845" s="2">
        <f>ROW(A20)</f>
        <v>20</v>
      </c>
      <c r="E845" s="2"/>
      <c r="F845" s="2" t="str">
        <f>IF(F20&lt;&gt;"",F20,"")</f>
        <v>Новая локальная смета</v>
      </c>
      <c r="G845" s="2" t="str">
        <f>IF(G20&lt;&gt;"",G20,"")</f>
        <v>Локальная смета</v>
      </c>
      <c r="H845" s="2">
        <v>0</v>
      </c>
      <c r="I845" s="2"/>
      <c r="J845" s="2"/>
      <c r="K845" s="2"/>
      <c r="L845" s="2"/>
      <c r="M845" s="2"/>
      <c r="N845" s="2"/>
      <c r="O845" s="2">
        <f t="shared" ref="O845:T845" si="584">ROUND(O210+O417+O626+O813+AB845,2)</f>
        <v>2809731</v>
      </c>
      <c r="P845" s="2">
        <f t="shared" si="584"/>
        <v>2415005.46</v>
      </c>
      <c r="Q845" s="2">
        <f t="shared" si="584"/>
        <v>111068.89</v>
      </c>
      <c r="R845" s="2">
        <f t="shared" si="584"/>
        <v>34500.839999999997</v>
      </c>
      <c r="S845" s="2">
        <f t="shared" si="584"/>
        <v>283656.65000000002</v>
      </c>
      <c r="T845" s="2">
        <f t="shared" si="584"/>
        <v>0</v>
      </c>
      <c r="U845" s="2">
        <f>U210+U417+U626+U813+AH845</f>
        <v>1354.9346799999998</v>
      </c>
      <c r="V845" s="2">
        <f>V210+V417+V626+V813+AI845</f>
        <v>0</v>
      </c>
      <c r="W845" s="2">
        <f>ROUND(W210+W417+W626+W813+AJ845,2)</f>
        <v>0</v>
      </c>
      <c r="X845" s="2">
        <f>ROUND(X210+X417+X626+X813+AK845,2)</f>
        <v>198559.68</v>
      </c>
      <c r="Y845" s="2">
        <f>ROUND(Y210+Y417+Y626+Y813+AL845,2)</f>
        <v>28365.68</v>
      </c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>
        <f t="shared" ref="AO845:BD845" si="585">ROUND(AO210+AO417+AO626+AO813+BX845,2)</f>
        <v>0</v>
      </c>
      <c r="AP845" s="2">
        <f t="shared" si="585"/>
        <v>0</v>
      </c>
      <c r="AQ845" s="2">
        <f t="shared" si="585"/>
        <v>0</v>
      </c>
      <c r="AR845" s="2">
        <f t="shared" si="585"/>
        <v>3062284.91</v>
      </c>
      <c r="AS845" s="2">
        <f t="shared" si="585"/>
        <v>334951.74</v>
      </c>
      <c r="AT845" s="2">
        <f t="shared" si="585"/>
        <v>0</v>
      </c>
      <c r="AU845" s="2">
        <f t="shared" si="585"/>
        <v>2727333.17</v>
      </c>
      <c r="AV845" s="2">
        <f t="shared" si="585"/>
        <v>2415005.46</v>
      </c>
      <c r="AW845" s="2">
        <f t="shared" si="585"/>
        <v>2415005.46</v>
      </c>
      <c r="AX845" s="2">
        <f t="shared" si="585"/>
        <v>0</v>
      </c>
      <c r="AY845" s="2">
        <f t="shared" si="585"/>
        <v>2415005.46</v>
      </c>
      <c r="AZ845" s="2">
        <f t="shared" si="585"/>
        <v>0</v>
      </c>
      <c r="BA845" s="2">
        <f t="shared" si="585"/>
        <v>0</v>
      </c>
      <c r="BB845" s="2">
        <f t="shared" si="585"/>
        <v>0</v>
      </c>
      <c r="BC845" s="2">
        <f t="shared" si="585"/>
        <v>0</v>
      </c>
      <c r="BD845" s="2">
        <f t="shared" si="585"/>
        <v>0</v>
      </c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2"/>
      <c r="DE845" s="2"/>
      <c r="DF845" s="2"/>
      <c r="DG845" s="3"/>
      <c r="DH845" s="3"/>
      <c r="DI845" s="3"/>
      <c r="DJ845" s="3"/>
      <c r="DK845" s="3"/>
      <c r="DL845" s="3"/>
      <c r="DM845" s="3"/>
      <c r="DN845" s="3"/>
      <c r="DO845" s="3"/>
      <c r="DP845" s="3"/>
      <c r="DQ845" s="3"/>
      <c r="DR845" s="3"/>
      <c r="DS845" s="3"/>
      <c r="DT845" s="3"/>
      <c r="DU845" s="3"/>
      <c r="DV845" s="3"/>
      <c r="DW845" s="3"/>
      <c r="DX845" s="3"/>
      <c r="DY845" s="3"/>
      <c r="DZ845" s="3"/>
      <c r="EA845" s="3"/>
      <c r="EB845" s="3"/>
      <c r="EC845" s="3"/>
      <c r="ED845" s="3"/>
      <c r="EE845" s="3"/>
      <c r="EF845" s="3"/>
      <c r="EG845" s="3"/>
      <c r="EH845" s="3"/>
      <c r="EI845" s="3"/>
      <c r="EJ845" s="3"/>
      <c r="EK845" s="3"/>
      <c r="EL845" s="3"/>
      <c r="EM845" s="3"/>
      <c r="EN845" s="3"/>
      <c r="EO845" s="3"/>
      <c r="EP845" s="3"/>
      <c r="EQ845" s="3"/>
      <c r="ER845" s="3"/>
      <c r="ES845" s="3"/>
      <c r="ET845" s="3"/>
      <c r="EU845" s="3"/>
      <c r="EV845" s="3"/>
      <c r="EW845" s="3"/>
      <c r="EX845" s="3"/>
      <c r="EY845" s="3"/>
      <c r="EZ845" s="3"/>
      <c r="FA845" s="3"/>
      <c r="FB845" s="3"/>
      <c r="FC845" s="3"/>
      <c r="FD845" s="3"/>
      <c r="FE845" s="3"/>
      <c r="FF845" s="3"/>
      <c r="FG845" s="3"/>
      <c r="FH845" s="3"/>
      <c r="FI845" s="3"/>
      <c r="FJ845" s="3"/>
      <c r="FK845" s="3"/>
      <c r="FL845" s="3"/>
      <c r="FM845" s="3"/>
      <c r="FN845" s="3"/>
      <c r="FO845" s="3"/>
      <c r="FP845" s="3"/>
      <c r="FQ845" s="3"/>
      <c r="FR845" s="3"/>
      <c r="FS845" s="3"/>
      <c r="FT845" s="3"/>
      <c r="FU845" s="3"/>
      <c r="FV845" s="3"/>
      <c r="FW845" s="3"/>
      <c r="FX845" s="3"/>
      <c r="FY845" s="3"/>
      <c r="FZ845" s="3"/>
      <c r="GA845" s="3"/>
      <c r="GB845" s="3"/>
      <c r="GC845" s="3"/>
      <c r="GD845" s="3"/>
      <c r="GE845" s="3"/>
      <c r="GF845" s="3"/>
      <c r="GG845" s="3"/>
      <c r="GH845" s="3"/>
      <c r="GI845" s="3"/>
      <c r="GJ845" s="3"/>
      <c r="GK845" s="3"/>
      <c r="GL845" s="3"/>
      <c r="GM845" s="3"/>
      <c r="GN845" s="3"/>
      <c r="GO845" s="3"/>
      <c r="GP845" s="3"/>
      <c r="GQ845" s="3"/>
      <c r="GR845" s="3"/>
      <c r="GS845" s="3"/>
      <c r="GT845" s="3"/>
      <c r="GU845" s="3"/>
      <c r="GV845" s="3"/>
      <c r="GW845" s="3"/>
      <c r="GX845" s="3">
        <v>0</v>
      </c>
    </row>
    <row r="847" spans="1:206" x14ac:dyDescent="0.2">
      <c r="A847" s="4">
        <v>50</v>
      </c>
      <c r="B847" s="4">
        <v>0</v>
      </c>
      <c r="C847" s="4">
        <v>0</v>
      </c>
      <c r="D847" s="4">
        <v>1</v>
      </c>
      <c r="E847" s="4">
        <v>201</v>
      </c>
      <c r="F847" s="4">
        <f>ROUND(Source!O845,O847)</f>
        <v>2809731</v>
      </c>
      <c r="G847" s="4" t="s">
        <v>56</v>
      </c>
      <c r="H847" s="4" t="s">
        <v>57</v>
      </c>
      <c r="I847" s="4"/>
      <c r="J847" s="4"/>
      <c r="K847" s="4">
        <v>201</v>
      </c>
      <c r="L847" s="4">
        <v>1</v>
      </c>
      <c r="M847" s="4">
        <v>3</v>
      </c>
      <c r="N847" s="4" t="s">
        <v>3</v>
      </c>
      <c r="O847" s="4">
        <v>2</v>
      </c>
      <c r="P847" s="4"/>
      <c r="Q847" s="4"/>
      <c r="R847" s="4"/>
      <c r="S847" s="4"/>
      <c r="T847" s="4"/>
      <c r="U847" s="4"/>
      <c r="V847" s="4"/>
      <c r="W847" s="4"/>
    </row>
    <row r="848" spans="1:206" x14ac:dyDescent="0.2">
      <c r="A848" s="4">
        <v>50</v>
      </c>
      <c r="B848" s="4">
        <v>0</v>
      </c>
      <c r="C848" s="4">
        <v>0</v>
      </c>
      <c r="D848" s="4">
        <v>1</v>
      </c>
      <c r="E848" s="4">
        <v>202</v>
      </c>
      <c r="F848" s="4">
        <f>ROUND(Source!P845,O848)</f>
        <v>2415005.46</v>
      </c>
      <c r="G848" s="4" t="s">
        <v>58</v>
      </c>
      <c r="H848" s="4" t="s">
        <v>59</v>
      </c>
      <c r="I848" s="4"/>
      <c r="J848" s="4"/>
      <c r="K848" s="4">
        <v>202</v>
      </c>
      <c r="L848" s="4">
        <v>2</v>
      </c>
      <c r="M848" s="4">
        <v>3</v>
      </c>
      <c r="N848" s="4" t="s">
        <v>3</v>
      </c>
      <c r="O848" s="4">
        <v>2</v>
      </c>
      <c r="P848" s="4"/>
      <c r="Q848" s="4"/>
      <c r="R848" s="4"/>
      <c r="S848" s="4"/>
      <c r="T848" s="4"/>
      <c r="U848" s="4"/>
      <c r="V848" s="4"/>
      <c r="W848" s="4"/>
    </row>
    <row r="849" spans="1:23" x14ac:dyDescent="0.2">
      <c r="A849" s="4">
        <v>50</v>
      </c>
      <c r="B849" s="4">
        <v>0</v>
      </c>
      <c r="C849" s="4">
        <v>0</v>
      </c>
      <c r="D849" s="4">
        <v>1</v>
      </c>
      <c r="E849" s="4">
        <v>222</v>
      </c>
      <c r="F849" s="4">
        <f>ROUND(Source!AO845,O849)</f>
        <v>0</v>
      </c>
      <c r="G849" s="4" t="s">
        <v>60</v>
      </c>
      <c r="H849" s="4" t="s">
        <v>61</v>
      </c>
      <c r="I849" s="4"/>
      <c r="J849" s="4"/>
      <c r="K849" s="4">
        <v>222</v>
      </c>
      <c r="L849" s="4">
        <v>3</v>
      </c>
      <c r="M849" s="4">
        <v>3</v>
      </c>
      <c r="N849" s="4" t="s">
        <v>3</v>
      </c>
      <c r="O849" s="4">
        <v>2</v>
      </c>
      <c r="P849" s="4"/>
      <c r="Q849" s="4"/>
      <c r="R849" s="4"/>
      <c r="S849" s="4"/>
      <c r="T849" s="4"/>
      <c r="U849" s="4"/>
      <c r="V849" s="4"/>
      <c r="W849" s="4"/>
    </row>
    <row r="850" spans="1:23" x14ac:dyDescent="0.2">
      <c r="A850" s="4">
        <v>50</v>
      </c>
      <c r="B850" s="4">
        <v>0</v>
      </c>
      <c r="C850" s="4">
        <v>0</v>
      </c>
      <c r="D850" s="4">
        <v>1</v>
      </c>
      <c r="E850" s="4">
        <v>225</v>
      </c>
      <c r="F850" s="4">
        <f>ROUND(Source!AV845,O850)</f>
        <v>2415005.46</v>
      </c>
      <c r="G850" s="4" t="s">
        <v>62</v>
      </c>
      <c r="H850" s="4" t="s">
        <v>63</v>
      </c>
      <c r="I850" s="4"/>
      <c r="J850" s="4"/>
      <c r="K850" s="4">
        <v>225</v>
      </c>
      <c r="L850" s="4">
        <v>4</v>
      </c>
      <c r="M850" s="4">
        <v>3</v>
      </c>
      <c r="N850" s="4" t="s">
        <v>3</v>
      </c>
      <c r="O850" s="4">
        <v>2</v>
      </c>
      <c r="P850" s="4"/>
      <c r="Q850" s="4"/>
      <c r="R850" s="4"/>
      <c r="S850" s="4"/>
      <c r="T850" s="4"/>
      <c r="U850" s="4"/>
      <c r="V850" s="4"/>
      <c r="W850" s="4"/>
    </row>
    <row r="851" spans="1:23" x14ac:dyDescent="0.2">
      <c r="A851" s="4">
        <v>50</v>
      </c>
      <c r="B851" s="4">
        <v>0</v>
      </c>
      <c r="C851" s="4">
        <v>0</v>
      </c>
      <c r="D851" s="4">
        <v>1</v>
      </c>
      <c r="E851" s="4">
        <v>226</v>
      </c>
      <c r="F851" s="4">
        <f>ROUND(Source!AW845,O851)</f>
        <v>2415005.46</v>
      </c>
      <c r="G851" s="4" t="s">
        <v>64</v>
      </c>
      <c r="H851" s="4" t="s">
        <v>65</v>
      </c>
      <c r="I851" s="4"/>
      <c r="J851" s="4"/>
      <c r="K851" s="4">
        <v>226</v>
      </c>
      <c r="L851" s="4">
        <v>5</v>
      </c>
      <c r="M851" s="4">
        <v>3</v>
      </c>
      <c r="N851" s="4" t="s">
        <v>3</v>
      </c>
      <c r="O851" s="4">
        <v>2</v>
      </c>
      <c r="P851" s="4"/>
      <c r="Q851" s="4"/>
      <c r="R851" s="4"/>
      <c r="S851" s="4"/>
      <c r="T851" s="4"/>
      <c r="U851" s="4"/>
      <c r="V851" s="4"/>
      <c r="W851" s="4"/>
    </row>
    <row r="852" spans="1:23" x14ac:dyDescent="0.2">
      <c r="A852" s="4">
        <v>50</v>
      </c>
      <c r="B852" s="4">
        <v>0</v>
      </c>
      <c r="C852" s="4">
        <v>0</v>
      </c>
      <c r="D852" s="4">
        <v>1</v>
      </c>
      <c r="E852" s="4">
        <v>227</v>
      </c>
      <c r="F852" s="4">
        <f>ROUND(Source!AX845,O852)</f>
        <v>0</v>
      </c>
      <c r="G852" s="4" t="s">
        <v>66</v>
      </c>
      <c r="H852" s="4" t="s">
        <v>67</v>
      </c>
      <c r="I852" s="4"/>
      <c r="J852" s="4"/>
      <c r="K852" s="4">
        <v>227</v>
      </c>
      <c r="L852" s="4">
        <v>6</v>
      </c>
      <c r="M852" s="4">
        <v>3</v>
      </c>
      <c r="N852" s="4" t="s">
        <v>3</v>
      </c>
      <c r="O852" s="4">
        <v>2</v>
      </c>
      <c r="P852" s="4"/>
      <c r="Q852" s="4"/>
      <c r="R852" s="4"/>
      <c r="S852" s="4"/>
      <c r="T852" s="4"/>
      <c r="U852" s="4"/>
      <c r="V852" s="4"/>
      <c r="W852" s="4"/>
    </row>
    <row r="853" spans="1:23" x14ac:dyDescent="0.2">
      <c r="A853" s="4">
        <v>50</v>
      </c>
      <c r="B853" s="4">
        <v>0</v>
      </c>
      <c r="C853" s="4">
        <v>0</v>
      </c>
      <c r="D853" s="4">
        <v>1</v>
      </c>
      <c r="E853" s="4">
        <v>228</v>
      </c>
      <c r="F853" s="4">
        <f>ROUND(Source!AY845,O853)</f>
        <v>2415005.46</v>
      </c>
      <c r="G853" s="4" t="s">
        <v>68</v>
      </c>
      <c r="H853" s="4" t="s">
        <v>69</v>
      </c>
      <c r="I853" s="4"/>
      <c r="J853" s="4"/>
      <c r="K853" s="4">
        <v>228</v>
      </c>
      <c r="L853" s="4">
        <v>7</v>
      </c>
      <c r="M853" s="4">
        <v>3</v>
      </c>
      <c r="N853" s="4" t="s">
        <v>3</v>
      </c>
      <c r="O853" s="4">
        <v>2</v>
      </c>
      <c r="P853" s="4"/>
      <c r="Q853" s="4"/>
      <c r="R853" s="4"/>
      <c r="S853" s="4"/>
      <c r="T853" s="4"/>
      <c r="U853" s="4"/>
      <c r="V853" s="4"/>
      <c r="W853" s="4"/>
    </row>
    <row r="854" spans="1:23" x14ac:dyDescent="0.2">
      <c r="A854" s="4">
        <v>50</v>
      </c>
      <c r="B854" s="4">
        <v>0</v>
      </c>
      <c r="C854" s="4">
        <v>0</v>
      </c>
      <c r="D854" s="4">
        <v>1</v>
      </c>
      <c r="E854" s="4">
        <v>216</v>
      </c>
      <c r="F854" s="4">
        <f>ROUND(Source!AP845,O854)</f>
        <v>0</v>
      </c>
      <c r="G854" s="4" t="s">
        <v>70</v>
      </c>
      <c r="H854" s="4" t="s">
        <v>71</v>
      </c>
      <c r="I854" s="4"/>
      <c r="J854" s="4"/>
      <c r="K854" s="4">
        <v>216</v>
      </c>
      <c r="L854" s="4">
        <v>8</v>
      </c>
      <c r="M854" s="4">
        <v>3</v>
      </c>
      <c r="N854" s="4" t="s">
        <v>3</v>
      </c>
      <c r="O854" s="4">
        <v>2</v>
      </c>
      <c r="P854" s="4"/>
      <c r="Q854" s="4"/>
      <c r="R854" s="4"/>
      <c r="S854" s="4"/>
      <c r="T854" s="4"/>
      <c r="U854" s="4"/>
      <c r="V854" s="4"/>
      <c r="W854" s="4"/>
    </row>
    <row r="855" spans="1:23" x14ac:dyDescent="0.2">
      <c r="A855" s="4">
        <v>50</v>
      </c>
      <c r="B855" s="4">
        <v>0</v>
      </c>
      <c r="C855" s="4">
        <v>0</v>
      </c>
      <c r="D855" s="4">
        <v>1</v>
      </c>
      <c r="E855" s="4">
        <v>223</v>
      </c>
      <c r="F855" s="4">
        <f>ROUND(Source!AQ845,O855)</f>
        <v>0</v>
      </c>
      <c r="G855" s="4" t="s">
        <v>72</v>
      </c>
      <c r="H855" s="4" t="s">
        <v>73</v>
      </c>
      <c r="I855" s="4"/>
      <c r="J855" s="4"/>
      <c r="K855" s="4">
        <v>223</v>
      </c>
      <c r="L855" s="4">
        <v>9</v>
      </c>
      <c r="M855" s="4">
        <v>3</v>
      </c>
      <c r="N855" s="4" t="s">
        <v>3</v>
      </c>
      <c r="O855" s="4">
        <v>2</v>
      </c>
      <c r="P855" s="4"/>
      <c r="Q855" s="4"/>
      <c r="R855" s="4"/>
      <c r="S855" s="4"/>
      <c r="T855" s="4"/>
      <c r="U855" s="4"/>
      <c r="V855" s="4"/>
      <c r="W855" s="4"/>
    </row>
    <row r="856" spans="1:23" x14ac:dyDescent="0.2">
      <c r="A856" s="4">
        <v>50</v>
      </c>
      <c r="B856" s="4">
        <v>0</v>
      </c>
      <c r="C856" s="4">
        <v>0</v>
      </c>
      <c r="D856" s="4">
        <v>1</v>
      </c>
      <c r="E856" s="4">
        <v>229</v>
      </c>
      <c r="F856" s="4">
        <f>ROUND(Source!AZ845,O856)</f>
        <v>0</v>
      </c>
      <c r="G856" s="4" t="s">
        <v>74</v>
      </c>
      <c r="H856" s="4" t="s">
        <v>75</v>
      </c>
      <c r="I856" s="4"/>
      <c r="J856" s="4"/>
      <c r="K856" s="4">
        <v>229</v>
      </c>
      <c r="L856" s="4">
        <v>10</v>
      </c>
      <c r="M856" s="4">
        <v>3</v>
      </c>
      <c r="N856" s="4" t="s">
        <v>3</v>
      </c>
      <c r="O856" s="4">
        <v>2</v>
      </c>
      <c r="P856" s="4"/>
      <c r="Q856" s="4"/>
      <c r="R856" s="4"/>
      <c r="S856" s="4"/>
      <c r="T856" s="4"/>
      <c r="U856" s="4"/>
      <c r="V856" s="4"/>
      <c r="W856" s="4"/>
    </row>
    <row r="857" spans="1:23" x14ac:dyDescent="0.2">
      <c r="A857" s="4">
        <v>50</v>
      </c>
      <c r="B857" s="4">
        <v>0</v>
      </c>
      <c r="C857" s="4">
        <v>0</v>
      </c>
      <c r="D857" s="4">
        <v>1</v>
      </c>
      <c r="E857" s="4">
        <v>203</v>
      </c>
      <c r="F857" s="4">
        <f>ROUND(Source!Q845,O857)</f>
        <v>111068.89</v>
      </c>
      <c r="G857" s="4" t="s">
        <v>76</v>
      </c>
      <c r="H857" s="4" t="s">
        <v>77</v>
      </c>
      <c r="I857" s="4"/>
      <c r="J857" s="4"/>
      <c r="K857" s="4">
        <v>203</v>
      </c>
      <c r="L857" s="4">
        <v>11</v>
      </c>
      <c r="M857" s="4">
        <v>3</v>
      </c>
      <c r="N857" s="4" t="s">
        <v>3</v>
      </c>
      <c r="O857" s="4">
        <v>2</v>
      </c>
      <c r="P857" s="4"/>
      <c r="Q857" s="4"/>
      <c r="R857" s="4"/>
      <c r="S857" s="4"/>
      <c r="T857" s="4"/>
      <c r="U857" s="4"/>
      <c r="V857" s="4"/>
      <c r="W857" s="4"/>
    </row>
    <row r="858" spans="1:23" x14ac:dyDescent="0.2">
      <c r="A858" s="4">
        <v>50</v>
      </c>
      <c r="B858" s="4">
        <v>0</v>
      </c>
      <c r="C858" s="4">
        <v>0</v>
      </c>
      <c r="D858" s="4">
        <v>1</v>
      </c>
      <c r="E858" s="4">
        <v>231</v>
      </c>
      <c r="F858" s="4">
        <f>ROUND(Source!BB845,O858)</f>
        <v>0</v>
      </c>
      <c r="G858" s="4" t="s">
        <v>78</v>
      </c>
      <c r="H858" s="4" t="s">
        <v>79</v>
      </c>
      <c r="I858" s="4"/>
      <c r="J858" s="4"/>
      <c r="K858" s="4">
        <v>231</v>
      </c>
      <c r="L858" s="4">
        <v>12</v>
      </c>
      <c r="M858" s="4">
        <v>3</v>
      </c>
      <c r="N858" s="4" t="s">
        <v>3</v>
      </c>
      <c r="O858" s="4">
        <v>2</v>
      </c>
      <c r="P858" s="4"/>
      <c r="Q858" s="4"/>
      <c r="R858" s="4"/>
      <c r="S858" s="4"/>
      <c r="T858" s="4"/>
      <c r="U858" s="4"/>
      <c r="V858" s="4"/>
      <c r="W858" s="4"/>
    </row>
    <row r="859" spans="1:23" x14ac:dyDescent="0.2">
      <c r="A859" s="4">
        <v>50</v>
      </c>
      <c r="B859" s="4">
        <v>0</v>
      </c>
      <c r="C859" s="4">
        <v>0</v>
      </c>
      <c r="D859" s="4">
        <v>1</v>
      </c>
      <c r="E859" s="4">
        <v>204</v>
      </c>
      <c r="F859" s="4">
        <f>ROUND(Source!R845,O859)</f>
        <v>34500.839999999997</v>
      </c>
      <c r="G859" s="4" t="s">
        <v>80</v>
      </c>
      <c r="H859" s="4" t="s">
        <v>81</v>
      </c>
      <c r="I859" s="4"/>
      <c r="J859" s="4"/>
      <c r="K859" s="4">
        <v>204</v>
      </c>
      <c r="L859" s="4">
        <v>13</v>
      </c>
      <c r="M859" s="4">
        <v>3</v>
      </c>
      <c r="N859" s="4" t="s">
        <v>3</v>
      </c>
      <c r="O859" s="4">
        <v>2</v>
      </c>
      <c r="P859" s="4"/>
      <c r="Q859" s="4"/>
      <c r="R859" s="4"/>
      <c r="S859" s="4"/>
      <c r="T859" s="4"/>
      <c r="U859" s="4"/>
      <c r="V859" s="4"/>
      <c r="W859" s="4"/>
    </row>
    <row r="860" spans="1:23" x14ac:dyDescent="0.2">
      <c r="A860" s="4">
        <v>50</v>
      </c>
      <c r="B860" s="4">
        <v>0</v>
      </c>
      <c r="C860" s="4">
        <v>0</v>
      </c>
      <c r="D860" s="4">
        <v>1</v>
      </c>
      <c r="E860" s="4">
        <v>205</v>
      </c>
      <c r="F860" s="4">
        <f>ROUND(Source!S845,O860)</f>
        <v>283656.65000000002</v>
      </c>
      <c r="G860" s="4" t="s">
        <v>82</v>
      </c>
      <c r="H860" s="4" t="s">
        <v>83</v>
      </c>
      <c r="I860" s="4"/>
      <c r="J860" s="4"/>
      <c r="K860" s="4">
        <v>205</v>
      </c>
      <c r="L860" s="4">
        <v>14</v>
      </c>
      <c r="M860" s="4">
        <v>3</v>
      </c>
      <c r="N860" s="4" t="s">
        <v>3</v>
      </c>
      <c r="O860" s="4">
        <v>2</v>
      </c>
      <c r="P860" s="4"/>
      <c r="Q860" s="4"/>
      <c r="R860" s="4"/>
      <c r="S860" s="4"/>
      <c r="T860" s="4"/>
      <c r="U860" s="4"/>
      <c r="V860" s="4"/>
      <c r="W860" s="4"/>
    </row>
    <row r="861" spans="1:23" x14ac:dyDescent="0.2">
      <c r="A861" s="4">
        <v>50</v>
      </c>
      <c r="B861" s="4">
        <v>0</v>
      </c>
      <c r="C861" s="4">
        <v>0</v>
      </c>
      <c r="D861" s="4">
        <v>1</v>
      </c>
      <c r="E861" s="4">
        <v>232</v>
      </c>
      <c r="F861" s="4">
        <f>ROUND(Source!BC845,O861)</f>
        <v>0</v>
      </c>
      <c r="G861" s="4" t="s">
        <v>84</v>
      </c>
      <c r="H861" s="4" t="s">
        <v>85</v>
      </c>
      <c r="I861" s="4"/>
      <c r="J861" s="4"/>
      <c r="K861" s="4">
        <v>232</v>
      </c>
      <c r="L861" s="4">
        <v>15</v>
      </c>
      <c r="M861" s="4">
        <v>3</v>
      </c>
      <c r="N861" s="4" t="s">
        <v>3</v>
      </c>
      <c r="O861" s="4">
        <v>2</v>
      </c>
      <c r="P861" s="4"/>
      <c r="Q861" s="4"/>
      <c r="R861" s="4"/>
      <c r="S861" s="4"/>
      <c r="T861" s="4"/>
      <c r="U861" s="4"/>
      <c r="V861" s="4"/>
      <c r="W861" s="4"/>
    </row>
    <row r="862" spans="1:23" x14ac:dyDescent="0.2">
      <c r="A862" s="4">
        <v>50</v>
      </c>
      <c r="B862" s="4">
        <v>0</v>
      </c>
      <c r="C862" s="4">
        <v>0</v>
      </c>
      <c r="D862" s="4">
        <v>1</v>
      </c>
      <c r="E862" s="4">
        <v>214</v>
      </c>
      <c r="F862" s="4">
        <f>ROUND(Source!AS845,O862)</f>
        <v>334951.74</v>
      </c>
      <c r="G862" s="4" t="s">
        <v>86</v>
      </c>
      <c r="H862" s="4" t="s">
        <v>87</v>
      </c>
      <c r="I862" s="4"/>
      <c r="J862" s="4"/>
      <c r="K862" s="4">
        <v>214</v>
      </c>
      <c r="L862" s="4">
        <v>16</v>
      </c>
      <c r="M862" s="4">
        <v>3</v>
      </c>
      <c r="N862" s="4" t="s">
        <v>3</v>
      </c>
      <c r="O862" s="4">
        <v>2</v>
      </c>
      <c r="P862" s="4"/>
      <c r="Q862" s="4"/>
      <c r="R862" s="4"/>
      <c r="S862" s="4"/>
      <c r="T862" s="4"/>
      <c r="U862" s="4"/>
      <c r="V862" s="4"/>
      <c r="W862" s="4"/>
    </row>
    <row r="863" spans="1:23" x14ac:dyDescent="0.2">
      <c r="A863" s="4">
        <v>50</v>
      </c>
      <c r="B863" s="4">
        <v>0</v>
      </c>
      <c r="C863" s="4">
        <v>0</v>
      </c>
      <c r="D863" s="4">
        <v>1</v>
      </c>
      <c r="E863" s="4">
        <v>215</v>
      </c>
      <c r="F863" s="4">
        <f>ROUND(Source!AT845,O863)</f>
        <v>0</v>
      </c>
      <c r="G863" s="4" t="s">
        <v>88</v>
      </c>
      <c r="H863" s="4" t="s">
        <v>89</v>
      </c>
      <c r="I863" s="4"/>
      <c r="J863" s="4"/>
      <c r="K863" s="4">
        <v>215</v>
      </c>
      <c r="L863" s="4">
        <v>17</v>
      </c>
      <c r="M863" s="4">
        <v>3</v>
      </c>
      <c r="N863" s="4" t="s">
        <v>3</v>
      </c>
      <c r="O863" s="4">
        <v>2</v>
      </c>
      <c r="P863" s="4"/>
      <c r="Q863" s="4"/>
      <c r="R863" s="4"/>
      <c r="S863" s="4"/>
      <c r="T863" s="4"/>
      <c r="U863" s="4"/>
      <c r="V863" s="4"/>
      <c r="W863" s="4"/>
    </row>
    <row r="864" spans="1:23" x14ac:dyDescent="0.2">
      <c r="A864" s="4">
        <v>50</v>
      </c>
      <c r="B864" s="4">
        <v>0</v>
      </c>
      <c r="C864" s="4">
        <v>0</v>
      </c>
      <c r="D864" s="4">
        <v>1</v>
      </c>
      <c r="E864" s="4">
        <v>217</v>
      </c>
      <c r="F864" s="4">
        <f>ROUND(Source!AU845,O864)</f>
        <v>2727333.17</v>
      </c>
      <c r="G864" s="4" t="s">
        <v>90</v>
      </c>
      <c r="H864" s="4" t="s">
        <v>91</v>
      </c>
      <c r="I864" s="4"/>
      <c r="J864" s="4"/>
      <c r="K864" s="4">
        <v>217</v>
      </c>
      <c r="L864" s="4">
        <v>18</v>
      </c>
      <c r="M864" s="4">
        <v>3</v>
      </c>
      <c r="N864" s="4" t="s">
        <v>3</v>
      </c>
      <c r="O864" s="4">
        <v>2</v>
      </c>
      <c r="P864" s="4"/>
      <c r="Q864" s="4"/>
      <c r="R864" s="4"/>
      <c r="S864" s="4"/>
      <c r="T864" s="4"/>
      <c r="U864" s="4"/>
      <c r="V864" s="4"/>
      <c r="W864" s="4"/>
    </row>
    <row r="865" spans="1:206" x14ac:dyDescent="0.2">
      <c r="A865" s="4">
        <v>50</v>
      </c>
      <c r="B865" s="4">
        <v>0</v>
      </c>
      <c r="C865" s="4">
        <v>0</v>
      </c>
      <c r="D865" s="4">
        <v>1</v>
      </c>
      <c r="E865" s="4">
        <v>230</v>
      </c>
      <c r="F865" s="4">
        <f>ROUND(Source!BA845,O865)</f>
        <v>0</v>
      </c>
      <c r="G865" s="4" t="s">
        <v>92</v>
      </c>
      <c r="H865" s="4" t="s">
        <v>93</v>
      </c>
      <c r="I865" s="4"/>
      <c r="J865" s="4"/>
      <c r="K865" s="4">
        <v>230</v>
      </c>
      <c r="L865" s="4">
        <v>19</v>
      </c>
      <c r="M865" s="4">
        <v>3</v>
      </c>
      <c r="N865" s="4" t="s">
        <v>3</v>
      </c>
      <c r="O865" s="4">
        <v>2</v>
      </c>
      <c r="P865" s="4"/>
      <c r="Q865" s="4"/>
      <c r="R865" s="4"/>
      <c r="S865" s="4"/>
      <c r="T865" s="4"/>
      <c r="U865" s="4"/>
      <c r="V865" s="4"/>
      <c r="W865" s="4"/>
    </row>
    <row r="866" spans="1:206" x14ac:dyDescent="0.2">
      <c r="A866" s="4">
        <v>50</v>
      </c>
      <c r="B866" s="4">
        <v>0</v>
      </c>
      <c r="C866" s="4">
        <v>0</v>
      </c>
      <c r="D866" s="4">
        <v>1</v>
      </c>
      <c r="E866" s="4">
        <v>206</v>
      </c>
      <c r="F866" s="4">
        <f>ROUND(Source!T845,O866)</f>
        <v>0</v>
      </c>
      <c r="G866" s="4" t="s">
        <v>94</v>
      </c>
      <c r="H866" s="4" t="s">
        <v>95</v>
      </c>
      <c r="I866" s="4"/>
      <c r="J866" s="4"/>
      <c r="K866" s="4">
        <v>206</v>
      </c>
      <c r="L866" s="4">
        <v>20</v>
      </c>
      <c r="M866" s="4">
        <v>3</v>
      </c>
      <c r="N866" s="4" t="s">
        <v>3</v>
      </c>
      <c r="O866" s="4">
        <v>2</v>
      </c>
      <c r="P866" s="4"/>
      <c r="Q866" s="4"/>
      <c r="R866" s="4"/>
      <c r="S866" s="4"/>
      <c r="T866" s="4"/>
      <c r="U866" s="4"/>
      <c r="V866" s="4"/>
      <c r="W866" s="4"/>
    </row>
    <row r="867" spans="1:206" x14ac:dyDescent="0.2">
      <c r="A867" s="4">
        <v>50</v>
      </c>
      <c r="B867" s="4">
        <v>0</v>
      </c>
      <c r="C867" s="4">
        <v>0</v>
      </c>
      <c r="D867" s="4">
        <v>1</v>
      </c>
      <c r="E867" s="4">
        <v>207</v>
      </c>
      <c r="F867" s="4">
        <f>Source!U845</f>
        <v>1354.9346799999998</v>
      </c>
      <c r="G867" s="4" t="s">
        <v>96</v>
      </c>
      <c r="H867" s="4" t="s">
        <v>97</v>
      </c>
      <c r="I867" s="4"/>
      <c r="J867" s="4"/>
      <c r="K867" s="4">
        <v>207</v>
      </c>
      <c r="L867" s="4">
        <v>21</v>
      </c>
      <c r="M867" s="4">
        <v>3</v>
      </c>
      <c r="N867" s="4" t="s">
        <v>3</v>
      </c>
      <c r="O867" s="4">
        <v>-1</v>
      </c>
      <c r="P867" s="4"/>
      <c r="Q867" s="4"/>
      <c r="R867" s="4"/>
      <c r="S867" s="4"/>
      <c r="T867" s="4"/>
      <c r="U867" s="4"/>
      <c r="V867" s="4"/>
      <c r="W867" s="4"/>
    </row>
    <row r="868" spans="1:206" x14ac:dyDescent="0.2">
      <c r="A868" s="4">
        <v>50</v>
      </c>
      <c r="B868" s="4">
        <v>0</v>
      </c>
      <c r="C868" s="4">
        <v>0</v>
      </c>
      <c r="D868" s="4">
        <v>1</v>
      </c>
      <c r="E868" s="4">
        <v>208</v>
      </c>
      <c r="F868" s="4">
        <f>Source!V845</f>
        <v>0</v>
      </c>
      <c r="G868" s="4" t="s">
        <v>98</v>
      </c>
      <c r="H868" s="4" t="s">
        <v>99</v>
      </c>
      <c r="I868" s="4"/>
      <c r="J868" s="4"/>
      <c r="K868" s="4">
        <v>208</v>
      </c>
      <c r="L868" s="4">
        <v>22</v>
      </c>
      <c r="M868" s="4">
        <v>3</v>
      </c>
      <c r="N868" s="4" t="s">
        <v>3</v>
      </c>
      <c r="O868" s="4">
        <v>-1</v>
      </c>
      <c r="P868" s="4"/>
      <c r="Q868" s="4"/>
      <c r="R868" s="4"/>
      <c r="S868" s="4"/>
      <c r="T868" s="4"/>
      <c r="U868" s="4"/>
      <c r="V868" s="4"/>
      <c r="W868" s="4"/>
    </row>
    <row r="869" spans="1:206" x14ac:dyDescent="0.2">
      <c r="A869" s="4">
        <v>50</v>
      </c>
      <c r="B869" s="4">
        <v>0</v>
      </c>
      <c r="C869" s="4">
        <v>0</v>
      </c>
      <c r="D869" s="4">
        <v>1</v>
      </c>
      <c r="E869" s="4">
        <v>209</v>
      </c>
      <c r="F869" s="4">
        <f>ROUND(Source!W845,O869)</f>
        <v>0</v>
      </c>
      <c r="G869" s="4" t="s">
        <v>100</v>
      </c>
      <c r="H869" s="4" t="s">
        <v>101</v>
      </c>
      <c r="I869" s="4"/>
      <c r="J869" s="4"/>
      <c r="K869" s="4">
        <v>209</v>
      </c>
      <c r="L869" s="4">
        <v>23</v>
      </c>
      <c r="M869" s="4">
        <v>3</v>
      </c>
      <c r="N869" s="4" t="s">
        <v>3</v>
      </c>
      <c r="O869" s="4">
        <v>2</v>
      </c>
      <c r="P869" s="4"/>
      <c r="Q869" s="4"/>
      <c r="R869" s="4"/>
      <c r="S869" s="4"/>
      <c r="T869" s="4"/>
      <c r="U869" s="4"/>
      <c r="V869" s="4"/>
      <c r="W869" s="4"/>
    </row>
    <row r="870" spans="1:206" x14ac:dyDescent="0.2">
      <c r="A870" s="4">
        <v>50</v>
      </c>
      <c r="B870" s="4">
        <v>0</v>
      </c>
      <c r="C870" s="4">
        <v>0</v>
      </c>
      <c r="D870" s="4">
        <v>1</v>
      </c>
      <c r="E870" s="4">
        <v>233</v>
      </c>
      <c r="F870" s="4">
        <f>ROUND(Source!BD845,O870)</f>
        <v>0</v>
      </c>
      <c r="G870" s="4" t="s">
        <v>102</v>
      </c>
      <c r="H870" s="4" t="s">
        <v>103</v>
      </c>
      <c r="I870" s="4"/>
      <c r="J870" s="4"/>
      <c r="K870" s="4">
        <v>233</v>
      </c>
      <c r="L870" s="4">
        <v>24</v>
      </c>
      <c r="M870" s="4">
        <v>3</v>
      </c>
      <c r="N870" s="4" t="s">
        <v>3</v>
      </c>
      <c r="O870" s="4">
        <v>2</v>
      </c>
      <c r="P870" s="4"/>
      <c r="Q870" s="4"/>
      <c r="R870" s="4"/>
      <c r="S870" s="4"/>
      <c r="T870" s="4"/>
      <c r="U870" s="4"/>
      <c r="V870" s="4"/>
      <c r="W870" s="4"/>
    </row>
    <row r="871" spans="1:206" x14ac:dyDescent="0.2">
      <c r="A871" s="4">
        <v>50</v>
      </c>
      <c r="B871" s="4">
        <v>0</v>
      </c>
      <c r="C871" s="4">
        <v>0</v>
      </c>
      <c r="D871" s="4">
        <v>1</v>
      </c>
      <c r="E871" s="4">
        <v>210</v>
      </c>
      <c r="F871" s="4">
        <f>ROUND(Source!X845,O871)</f>
        <v>198559.68</v>
      </c>
      <c r="G871" s="4" t="s">
        <v>104</v>
      </c>
      <c r="H871" s="4" t="s">
        <v>105</v>
      </c>
      <c r="I871" s="4"/>
      <c r="J871" s="4"/>
      <c r="K871" s="4">
        <v>210</v>
      </c>
      <c r="L871" s="4">
        <v>25</v>
      </c>
      <c r="M871" s="4">
        <v>3</v>
      </c>
      <c r="N871" s="4" t="s">
        <v>3</v>
      </c>
      <c r="O871" s="4">
        <v>2</v>
      </c>
      <c r="P871" s="4"/>
      <c r="Q871" s="4"/>
      <c r="R871" s="4"/>
      <c r="S871" s="4"/>
      <c r="T871" s="4"/>
      <c r="U871" s="4"/>
      <c r="V871" s="4"/>
      <c r="W871" s="4"/>
    </row>
    <row r="872" spans="1:206" x14ac:dyDescent="0.2">
      <c r="A872" s="4">
        <v>50</v>
      </c>
      <c r="B872" s="4">
        <v>0</v>
      </c>
      <c r="C872" s="4">
        <v>0</v>
      </c>
      <c r="D872" s="4">
        <v>1</v>
      </c>
      <c r="E872" s="4">
        <v>211</v>
      </c>
      <c r="F872" s="4">
        <f>ROUND(Source!Y845,O872)</f>
        <v>28365.68</v>
      </c>
      <c r="G872" s="4" t="s">
        <v>106</v>
      </c>
      <c r="H872" s="4" t="s">
        <v>107</v>
      </c>
      <c r="I872" s="4"/>
      <c r="J872" s="4"/>
      <c r="K872" s="4">
        <v>211</v>
      </c>
      <c r="L872" s="4">
        <v>26</v>
      </c>
      <c r="M872" s="4">
        <v>3</v>
      </c>
      <c r="N872" s="4" t="s">
        <v>3</v>
      </c>
      <c r="O872" s="4">
        <v>2</v>
      </c>
      <c r="P872" s="4"/>
      <c r="Q872" s="4"/>
      <c r="R872" s="4"/>
      <c r="S872" s="4"/>
      <c r="T872" s="4"/>
      <c r="U872" s="4"/>
      <c r="V872" s="4"/>
      <c r="W872" s="4"/>
    </row>
    <row r="873" spans="1:206" x14ac:dyDescent="0.2">
      <c r="A873" s="4">
        <v>50</v>
      </c>
      <c r="B873" s="4">
        <v>0</v>
      </c>
      <c r="C873" s="4">
        <v>0</v>
      </c>
      <c r="D873" s="4">
        <v>1</v>
      </c>
      <c r="E873" s="4">
        <v>224</v>
      </c>
      <c r="F873" s="4">
        <f>ROUND(Source!AR845,O873)</f>
        <v>3062284.91</v>
      </c>
      <c r="G873" s="4" t="s">
        <v>108</v>
      </c>
      <c r="H873" s="4" t="s">
        <v>109</v>
      </c>
      <c r="I873" s="4"/>
      <c r="J873" s="4"/>
      <c r="K873" s="4">
        <v>224</v>
      </c>
      <c r="L873" s="4">
        <v>27</v>
      </c>
      <c r="M873" s="4">
        <v>3</v>
      </c>
      <c r="N873" s="4" t="s">
        <v>3</v>
      </c>
      <c r="O873" s="4">
        <v>2</v>
      </c>
      <c r="P873" s="4"/>
      <c r="Q873" s="4"/>
      <c r="R873" s="4"/>
      <c r="S873" s="4"/>
      <c r="T873" s="4"/>
      <c r="U873" s="4"/>
      <c r="V873" s="4"/>
      <c r="W873" s="4"/>
    </row>
    <row r="874" spans="1:206" x14ac:dyDescent="0.2">
      <c r="A874" s="4">
        <v>50</v>
      </c>
      <c r="B874" s="4">
        <v>1</v>
      </c>
      <c r="C874" s="4">
        <v>0</v>
      </c>
      <c r="D874" s="4">
        <v>2</v>
      </c>
      <c r="E874" s="4">
        <v>0</v>
      </c>
      <c r="F874" s="4">
        <f>ROUND(F873*0.2,O874)</f>
        <v>612456.98</v>
      </c>
      <c r="G874" s="4" t="s">
        <v>227</v>
      </c>
      <c r="H874" s="4" t="s">
        <v>228</v>
      </c>
      <c r="I874" s="4"/>
      <c r="J874" s="4"/>
      <c r="K874" s="4">
        <v>212</v>
      </c>
      <c r="L874" s="4">
        <v>28</v>
      </c>
      <c r="M874" s="4">
        <v>0</v>
      </c>
      <c r="N874" s="4" t="s">
        <v>3</v>
      </c>
      <c r="O874" s="4">
        <v>2</v>
      </c>
      <c r="P874" s="4"/>
      <c r="Q874" s="4"/>
      <c r="R874" s="4"/>
      <c r="S874" s="4"/>
      <c r="T874" s="4"/>
      <c r="U874" s="4"/>
      <c r="V874" s="4"/>
      <c r="W874" s="4"/>
    </row>
    <row r="875" spans="1:206" x14ac:dyDescent="0.2">
      <c r="A875" s="4">
        <v>50</v>
      </c>
      <c r="B875" s="4">
        <v>1</v>
      </c>
      <c r="C875" s="4">
        <v>0</v>
      </c>
      <c r="D875" s="4">
        <v>2</v>
      </c>
      <c r="E875" s="4">
        <v>213</v>
      </c>
      <c r="F875" s="4">
        <f>ROUND(F873+F874,O875)</f>
        <v>3674741.89</v>
      </c>
      <c r="G875" s="4" t="s">
        <v>229</v>
      </c>
      <c r="H875" s="4" t="s">
        <v>230</v>
      </c>
      <c r="I875" s="4"/>
      <c r="J875" s="4"/>
      <c r="K875" s="4">
        <v>212</v>
      </c>
      <c r="L875" s="4">
        <v>29</v>
      </c>
      <c r="M875" s="4">
        <v>0</v>
      </c>
      <c r="N875" s="4" t="s">
        <v>3</v>
      </c>
      <c r="O875" s="4">
        <v>2</v>
      </c>
      <c r="P875" s="4"/>
      <c r="Q875" s="4"/>
      <c r="R875" s="4"/>
      <c r="S875" s="4"/>
      <c r="T875" s="4"/>
      <c r="U875" s="4"/>
      <c r="V875" s="4"/>
      <c r="W875" s="4"/>
    </row>
    <row r="877" spans="1:206" x14ac:dyDescent="0.2">
      <c r="A877" s="1">
        <v>3</v>
      </c>
      <c r="B877" s="1">
        <v>1</v>
      </c>
      <c r="C877" s="1"/>
      <c r="D877" s="1">
        <f>ROW(A1015)</f>
        <v>1015</v>
      </c>
      <c r="E877" s="1"/>
      <c r="F877" s="1" t="s">
        <v>11</v>
      </c>
      <c r="G877" s="1" t="s">
        <v>318</v>
      </c>
      <c r="H877" s="1" t="s">
        <v>3</v>
      </c>
      <c r="I877" s="1">
        <v>0</v>
      </c>
      <c r="J877" s="1" t="s">
        <v>3</v>
      </c>
      <c r="K877" s="1">
        <v>0</v>
      </c>
      <c r="L877" s="1" t="s">
        <v>3</v>
      </c>
      <c r="M877" s="1"/>
      <c r="N877" s="1"/>
      <c r="O877" s="1"/>
      <c r="P877" s="1"/>
      <c r="Q877" s="1"/>
      <c r="R877" s="1"/>
      <c r="S877" s="1"/>
      <c r="T877" s="1"/>
      <c r="U877" s="1" t="s">
        <v>3</v>
      </c>
      <c r="V877" s="1">
        <v>0</v>
      </c>
      <c r="W877" s="1"/>
      <c r="X877" s="1"/>
      <c r="Y877" s="1"/>
      <c r="Z877" s="1"/>
      <c r="AA877" s="1"/>
      <c r="AB877" s="1" t="s">
        <v>3</v>
      </c>
      <c r="AC877" s="1" t="s">
        <v>3</v>
      </c>
      <c r="AD877" s="1" t="s">
        <v>3</v>
      </c>
      <c r="AE877" s="1" t="s">
        <v>3</v>
      </c>
      <c r="AF877" s="1" t="s">
        <v>3</v>
      </c>
      <c r="AG877" s="1" t="s">
        <v>3</v>
      </c>
      <c r="AH877" s="1"/>
      <c r="AI877" s="1"/>
      <c r="AJ877" s="1"/>
      <c r="AK877" s="1"/>
      <c r="AL877" s="1"/>
      <c r="AM877" s="1"/>
      <c r="AN877" s="1"/>
      <c r="AO877" s="1"/>
      <c r="AP877" s="1" t="s">
        <v>3</v>
      </c>
      <c r="AQ877" s="1" t="s">
        <v>3</v>
      </c>
      <c r="AR877" s="1" t="s">
        <v>3</v>
      </c>
      <c r="AS877" s="1"/>
      <c r="AT877" s="1"/>
      <c r="AU877" s="1"/>
      <c r="AV877" s="1"/>
      <c r="AW877" s="1"/>
      <c r="AX877" s="1"/>
      <c r="AY877" s="1"/>
      <c r="AZ877" s="1" t="s">
        <v>3</v>
      </c>
      <c r="BA877" s="1"/>
      <c r="BB877" s="1" t="s">
        <v>3</v>
      </c>
      <c r="BC877" s="1" t="s">
        <v>3</v>
      </c>
      <c r="BD877" s="1" t="s">
        <v>3</v>
      </c>
      <c r="BE877" s="1" t="s">
        <v>3</v>
      </c>
      <c r="BF877" s="1" t="s">
        <v>3</v>
      </c>
      <c r="BG877" s="1" t="s">
        <v>3</v>
      </c>
      <c r="BH877" s="1" t="s">
        <v>3</v>
      </c>
      <c r="BI877" s="1" t="s">
        <v>3</v>
      </c>
      <c r="BJ877" s="1" t="s">
        <v>3</v>
      </c>
      <c r="BK877" s="1" t="s">
        <v>3</v>
      </c>
      <c r="BL877" s="1" t="s">
        <v>3</v>
      </c>
      <c r="BM877" s="1" t="s">
        <v>3</v>
      </c>
      <c r="BN877" s="1" t="s">
        <v>3</v>
      </c>
      <c r="BO877" s="1" t="s">
        <v>3</v>
      </c>
      <c r="BP877" s="1" t="s">
        <v>3</v>
      </c>
      <c r="BQ877" s="1"/>
      <c r="BR877" s="1"/>
      <c r="BS877" s="1"/>
      <c r="BT877" s="1"/>
      <c r="BU877" s="1"/>
      <c r="BV877" s="1"/>
      <c r="BW877" s="1"/>
      <c r="BX877" s="1">
        <v>0</v>
      </c>
      <c r="BY877" s="1"/>
      <c r="BZ877" s="1"/>
      <c r="CA877" s="1"/>
      <c r="CB877" s="1"/>
      <c r="CC877" s="1"/>
      <c r="CD877" s="1"/>
      <c r="CE877" s="1"/>
      <c r="CF877" s="1">
        <v>0</v>
      </c>
      <c r="CG877" s="1">
        <v>0</v>
      </c>
      <c r="CH877" s="1"/>
      <c r="CI877" s="1" t="s">
        <v>3</v>
      </c>
      <c r="CJ877" s="1" t="s">
        <v>3</v>
      </c>
      <c r="CK877" t="s">
        <v>3</v>
      </c>
      <c r="CL877" t="s">
        <v>3</v>
      </c>
      <c r="CM877" t="s">
        <v>3</v>
      </c>
      <c r="CN877" t="s">
        <v>3</v>
      </c>
      <c r="CO877" t="s">
        <v>3</v>
      </c>
      <c r="CP877" t="s">
        <v>3</v>
      </c>
    </row>
    <row r="879" spans="1:206" x14ac:dyDescent="0.2">
      <c r="A879" s="2">
        <v>52</v>
      </c>
      <c r="B879" s="2">
        <f t="shared" ref="B879:G879" si="586">B1015</f>
        <v>1</v>
      </c>
      <c r="C879" s="2">
        <f t="shared" si="586"/>
        <v>3</v>
      </c>
      <c r="D879" s="2">
        <f t="shared" si="586"/>
        <v>877</v>
      </c>
      <c r="E879" s="2">
        <f t="shared" si="586"/>
        <v>0</v>
      </c>
      <c r="F879" s="2" t="str">
        <f t="shared" si="586"/>
        <v>Новая локальная смета</v>
      </c>
      <c r="G879" s="2" t="str">
        <f t="shared" si="586"/>
        <v>Ремонт экотроп (ЛЗ "Тропаревский" - 2,77 км (деревянные настилы - 4080 кв.м,деревянные перила - 315 кв.м, деревянная лестница - 208 кв.м) с демонтажем и монтажем МАФ</v>
      </c>
      <c r="H879" s="2"/>
      <c r="I879" s="2"/>
      <c r="J879" s="2"/>
      <c r="K879" s="2"/>
      <c r="L879" s="2"/>
      <c r="M879" s="2"/>
      <c r="N879" s="2"/>
      <c r="O879" s="2">
        <f t="shared" ref="O879:AT879" si="587">O1015</f>
        <v>4946256.5</v>
      </c>
      <c r="P879" s="2">
        <f t="shared" si="587"/>
        <v>4555211.0199999996</v>
      </c>
      <c r="Q879" s="2">
        <f t="shared" si="587"/>
        <v>67640.149999999994</v>
      </c>
      <c r="R879" s="2">
        <f t="shared" si="587"/>
        <v>38336.620000000003</v>
      </c>
      <c r="S879" s="2">
        <f t="shared" si="587"/>
        <v>323405.33</v>
      </c>
      <c r="T879" s="2">
        <f t="shared" si="587"/>
        <v>0</v>
      </c>
      <c r="U879" s="2">
        <f t="shared" si="587"/>
        <v>1822.09353676</v>
      </c>
      <c r="V879" s="2">
        <f t="shared" si="587"/>
        <v>0</v>
      </c>
      <c r="W879" s="2">
        <f t="shared" si="587"/>
        <v>0</v>
      </c>
      <c r="X879" s="2">
        <f t="shared" si="587"/>
        <v>226383.74</v>
      </c>
      <c r="Y879" s="2">
        <f t="shared" si="587"/>
        <v>32340.55</v>
      </c>
      <c r="Z879" s="2">
        <f t="shared" si="587"/>
        <v>0</v>
      </c>
      <c r="AA879" s="2">
        <f t="shared" si="587"/>
        <v>0</v>
      </c>
      <c r="AB879" s="2">
        <f t="shared" si="587"/>
        <v>0</v>
      </c>
      <c r="AC879" s="2">
        <f t="shared" si="587"/>
        <v>0</v>
      </c>
      <c r="AD879" s="2">
        <f t="shared" si="587"/>
        <v>0</v>
      </c>
      <c r="AE879" s="2">
        <f t="shared" si="587"/>
        <v>0</v>
      </c>
      <c r="AF879" s="2">
        <f t="shared" si="587"/>
        <v>0</v>
      </c>
      <c r="AG879" s="2">
        <f t="shared" si="587"/>
        <v>0</v>
      </c>
      <c r="AH879" s="2">
        <f t="shared" si="587"/>
        <v>0</v>
      </c>
      <c r="AI879" s="2">
        <f t="shared" si="587"/>
        <v>0</v>
      </c>
      <c r="AJ879" s="2">
        <f t="shared" si="587"/>
        <v>0</v>
      </c>
      <c r="AK879" s="2">
        <f t="shared" si="587"/>
        <v>0</v>
      </c>
      <c r="AL879" s="2">
        <f t="shared" si="587"/>
        <v>0</v>
      </c>
      <c r="AM879" s="2">
        <f t="shared" si="587"/>
        <v>0</v>
      </c>
      <c r="AN879" s="2">
        <f t="shared" si="587"/>
        <v>0</v>
      </c>
      <c r="AO879" s="2">
        <f t="shared" si="587"/>
        <v>0</v>
      </c>
      <c r="AP879" s="2">
        <f t="shared" si="587"/>
        <v>0</v>
      </c>
      <c r="AQ879" s="2">
        <f t="shared" si="587"/>
        <v>0</v>
      </c>
      <c r="AR879" s="2">
        <f t="shared" si="587"/>
        <v>5206885.04</v>
      </c>
      <c r="AS879" s="2">
        <f t="shared" si="587"/>
        <v>3120740.46</v>
      </c>
      <c r="AT879" s="2">
        <f t="shared" si="587"/>
        <v>0</v>
      </c>
      <c r="AU879" s="2">
        <f t="shared" ref="AU879:BZ879" si="588">AU1015</f>
        <v>2086144.58</v>
      </c>
      <c r="AV879" s="2">
        <f t="shared" si="588"/>
        <v>4555211.0199999996</v>
      </c>
      <c r="AW879" s="2">
        <f t="shared" si="588"/>
        <v>4555211.0199999996</v>
      </c>
      <c r="AX879" s="2">
        <f t="shared" si="588"/>
        <v>0</v>
      </c>
      <c r="AY879" s="2">
        <f t="shared" si="588"/>
        <v>4555211.0199999996</v>
      </c>
      <c r="AZ879" s="2">
        <f t="shared" si="588"/>
        <v>0</v>
      </c>
      <c r="BA879" s="2">
        <f t="shared" si="588"/>
        <v>0</v>
      </c>
      <c r="BB879" s="2">
        <f t="shared" si="588"/>
        <v>0</v>
      </c>
      <c r="BC879" s="2">
        <f t="shared" si="588"/>
        <v>0</v>
      </c>
      <c r="BD879" s="2">
        <f t="shared" si="588"/>
        <v>0</v>
      </c>
      <c r="BE879" s="2">
        <f t="shared" si="588"/>
        <v>0</v>
      </c>
      <c r="BF879" s="2">
        <f t="shared" si="588"/>
        <v>0</v>
      </c>
      <c r="BG879" s="2">
        <f t="shared" si="588"/>
        <v>0</v>
      </c>
      <c r="BH879" s="2">
        <f t="shared" si="588"/>
        <v>0</v>
      </c>
      <c r="BI879" s="2">
        <f t="shared" si="588"/>
        <v>0</v>
      </c>
      <c r="BJ879" s="2">
        <f t="shared" si="588"/>
        <v>0</v>
      </c>
      <c r="BK879" s="2">
        <f t="shared" si="588"/>
        <v>0</v>
      </c>
      <c r="BL879" s="2">
        <f t="shared" si="588"/>
        <v>0</v>
      </c>
      <c r="BM879" s="2">
        <f t="shared" si="588"/>
        <v>0</v>
      </c>
      <c r="BN879" s="2">
        <f t="shared" si="588"/>
        <v>0</v>
      </c>
      <c r="BO879" s="2">
        <f t="shared" si="588"/>
        <v>0</v>
      </c>
      <c r="BP879" s="2">
        <f t="shared" si="588"/>
        <v>0</v>
      </c>
      <c r="BQ879" s="2">
        <f t="shared" si="588"/>
        <v>0</v>
      </c>
      <c r="BR879" s="2">
        <f t="shared" si="588"/>
        <v>0</v>
      </c>
      <c r="BS879" s="2">
        <f t="shared" si="588"/>
        <v>0</v>
      </c>
      <c r="BT879" s="2">
        <f t="shared" si="588"/>
        <v>0</v>
      </c>
      <c r="BU879" s="2">
        <f t="shared" si="588"/>
        <v>0</v>
      </c>
      <c r="BV879" s="2">
        <f t="shared" si="588"/>
        <v>0</v>
      </c>
      <c r="BW879" s="2">
        <f t="shared" si="588"/>
        <v>0</v>
      </c>
      <c r="BX879" s="2">
        <f t="shared" si="588"/>
        <v>0</v>
      </c>
      <c r="BY879" s="2">
        <f t="shared" si="588"/>
        <v>0</v>
      </c>
      <c r="BZ879" s="2">
        <f t="shared" si="588"/>
        <v>0</v>
      </c>
      <c r="CA879" s="2">
        <f t="shared" ref="CA879:DF879" si="589">CA1015</f>
        <v>0</v>
      </c>
      <c r="CB879" s="2">
        <f t="shared" si="589"/>
        <v>0</v>
      </c>
      <c r="CC879" s="2">
        <f t="shared" si="589"/>
        <v>0</v>
      </c>
      <c r="CD879" s="2">
        <f t="shared" si="589"/>
        <v>0</v>
      </c>
      <c r="CE879" s="2">
        <f t="shared" si="589"/>
        <v>0</v>
      </c>
      <c r="CF879" s="2">
        <f t="shared" si="589"/>
        <v>0</v>
      </c>
      <c r="CG879" s="2">
        <f t="shared" si="589"/>
        <v>0</v>
      </c>
      <c r="CH879" s="2">
        <f t="shared" si="589"/>
        <v>0</v>
      </c>
      <c r="CI879" s="2">
        <f t="shared" si="589"/>
        <v>0</v>
      </c>
      <c r="CJ879" s="2">
        <f t="shared" si="589"/>
        <v>0</v>
      </c>
      <c r="CK879" s="2">
        <f t="shared" si="589"/>
        <v>0</v>
      </c>
      <c r="CL879" s="2">
        <f t="shared" si="589"/>
        <v>0</v>
      </c>
      <c r="CM879" s="2">
        <f t="shared" si="589"/>
        <v>0</v>
      </c>
      <c r="CN879" s="2">
        <f t="shared" si="589"/>
        <v>0</v>
      </c>
      <c r="CO879" s="2">
        <f t="shared" si="589"/>
        <v>0</v>
      </c>
      <c r="CP879" s="2">
        <f t="shared" si="589"/>
        <v>0</v>
      </c>
      <c r="CQ879" s="2">
        <f t="shared" si="589"/>
        <v>0</v>
      </c>
      <c r="CR879" s="2">
        <f t="shared" si="589"/>
        <v>0</v>
      </c>
      <c r="CS879" s="2">
        <f t="shared" si="589"/>
        <v>0</v>
      </c>
      <c r="CT879" s="2">
        <f t="shared" si="589"/>
        <v>0</v>
      </c>
      <c r="CU879" s="2">
        <f t="shared" si="589"/>
        <v>0</v>
      </c>
      <c r="CV879" s="2">
        <f t="shared" si="589"/>
        <v>0</v>
      </c>
      <c r="CW879" s="2">
        <f t="shared" si="589"/>
        <v>0</v>
      </c>
      <c r="CX879" s="2">
        <f t="shared" si="589"/>
        <v>0</v>
      </c>
      <c r="CY879" s="2">
        <f t="shared" si="589"/>
        <v>0</v>
      </c>
      <c r="CZ879" s="2">
        <f t="shared" si="589"/>
        <v>0</v>
      </c>
      <c r="DA879" s="2">
        <f t="shared" si="589"/>
        <v>0</v>
      </c>
      <c r="DB879" s="2">
        <f t="shared" si="589"/>
        <v>0</v>
      </c>
      <c r="DC879" s="2">
        <f t="shared" si="589"/>
        <v>0</v>
      </c>
      <c r="DD879" s="2">
        <f t="shared" si="589"/>
        <v>0</v>
      </c>
      <c r="DE879" s="2">
        <f t="shared" si="589"/>
        <v>0</v>
      </c>
      <c r="DF879" s="2">
        <f t="shared" si="589"/>
        <v>0</v>
      </c>
      <c r="DG879" s="3">
        <f t="shared" ref="DG879:EL879" si="590">DG1015</f>
        <v>0</v>
      </c>
      <c r="DH879" s="3">
        <f t="shared" si="590"/>
        <v>0</v>
      </c>
      <c r="DI879" s="3">
        <f t="shared" si="590"/>
        <v>0</v>
      </c>
      <c r="DJ879" s="3">
        <f t="shared" si="590"/>
        <v>0</v>
      </c>
      <c r="DK879" s="3">
        <f t="shared" si="590"/>
        <v>0</v>
      </c>
      <c r="DL879" s="3">
        <f t="shared" si="590"/>
        <v>0</v>
      </c>
      <c r="DM879" s="3">
        <f t="shared" si="590"/>
        <v>0</v>
      </c>
      <c r="DN879" s="3">
        <f t="shared" si="590"/>
        <v>0</v>
      </c>
      <c r="DO879" s="3">
        <f t="shared" si="590"/>
        <v>0</v>
      </c>
      <c r="DP879" s="3">
        <f t="shared" si="590"/>
        <v>0</v>
      </c>
      <c r="DQ879" s="3">
        <f t="shared" si="590"/>
        <v>0</v>
      </c>
      <c r="DR879" s="3">
        <f t="shared" si="590"/>
        <v>0</v>
      </c>
      <c r="DS879" s="3">
        <f t="shared" si="590"/>
        <v>0</v>
      </c>
      <c r="DT879" s="3">
        <f t="shared" si="590"/>
        <v>0</v>
      </c>
      <c r="DU879" s="3">
        <f t="shared" si="590"/>
        <v>0</v>
      </c>
      <c r="DV879" s="3">
        <f t="shared" si="590"/>
        <v>0</v>
      </c>
      <c r="DW879" s="3">
        <f t="shared" si="590"/>
        <v>0</v>
      </c>
      <c r="DX879" s="3">
        <f t="shared" si="590"/>
        <v>0</v>
      </c>
      <c r="DY879" s="3">
        <f t="shared" si="590"/>
        <v>0</v>
      </c>
      <c r="DZ879" s="3">
        <f t="shared" si="590"/>
        <v>0</v>
      </c>
      <c r="EA879" s="3">
        <f t="shared" si="590"/>
        <v>0</v>
      </c>
      <c r="EB879" s="3">
        <f t="shared" si="590"/>
        <v>0</v>
      </c>
      <c r="EC879" s="3">
        <f t="shared" si="590"/>
        <v>0</v>
      </c>
      <c r="ED879" s="3">
        <f t="shared" si="590"/>
        <v>0</v>
      </c>
      <c r="EE879" s="3">
        <f t="shared" si="590"/>
        <v>0</v>
      </c>
      <c r="EF879" s="3">
        <f t="shared" si="590"/>
        <v>0</v>
      </c>
      <c r="EG879" s="3">
        <f t="shared" si="590"/>
        <v>0</v>
      </c>
      <c r="EH879" s="3">
        <f t="shared" si="590"/>
        <v>0</v>
      </c>
      <c r="EI879" s="3">
        <f t="shared" si="590"/>
        <v>0</v>
      </c>
      <c r="EJ879" s="3">
        <f t="shared" si="590"/>
        <v>0</v>
      </c>
      <c r="EK879" s="3">
        <f t="shared" si="590"/>
        <v>0</v>
      </c>
      <c r="EL879" s="3">
        <f t="shared" si="590"/>
        <v>0</v>
      </c>
      <c r="EM879" s="3">
        <f t="shared" ref="EM879:FR879" si="591">EM1015</f>
        <v>0</v>
      </c>
      <c r="EN879" s="3">
        <f t="shared" si="591"/>
        <v>0</v>
      </c>
      <c r="EO879" s="3">
        <f t="shared" si="591"/>
        <v>0</v>
      </c>
      <c r="EP879" s="3">
        <f t="shared" si="591"/>
        <v>0</v>
      </c>
      <c r="EQ879" s="3">
        <f t="shared" si="591"/>
        <v>0</v>
      </c>
      <c r="ER879" s="3">
        <f t="shared" si="591"/>
        <v>0</v>
      </c>
      <c r="ES879" s="3">
        <f t="shared" si="591"/>
        <v>0</v>
      </c>
      <c r="ET879" s="3">
        <f t="shared" si="591"/>
        <v>0</v>
      </c>
      <c r="EU879" s="3">
        <f t="shared" si="591"/>
        <v>0</v>
      </c>
      <c r="EV879" s="3">
        <f t="shared" si="591"/>
        <v>0</v>
      </c>
      <c r="EW879" s="3">
        <f t="shared" si="591"/>
        <v>0</v>
      </c>
      <c r="EX879" s="3">
        <f t="shared" si="591"/>
        <v>0</v>
      </c>
      <c r="EY879" s="3">
        <f t="shared" si="591"/>
        <v>0</v>
      </c>
      <c r="EZ879" s="3">
        <f t="shared" si="591"/>
        <v>0</v>
      </c>
      <c r="FA879" s="3">
        <f t="shared" si="591"/>
        <v>0</v>
      </c>
      <c r="FB879" s="3">
        <f t="shared" si="591"/>
        <v>0</v>
      </c>
      <c r="FC879" s="3">
        <f t="shared" si="591"/>
        <v>0</v>
      </c>
      <c r="FD879" s="3">
        <f t="shared" si="591"/>
        <v>0</v>
      </c>
      <c r="FE879" s="3">
        <f t="shared" si="591"/>
        <v>0</v>
      </c>
      <c r="FF879" s="3">
        <f t="shared" si="591"/>
        <v>0</v>
      </c>
      <c r="FG879" s="3">
        <f t="shared" si="591"/>
        <v>0</v>
      </c>
      <c r="FH879" s="3">
        <f t="shared" si="591"/>
        <v>0</v>
      </c>
      <c r="FI879" s="3">
        <f t="shared" si="591"/>
        <v>0</v>
      </c>
      <c r="FJ879" s="3">
        <f t="shared" si="591"/>
        <v>0</v>
      </c>
      <c r="FK879" s="3">
        <f t="shared" si="591"/>
        <v>0</v>
      </c>
      <c r="FL879" s="3">
        <f t="shared" si="591"/>
        <v>0</v>
      </c>
      <c r="FM879" s="3">
        <f t="shared" si="591"/>
        <v>0</v>
      </c>
      <c r="FN879" s="3">
        <f t="shared" si="591"/>
        <v>0</v>
      </c>
      <c r="FO879" s="3">
        <f t="shared" si="591"/>
        <v>0</v>
      </c>
      <c r="FP879" s="3">
        <f t="shared" si="591"/>
        <v>0</v>
      </c>
      <c r="FQ879" s="3">
        <f t="shared" si="591"/>
        <v>0</v>
      </c>
      <c r="FR879" s="3">
        <f t="shared" si="591"/>
        <v>0</v>
      </c>
      <c r="FS879" s="3">
        <f t="shared" ref="FS879:GX879" si="592">FS1015</f>
        <v>0</v>
      </c>
      <c r="FT879" s="3">
        <f t="shared" si="592"/>
        <v>0</v>
      </c>
      <c r="FU879" s="3">
        <f t="shared" si="592"/>
        <v>0</v>
      </c>
      <c r="FV879" s="3">
        <f t="shared" si="592"/>
        <v>0</v>
      </c>
      <c r="FW879" s="3">
        <f t="shared" si="592"/>
        <v>0</v>
      </c>
      <c r="FX879" s="3">
        <f t="shared" si="592"/>
        <v>0</v>
      </c>
      <c r="FY879" s="3">
        <f t="shared" si="592"/>
        <v>0</v>
      </c>
      <c r="FZ879" s="3">
        <f t="shared" si="592"/>
        <v>0</v>
      </c>
      <c r="GA879" s="3">
        <f t="shared" si="592"/>
        <v>0</v>
      </c>
      <c r="GB879" s="3">
        <f t="shared" si="592"/>
        <v>0</v>
      </c>
      <c r="GC879" s="3">
        <f t="shared" si="592"/>
        <v>0</v>
      </c>
      <c r="GD879" s="3">
        <f t="shared" si="592"/>
        <v>0</v>
      </c>
      <c r="GE879" s="3">
        <f t="shared" si="592"/>
        <v>0</v>
      </c>
      <c r="GF879" s="3">
        <f t="shared" si="592"/>
        <v>0</v>
      </c>
      <c r="GG879" s="3">
        <f t="shared" si="592"/>
        <v>0</v>
      </c>
      <c r="GH879" s="3">
        <f t="shared" si="592"/>
        <v>0</v>
      </c>
      <c r="GI879" s="3">
        <f t="shared" si="592"/>
        <v>0</v>
      </c>
      <c r="GJ879" s="3">
        <f t="shared" si="592"/>
        <v>0</v>
      </c>
      <c r="GK879" s="3">
        <f t="shared" si="592"/>
        <v>0</v>
      </c>
      <c r="GL879" s="3">
        <f t="shared" si="592"/>
        <v>0</v>
      </c>
      <c r="GM879" s="3">
        <f t="shared" si="592"/>
        <v>0</v>
      </c>
      <c r="GN879" s="3">
        <f t="shared" si="592"/>
        <v>0</v>
      </c>
      <c r="GO879" s="3">
        <f t="shared" si="592"/>
        <v>0</v>
      </c>
      <c r="GP879" s="3">
        <f t="shared" si="592"/>
        <v>0</v>
      </c>
      <c r="GQ879" s="3">
        <f t="shared" si="592"/>
        <v>0</v>
      </c>
      <c r="GR879" s="3">
        <f t="shared" si="592"/>
        <v>0</v>
      </c>
      <c r="GS879" s="3">
        <f t="shared" si="592"/>
        <v>0</v>
      </c>
      <c r="GT879" s="3">
        <f t="shared" si="592"/>
        <v>0</v>
      </c>
      <c r="GU879" s="3">
        <f t="shared" si="592"/>
        <v>0</v>
      </c>
      <c r="GV879" s="3">
        <f t="shared" si="592"/>
        <v>0</v>
      </c>
      <c r="GW879" s="3">
        <f t="shared" si="592"/>
        <v>0</v>
      </c>
      <c r="GX879" s="3">
        <f t="shared" si="592"/>
        <v>0</v>
      </c>
    </row>
    <row r="881" spans="1:245" x14ac:dyDescent="0.2">
      <c r="A881" s="1">
        <v>4</v>
      </c>
      <c r="B881" s="1">
        <v>1</v>
      </c>
      <c r="C881" s="1"/>
      <c r="D881" s="1">
        <f>ROW(A985)</f>
        <v>985</v>
      </c>
      <c r="E881" s="1"/>
      <c r="F881" s="1" t="s">
        <v>15</v>
      </c>
      <c r="G881" s="1" t="s">
        <v>319</v>
      </c>
      <c r="H881" s="1" t="s">
        <v>3</v>
      </c>
      <c r="I881" s="1">
        <v>0</v>
      </c>
      <c r="J881" s="1"/>
      <c r="K881" s="1">
        <v>-1</v>
      </c>
      <c r="L881" s="1"/>
      <c r="M881" s="1"/>
      <c r="N881" s="1"/>
      <c r="O881" s="1"/>
      <c r="P881" s="1"/>
      <c r="Q881" s="1"/>
      <c r="R881" s="1"/>
      <c r="S881" s="1"/>
      <c r="T881" s="1"/>
      <c r="U881" s="1" t="s">
        <v>3</v>
      </c>
      <c r="V881" s="1">
        <v>0</v>
      </c>
      <c r="W881" s="1"/>
      <c r="X881" s="1"/>
      <c r="Y881" s="1"/>
      <c r="Z881" s="1"/>
      <c r="AA881" s="1"/>
      <c r="AB881" s="1" t="s">
        <v>3</v>
      </c>
      <c r="AC881" s="1" t="s">
        <v>3</v>
      </c>
      <c r="AD881" s="1" t="s">
        <v>3</v>
      </c>
      <c r="AE881" s="1" t="s">
        <v>3</v>
      </c>
      <c r="AF881" s="1" t="s">
        <v>3</v>
      </c>
      <c r="AG881" s="1" t="s">
        <v>3</v>
      </c>
      <c r="AH881" s="1"/>
      <c r="AI881" s="1"/>
      <c r="AJ881" s="1"/>
      <c r="AK881" s="1"/>
      <c r="AL881" s="1"/>
      <c r="AM881" s="1"/>
      <c r="AN881" s="1"/>
      <c r="AO881" s="1"/>
      <c r="AP881" s="1" t="s">
        <v>3</v>
      </c>
      <c r="AQ881" s="1" t="s">
        <v>3</v>
      </c>
      <c r="AR881" s="1" t="s">
        <v>3</v>
      </c>
      <c r="AS881" s="1"/>
      <c r="AT881" s="1"/>
      <c r="AU881" s="1"/>
      <c r="AV881" s="1"/>
      <c r="AW881" s="1"/>
      <c r="AX881" s="1"/>
      <c r="AY881" s="1"/>
      <c r="AZ881" s="1" t="s">
        <v>3</v>
      </c>
      <c r="BA881" s="1"/>
      <c r="BB881" s="1" t="s">
        <v>3</v>
      </c>
      <c r="BC881" s="1" t="s">
        <v>3</v>
      </c>
      <c r="BD881" s="1" t="s">
        <v>3</v>
      </c>
      <c r="BE881" s="1" t="s">
        <v>3</v>
      </c>
      <c r="BF881" s="1" t="s">
        <v>3</v>
      </c>
      <c r="BG881" s="1" t="s">
        <v>3</v>
      </c>
      <c r="BH881" s="1" t="s">
        <v>3</v>
      </c>
      <c r="BI881" s="1" t="s">
        <v>3</v>
      </c>
      <c r="BJ881" s="1" t="s">
        <v>3</v>
      </c>
      <c r="BK881" s="1" t="s">
        <v>3</v>
      </c>
      <c r="BL881" s="1" t="s">
        <v>3</v>
      </c>
      <c r="BM881" s="1" t="s">
        <v>3</v>
      </c>
      <c r="BN881" s="1" t="s">
        <v>3</v>
      </c>
      <c r="BO881" s="1" t="s">
        <v>3</v>
      </c>
      <c r="BP881" s="1" t="s">
        <v>3</v>
      </c>
      <c r="BQ881" s="1"/>
      <c r="BR881" s="1"/>
      <c r="BS881" s="1"/>
      <c r="BT881" s="1"/>
      <c r="BU881" s="1"/>
      <c r="BV881" s="1"/>
      <c r="BW881" s="1"/>
      <c r="BX881" s="1">
        <v>0</v>
      </c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>
        <v>0</v>
      </c>
    </row>
    <row r="883" spans="1:245" x14ac:dyDescent="0.2">
      <c r="A883" s="2">
        <v>52</v>
      </c>
      <c r="B883" s="2">
        <f t="shared" ref="B883:G883" si="593">B985</f>
        <v>1</v>
      </c>
      <c r="C883" s="2">
        <f t="shared" si="593"/>
        <v>4</v>
      </c>
      <c r="D883" s="2">
        <f t="shared" si="593"/>
        <v>881</v>
      </c>
      <c r="E883" s="2">
        <f t="shared" si="593"/>
        <v>0</v>
      </c>
      <c r="F883" s="2" t="str">
        <f t="shared" si="593"/>
        <v>Новый раздел</v>
      </c>
      <c r="G883" s="2" t="str">
        <f t="shared" si="593"/>
        <v>Деревянный настил</v>
      </c>
      <c r="H883" s="2"/>
      <c r="I883" s="2"/>
      <c r="J883" s="2"/>
      <c r="K883" s="2"/>
      <c r="L883" s="2"/>
      <c r="M883" s="2"/>
      <c r="N883" s="2"/>
      <c r="O883" s="2">
        <f t="shared" ref="O883:AT883" si="594">O985</f>
        <v>4946256.5</v>
      </c>
      <c r="P883" s="2">
        <f t="shared" si="594"/>
        <v>4555211.0199999996</v>
      </c>
      <c r="Q883" s="2">
        <f t="shared" si="594"/>
        <v>67640.149999999994</v>
      </c>
      <c r="R883" s="2">
        <f t="shared" si="594"/>
        <v>38336.620000000003</v>
      </c>
      <c r="S883" s="2">
        <f t="shared" si="594"/>
        <v>323405.33</v>
      </c>
      <c r="T883" s="2">
        <f t="shared" si="594"/>
        <v>0</v>
      </c>
      <c r="U883" s="2">
        <f t="shared" si="594"/>
        <v>1822.09353676</v>
      </c>
      <c r="V883" s="2">
        <f t="shared" si="594"/>
        <v>0</v>
      </c>
      <c r="W883" s="2">
        <f t="shared" si="594"/>
        <v>0</v>
      </c>
      <c r="X883" s="2">
        <f t="shared" si="594"/>
        <v>226383.74</v>
      </c>
      <c r="Y883" s="2">
        <f t="shared" si="594"/>
        <v>32340.55</v>
      </c>
      <c r="Z883" s="2">
        <f t="shared" si="594"/>
        <v>0</v>
      </c>
      <c r="AA883" s="2">
        <f t="shared" si="594"/>
        <v>0</v>
      </c>
      <c r="AB883" s="2">
        <f t="shared" si="594"/>
        <v>0</v>
      </c>
      <c r="AC883" s="2">
        <f t="shared" si="594"/>
        <v>0</v>
      </c>
      <c r="AD883" s="2">
        <f t="shared" si="594"/>
        <v>0</v>
      </c>
      <c r="AE883" s="2">
        <f t="shared" si="594"/>
        <v>0</v>
      </c>
      <c r="AF883" s="2">
        <f t="shared" si="594"/>
        <v>0</v>
      </c>
      <c r="AG883" s="2">
        <f t="shared" si="594"/>
        <v>0</v>
      </c>
      <c r="AH883" s="2">
        <f t="shared" si="594"/>
        <v>0</v>
      </c>
      <c r="AI883" s="2">
        <f t="shared" si="594"/>
        <v>0</v>
      </c>
      <c r="AJ883" s="2">
        <f t="shared" si="594"/>
        <v>0</v>
      </c>
      <c r="AK883" s="2">
        <f t="shared" si="594"/>
        <v>0</v>
      </c>
      <c r="AL883" s="2">
        <f t="shared" si="594"/>
        <v>0</v>
      </c>
      <c r="AM883" s="2">
        <f t="shared" si="594"/>
        <v>0</v>
      </c>
      <c r="AN883" s="2">
        <f t="shared" si="594"/>
        <v>0</v>
      </c>
      <c r="AO883" s="2">
        <f t="shared" si="594"/>
        <v>0</v>
      </c>
      <c r="AP883" s="2">
        <f t="shared" si="594"/>
        <v>0</v>
      </c>
      <c r="AQ883" s="2">
        <f t="shared" si="594"/>
        <v>0</v>
      </c>
      <c r="AR883" s="2">
        <f t="shared" si="594"/>
        <v>5206885.04</v>
      </c>
      <c r="AS883" s="2">
        <f t="shared" si="594"/>
        <v>3120740.46</v>
      </c>
      <c r="AT883" s="2">
        <f t="shared" si="594"/>
        <v>0</v>
      </c>
      <c r="AU883" s="2">
        <f t="shared" ref="AU883:BZ883" si="595">AU985</f>
        <v>2086144.58</v>
      </c>
      <c r="AV883" s="2">
        <f t="shared" si="595"/>
        <v>4555211.0199999996</v>
      </c>
      <c r="AW883" s="2">
        <f t="shared" si="595"/>
        <v>4555211.0199999996</v>
      </c>
      <c r="AX883" s="2">
        <f t="shared" si="595"/>
        <v>0</v>
      </c>
      <c r="AY883" s="2">
        <f t="shared" si="595"/>
        <v>4555211.0199999996</v>
      </c>
      <c r="AZ883" s="2">
        <f t="shared" si="595"/>
        <v>0</v>
      </c>
      <c r="BA883" s="2">
        <f t="shared" si="595"/>
        <v>0</v>
      </c>
      <c r="BB883" s="2">
        <f t="shared" si="595"/>
        <v>0</v>
      </c>
      <c r="BC883" s="2">
        <f t="shared" si="595"/>
        <v>0</v>
      </c>
      <c r="BD883" s="2">
        <f t="shared" si="595"/>
        <v>0</v>
      </c>
      <c r="BE883" s="2">
        <f t="shared" si="595"/>
        <v>0</v>
      </c>
      <c r="BF883" s="2">
        <f t="shared" si="595"/>
        <v>0</v>
      </c>
      <c r="BG883" s="2">
        <f t="shared" si="595"/>
        <v>0</v>
      </c>
      <c r="BH883" s="2">
        <f t="shared" si="595"/>
        <v>0</v>
      </c>
      <c r="BI883" s="2">
        <f t="shared" si="595"/>
        <v>0</v>
      </c>
      <c r="BJ883" s="2">
        <f t="shared" si="595"/>
        <v>0</v>
      </c>
      <c r="BK883" s="2">
        <f t="shared" si="595"/>
        <v>0</v>
      </c>
      <c r="BL883" s="2">
        <f t="shared" si="595"/>
        <v>0</v>
      </c>
      <c r="BM883" s="2">
        <f t="shared" si="595"/>
        <v>0</v>
      </c>
      <c r="BN883" s="2">
        <f t="shared" si="595"/>
        <v>0</v>
      </c>
      <c r="BO883" s="2">
        <f t="shared" si="595"/>
        <v>0</v>
      </c>
      <c r="BP883" s="2">
        <f t="shared" si="595"/>
        <v>0</v>
      </c>
      <c r="BQ883" s="2">
        <f t="shared" si="595"/>
        <v>0</v>
      </c>
      <c r="BR883" s="2">
        <f t="shared" si="595"/>
        <v>0</v>
      </c>
      <c r="BS883" s="2">
        <f t="shared" si="595"/>
        <v>0</v>
      </c>
      <c r="BT883" s="2">
        <f t="shared" si="595"/>
        <v>0</v>
      </c>
      <c r="BU883" s="2">
        <f t="shared" si="595"/>
        <v>0</v>
      </c>
      <c r="BV883" s="2">
        <f t="shared" si="595"/>
        <v>0</v>
      </c>
      <c r="BW883" s="2">
        <f t="shared" si="595"/>
        <v>0</v>
      </c>
      <c r="BX883" s="2">
        <f t="shared" si="595"/>
        <v>0</v>
      </c>
      <c r="BY883" s="2">
        <f t="shared" si="595"/>
        <v>0</v>
      </c>
      <c r="BZ883" s="2">
        <f t="shared" si="595"/>
        <v>0</v>
      </c>
      <c r="CA883" s="2">
        <f t="shared" ref="CA883:DF883" si="596">CA985</f>
        <v>0</v>
      </c>
      <c r="CB883" s="2">
        <f t="shared" si="596"/>
        <v>0</v>
      </c>
      <c r="CC883" s="2">
        <f t="shared" si="596"/>
        <v>0</v>
      </c>
      <c r="CD883" s="2">
        <f t="shared" si="596"/>
        <v>0</v>
      </c>
      <c r="CE883" s="2">
        <f t="shared" si="596"/>
        <v>0</v>
      </c>
      <c r="CF883" s="2">
        <f t="shared" si="596"/>
        <v>0</v>
      </c>
      <c r="CG883" s="2">
        <f t="shared" si="596"/>
        <v>0</v>
      </c>
      <c r="CH883" s="2">
        <f t="shared" si="596"/>
        <v>0</v>
      </c>
      <c r="CI883" s="2">
        <f t="shared" si="596"/>
        <v>0</v>
      </c>
      <c r="CJ883" s="2">
        <f t="shared" si="596"/>
        <v>0</v>
      </c>
      <c r="CK883" s="2">
        <f t="shared" si="596"/>
        <v>0</v>
      </c>
      <c r="CL883" s="2">
        <f t="shared" si="596"/>
        <v>0</v>
      </c>
      <c r="CM883" s="2">
        <f t="shared" si="596"/>
        <v>0</v>
      </c>
      <c r="CN883" s="2">
        <f t="shared" si="596"/>
        <v>0</v>
      </c>
      <c r="CO883" s="2">
        <f t="shared" si="596"/>
        <v>0</v>
      </c>
      <c r="CP883" s="2">
        <f t="shared" si="596"/>
        <v>0</v>
      </c>
      <c r="CQ883" s="2">
        <f t="shared" si="596"/>
        <v>0</v>
      </c>
      <c r="CR883" s="2">
        <f t="shared" si="596"/>
        <v>0</v>
      </c>
      <c r="CS883" s="2">
        <f t="shared" si="596"/>
        <v>0</v>
      </c>
      <c r="CT883" s="2">
        <f t="shared" si="596"/>
        <v>0</v>
      </c>
      <c r="CU883" s="2">
        <f t="shared" si="596"/>
        <v>0</v>
      </c>
      <c r="CV883" s="2">
        <f t="shared" si="596"/>
        <v>0</v>
      </c>
      <c r="CW883" s="2">
        <f t="shared" si="596"/>
        <v>0</v>
      </c>
      <c r="CX883" s="2">
        <f t="shared" si="596"/>
        <v>0</v>
      </c>
      <c r="CY883" s="2">
        <f t="shared" si="596"/>
        <v>0</v>
      </c>
      <c r="CZ883" s="2">
        <f t="shared" si="596"/>
        <v>0</v>
      </c>
      <c r="DA883" s="2">
        <f t="shared" si="596"/>
        <v>0</v>
      </c>
      <c r="DB883" s="2">
        <f t="shared" si="596"/>
        <v>0</v>
      </c>
      <c r="DC883" s="2">
        <f t="shared" si="596"/>
        <v>0</v>
      </c>
      <c r="DD883" s="2">
        <f t="shared" si="596"/>
        <v>0</v>
      </c>
      <c r="DE883" s="2">
        <f t="shared" si="596"/>
        <v>0</v>
      </c>
      <c r="DF883" s="2">
        <f t="shared" si="596"/>
        <v>0</v>
      </c>
      <c r="DG883" s="3">
        <f t="shared" ref="DG883:EL883" si="597">DG985</f>
        <v>0</v>
      </c>
      <c r="DH883" s="3">
        <f t="shared" si="597"/>
        <v>0</v>
      </c>
      <c r="DI883" s="3">
        <f t="shared" si="597"/>
        <v>0</v>
      </c>
      <c r="DJ883" s="3">
        <f t="shared" si="597"/>
        <v>0</v>
      </c>
      <c r="DK883" s="3">
        <f t="shared" si="597"/>
        <v>0</v>
      </c>
      <c r="DL883" s="3">
        <f t="shared" si="597"/>
        <v>0</v>
      </c>
      <c r="DM883" s="3">
        <f t="shared" si="597"/>
        <v>0</v>
      </c>
      <c r="DN883" s="3">
        <f t="shared" si="597"/>
        <v>0</v>
      </c>
      <c r="DO883" s="3">
        <f t="shared" si="597"/>
        <v>0</v>
      </c>
      <c r="DP883" s="3">
        <f t="shared" si="597"/>
        <v>0</v>
      </c>
      <c r="DQ883" s="3">
        <f t="shared" si="597"/>
        <v>0</v>
      </c>
      <c r="DR883" s="3">
        <f t="shared" si="597"/>
        <v>0</v>
      </c>
      <c r="DS883" s="3">
        <f t="shared" si="597"/>
        <v>0</v>
      </c>
      <c r="DT883" s="3">
        <f t="shared" si="597"/>
        <v>0</v>
      </c>
      <c r="DU883" s="3">
        <f t="shared" si="597"/>
        <v>0</v>
      </c>
      <c r="DV883" s="3">
        <f t="shared" si="597"/>
        <v>0</v>
      </c>
      <c r="DW883" s="3">
        <f t="shared" si="597"/>
        <v>0</v>
      </c>
      <c r="DX883" s="3">
        <f t="shared" si="597"/>
        <v>0</v>
      </c>
      <c r="DY883" s="3">
        <f t="shared" si="597"/>
        <v>0</v>
      </c>
      <c r="DZ883" s="3">
        <f t="shared" si="597"/>
        <v>0</v>
      </c>
      <c r="EA883" s="3">
        <f t="shared" si="597"/>
        <v>0</v>
      </c>
      <c r="EB883" s="3">
        <f t="shared" si="597"/>
        <v>0</v>
      </c>
      <c r="EC883" s="3">
        <f t="shared" si="597"/>
        <v>0</v>
      </c>
      <c r="ED883" s="3">
        <f t="shared" si="597"/>
        <v>0</v>
      </c>
      <c r="EE883" s="3">
        <f t="shared" si="597"/>
        <v>0</v>
      </c>
      <c r="EF883" s="3">
        <f t="shared" si="597"/>
        <v>0</v>
      </c>
      <c r="EG883" s="3">
        <f t="shared" si="597"/>
        <v>0</v>
      </c>
      <c r="EH883" s="3">
        <f t="shared" si="597"/>
        <v>0</v>
      </c>
      <c r="EI883" s="3">
        <f t="shared" si="597"/>
        <v>0</v>
      </c>
      <c r="EJ883" s="3">
        <f t="shared" si="597"/>
        <v>0</v>
      </c>
      <c r="EK883" s="3">
        <f t="shared" si="597"/>
        <v>0</v>
      </c>
      <c r="EL883" s="3">
        <f t="shared" si="597"/>
        <v>0</v>
      </c>
      <c r="EM883" s="3">
        <f t="shared" ref="EM883:FR883" si="598">EM985</f>
        <v>0</v>
      </c>
      <c r="EN883" s="3">
        <f t="shared" si="598"/>
        <v>0</v>
      </c>
      <c r="EO883" s="3">
        <f t="shared" si="598"/>
        <v>0</v>
      </c>
      <c r="EP883" s="3">
        <f t="shared" si="598"/>
        <v>0</v>
      </c>
      <c r="EQ883" s="3">
        <f t="shared" si="598"/>
        <v>0</v>
      </c>
      <c r="ER883" s="3">
        <f t="shared" si="598"/>
        <v>0</v>
      </c>
      <c r="ES883" s="3">
        <f t="shared" si="598"/>
        <v>0</v>
      </c>
      <c r="ET883" s="3">
        <f t="shared" si="598"/>
        <v>0</v>
      </c>
      <c r="EU883" s="3">
        <f t="shared" si="598"/>
        <v>0</v>
      </c>
      <c r="EV883" s="3">
        <f t="shared" si="598"/>
        <v>0</v>
      </c>
      <c r="EW883" s="3">
        <f t="shared" si="598"/>
        <v>0</v>
      </c>
      <c r="EX883" s="3">
        <f t="shared" si="598"/>
        <v>0</v>
      </c>
      <c r="EY883" s="3">
        <f t="shared" si="598"/>
        <v>0</v>
      </c>
      <c r="EZ883" s="3">
        <f t="shared" si="598"/>
        <v>0</v>
      </c>
      <c r="FA883" s="3">
        <f t="shared" si="598"/>
        <v>0</v>
      </c>
      <c r="FB883" s="3">
        <f t="shared" si="598"/>
        <v>0</v>
      </c>
      <c r="FC883" s="3">
        <f t="shared" si="598"/>
        <v>0</v>
      </c>
      <c r="FD883" s="3">
        <f t="shared" si="598"/>
        <v>0</v>
      </c>
      <c r="FE883" s="3">
        <f t="shared" si="598"/>
        <v>0</v>
      </c>
      <c r="FF883" s="3">
        <f t="shared" si="598"/>
        <v>0</v>
      </c>
      <c r="FG883" s="3">
        <f t="shared" si="598"/>
        <v>0</v>
      </c>
      <c r="FH883" s="3">
        <f t="shared" si="598"/>
        <v>0</v>
      </c>
      <c r="FI883" s="3">
        <f t="shared" si="598"/>
        <v>0</v>
      </c>
      <c r="FJ883" s="3">
        <f t="shared" si="598"/>
        <v>0</v>
      </c>
      <c r="FK883" s="3">
        <f t="shared" si="598"/>
        <v>0</v>
      </c>
      <c r="FL883" s="3">
        <f t="shared" si="598"/>
        <v>0</v>
      </c>
      <c r="FM883" s="3">
        <f t="shared" si="598"/>
        <v>0</v>
      </c>
      <c r="FN883" s="3">
        <f t="shared" si="598"/>
        <v>0</v>
      </c>
      <c r="FO883" s="3">
        <f t="shared" si="598"/>
        <v>0</v>
      </c>
      <c r="FP883" s="3">
        <f t="shared" si="598"/>
        <v>0</v>
      </c>
      <c r="FQ883" s="3">
        <f t="shared" si="598"/>
        <v>0</v>
      </c>
      <c r="FR883" s="3">
        <f t="shared" si="598"/>
        <v>0</v>
      </c>
      <c r="FS883" s="3">
        <f t="shared" ref="FS883:GX883" si="599">FS985</f>
        <v>0</v>
      </c>
      <c r="FT883" s="3">
        <f t="shared" si="599"/>
        <v>0</v>
      </c>
      <c r="FU883" s="3">
        <f t="shared" si="599"/>
        <v>0</v>
      </c>
      <c r="FV883" s="3">
        <f t="shared" si="599"/>
        <v>0</v>
      </c>
      <c r="FW883" s="3">
        <f t="shared" si="599"/>
        <v>0</v>
      </c>
      <c r="FX883" s="3">
        <f t="shared" si="599"/>
        <v>0</v>
      </c>
      <c r="FY883" s="3">
        <f t="shared" si="599"/>
        <v>0</v>
      </c>
      <c r="FZ883" s="3">
        <f t="shared" si="599"/>
        <v>0</v>
      </c>
      <c r="GA883" s="3">
        <f t="shared" si="599"/>
        <v>0</v>
      </c>
      <c r="GB883" s="3">
        <f t="shared" si="599"/>
        <v>0</v>
      </c>
      <c r="GC883" s="3">
        <f t="shared" si="599"/>
        <v>0</v>
      </c>
      <c r="GD883" s="3">
        <f t="shared" si="599"/>
        <v>0</v>
      </c>
      <c r="GE883" s="3">
        <f t="shared" si="599"/>
        <v>0</v>
      </c>
      <c r="GF883" s="3">
        <f t="shared" si="599"/>
        <v>0</v>
      </c>
      <c r="GG883" s="3">
        <f t="shared" si="599"/>
        <v>0</v>
      </c>
      <c r="GH883" s="3">
        <f t="shared" si="599"/>
        <v>0</v>
      </c>
      <c r="GI883" s="3">
        <f t="shared" si="599"/>
        <v>0</v>
      </c>
      <c r="GJ883" s="3">
        <f t="shared" si="599"/>
        <v>0</v>
      </c>
      <c r="GK883" s="3">
        <f t="shared" si="599"/>
        <v>0</v>
      </c>
      <c r="GL883" s="3">
        <f t="shared" si="599"/>
        <v>0</v>
      </c>
      <c r="GM883" s="3">
        <f t="shared" si="599"/>
        <v>0</v>
      </c>
      <c r="GN883" s="3">
        <f t="shared" si="599"/>
        <v>0</v>
      </c>
      <c r="GO883" s="3">
        <f t="shared" si="599"/>
        <v>0</v>
      </c>
      <c r="GP883" s="3">
        <f t="shared" si="599"/>
        <v>0</v>
      </c>
      <c r="GQ883" s="3">
        <f t="shared" si="599"/>
        <v>0</v>
      </c>
      <c r="GR883" s="3">
        <f t="shared" si="599"/>
        <v>0</v>
      </c>
      <c r="GS883" s="3">
        <f t="shared" si="599"/>
        <v>0</v>
      </c>
      <c r="GT883" s="3">
        <f t="shared" si="599"/>
        <v>0</v>
      </c>
      <c r="GU883" s="3">
        <f t="shared" si="599"/>
        <v>0</v>
      </c>
      <c r="GV883" s="3">
        <f t="shared" si="599"/>
        <v>0</v>
      </c>
      <c r="GW883" s="3">
        <f t="shared" si="599"/>
        <v>0</v>
      </c>
      <c r="GX883" s="3">
        <f t="shared" si="599"/>
        <v>0</v>
      </c>
    </row>
    <row r="885" spans="1:245" x14ac:dyDescent="0.2">
      <c r="A885" s="1">
        <v>5</v>
      </c>
      <c r="B885" s="1">
        <v>1</v>
      </c>
      <c r="C885" s="1"/>
      <c r="D885" s="1">
        <f>ROW(A900)</f>
        <v>900</v>
      </c>
      <c r="E885" s="1"/>
      <c r="F885" s="1" t="s">
        <v>17</v>
      </c>
      <c r="G885" s="1" t="s">
        <v>320</v>
      </c>
      <c r="H885" s="1" t="s">
        <v>3</v>
      </c>
      <c r="I885" s="1">
        <v>0</v>
      </c>
      <c r="J885" s="1"/>
      <c r="K885" s="1">
        <v>0</v>
      </c>
      <c r="L885" s="1"/>
      <c r="M885" s="1"/>
      <c r="N885" s="1"/>
      <c r="O885" s="1"/>
      <c r="P885" s="1"/>
      <c r="Q885" s="1"/>
      <c r="R885" s="1"/>
      <c r="S885" s="1"/>
      <c r="T885" s="1"/>
      <c r="U885" s="1" t="s">
        <v>3</v>
      </c>
      <c r="V885" s="1">
        <v>0</v>
      </c>
      <c r="W885" s="1"/>
      <c r="X885" s="1"/>
      <c r="Y885" s="1"/>
      <c r="Z885" s="1"/>
      <c r="AA885" s="1"/>
      <c r="AB885" s="1" t="s">
        <v>3</v>
      </c>
      <c r="AC885" s="1" t="s">
        <v>3</v>
      </c>
      <c r="AD885" s="1" t="s">
        <v>3</v>
      </c>
      <c r="AE885" s="1" t="s">
        <v>3</v>
      </c>
      <c r="AF885" s="1" t="s">
        <v>3</v>
      </c>
      <c r="AG885" s="1" t="s">
        <v>3</v>
      </c>
      <c r="AH885" s="1"/>
      <c r="AI885" s="1"/>
      <c r="AJ885" s="1"/>
      <c r="AK885" s="1"/>
      <c r="AL885" s="1"/>
      <c r="AM885" s="1"/>
      <c r="AN885" s="1"/>
      <c r="AO885" s="1"/>
      <c r="AP885" s="1" t="s">
        <v>3</v>
      </c>
      <c r="AQ885" s="1" t="s">
        <v>3</v>
      </c>
      <c r="AR885" s="1" t="s">
        <v>3</v>
      </c>
      <c r="AS885" s="1"/>
      <c r="AT885" s="1"/>
      <c r="AU885" s="1"/>
      <c r="AV885" s="1"/>
      <c r="AW885" s="1"/>
      <c r="AX885" s="1"/>
      <c r="AY885" s="1"/>
      <c r="AZ885" s="1" t="s">
        <v>3</v>
      </c>
      <c r="BA885" s="1"/>
      <c r="BB885" s="1" t="s">
        <v>3</v>
      </c>
      <c r="BC885" s="1" t="s">
        <v>3</v>
      </c>
      <c r="BD885" s="1" t="s">
        <v>3</v>
      </c>
      <c r="BE885" s="1" t="s">
        <v>3</v>
      </c>
      <c r="BF885" s="1" t="s">
        <v>3</v>
      </c>
      <c r="BG885" s="1" t="s">
        <v>3</v>
      </c>
      <c r="BH885" s="1" t="s">
        <v>3</v>
      </c>
      <c r="BI885" s="1" t="s">
        <v>3</v>
      </c>
      <c r="BJ885" s="1" t="s">
        <v>3</v>
      </c>
      <c r="BK885" s="1" t="s">
        <v>3</v>
      </c>
      <c r="BL885" s="1" t="s">
        <v>3</v>
      </c>
      <c r="BM885" s="1" t="s">
        <v>3</v>
      </c>
      <c r="BN885" s="1" t="s">
        <v>3</v>
      </c>
      <c r="BO885" s="1" t="s">
        <v>3</v>
      </c>
      <c r="BP885" s="1" t="s">
        <v>3</v>
      </c>
      <c r="BQ885" s="1"/>
      <c r="BR885" s="1"/>
      <c r="BS885" s="1"/>
      <c r="BT885" s="1"/>
      <c r="BU885" s="1"/>
      <c r="BV885" s="1"/>
      <c r="BW885" s="1"/>
      <c r="BX885" s="1">
        <v>0</v>
      </c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>
        <v>0</v>
      </c>
    </row>
    <row r="887" spans="1:245" x14ac:dyDescent="0.2">
      <c r="A887" s="2">
        <v>52</v>
      </c>
      <c r="B887" s="2">
        <f t="shared" ref="B887:G887" si="600">B900</f>
        <v>1</v>
      </c>
      <c r="C887" s="2">
        <f t="shared" si="600"/>
        <v>5</v>
      </c>
      <c r="D887" s="2">
        <f t="shared" si="600"/>
        <v>885</v>
      </c>
      <c r="E887" s="2">
        <f t="shared" si="600"/>
        <v>0</v>
      </c>
      <c r="F887" s="2" t="str">
        <f t="shared" si="600"/>
        <v>Новый подраздел</v>
      </c>
      <c r="G887" s="2" t="str">
        <f t="shared" si="600"/>
        <v>Демонтажные работы</v>
      </c>
      <c r="H887" s="2"/>
      <c r="I887" s="2"/>
      <c r="J887" s="2"/>
      <c r="K887" s="2"/>
      <c r="L887" s="2"/>
      <c r="M887" s="2"/>
      <c r="N887" s="2"/>
      <c r="O887" s="2">
        <f t="shared" ref="O887:AT887" si="601">O900</f>
        <v>126172.4</v>
      </c>
      <c r="P887" s="2">
        <f t="shared" si="601"/>
        <v>15573.47</v>
      </c>
      <c r="Q887" s="2">
        <f t="shared" si="601"/>
        <v>67205.75</v>
      </c>
      <c r="R887" s="2">
        <f t="shared" si="601"/>
        <v>38314.46</v>
      </c>
      <c r="S887" s="2">
        <f t="shared" si="601"/>
        <v>43393.18</v>
      </c>
      <c r="T887" s="2">
        <f t="shared" si="601"/>
        <v>0</v>
      </c>
      <c r="U887" s="2">
        <f t="shared" si="601"/>
        <v>263.70215968000002</v>
      </c>
      <c r="V887" s="2">
        <f t="shared" si="601"/>
        <v>0</v>
      </c>
      <c r="W887" s="2">
        <f t="shared" si="601"/>
        <v>0</v>
      </c>
      <c r="X887" s="2">
        <f t="shared" si="601"/>
        <v>30375.23</v>
      </c>
      <c r="Y887" s="2">
        <f t="shared" si="601"/>
        <v>4339.32</v>
      </c>
      <c r="Z887" s="2">
        <f t="shared" si="601"/>
        <v>0</v>
      </c>
      <c r="AA887" s="2">
        <f t="shared" si="601"/>
        <v>0</v>
      </c>
      <c r="AB887" s="2">
        <f t="shared" si="601"/>
        <v>126172.4</v>
      </c>
      <c r="AC887" s="2">
        <f t="shared" si="601"/>
        <v>15573.47</v>
      </c>
      <c r="AD887" s="2">
        <f t="shared" si="601"/>
        <v>67205.75</v>
      </c>
      <c r="AE887" s="2">
        <f t="shared" si="601"/>
        <v>38314.46</v>
      </c>
      <c r="AF887" s="2">
        <f t="shared" si="601"/>
        <v>43393.18</v>
      </c>
      <c r="AG887" s="2">
        <f t="shared" si="601"/>
        <v>0</v>
      </c>
      <c r="AH887" s="2">
        <f t="shared" si="601"/>
        <v>263.70215968000002</v>
      </c>
      <c r="AI887" s="2">
        <f t="shared" si="601"/>
        <v>0</v>
      </c>
      <c r="AJ887" s="2">
        <f t="shared" si="601"/>
        <v>0</v>
      </c>
      <c r="AK887" s="2">
        <f t="shared" si="601"/>
        <v>30375.23</v>
      </c>
      <c r="AL887" s="2">
        <f t="shared" si="601"/>
        <v>4339.32</v>
      </c>
      <c r="AM887" s="2">
        <f t="shared" si="601"/>
        <v>0</v>
      </c>
      <c r="AN887" s="2">
        <f t="shared" si="601"/>
        <v>0</v>
      </c>
      <c r="AO887" s="2">
        <f t="shared" si="601"/>
        <v>0</v>
      </c>
      <c r="AP887" s="2">
        <f t="shared" si="601"/>
        <v>0</v>
      </c>
      <c r="AQ887" s="2">
        <f t="shared" si="601"/>
        <v>0</v>
      </c>
      <c r="AR887" s="2">
        <f t="shared" si="601"/>
        <v>162767.26999999999</v>
      </c>
      <c r="AS887" s="2">
        <f t="shared" si="601"/>
        <v>0</v>
      </c>
      <c r="AT887" s="2">
        <f t="shared" si="601"/>
        <v>0</v>
      </c>
      <c r="AU887" s="2">
        <f t="shared" ref="AU887:BZ887" si="602">AU900</f>
        <v>162767.26999999999</v>
      </c>
      <c r="AV887" s="2">
        <f t="shared" si="602"/>
        <v>15573.47</v>
      </c>
      <c r="AW887" s="2">
        <f t="shared" si="602"/>
        <v>15573.47</v>
      </c>
      <c r="AX887" s="2">
        <f t="shared" si="602"/>
        <v>0</v>
      </c>
      <c r="AY887" s="2">
        <f t="shared" si="602"/>
        <v>15573.47</v>
      </c>
      <c r="AZ887" s="2">
        <f t="shared" si="602"/>
        <v>0</v>
      </c>
      <c r="BA887" s="2">
        <f t="shared" si="602"/>
        <v>0</v>
      </c>
      <c r="BB887" s="2">
        <f t="shared" si="602"/>
        <v>0</v>
      </c>
      <c r="BC887" s="2">
        <f t="shared" si="602"/>
        <v>0</v>
      </c>
      <c r="BD887" s="2">
        <f t="shared" si="602"/>
        <v>0</v>
      </c>
      <c r="BE887" s="2">
        <f t="shared" si="602"/>
        <v>0</v>
      </c>
      <c r="BF887" s="2">
        <f t="shared" si="602"/>
        <v>0</v>
      </c>
      <c r="BG887" s="2">
        <f t="shared" si="602"/>
        <v>0</v>
      </c>
      <c r="BH887" s="2">
        <f t="shared" si="602"/>
        <v>0</v>
      </c>
      <c r="BI887" s="2">
        <f t="shared" si="602"/>
        <v>0</v>
      </c>
      <c r="BJ887" s="2">
        <f t="shared" si="602"/>
        <v>0</v>
      </c>
      <c r="BK887" s="2">
        <f t="shared" si="602"/>
        <v>0</v>
      </c>
      <c r="BL887" s="2">
        <f t="shared" si="602"/>
        <v>0</v>
      </c>
      <c r="BM887" s="2">
        <f t="shared" si="602"/>
        <v>0</v>
      </c>
      <c r="BN887" s="2">
        <f t="shared" si="602"/>
        <v>0</v>
      </c>
      <c r="BO887" s="2">
        <f t="shared" si="602"/>
        <v>0</v>
      </c>
      <c r="BP887" s="2">
        <f t="shared" si="602"/>
        <v>0</v>
      </c>
      <c r="BQ887" s="2">
        <f t="shared" si="602"/>
        <v>0</v>
      </c>
      <c r="BR887" s="2">
        <f t="shared" si="602"/>
        <v>0</v>
      </c>
      <c r="BS887" s="2">
        <f t="shared" si="602"/>
        <v>0</v>
      </c>
      <c r="BT887" s="2">
        <f t="shared" si="602"/>
        <v>0</v>
      </c>
      <c r="BU887" s="2">
        <f t="shared" si="602"/>
        <v>0</v>
      </c>
      <c r="BV887" s="2">
        <f t="shared" si="602"/>
        <v>0</v>
      </c>
      <c r="BW887" s="2">
        <f t="shared" si="602"/>
        <v>0</v>
      </c>
      <c r="BX887" s="2">
        <f t="shared" si="602"/>
        <v>0</v>
      </c>
      <c r="BY887" s="2">
        <f t="shared" si="602"/>
        <v>0</v>
      </c>
      <c r="BZ887" s="2">
        <f t="shared" si="602"/>
        <v>0</v>
      </c>
      <c r="CA887" s="2">
        <f t="shared" ref="CA887:DF887" si="603">CA900</f>
        <v>162767.26999999999</v>
      </c>
      <c r="CB887" s="2">
        <f t="shared" si="603"/>
        <v>0</v>
      </c>
      <c r="CC887" s="2">
        <f t="shared" si="603"/>
        <v>0</v>
      </c>
      <c r="CD887" s="2">
        <f t="shared" si="603"/>
        <v>162767.26999999999</v>
      </c>
      <c r="CE887" s="2">
        <f t="shared" si="603"/>
        <v>15573.47</v>
      </c>
      <c r="CF887" s="2">
        <f t="shared" si="603"/>
        <v>15573.47</v>
      </c>
      <c r="CG887" s="2">
        <f t="shared" si="603"/>
        <v>0</v>
      </c>
      <c r="CH887" s="2">
        <f t="shared" si="603"/>
        <v>15573.47</v>
      </c>
      <c r="CI887" s="2">
        <f t="shared" si="603"/>
        <v>0</v>
      </c>
      <c r="CJ887" s="2">
        <f t="shared" si="603"/>
        <v>0</v>
      </c>
      <c r="CK887" s="2">
        <f t="shared" si="603"/>
        <v>0</v>
      </c>
      <c r="CL887" s="2">
        <f t="shared" si="603"/>
        <v>0</v>
      </c>
      <c r="CM887" s="2">
        <f t="shared" si="603"/>
        <v>0</v>
      </c>
      <c r="CN887" s="2">
        <f t="shared" si="603"/>
        <v>0</v>
      </c>
      <c r="CO887" s="2">
        <f t="shared" si="603"/>
        <v>0</v>
      </c>
      <c r="CP887" s="2">
        <f t="shared" si="603"/>
        <v>0</v>
      </c>
      <c r="CQ887" s="2">
        <f t="shared" si="603"/>
        <v>0</v>
      </c>
      <c r="CR887" s="2">
        <f t="shared" si="603"/>
        <v>0</v>
      </c>
      <c r="CS887" s="2">
        <f t="shared" si="603"/>
        <v>0</v>
      </c>
      <c r="CT887" s="2">
        <f t="shared" si="603"/>
        <v>0</v>
      </c>
      <c r="CU887" s="2">
        <f t="shared" si="603"/>
        <v>0</v>
      </c>
      <c r="CV887" s="2">
        <f t="shared" si="603"/>
        <v>0</v>
      </c>
      <c r="CW887" s="2">
        <f t="shared" si="603"/>
        <v>0</v>
      </c>
      <c r="CX887" s="2">
        <f t="shared" si="603"/>
        <v>0</v>
      </c>
      <c r="CY887" s="2">
        <f t="shared" si="603"/>
        <v>0</v>
      </c>
      <c r="CZ887" s="2">
        <f t="shared" si="603"/>
        <v>0</v>
      </c>
      <c r="DA887" s="2">
        <f t="shared" si="603"/>
        <v>0</v>
      </c>
      <c r="DB887" s="2">
        <f t="shared" si="603"/>
        <v>0</v>
      </c>
      <c r="DC887" s="2">
        <f t="shared" si="603"/>
        <v>0</v>
      </c>
      <c r="DD887" s="2">
        <f t="shared" si="603"/>
        <v>0</v>
      </c>
      <c r="DE887" s="2">
        <f t="shared" si="603"/>
        <v>0</v>
      </c>
      <c r="DF887" s="2">
        <f t="shared" si="603"/>
        <v>0</v>
      </c>
      <c r="DG887" s="3">
        <f t="shared" ref="DG887:EL887" si="604">DG900</f>
        <v>0</v>
      </c>
      <c r="DH887" s="3">
        <f t="shared" si="604"/>
        <v>0</v>
      </c>
      <c r="DI887" s="3">
        <f t="shared" si="604"/>
        <v>0</v>
      </c>
      <c r="DJ887" s="3">
        <f t="shared" si="604"/>
        <v>0</v>
      </c>
      <c r="DK887" s="3">
        <f t="shared" si="604"/>
        <v>0</v>
      </c>
      <c r="DL887" s="3">
        <f t="shared" si="604"/>
        <v>0</v>
      </c>
      <c r="DM887" s="3">
        <f t="shared" si="604"/>
        <v>0</v>
      </c>
      <c r="DN887" s="3">
        <f t="shared" si="604"/>
        <v>0</v>
      </c>
      <c r="DO887" s="3">
        <f t="shared" si="604"/>
        <v>0</v>
      </c>
      <c r="DP887" s="3">
        <f t="shared" si="604"/>
        <v>0</v>
      </c>
      <c r="DQ887" s="3">
        <f t="shared" si="604"/>
        <v>0</v>
      </c>
      <c r="DR887" s="3">
        <f t="shared" si="604"/>
        <v>0</v>
      </c>
      <c r="DS887" s="3">
        <f t="shared" si="604"/>
        <v>0</v>
      </c>
      <c r="DT887" s="3">
        <f t="shared" si="604"/>
        <v>0</v>
      </c>
      <c r="DU887" s="3">
        <f t="shared" si="604"/>
        <v>0</v>
      </c>
      <c r="DV887" s="3">
        <f t="shared" si="604"/>
        <v>0</v>
      </c>
      <c r="DW887" s="3">
        <f t="shared" si="604"/>
        <v>0</v>
      </c>
      <c r="DX887" s="3">
        <f t="shared" si="604"/>
        <v>0</v>
      </c>
      <c r="DY887" s="3">
        <f t="shared" si="604"/>
        <v>0</v>
      </c>
      <c r="DZ887" s="3">
        <f t="shared" si="604"/>
        <v>0</v>
      </c>
      <c r="EA887" s="3">
        <f t="shared" si="604"/>
        <v>0</v>
      </c>
      <c r="EB887" s="3">
        <f t="shared" si="604"/>
        <v>0</v>
      </c>
      <c r="EC887" s="3">
        <f t="shared" si="604"/>
        <v>0</v>
      </c>
      <c r="ED887" s="3">
        <f t="shared" si="604"/>
        <v>0</v>
      </c>
      <c r="EE887" s="3">
        <f t="shared" si="604"/>
        <v>0</v>
      </c>
      <c r="EF887" s="3">
        <f t="shared" si="604"/>
        <v>0</v>
      </c>
      <c r="EG887" s="3">
        <f t="shared" si="604"/>
        <v>0</v>
      </c>
      <c r="EH887" s="3">
        <f t="shared" si="604"/>
        <v>0</v>
      </c>
      <c r="EI887" s="3">
        <f t="shared" si="604"/>
        <v>0</v>
      </c>
      <c r="EJ887" s="3">
        <f t="shared" si="604"/>
        <v>0</v>
      </c>
      <c r="EK887" s="3">
        <f t="shared" si="604"/>
        <v>0</v>
      </c>
      <c r="EL887" s="3">
        <f t="shared" si="604"/>
        <v>0</v>
      </c>
      <c r="EM887" s="3">
        <f t="shared" ref="EM887:FR887" si="605">EM900</f>
        <v>0</v>
      </c>
      <c r="EN887" s="3">
        <f t="shared" si="605"/>
        <v>0</v>
      </c>
      <c r="EO887" s="3">
        <f t="shared" si="605"/>
        <v>0</v>
      </c>
      <c r="EP887" s="3">
        <f t="shared" si="605"/>
        <v>0</v>
      </c>
      <c r="EQ887" s="3">
        <f t="shared" si="605"/>
        <v>0</v>
      </c>
      <c r="ER887" s="3">
        <f t="shared" si="605"/>
        <v>0</v>
      </c>
      <c r="ES887" s="3">
        <f t="shared" si="605"/>
        <v>0</v>
      </c>
      <c r="ET887" s="3">
        <f t="shared" si="605"/>
        <v>0</v>
      </c>
      <c r="EU887" s="3">
        <f t="shared" si="605"/>
        <v>0</v>
      </c>
      <c r="EV887" s="3">
        <f t="shared" si="605"/>
        <v>0</v>
      </c>
      <c r="EW887" s="3">
        <f t="shared" si="605"/>
        <v>0</v>
      </c>
      <c r="EX887" s="3">
        <f t="shared" si="605"/>
        <v>0</v>
      </c>
      <c r="EY887" s="3">
        <f t="shared" si="605"/>
        <v>0</v>
      </c>
      <c r="EZ887" s="3">
        <f t="shared" si="605"/>
        <v>0</v>
      </c>
      <c r="FA887" s="3">
        <f t="shared" si="605"/>
        <v>0</v>
      </c>
      <c r="FB887" s="3">
        <f t="shared" si="605"/>
        <v>0</v>
      </c>
      <c r="FC887" s="3">
        <f t="shared" si="605"/>
        <v>0</v>
      </c>
      <c r="FD887" s="3">
        <f t="shared" si="605"/>
        <v>0</v>
      </c>
      <c r="FE887" s="3">
        <f t="shared" si="605"/>
        <v>0</v>
      </c>
      <c r="FF887" s="3">
        <f t="shared" si="605"/>
        <v>0</v>
      </c>
      <c r="FG887" s="3">
        <f t="shared" si="605"/>
        <v>0</v>
      </c>
      <c r="FH887" s="3">
        <f t="shared" si="605"/>
        <v>0</v>
      </c>
      <c r="FI887" s="3">
        <f t="shared" si="605"/>
        <v>0</v>
      </c>
      <c r="FJ887" s="3">
        <f t="shared" si="605"/>
        <v>0</v>
      </c>
      <c r="FK887" s="3">
        <f t="shared" si="605"/>
        <v>0</v>
      </c>
      <c r="FL887" s="3">
        <f t="shared" si="605"/>
        <v>0</v>
      </c>
      <c r="FM887" s="3">
        <f t="shared" si="605"/>
        <v>0</v>
      </c>
      <c r="FN887" s="3">
        <f t="shared" si="605"/>
        <v>0</v>
      </c>
      <c r="FO887" s="3">
        <f t="shared" si="605"/>
        <v>0</v>
      </c>
      <c r="FP887" s="3">
        <f t="shared" si="605"/>
        <v>0</v>
      </c>
      <c r="FQ887" s="3">
        <f t="shared" si="605"/>
        <v>0</v>
      </c>
      <c r="FR887" s="3">
        <f t="shared" si="605"/>
        <v>0</v>
      </c>
      <c r="FS887" s="3">
        <f t="shared" ref="FS887:GX887" si="606">FS900</f>
        <v>0</v>
      </c>
      <c r="FT887" s="3">
        <f t="shared" si="606"/>
        <v>0</v>
      </c>
      <c r="FU887" s="3">
        <f t="shared" si="606"/>
        <v>0</v>
      </c>
      <c r="FV887" s="3">
        <f t="shared" si="606"/>
        <v>0</v>
      </c>
      <c r="FW887" s="3">
        <f t="shared" si="606"/>
        <v>0</v>
      </c>
      <c r="FX887" s="3">
        <f t="shared" si="606"/>
        <v>0</v>
      </c>
      <c r="FY887" s="3">
        <f t="shared" si="606"/>
        <v>0</v>
      </c>
      <c r="FZ887" s="3">
        <f t="shared" si="606"/>
        <v>0</v>
      </c>
      <c r="GA887" s="3">
        <f t="shared" si="606"/>
        <v>0</v>
      </c>
      <c r="GB887" s="3">
        <f t="shared" si="606"/>
        <v>0</v>
      </c>
      <c r="GC887" s="3">
        <f t="shared" si="606"/>
        <v>0</v>
      </c>
      <c r="GD887" s="3">
        <f t="shared" si="606"/>
        <v>0</v>
      </c>
      <c r="GE887" s="3">
        <f t="shared" si="606"/>
        <v>0</v>
      </c>
      <c r="GF887" s="3">
        <f t="shared" si="606"/>
        <v>0</v>
      </c>
      <c r="GG887" s="3">
        <f t="shared" si="606"/>
        <v>0</v>
      </c>
      <c r="GH887" s="3">
        <f t="shared" si="606"/>
        <v>0</v>
      </c>
      <c r="GI887" s="3">
        <f t="shared" si="606"/>
        <v>0</v>
      </c>
      <c r="GJ887" s="3">
        <f t="shared" si="606"/>
        <v>0</v>
      </c>
      <c r="GK887" s="3">
        <f t="shared" si="606"/>
        <v>0</v>
      </c>
      <c r="GL887" s="3">
        <f t="shared" si="606"/>
        <v>0</v>
      </c>
      <c r="GM887" s="3">
        <f t="shared" si="606"/>
        <v>0</v>
      </c>
      <c r="GN887" s="3">
        <f t="shared" si="606"/>
        <v>0</v>
      </c>
      <c r="GO887" s="3">
        <f t="shared" si="606"/>
        <v>0</v>
      </c>
      <c r="GP887" s="3">
        <f t="shared" si="606"/>
        <v>0</v>
      </c>
      <c r="GQ887" s="3">
        <f t="shared" si="606"/>
        <v>0</v>
      </c>
      <c r="GR887" s="3">
        <f t="shared" si="606"/>
        <v>0</v>
      </c>
      <c r="GS887" s="3">
        <f t="shared" si="606"/>
        <v>0</v>
      </c>
      <c r="GT887" s="3">
        <f t="shared" si="606"/>
        <v>0</v>
      </c>
      <c r="GU887" s="3">
        <f t="shared" si="606"/>
        <v>0</v>
      </c>
      <c r="GV887" s="3">
        <f t="shared" si="606"/>
        <v>0</v>
      </c>
      <c r="GW887" s="3">
        <f t="shared" si="606"/>
        <v>0</v>
      </c>
      <c r="GX887" s="3">
        <f t="shared" si="606"/>
        <v>0</v>
      </c>
    </row>
    <row r="889" spans="1:245" x14ac:dyDescent="0.2">
      <c r="A889">
        <v>17</v>
      </c>
      <c r="B889">
        <v>1</v>
      </c>
      <c r="C889">
        <f>ROW(SmtRes!A221)</f>
        <v>221</v>
      </c>
      <c r="D889">
        <f>ROW(EtalonRes!A218)</f>
        <v>218</v>
      </c>
      <c r="E889" t="s">
        <v>19</v>
      </c>
      <c r="F889" t="s">
        <v>321</v>
      </c>
      <c r="G889" t="s">
        <v>322</v>
      </c>
      <c r="H889" t="s">
        <v>22</v>
      </c>
      <c r="I889">
        <f>ROUND((4080+208)/100,9)</f>
        <v>42.88</v>
      </c>
      <c r="J889">
        <v>0</v>
      </c>
      <c r="O889">
        <f t="shared" ref="O889:O898" si="607">ROUND(CP889,2)</f>
        <v>25777.91</v>
      </c>
      <c r="P889">
        <f t="shared" ref="P889:P898" si="608">ROUND(CQ889*I889,2)</f>
        <v>0</v>
      </c>
      <c r="Q889">
        <f t="shared" ref="Q889:Q898" si="609">ROUND(CR889*I889,2)</f>
        <v>0</v>
      </c>
      <c r="R889">
        <f t="shared" ref="R889:R898" si="610">ROUND(CS889*I889,2)</f>
        <v>0</v>
      </c>
      <c r="S889">
        <f t="shared" ref="S889:S898" si="611">ROUND(CT889*I889,2)</f>
        <v>25777.91</v>
      </c>
      <c r="T889">
        <f t="shared" ref="T889:T898" si="612">ROUND(CU889*I889,2)</f>
        <v>0</v>
      </c>
      <c r="U889">
        <f t="shared" ref="U889:U898" si="613">CV889*I889</f>
        <v>159.94240000000002</v>
      </c>
      <c r="V889">
        <f t="shared" ref="V889:V898" si="614">CW889*I889</f>
        <v>0</v>
      </c>
      <c r="W889">
        <f t="shared" ref="W889:W898" si="615">ROUND(CX889*I889,2)</f>
        <v>0</v>
      </c>
      <c r="X889">
        <f t="shared" ref="X889:X898" si="616">ROUND(CY889,2)</f>
        <v>18044.54</v>
      </c>
      <c r="Y889">
        <f t="shared" ref="Y889:Y898" si="617">ROUND(CZ889,2)</f>
        <v>2577.79</v>
      </c>
      <c r="AA889">
        <v>38214492</v>
      </c>
      <c r="AB889">
        <f t="shared" ref="AB889:AB898" si="618">ROUND((AC889+AD889+AF889),6)</f>
        <v>601.16399999999999</v>
      </c>
      <c r="AC889">
        <f>ROUND(((ES889*0)),6)</f>
        <v>0</v>
      </c>
      <c r="AD889">
        <f>ROUND(((((ET889*0.2))-((EU889*0.2)))+AE889),6)</f>
        <v>0</v>
      </c>
      <c r="AE889">
        <f>ROUND(((EU889*0.2)),6)</f>
        <v>0</v>
      </c>
      <c r="AF889">
        <f>ROUND(((EV889*0.2)),6)</f>
        <v>601.16399999999999</v>
      </c>
      <c r="AG889">
        <f t="shared" ref="AG889:AG898" si="619">ROUND((AP889),6)</f>
        <v>0</v>
      </c>
      <c r="AH889">
        <f>((EW889*0.2))</f>
        <v>3.73</v>
      </c>
      <c r="AI889">
        <f>((EX889*0.2))</f>
        <v>0</v>
      </c>
      <c r="AJ889">
        <f t="shared" ref="AJ889:AJ898" si="620">(AS889)</f>
        <v>0</v>
      </c>
      <c r="AK889">
        <v>28598.47</v>
      </c>
      <c r="AL889">
        <v>25592.65</v>
      </c>
      <c r="AM889">
        <v>0</v>
      </c>
      <c r="AN889">
        <v>0</v>
      </c>
      <c r="AO889">
        <v>3005.82</v>
      </c>
      <c r="AP889">
        <v>0</v>
      </c>
      <c r="AQ889">
        <v>18.649999999999999</v>
      </c>
      <c r="AR889">
        <v>0</v>
      </c>
      <c r="AS889">
        <v>0</v>
      </c>
      <c r="AT889">
        <v>70</v>
      </c>
      <c r="AU889">
        <v>10</v>
      </c>
      <c r="AV889">
        <v>1</v>
      </c>
      <c r="AW889">
        <v>1</v>
      </c>
      <c r="AZ889">
        <v>1</v>
      </c>
      <c r="BA889">
        <v>1</v>
      </c>
      <c r="BB889">
        <v>1</v>
      </c>
      <c r="BC889">
        <v>1</v>
      </c>
      <c r="BD889" t="s">
        <v>3</v>
      </c>
      <c r="BE889" t="s">
        <v>3</v>
      </c>
      <c r="BF889" t="s">
        <v>3</v>
      </c>
      <c r="BG889" t="s">
        <v>3</v>
      </c>
      <c r="BH889">
        <v>0</v>
      </c>
      <c r="BI889">
        <v>4</v>
      </c>
      <c r="BJ889" t="s">
        <v>323</v>
      </c>
      <c r="BM889">
        <v>0</v>
      </c>
      <c r="BN889">
        <v>0</v>
      </c>
      <c r="BO889" t="s">
        <v>3</v>
      </c>
      <c r="BP889">
        <v>0</v>
      </c>
      <c r="BQ889">
        <v>1</v>
      </c>
      <c r="BR889">
        <v>0</v>
      </c>
      <c r="BS889">
        <v>1</v>
      </c>
      <c r="BT889">
        <v>1</v>
      </c>
      <c r="BU889">
        <v>1</v>
      </c>
      <c r="BV889">
        <v>1</v>
      </c>
      <c r="BW889">
        <v>1</v>
      </c>
      <c r="BX889">
        <v>1</v>
      </c>
      <c r="BY889" t="s">
        <v>3</v>
      </c>
      <c r="BZ889">
        <v>70</v>
      </c>
      <c r="CA889">
        <v>10</v>
      </c>
      <c r="CE889">
        <v>0</v>
      </c>
      <c r="CF889">
        <v>0</v>
      </c>
      <c r="CG889">
        <v>0</v>
      </c>
      <c r="CM889">
        <v>0</v>
      </c>
      <c r="CN889" t="s">
        <v>3</v>
      </c>
      <c r="CO889">
        <v>0</v>
      </c>
      <c r="CP889">
        <f t="shared" ref="CP889:CP898" si="621">(P889+Q889+S889)</f>
        <v>25777.91</v>
      </c>
      <c r="CQ889">
        <f t="shared" ref="CQ889:CQ898" si="622">(AC889*BC889*AW889)</f>
        <v>0</v>
      </c>
      <c r="CR889">
        <f>(((((ET889*0.2))*BB889-((EU889*0.2))*BS889)+AE889*BS889)*AV889)</f>
        <v>0</v>
      </c>
      <c r="CS889">
        <f t="shared" ref="CS889:CS898" si="623">(AE889*BS889*AV889)</f>
        <v>0</v>
      </c>
      <c r="CT889">
        <f t="shared" ref="CT889:CT898" si="624">(AF889*BA889*AV889)</f>
        <v>601.16399999999999</v>
      </c>
      <c r="CU889">
        <f t="shared" ref="CU889:CU898" si="625">AG889</f>
        <v>0</v>
      </c>
      <c r="CV889">
        <f t="shared" ref="CV889:CV898" si="626">(AH889*AV889)</f>
        <v>3.73</v>
      </c>
      <c r="CW889">
        <f t="shared" ref="CW889:CW898" si="627">AI889</f>
        <v>0</v>
      </c>
      <c r="CX889">
        <f t="shared" ref="CX889:CX898" si="628">AJ889</f>
        <v>0</v>
      </c>
      <c r="CY889">
        <f t="shared" ref="CY889:CY898" si="629">((S889*BZ889)/100)</f>
        <v>18044.537</v>
      </c>
      <c r="CZ889">
        <f t="shared" ref="CZ889:CZ898" si="630">((S889*CA889)/100)</f>
        <v>2577.7910000000002</v>
      </c>
      <c r="DC889" t="s">
        <v>3</v>
      </c>
      <c r="DD889" t="s">
        <v>32</v>
      </c>
      <c r="DE889" t="s">
        <v>33</v>
      </c>
      <c r="DF889" t="s">
        <v>33</v>
      </c>
      <c r="DG889" t="s">
        <v>33</v>
      </c>
      <c r="DH889" t="s">
        <v>3</v>
      </c>
      <c r="DI889" t="s">
        <v>33</v>
      </c>
      <c r="DJ889" t="s">
        <v>33</v>
      </c>
      <c r="DK889" t="s">
        <v>3</v>
      </c>
      <c r="DL889" t="s">
        <v>3</v>
      </c>
      <c r="DM889" t="s">
        <v>3</v>
      </c>
      <c r="DN889">
        <v>0</v>
      </c>
      <c r="DO889">
        <v>0</v>
      </c>
      <c r="DP889">
        <v>1</v>
      </c>
      <c r="DQ889">
        <v>1</v>
      </c>
      <c r="DU889">
        <v>1005</v>
      </c>
      <c r="DV889" t="s">
        <v>22</v>
      </c>
      <c r="DW889" t="s">
        <v>22</v>
      </c>
      <c r="DX889">
        <v>100</v>
      </c>
      <c r="EE889">
        <v>38628631</v>
      </c>
      <c r="EF889">
        <v>1</v>
      </c>
      <c r="EG889" t="s">
        <v>24</v>
      </c>
      <c r="EH889">
        <v>0</v>
      </c>
      <c r="EI889" t="s">
        <v>3</v>
      </c>
      <c r="EJ889">
        <v>4</v>
      </c>
      <c r="EK889">
        <v>0</v>
      </c>
      <c r="EL889" t="s">
        <v>25</v>
      </c>
      <c r="EM889" t="s">
        <v>26</v>
      </c>
      <c r="EO889" t="s">
        <v>3</v>
      </c>
      <c r="EQ889">
        <v>0</v>
      </c>
      <c r="ER889">
        <v>28598.47</v>
      </c>
      <c r="ES889">
        <v>25592.65</v>
      </c>
      <c r="ET889">
        <v>0</v>
      </c>
      <c r="EU889">
        <v>0</v>
      </c>
      <c r="EV889">
        <v>3005.82</v>
      </c>
      <c r="EW889">
        <v>18.649999999999999</v>
      </c>
      <c r="EX889">
        <v>0</v>
      </c>
      <c r="EY889">
        <v>0</v>
      </c>
      <c r="FQ889">
        <v>0</v>
      </c>
      <c r="FR889">
        <f t="shared" ref="FR889:FR898" si="631">ROUND(IF(AND(BH889=3,BI889=3),P889,0),2)</f>
        <v>0</v>
      </c>
      <c r="FS889">
        <v>0</v>
      </c>
      <c r="FX889">
        <v>70</v>
      </c>
      <c r="FY889">
        <v>10</v>
      </c>
      <c r="GA889" t="s">
        <v>3</v>
      </c>
      <c r="GD889">
        <v>0</v>
      </c>
      <c r="GF889">
        <v>-2018344206</v>
      </c>
      <c r="GG889">
        <v>2</v>
      </c>
      <c r="GH889">
        <v>1</v>
      </c>
      <c r="GI889">
        <v>-2</v>
      </c>
      <c r="GJ889">
        <v>0</v>
      </c>
      <c r="GK889">
        <f>ROUND(R889*(R12)/100,2)</f>
        <v>0</v>
      </c>
      <c r="GL889">
        <f t="shared" ref="GL889:GL898" si="632">ROUND(IF(AND(BH889=3,BI889=3,FS889&lt;&gt;0),P889,0),2)</f>
        <v>0</v>
      </c>
      <c r="GM889">
        <f>ROUND(O889+X889+Y889+GK889,2)+GX889</f>
        <v>46400.24</v>
      </c>
      <c r="GN889">
        <f>IF(OR(BI889=0,BI889=1),ROUND(O889+X889+Y889+GK889,2),0)</f>
        <v>0</v>
      </c>
      <c r="GO889">
        <f>IF(BI889=2,ROUND(O889+X889+Y889+GK889,2),0)</f>
        <v>0</v>
      </c>
      <c r="GP889">
        <f>IF(BI889=4,ROUND(O889+X889+Y889+GK889,2)+GX889,0)</f>
        <v>46400.24</v>
      </c>
      <c r="GR889">
        <v>0</v>
      </c>
      <c r="GS889">
        <v>3</v>
      </c>
      <c r="GT889">
        <v>0</v>
      </c>
      <c r="GU889" t="s">
        <v>3</v>
      </c>
      <c r="GV889">
        <f t="shared" ref="GV889:GV898" si="633">ROUND((GT889),6)</f>
        <v>0</v>
      </c>
      <c r="GW889">
        <v>1</v>
      </c>
      <c r="GX889">
        <f t="shared" ref="GX889:GX898" si="634">ROUND(HC889*I889,2)</f>
        <v>0</v>
      </c>
      <c r="HA889">
        <v>0</v>
      </c>
      <c r="HB889">
        <v>0</v>
      </c>
      <c r="HC889">
        <f t="shared" ref="HC889:HC898" si="635">GV889*GW889</f>
        <v>0</v>
      </c>
      <c r="HE889" t="s">
        <v>3</v>
      </c>
      <c r="HF889" t="s">
        <v>3</v>
      </c>
      <c r="IK889">
        <v>0</v>
      </c>
    </row>
    <row r="890" spans="1:245" x14ac:dyDescent="0.2">
      <c r="A890">
        <v>17</v>
      </c>
      <c r="B890">
        <v>1</v>
      </c>
      <c r="C890">
        <f>ROW(SmtRes!A224)</f>
        <v>224</v>
      </c>
      <c r="D890">
        <f>ROW(EtalonRes!A221)</f>
        <v>221</v>
      </c>
      <c r="E890" t="s">
        <v>27</v>
      </c>
      <c r="F890" t="s">
        <v>20</v>
      </c>
      <c r="G890" t="s">
        <v>324</v>
      </c>
      <c r="H890" t="s">
        <v>22</v>
      </c>
      <c r="I890">
        <f>ROUND(315/100,9)</f>
        <v>3.15</v>
      </c>
      <c r="J890">
        <v>0</v>
      </c>
      <c r="O890">
        <f t="shared" si="607"/>
        <v>8409.3700000000008</v>
      </c>
      <c r="P890">
        <f t="shared" si="608"/>
        <v>0</v>
      </c>
      <c r="Q890">
        <f t="shared" si="609"/>
        <v>0.19</v>
      </c>
      <c r="R890">
        <f t="shared" si="610"/>
        <v>0</v>
      </c>
      <c r="S890">
        <f t="shared" si="611"/>
        <v>8409.18</v>
      </c>
      <c r="T890">
        <f t="shared" si="612"/>
        <v>0</v>
      </c>
      <c r="U890">
        <f t="shared" si="613"/>
        <v>47.722499999999997</v>
      </c>
      <c r="V890">
        <f t="shared" si="614"/>
        <v>0</v>
      </c>
      <c r="W890">
        <f t="shared" si="615"/>
        <v>0</v>
      </c>
      <c r="X890">
        <f t="shared" si="616"/>
        <v>5886.43</v>
      </c>
      <c r="Y890">
        <f t="shared" si="617"/>
        <v>840.92</v>
      </c>
      <c r="AA890">
        <v>38214492</v>
      </c>
      <c r="AB890">
        <f t="shared" si="618"/>
        <v>2669.64</v>
      </c>
      <c r="AC890">
        <f t="shared" ref="AC890:AC895" si="636">ROUND((ES890),6)</f>
        <v>0</v>
      </c>
      <c r="AD890">
        <f t="shared" ref="AD890:AD895" si="637">ROUND((((ET890)-(EU890))+AE890),6)</f>
        <v>0.06</v>
      </c>
      <c r="AE890">
        <f t="shared" ref="AE890:AF895" si="638">ROUND((EU890),6)</f>
        <v>0</v>
      </c>
      <c r="AF890">
        <f t="shared" si="638"/>
        <v>2669.58</v>
      </c>
      <c r="AG890">
        <f t="shared" si="619"/>
        <v>0</v>
      </c>
      <c r="AH890">
        <f t="shared" ref="AH890:AI895" si="639">(EW890)</f>
        <v>15.15</v>
      </c>
      <c r="AI890">
        <f t="shared" si="639"/>
        <v>0</v>
      </c>
      <c r="AJ890">
        <f t="shared" si="620"/>
        <v>0</v>
      </c>
      <c r="AK890">
        <v>2669.64</v>
      </c>
      <c r="AL890">
        <v>0</v>
      </c>
      <c r="AM890">
        <v>0.06</v>
      </c>
      <c r="AN890">
        <v>0</v>
      </c>
      <c r="AO890">
        <v>2669.58</v>
      </c>
      <c r="AP890">
        <v>0</v>
      </c>
      <c r="AQ890">
        <v>15.15</v>
      </c>
      <c r="AR890">
        <v>0</v>
      </c>
      <c r="AS890">
        <v>0</v>
      </c>
      <c r="AT890">
        <v>70</v>
      </c>
      <c r="AU890">
        <v>10</v>
      </c>
      <c r="AV890">
        <v>1</v>
      </c>
      <c r="AW890">
        <v>1</v>
      </c>
      <c r="AZ890">
        <v>1</v>
      </c>
      <c r="BA890">
        <v>1</v>
      </c>
      <c r="BB890">
        <v>1</v>
      </c>
      <c r="BC890">
        <v>1</v>
      </c>
      <c r="BD890" t="s">
        <v>3</v>
      </c>
      <c r="BE890" t="s">
        <v>3</v>
      </c>
      <c r="BF890" t="s">
        <v>3</v>
      </c>
      <c r="BG890" t="s">
        <v>3</v>
      </c>
      <c r="BH890">
        <v>0</v>
      </c>
      <c r="BI890">
        <v>4</v>
      </c>
      <c r="BJ890" t="s">
        <v>23</v>
      </c>
      <c r="BM890">
        <v>0</v>
      </c>
      <c r="BN890">
        <v>0</v>
      </c>
      <c r="BO890" t="s">
        <v>3</v>
      </c>
      <c r="BP890">
        <v>0</v>
      </c>
      <c r="BQ890">
        <v>1</v>
      </c>
      <c r="BR890">
        <v>0</v>
      </c>
      <c r="BS890">
        <v>1</v>
      </c>
      <c r="BT890">
        <v>1</v>
      </c>
      <c r="BU890">
        <v>1</v>
      </c>
      <c r="BV890">
        <v>1</v>
      </c>
      <c r="BW890">
        <v>1</v>
      </c>
      <c r="BX890">
        <v>1</v>
      </c>
      <c r="BY890" t="s">
        <v>3</v>
      </c>
      <c r="BZ890">
        <v>70</v>
      </c>
      <c r="CA890">
        <v>10</v>
      </c>
      <c r="CE890">
        <v>0</v>
      </c>
      <c r="CF890">
        <v>0</v>
      </c>
      <c r="CG890">
        <v>0</v>
      </c>
      <c r="CM890">
        <v>0</v>
      </c>
      <c r="CN890" t="s">
        <v>3</v>
      </c>
      <c r="CO890">
        <v>0</v>
      </c>
      <c r="CP890">
        <f t="shared" si="621"/>
        <v>8409.3700000000008</v>
      </c>
      <c r="CQ890">
        <f t="shared" si="622"/>
        <v>0</v>
      </c>
      <c r="CR890">
        <f t="shared" ref="CR890:CR895" si="640">((((ET890)*BB890-(EU890)*BS890)+AE890*BS890)*AV890)</f>
        <v>0.06</v>
      </c>
      <c r="CS890">
        <f t="shared" si="623"/>
        <v>0</v>
      </c>
      <c r="CT890">
        <f t="shared" si="624"/>
        <v>2669.58</v>
      </c>
      <c r="CU890">
        <f t="shared" si="625"/>
        <v>0</v>
      </c>
      <c r="CV890">
        <f t="shared" si="626"/>
        <v>15.15</v>
      </c>
      <c r="CW890">
        <f t="shared" si="627"/>
        <v>0</v>
      </c>
      <c r="CX890">
        <f t="shared" si="628"/>
        <v>0</v>
      </c>
      <c r="CY890">
        <f t="shared" si="629"/>
        <v>5886.4259999999995</v>
      </c>
      <c r="CZ890">
        <f t="shared" si="630"/>
        <v>840.91800000000001</v>
      </c>
      <c r="DC890" t="s">
        <v>3</v>
      </c>
      <c r="DD890" t="s">
        <v>3</v>
      </c>
      <c r="DE890" t="s">
        <v>3</v>
      </c>
      <c r="DF890" t="s">
        <v>3</v>
      </c>
      <c r="DG890" t="s">
        <v>3</v>
      </c>
      <c r="DH890" t="s">
        <v>3</v>
      </c>
      <c r="DI890" t="s">
        <v>3</v>
      </c>
      <c r="DJ890" t="s">
        <v>3</v>
      </c>
      <c r="DK890" t="s">
        <v>3</v>
      </c>
      <c r="DL890" t="s">
        <v>3</v>
      </c>
      <c r="DM890" t="s">
        <v>3</v>
      </c>
      <c r="DN890">
        <v>0</v>
      </c>
      <c r="DO890">
        <v>0</v>
      </c>
      <c r="DP890">
        <v>1</v>
      </c>
      <c r="DQ890">
        <v>1</v>
      </c>
      <c r="DU890">
        <v>1005</v>
      </c>
      <c r="DV890" t="s">
        <v>22</v>
      </c>
      <c r="DW890" t="s">
        <v>22</v>
      </c>
      <c r="DX890">
        <v>100</v>
      </c>
      <c r="EE890">
        <v>38628631</v>
      </c>
      <c r="EF890">
        <v>1</v>
      </c>
      <c r="EG890" t="s">
        <v>24</v>
      </c>
      <c r="EH890">
        <v>0</v>
      </c>
      <c r="EI890" t="s">
        <v>3</v>
      </c>
      <c r="EJ890">
        <v>4</v>
      </c>
      <c r="EK890">
        <v>0</v>
      </c>
      <c r="EL890" t="s">
        <v>25</v>
      </c>
      <c r="EM890" t="s">
        <v>26</v>
      </c>
      <c r="EO890" t="s">
        <v>3</v>
      </c>
      <c r="EQ890">
        <v>0</v>
      </c>
      <c r="ER890">
        <v>2669.64</v>
      </c>
      <c r="ES890">
        <v>0</v>
      </c>
      <c r="ET890">
        <v>0.06</v>
      </c>
      <c r="EU890">
        <v>0</v>
      </c>
      <c r="EV890">
        <v>2669.58</v>
      </c>
      <c r="EW890">
        <v>15.15</v>
      </c>
      <c r="EX890">
        <v>0</v>
      </c>
      <c r="EY890">
        <v>0</v>
      </c>
      <c r="FQ890">
        <v>0</v>
      </c>
      <c r="FR890">
        <f t="shared" si="631"/>
        <v>0</v>
      </c>
      <c r="FS890">
        <v>0</v>
      </c>
      <c r="FX890">
        <v>70</v>
      </c>
      <c r="FY890">
        <v>10</v>
      </c>
      <c r="GA890" t="s">
        <v>3</v>
      </c>
      <c r="GD890">
        <v>0</v>
      </c>
      <c r="GF890">
        <v>-1575628592</v>
      </c>
      <c r="GG890">
        <v>2</v>
      </c>
      <c r="GH890">
        <v>1</v>
      </c>
      <c r="GI890">
        <v>-2</v>
      </c>
      <c r="GJ890">
        <v>0</v>
      </c>
      <c r="GK890">
        <f>ROUND(R890*(R12)/100,2)</f>
        <v>0</v>
      </c>
      <c r="GL890">
        <f t="shared" si="632"/>
        <v>0</v>
      </c>
      <c r="GM890">
        <f>ROUND(O890+X890+Y890+GK890,2)+GX890</f>
        <v>15136.72</v>
      </c>
      <c r="GN890">
        <f>IF(OR(BI890=0,BI890=1),ROUND(O890+X890+Y890+GK890,2),0)</f>
        <v>0</v>
      </c>
      <c r="GO890">
        <f>IF(BI890=2,ROUND(O890+X890+Y890+GK890,2),0)</f>
        <v>0</v>
      </c>
      <c r="GP890">
        <f>IF(BI890=4,ROUND(O890+X890+Y890+GK890,2)+GX890,0)</f>
        <v>15136.72</v>
      </c>
      <c r="GR890">
        <v>0</v>
      </c>
      <c r="GS890">
        <v>3</v>
      </c>
      <c r="GT890">
        <v>0</v>
      </c>
      <c r="GU890" t="s">
        <v>3</v>
      </c>
      <c r="GV890">
        <f t="shared" si="633"/>
        <v>0</v>
      </c>
      <c r="GW890">
        <v>1</v>
      </c>
      <c r="GX890">
        <f t="shared" si="634"/>
        <v>0</v>
      </c>
      <c r="HA890">
        <v>0</v>
      </c>
      <c r="HB890">
        <v>0</v>
      </c>
      <c r="HC890">
        <f t="shared" si="635"/>
        <v>0</v>
      </c>
      <c r="HE890" t="s">
        <v>3</v>
      </c>
      <c r="HF890" t="s">
        <v>3</v>
      </c>
      <c r="IK890">
        <v>0</v>
      </c>
    </row>
    <row r="891" spans="1:245" x14ac:dyDescent="0.2">
      <c r="A891">
        <v>17</v>
      </c>
      <c r="B891">
        <v>1</v>
      </c>
      <c r="C891">
        <f>ROW(SmtRes!A226)</f>
        <v>226</v>
      </c>
      <c r="D891">
        <f>ROW(EtalonRes!A223)</f>
        <v>223</v>
      </c>
      <c r="E891" t="s">
        <v>34</v>
      </c>
      <c r="F891" t="s">
        <v>325</v>
      </c>
      <c r="G891" t="s">
        <v>326</v>
      </c>
      <c r="H891" t="s">
        <v>22</v>
      </c>
      <c r="I891">
        <f>ROUND(I936,9)</f>
        <v>6.259836</v>
      </c>
      <c r="J891">
        <v>0</v>
      </c>
      <c r="O891">
        <f t="shared" si="607"/>
        <v>8264.49</v>
      </c>
      <c r="P891">
        <f t="shared" si="608"/>
        <v>0</v>
      </c>
      <c r="Q891">
        <f t="shared" si="609"/>
        <v>0</v>
      </c>
      <c r="R891">
        <f t="shared" si="610"/>
        <v>0</v>
      </c>
      <c r="S891">
        <f t="shared" si="611"/>
        <v>8264.49</v>
      </c>
      <c r="T891">
        <f t="shared" si="612"/>
        <v>0</v>
      </c>
      <c r="U891">
        <f t="shared" si="613"/>
        <v>48.012942119999998</v>
      </c>
      <c r="V891">
        <f t="shared" si="614"/>
        <v>0</v>
      </c>
      <c r="W891">
        <f t="shared" si="615"/>
        <v>0</v>
      </c>
      <c r="X891">
        <f t="shared" si="616"/>
        <v>5785.14</v>
      </c>
      <c r="Y891">
        <f t="shared" si="617"/>
        <v>826.45</v>
      </c>
      <c r="AA891">
        <v>38214492</v>
      </c>
      <c r="AB891">
        <f t="shared" si="618"/>
        <v>1320.24</v>
      </c>
      <c r="AC891">
        <f t="shared" si="636"/>
        <v>0</v>
      </c>
      <c r="AD891">
        <f t="shared" si="637"/>
        <v>0</v>
      </c>
      <c r="AE891">
        <f t="shared" si="638"/>
        <v>0</v>
      </c>
      <c r="AF891">
        <f t="shared" si="638"/>
        <v>1320.24</v>
      </c>
      <c r="AG891">
        <f t="shared" si="619"/>
        <v>0</v>
      </c>
      <c r="AH891">
        <f t="shared" si="639"/>
        <v>7.67</v>
      </c>
      <c r="AI891">
        <f t="shared" si="639"/>
        <v>0</v>
      </c>
      <c r="AJ891">
        <f t="shared" si="620"/>
        <v>0</v>
      </c>
      <c r="AK891">
        <v>1320.24</v>
      </c>
      <c r="AL891">
        <v>0</v>
      </c>
      <c r="AM891">
        <v>0</v>
      </c>
      <c r="AN891">
        <v>0</v>
      </c>
      <c r="AO891">
        <v>1320.24</v>
      </c>
      <c r="AP891">
        <v>0</v>
      </c>
      <c r="AQ891">
        <v>7.67</v>
      </c>
      <c r="AR891">
        <v>0</v>
      </c>
      <c r="AS891">
        <v>0</v>
      </c>
      <c r="AT891">
        <v>70</v>
      </c>
      <c r="AU891">
        <v>10</v>
      </c>
      <c r="AV891">
        <v>1</v>
      </c>
      <c r="AW891">
        <v>1</v>
      </c>
      <c r="AZ891">
        <v>1</v>
      </c>
      <c r="BA891">
        <v>1</v>
      </c>
      <c r="BB891">
        <v>1</v>
      </c>
      <c r="BC891">
        <v>1</v>
      </c>
      <c r="BD891" t="s">
        <v>3</v>
      </c>
      <c r="BE891" t="s">
        <v>3</v>
      </c>
      <c r="BF891" t="s">
        <v>3</v>
      </c>
      <c r="BG891" t="s">
        <v>3</v>
      </c>
      <c r="BH891">
        <v>0</v>
      </c>
      <c r="BI891">
        <v>4</v>
      </c>
      <c r="BJ891" t="s">
        <v>327</v>
      </c>
      <c r="BM891">
        <v>0</v>
      </c>
      <c r="BN891">
        <v>0</v>
      </c>
      <c r="BO891" t="s">
        <v>3</v>
      </c>
      <c r="BP891">
        <v>0</v>
      </c>
      <c r="BQ891">
        <v>1</v>
      </c>
      <c r="BR891">
        <v>0</v>
      </c>
      <c r="BS891">
        <v>1</v>
      </c>
      <c r="BT891">
        <v>1</v>
      </c>
      <c r="BU891">
        <v>1</v>
      </c>
      <c r="BV891">
        <v>1</v>
      </c>
      <c r="BW891">
        <v>1</v>
      </c>
      <c r="BX891">
        <v>1</v>
      </c>
      <c r="BY891" t="s">
        <v>3</v>
      </c>
      <c r="BZ891">
        <v>70</v>
      </c>
      <c r="CA891">
        <v>10</v>
      </c>
      <c r="CE891">
        <v>0</v>
      </c>
      <c r="CF891">
        <v>0</v>
      </c>
      <c r="CG891">
        <v>0</v>
      </c>
      <c r="CM891">
        <v>0</v>
      </c>
      <c r="CN891" t="s">
        <v>3</v>
      </c>
      <c r="CO891">
        <v>0</v>
      </c>
      <c r="CP891">
        <f t="shared" si="621"/>
        <v>8264.49</v>
      </c>
      <c r="CQ891">
        <f t="shared" si="622"/>
        <v>0</v>
      </c>
      <c r="CR891">
        <f t="shared" si="640"/>
        <v>0</v>
      </c>
      <c r="CS891">
        <f t="shared" si="623"/>
        <v>0</v>
      </c>
      <c r="CT891">
        <f t="shared" si="624"/>
        <v>1320.24</v>
      </c>
      <c r="CU891">
        <f t="shared" si="625"/>
        <v>0</v>
      </c>
      <c r="CV891">
        <f t="shared" si="626"/>
        <v>7.67</v>
      </c>
      <c r="CW891">
        <f t="shared" si="627"/>
        <v>0</v>
      </c>
      <c r="CX891">
        <f t="shared" si="628"/>
        <v>0</v>
      </c>
      <c r="CY891">
        <f t="shared" si="629"/>
        <v>5785.1429999999991</v>
      </c>
      <c r="CZ891">
        <f t="shared" si="630"/>
        <v>826.44899999999996</v>
      </c>
      <c r="DC891" t="s">
        <v>3</v>
      </c>
      <c r="DD891" t="s">
        <v>3</v>
      </c>
      <c r="DE891" t="s">
        <v>3</v>
      </c>
      <c r="DF891" t="s">
        <v>3</v>
      </c>
      <c r="DG891" t="s">
        <v>3</v>
      </c>
      <c r="DH891" t="s">
        <v>3</v>
      </c>
      <c r="DI891" t="s">
        <v>3</v>
      </c>
      <c r="DJ891" t="s">
        <v>3</v>
      </c>
      <c r="DK891" t="s">
        <v>3</v>
      </c>
      <c r="DL891" t="s">
        <v>3</v>
      </c>
      <c r="DM891" t="s">
        <v>3</v>
      </c>
      <c r="DN891">
        <v>0</v>
      </c>
      <c r="DO891">
        <v>0</v>
      </c>
      <c r="DP891">
        <v>1</v>
      </c>
      <c r="DQ891">
        <v>1</v>
      </c>
      <c r="DU891">
        <v>1005</v>
      </c>
      <c r="DV891" t="s">
        <v>22</v>
      </c>
      <c r="DW891" t="s">
        <v>22</v>
      </c>
      <c r="DX891">
        <v>100</v>
      </c>
      <c r="EE891">
        <v>38628631</v>
      </c>
      <c r="EF891">
        <v>1</v>
      </c>
      <c r="EG891" t="s">
        <v>24</v>
      </c>
      <c r="EH891">
        <v>0</v>
      </c>
      <c r="EI891" t="s">
        <v>3</v>
      </c>
      <c r="EJ891">
        <v>4</v>
      </c>
      <c r="EK891">
        <v>0</v>
      </c>
      <c r="EL891" t="s">
        <v>25</v>
      </c>
      <c r="EM891" t="s">
        <v>26</v>
      </c>
      <c r="EO891" t="s">
        <v>3</v>
      </c>
      <c r="EQ891">
        <v>0</v>
      </c>
      <c r="ER891">
        <v>1320.24</v>
      </c>
      <c r="ES891">
        <v>0</v>
      </c>
      <c r="ET891">
        <v>0</v>
      </c>
      <c r="EU891">
        <v>0</v>
      </c>
      <c r="EV891">
        <v>1320.24</v>
      </c>
      <c r="EW891">
        <v>7.67</v>
      </c>
      <c r="EX891">
        <v>0</v>
      </c>
      <c r="EY891">
        <v>0</v>
      </c>
      <c r="FQ891">
        <v>0</v>
      </c>
      <c r="FR891">
        <f t="shared" si="631"/>
        <v>0</v>
      </c>
      <c r="FS891">
        <v>0</v>
      </c>
      <c r="FX891">
        <v>70</v>
      </c>
      <c r="FY891">
        <v>10</v>
      </c>
      <c r="GA891" t="s">
        <v>3</v>
      </c>
      <c r="GD891">
        <v>0</v>
      </c>
      <c r="GF891">
        <v>-1896093211</v>
      </c>
      <c r="GG891">
        <v>2</v>
      </c>
      <c r="GH891">
        <v>1</v>
      </c>
      <c r="GI891">
        <v>-2</v>
      </c>
      <c r="GJ891">
        <v>0</v>
      </c>
      <c r="GK891">
        <f>ROUND(R891*(R12)/100,2)</f>
        <v>0</v>
      </c>
      <c r="GL891">
        <f t="shared" si="632"/>
        <v>0</v>
      </c>
      <c r="GM891">
        <f>ROUND(O891+X891+Y891+GK891,2)+GX891</f>
        <v>14876.08</v>
      </c>
      <c r="GN891">
        <f>IF(OR(BI891=0,BI891=1),ROUND(O891+X891+Y891+GK891,2),0)</f>
        <v>0</v>
      </c>
      <c r="GO891">
        <f>IF(BI891=2,ROUND(O891+X891+Y891+GK891,2),0)</f>
        <v>0</v>
      </c>
      <c r="GP891">
        <f>IF(BI891=4,ROUND(O891+X891+Y891+GK891,2)+GX891,0)</f>
        <v>14876.08</v>
      </c>
      <c r="GR891">
        <v>0</v>
      </c>
      <c r="GS891">
        <v>3</v>
      </c>
      <c r="GT891">
        <v>0</v>
      </c>
      <c r="GU891" t="s">
        <v>3</v>
      </c>
      <c r="GV891">
        <f t="shared" si="633"/>
        <v>0</v>
      </c>
      <c r="GW891">
        <v>1</v>
      </c>
      <c r="GX891">
        <f t="shared" si="634"/>
        <v>0</v>
      </c>
      <c r="HA891">
        <v>0</v>
      </c>
      <c r="HB891">
        <v>0</v>
      </c>
      <c r="HC891">
        <f t="shared" si="635"/>
        <v>0</v>
      </c>
      <c r="HE891" t="s">
        <v>3</v>
      </c>
      <c r="HF891" t="s">
        <v>3</v>
      </c>
      <c r="IK891">
        <v>0</v>
      </c>
    </row>
    <row r="892" spans="1:245" x14ac:dyDescent="0.2">
      <c r="A892">
        <v>17</v>
      </c>
      <c r="B892">
        <v>1</v>
      </c>
      <c r="C892">
        <f>ROW(SmtRes!A227)</f>
        <v>227</v>
      </c>
      <c r="D892">
        <f>ROW(EtalonRes!A224)</f>
        <v>224</v>
      </c>
      <c r="E892" t="s">
        <v>38</v>
      </c>
      <c r="F892" t="s">
        <v>194</v>
      </c>
      <c r="G892" t="s">
        <v>195</v>
      </c>
      <c r="H892" t="s">
        <v>30</v>
      </c>
      <c r="I892">
        <f>ROUND(((129.0688+2.0475)*0.6)*0.9,9)</f>
        <v>70.802802</v>
      </c>
      <c r="J892">
        <v>0</v>
      </c>
      <c r="O892">
        <f t="shared" si="607"/>
        <v>5519.79</v>
      </c>
      <c r="P892">
        <f t="shared" si="608"/>
        <v>0</v>
      </c>
      <c r="Q892">
        <f t="shared" si="609"/>
        <v>5519.79</v>
      </c>
      <c r="R892">
        <f t="shared" si="610"/>
        <v>1741.04</v>
      </c>
      <c r="S892">
        <f t="shared" si="611"/>
        <v>0</v>
      </c>
      <c r="T892">
        <f t="shared" si="612"/>
        <v>0</v>
      </c>
      <c r="U892">
        <f t="shared" si="613"/>
        <v>0</v>
      </c>
      <c r="V892">
        <f t="shared" si="614"/>
        <v>0</v>
      </c>
      <c r="W892">
        <f t="shared" si="615"/>
        <v>0</v>
      </c>
      <c r="X892">
        <f t="shared" si="616"/>
        <v>0</v>
      </c>
      <c r="Y892">
        <f t="shared" si="617"/>
        <v>0</v>
      </c>
      <c r="AA892">
        <v>38214492</v>
      </c>
      <c r="AB892">
        <f t="shared" si="618"/>
        <v>77.959999999999994</v>
      </c>
      <c r="AC892">
        <f t="shared" si="636"/>
        <v>0</v>
      </c>
      <c r="AD892">
        <f t="shared" si="637"/>
        <v>77.959999999999994</v>
      </c>
      <c r="AE892">
        <f t="shared" si="638"/>
        <v>24.59</v>
      </c>
      <c r="AF892">
        <f t="shared" si="638"/>
        <v>0</v>
      </c>
      <c r="AG892">
        <f t="shared" si="619"/>
        <v>0</v>
      </c>
      <c r="AH892">
        <f t="shared" si="639"/>
        <v>0</v>
      </c>
      <c r="AI892">
        <f t="shared" si="639"/>
        <v>0</v>
      </c>
      <c r="AJ892">
        <f t="shared" si="620"/>
        <v>0</v>
      </c>
      <c r="AK892">
        <v>77.959999999999994</v>
      </c>
      <c r="AL892">
        <v>0</v>
      </c>
      <c r="AM892">
        <v>77.959999999999994</v>
      </c>
      <c r="AN892">
        <v>24.59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70</v>
      </c>
      <c r="AU892">
        <v>10</v>
      </c>
      <c r="AV892">
        <v>1</v>
      </c>
      <c r="AW892">
        <v>1</v>
      </c>
      <c r="AZ892">
        <v>1</v>
      </c>
      <c r="BA892">
        <v>1</v>
      </c>
      <c r="BB892">
        <v>1</v>
      </c>
      <c r="BC892">
        <v>1</v>
      </c>
      <c r="BD892" t="s">
        <v>3</v>
      </c>
      <c r="BE892" t="s">
        <v>3</v>
      </c>
      <c r="BF892" t="s">
        <v>3</v>
      </c>
      <c r="BG892" t="s">
        <v>3</v>
      </c>
      <c r="BH892">
        <v>0</v>
      </c>
      <c r="BI892">
        <v>4</v>
      </c>
      <c r="BJ892" t="s">
        <v>196</v>
      </c>
      <c r="BM892">
        <v>0</v>
      </c>
      <c r="BN892">
        <v>0</v>
      </c>
      <c r="BO892" t="s">
        <v>3</v>
      </c>
      <c r="BP892">
        <v>0</v>
      </c>
      <c r="BQ892">
        <v>1</v>
      </c>
      <c r="BR892">
        <v>0</v>
      </c>
      <c r="BS892">
        <v>1</v>
      </c>
      <c r="BT892">
        <v>1</v>
      </c>
      <c r="BU892">
        <v>1</v>
      </c>
      <c r="BV892">
        <v>1</v>
      </c>
      <c r="BW892">
        <v>1</v>
      </c>
      <c r="BX892">
        <v>1</v>
      </c>
      <c r="BY892" t="s">
        <v>3</v>
      </c>
      <c r="BZ892">
        <v>70</v>
      </c>
      <c r="CA892">
        <v>10</v>
      </c>
      <c r="CE892">
        <v>0</v>
      </c>
      <c r="CF892">
        <v>0</v>
      </c>
      <c r="CG892">
        <v>0</v>
      </c>
      <c r="CM892">
        <v>0</v>
      </c>
      <c r="CN892" t="s">
        <v>3</v>
      </c>
      <c r="CO892">
        <v>0</v>
      </c>
      <c r="CP892">
        <f t="shared" si="621"/>
        <v>5519.79</v>
      </c>
      <c r="CQ892">
        <f t="shared" si="622"/>
        <v>0</v>
      </c>
      <c r="CR892">
        <f t="shared" si="640"/>
        <v>77.959999999999994</v>
      </c>
      <c r="CS892">
        <f t="shared" si="623"/>
        <v>24.59</v>
      </c>
      <c r="CT892">
        <f t="shared" si="624"/>
        <v>0</v>
      </c>
      <c r="CU892">
        <f t="shared" si="625"/>
        <v>0</v>
      </c>
      <c r="CV892">
        <f t="shared" si="626"/>
        <v>0</v>
      </c>
      <c r="CW892">
        <f t="shared" si="627"/>
        <v>0</v>
      </c>
      <c r="CX892">
        <f t="shared" si="628"/>
        <v>0</v>
      </c>
      <c r="CY892">
        <f t="shared" si="629"/>
        <v>0</v>
      </c>
      <c r="CZ892">
        <f t="shared" si="630"/>
        <v>0</v>
      </c>
      <c r="DC892" t="s">
        <v>3</v>
      </c>
      <c r="DD892" t="s">
        <v>3</v>
      </c>
      <c r="DE892" t="s">
        <v>3</v>
      </c>
      <c r="DF892" t="s">
        <v>3</v>
      </c>
      <c r="DG892" t="s">
        <v>3</v>
      </c>
      <c r="DH892" t="s">
        <v>3</v>
      </c>
      <c r="DI892" t="s">
        <v>3</v>
      </c>
      <c r="DJ892" t="s">
        <v>3</v>
      </c>
      <c r="DK892" t="s">
        <v>3</v>
      </c>
      <c r="DL892" t="s">
        <v>3</v>
      </c>
      <c r="DM892" t="s">
        <v>3</v>
      </c>
      <c r="DN892">
        <v>0</v>
      </c>
      <c r="DO892">
        <v>0</v>
      </c>
      <c r="DP892">
        <v>1</v>
      </c>
      <c r="DQ892">
        <v>1</v>
      </c>
      <c r="DU892">
        <v>1009</v>
      </c>
      <c r="DV892" t="s">
        <v>30</v>
      </c>
      <c r="DW892" t="s">
        <v>30</v>
      </c>
      <c r="DX892">
        <v>1000</v>
      </c>
      <c r="EE892">
        <v>38628631</v>
      </c>
      <c r="EF892">
        <v>1</v>
      </c>
      <c r="EG892" t="s">
        <v>24</v>
      </c>
      <c r="EH892">
        <v>0</v>
      </c>
      <c r="EI892" t="s">
        <v>3</v>
      </c>
      <c r="EJ892">
        <v>4</v>
      </c>
      <c r="EK892">
        <v>0</v>
      </c>
      <c r="EL892" t="s">
        <v>25</v>
      </c>
      <c r="EM892" t="s">
        <v>26</v>
      </c>
      <c r="EO892" t="s">
        <v>3</v>
      </c>
      <c r="EQ892">
        <v>0</v>
      </c>
      <c r="ER892">
        <v>77.959999999999994</v>
      </c>
      <c r="ES892">
        <v>0</v>
      </c>
      <c r="ET892">
        <v>77.959999999999994</v>
      </c>
      <c r="EU892">
        <v>24.59</v>
      </c>
      <c r="EV892">
        <v>0</v>
      </c>
      <c r="EW892">
        <v>0</v>
      </c>
      <c r="EX892">
        <v>0</v>
      </c>
      <c r="EY892">
        <v>0</v>
      </c>
      <c r="FQ892">
        <v>0</v>
      </c>
      <c r="FR892">
        <f t="shared" si="631"/>
        <v>0</v>
      </c>
      <c r="FS892">
        <v>0</v>
      </c>
      <c r="FX892">
        <v>70</v>
      </c>
      <c r="FY892">
        <v>10</v>
      </c>
      <c r="GA892" t="s">
        <v>3</v>
      </c>
      <c r="GD892">
        <v>0</v>
      </c>
      <c r="GF892">
        <v>-621992786</v>
      </c>
      <c r="GG892">
        <v>2</v>
      </c>
      <c r="GH892">
        <v>1</v>
      </c>
      <c r="GI892">
        <v>-2</v>
      </c>
      <c r="GJ892">
        <v>0</v>
      </c>
      <c r="GK892">
        <f>ROUND(R892*(R12)/100,2)</f>
        <v>1880.32</v>
      </c>
      <c r="GL892">
        <f t="shared" si="632"/>
        <v>0</v>
      </c>
      <c r="GM892">
        <f>ROUND(O892+X892+Y892+GK892,2)+GX892</f>
        <v>7400.11</v>
      </c>
      <c r="GN892">
        <f>IF(OR(BI892=0,BI892=1),ROUND(O892+X892+Y892+GK892,2),0)</f>
        <v>0</v>
      </c>
      <c r="GO892">
        <f>IF(BI892=2,ROUND(O892+X892+Y892+GK892,2),0)</f>
        <v>0</v>
      </c>
      <c r="GP892">
        <f>IF(BI892=4,ROUND(O892+X892+Y892+GK892,2)+GX892,0)</f>
        <v>7400.11</v>
      </c>
      <c r="GR892">
        <v>0</v>
      </c>
      <c r="GS892">
        <v>3</v>
      </c>
      <c r="GT892">
        <v>0</v>
      </c>
      <c r="GU892" t="s">
        <v>3</v>
      </c>
      <c r="GV892">
        <f t="shared" si="633"/>
        <v>0</v>
      </c>
      <c r="GW892">
        <v>1</v>
      </c>
      <c r="GX892">
        <f t="shared" si="634"/>
        <v>0</v>
      </c>
      <c r="HA892">
        <v>0</v>
      </c>
      <c r="HB892">
        <v>0</v>
      </c>
      <c r="HC892">
        <f t="shared" si="635"/>
        <v>0</v>
      </c>
      <c r="HE892" t="s">
        <v>3</v>
      </c>
      <c r="HF892" t="s">
        <v>3</v>
      </c>
      <c r="IK892">
        <v>0</v>
      </c>
    </row>
    <row r="893" spans="1:245" x14ac:dyDescent="0.2">
      <c r="A893">
        <v>17</v>
      </c>
      <c r="B893">
        <v>1</v>
      </c>
      <c r="C893">
        <f>ROW(SmtRes!A228)</f>
        <v>228</v>
      </c>
      <c r="D893">
        <f>ROW(EtalonRes!A225)</f>
        <v>225</v>
      </c>
      <c r="E893" t="s">
        <v>43</v>
      </c>
      <c r="F893" t="s">
        <v>35</v>
      </c>
      <c r="G893" t="s">
        <v>36</v>
      </c>
      <c r="H893" t="s">
        <v>30</v>
      </c>
      <c r="I893">
        <f>ROUND(((129.0688+2.0475)*0.6)*0.1,9)</f>
        <v>7.8669779999999996</v>
      </c>
      <c r="J893">
        <v>0</v>
      </c>
      <c r="O893">
        <f t="shared" si="607"/>
        <v>941.6</v>
      </c>
      <c r="P893">
        <f t="shared" si="608"/>
        <v>0</v>
      </c>
      <c r="Q893">
        <f t="shared" si="609"/>
        <v>0</v>
      </c>
      <c r="R893">
        <f t="shared" si="610"/>
        <v>0</v>
      </c>
      <c r="S893">
        <f t="shared" si="611"/>
        <v>941.6</v>
      </c>
      <c r="T893">
        <f t="shared" si="612"/>
        <v>0</v>
      </c>
      <c r="U893">
        <f t="shared" si="613"/>
        <v>8.0243175600000001</v>
      </c>
      <c r="V893">
        <f t="shared" si="614"/>
        <v>0</v>
      </c>
      <c r="W893">
        <f t="shared" si="615"/>
        <v>0</v>
      </c>
      <c r="X893">
        <f t="shared" si="616"/>
        <v>659.12</v>
      </c>
      <c r="Y893">
        <f t="shared" si="617"/>
        <v>94.16</v>
      </c>
      <c r="AA893">
        <v>38214492</v>
      </c>
      <c r="AB893">
        <f t="shared" si="618"/>
        <v>119.69</v>
      </c>
      <c r="AC893">
        <f t="shared" si="636"/>
        <v>0</v>
      </c>
      <c r="AD893">
        <f t="shared" si="637"/>
        <v>0</v>
      </c>
      <c r="AE893">
        <f t="shared" si="638"/>
        <v>0</v>
      </c>
      <c r="AF893">
        <f t="shared" si="638"/>
        <v>119.69</v>
      </c>
      <c r="AG893">
        <f t="shared" si="619"/>
        <v>0</v>
      </c>
      <c r="AH893">
        <f t="shared" si="639"/>
        <v>1.02</v>
      </c>
      <c r="AI893">
        <f t="shared" si="639"/>
        <v>0</v>
      </c>
      <c r="AJ893">
        <f t="shared" si="620"/>
        <v>0</v>
      </c>
      <c r="AK893">
        <v>119.69</v>
      </c>
      <c r="AL893">
        <v>0</v>
      </c>
      <c r="AM893">
        <v>0</v>
      </c>
      <c r="AN893">
        <v>0</v>
      </c>
      <c r="AO893">
        <v>119.69</v>
      </c>
      <c r="AP893">
        <v>0</v>
      </c>
      <c r="AQ893">
        <v>1.02</v>
      </c>
      <c r="AR893">
        <v>0</v>
      </c>
      <c r="AS893">
        <v>0</v>
      </c>
      <c r="AT893">
        <v>70</v>
      </c>
      <c r="AU893">
        <v>10</v>
      </c>
      <c r="AV893">
        <v>1</v>
      </c>
      <c r="AW893">
        <v>1</v>
      </c>
      <c r="AZ893">
        <v>1</v>
      </c>
      <c r="BA893">
        <v>1</v>
      </c>
      <c r="BB893">
        <v>1</v>
      </c>
      <c r="BC893">
        <v>1</v>
      </c>
      <c r="BD893" t="s">
        <v>3</v>
      </c>
      <c r="BE893" t="s">
        <v>3</v>
      </c>
      <c r="BF893" t="s">
        <v>3</v>
      </c>
      <c r="BG893" t="s">
        <v>3</v>
      </c>
      <c r="BH893">
        <v>0</v>
      </c>
      <c r="BI893">
        <v>4</v>
      </c>
      <c r="BJ893" t="s">
        <v>37</v>
      </c>
      <c r="BM893">
        <v>0</v>
      </c>
      <c r="BN893">
        <v>0</v>
      </c>
      <c r="BO893" t="s">
        <v>3</v>
      </c>
      <c r="BP893">
        <v>0</v>
      </c>
      <c r="BQ893">
        <v>1</v>
      </c>
      <c r="BR893">
        <v>0</v>
      </c>
      <c r="BS893">
        <v>1</v>
      </c>
      <c r="BT893">
        <v>1</v>
      </c>
      <c r="BU893">
        <v>1</v>
      </c>
      <c r="BV893">
        <v>1</v>
      </c>
      <c r="BW893">
        <v>1</v>
      </c>
      <c r="BX893">
        <v>1</v>
      </c>
      <c r="BY893" t="s">
        <v>3</v>
      </c>
      <c r="BZ893">
        <v>70</v>
      </c>
      <c r="CA893">
        <v>10</v>
      </c>
      <c r="CE893">
        <v>0</v>
      </c>
      <c r="CF893">
        <v>0</v>
      </c>
      <c r="CG893">
        <v>0</v>
      </c>
      <c r="CM893">
        <v>0</v>
      </c>
      <c r="CN893" t="s">
        <v>3</v>
      </c>
      <c r="CO893">
        <v>0</v>
      </c>
      <c r="CP893">
        <f t="shared" si="621"/>
        <v>941.6</v>
      </c>
      <c r="CQ893">
        <f t="shared" si="622"/>
        <v>0</v>
      </c>
      <c r="CR893">
        <f t="shared" si="640"/>
        <v>0</v>
      </c>
      <c r="CS893">
        <f t="shared" si="623"/>
        <v>0</v>
      </c>
      <c r="CT893">
        <f t="shared" si="624"/>
        <v>119.69</v>
      </c>
      <c r="CU893">
        <f t="shared" si="625"/>
        <v>0</v>
      </c>
      <c r="CV893">
        <f t="shared" si="626"/>
        <v>1.02</v>
      </c>
      <c r="CW893">
        <f t="shared" si="627"/>
        <v>0</v>
      </c>
      <c r="CX893">
        <f t="shared" si="628"/>
        <v>0</v>
      </c>
      <c r="CY893">
        <f t="shared" si="629"/>
        <v>659.12</v>
      </c>
      <c r="CZ893">
        <f t="shared" si="630"/>
        <v>94.16</v>
      </c>
      <c r="DC893" t="s">
        <v>3</v>
      </c>
      <c r="DD893" t="s">
        <v>3</v>
      </c>
      <c r="DE893" t="s">
        <v>3</v>
      </c>
      <c r="DF893" t="s">
        <v>3</v>
      </c>
      <c r="DG893" t="s">
        <v>3</v>
      </c>
      <c r="DH893" t="s">
        <v>3</v>
      </c>
      <c r="DI893" t="s">
        <v>3</v>
      </c>
      <c r="DJ893" t="s">
        <v>3</v>
      </c>
      <c r="DK893" t="s">
        <v>3</v>
      </c>
      <c r="DL893" t="s">
        <v>3</v>
      </c>
      <c r="DM893" t="s">
        <v>3</v>
      </c>
      <c r="DN893">
        <v>0</v>
      </c>
      <c r="DO893">
        <v>0</v>
      </c>
      <c r="DP893">
        <v>1</v>
      </c>
      <c r="DQ893">
        <v>1</v>
      </c>
      <c r="DU893">
        <v>1009</v>
      </c>
      <c r="DV893" t="s">
        <v>30</v>
      </c>
      <c r="DW893" t="s">
        <v>30</v>
      </c>
      <c r="DX893">
        <v>1000</v>
      </c>
      <c r="EE893">
        <v>38628631</v>
      </c>
      <c r="EF893">
        <v>1</v>
      </c>
      <c r="EG893" t="s">
        <v>24</v>
      </c>
      <c r="EH893">
        <v>0</v>
      </c>
      <c r="EI893" t="s">
        <v>3</v>
      </c>
      <c r="EJ893">
        <v>4</v>
      </c>
      <c r="EK893">
        <v>0</v>
      </c>
      <c r="EL893" t="s">
        <v>25</v>
      </c>
      <c r="EM893" t="s">
        <v>26</v>
      </c>
      <c r="EO893" t="s">
        <v>3</v>
      </c>
      <c r="EQ893">
        <v>0</v>
      </c>
      <c r="ER893">
        <v>119.69</v>
      </c>
      <c r="ES893">
        <v>0</v>
      </c>
      <c r="ET893">
        <v>0</v>
      </c>
      <c r="EU893">
        <v>0</v>
      </c>
      <c r="EV893">
        <v>119.69</v>
      </c>
      <c r="EW893">
        <v>1.02</v>
      </c>
      <c r="EX893">
        <v>0</v>
      </c>
      <c r="EY893">
        <v>0</v>
      </c>
      <c r="FQ893">
        <v>0</v>
      </c>
      <c r="FR893">
        <f t="shared" si="631"/>
        <v>0</v>
      </c>
      <c r="FS893">
        <v>0</v>
      </c>
      <c r="FX893">
        <v>70</v>
      </c>
      <c r="FY893">
        <v>10</v>
      </c>
      <c r="GA893" t="s">
        <v>3</v>
      </c>
      <c r="GD893">
        <v>0</v>
      </c>
      <c r="GF893">
        <v>1555540630</v>
      </c>
      <c r="GG893">
        <v>2</v>
      </c>
      <c r="GH893">
        <v>1</v>
      </c>
      <c r="GI893">
        <v>-2</v>
      </c>
      <c r="GJ893">
        <v>0</v>
      </c>
      <c r="GK893">
        <f>ROUND(R893*(R12)/100,2)</f>
        <v>0</v>
      </c>
      <c r="GL893">
        <f t="shared" si="632"/>
        <v>0</v>
      </c>
      <c r="GM893">
        <f>ROUND(O893+X893+Y893+GK893,2)+GX893</f>
        <v>1694.88</v>
      </c>
      <c r="GN893">
        <f>IF(OR(BI893=0,BI893=1),ROUND(O893+X893+Y893+GK893,2),0)</f>
        <v>0</v>
      </c>
      <c r="GO893">
        <f>IF(BI893=2,ROUND(O893+X893+Y893+GK893,2),0)</f>
        <v>0</v>
      </c>
      <c r="GP893">
        <f>IF(BI893=4,ROUND(O893+X893+Y893+GK893,2)+GX893,0)</f>
        <v>1694.88</v>
      </c>
      <c r="GR893">
        <v>0</v>
      </c>
      <c r="GS893">
        <v>3</v>
      </c>
      <c r="GT893">
        <v>0</v>
      </c>
      <c r="GU893" t="s">
        <v>3</v>
      </c>
      <c r="GV893">
        <f t="shared" si="633"/>
        <v>0</v>
      </c>
      <c r="GW893">
        <v>1</v>
      </c>
      <c r="GX893">
        <f t="shared" si="634"/>
        <v>0</v>
      </c>
      <c r="HA893">
        <v>0</v>
      </c>
      <c r="HB893">
        <v>0</v>
      </c>
      <c r="HC893">
        <f t="shared" si="635"/>
        <v>0</v>
      </c>
      <c r="HE893" t="s">
        <v>3</v>
      </c>
      <c r="HF893" t="s">
        <v>3</v>
      </c>
      <c r="IK893">
        <v>0</v>
      </c>
    </row>
    <row r="894" spans="1:245" x14ac:dyDescent="0.2">
      <c r="A894">
        <v>17</v>
      </c>
      <c r="B894">
        <v>1</v>
      </c>
      <c r="C894">
        <f>ROW(SmtRes!A230)</f>
        <v>230</v>
      </c>
      <c r="D894">
        <f>ROW(EtalonRes!A227)</f>
        <v>227</v>
      </c>
      <c r="E894" t="s">
        <v>47</v>
      </c>
      <c r="F894" t="s">
        <v>39</v>
      </c>
      <c r="G894" t="s">
        <v>40</v>
      </c>
      <c r="H894" t="s">
        <v>30</v>
      </c>
      <c r="I894">
        <f>ROUND(I892,9)</f>
        <v>70.802802</v>
      </c>
      <c r="J894">
        <v>0</v>
      </c>
      <c r="O894">
        <f t="shared" si="607"/>
        <v>4425.18</v>
      </c>
      <c r="P894">
        <f t="shared" si="608"/>
        <v>0</v>
      </c>
      <c r="Q894">
        <f t="shared" si="609"/>
        <v>4425.18</v>
      </c>
      <c r="R894">
        <f t="shared" si="610"/>
        <v>2621.12</v>
      </c>
      <c r="S894">
        <f t="shared" si="611"/>
        <v>0</v>
      </c>
      <c r="T894">
        <f t="shared" si="612"/>
        <v>0</v>
      </c>
      <c r="U894">
        <f t="shared" si="613"/>
        <v>0</v>
      </c>
      <c r="V894">
        <f t="shared" si="614"/>
        <v>0</v>
      </c>
      <c r="W894">
        <f t="shared" si="615"/>
        <v>0</v>
      </c>
      <c r="X894">
        <f t="shared" si="616"/>
        <v>0</v>
      </c>
      <c r="Y894">
        <f t="shared" si="617"/>
        <v>0</v>
      </c>
      <c r="AA894">
        <v>38214492</v>
      </c>
      <c r="AB894">
        <f t="shared" si="618"/>
        <v>62.5</v>
      </c>
      <c r="AC894">
        <f t="shared" si="636"/>
        <v>0</v>
      </c>
      <c r="AD894">
        <f t="shared" si="637"/>
        <v>62.5</v>
      </c>
      <c r="AE894">
        <f t="shared" si="638"/>
        <v>37.020000000000003</v>
      </c>
      <c r="AF894">
        <f t="shared" si="638"/>
        <v>0</v>
      </c>
      <c r="AG894">
        <f t="shared" si="619"/>
        <v>0</v>
      </c>
      <c r="AH894">
        <f t="shared" si="639"/>
        <v>0</v>
      </c>
      <c r="AI894">
        <f t="shared" si="639"/>
        <v>0</v>
      </c>
      <c r="AJ894">
        <f t="shared" si="620"/>
        <v>0</v>
      </c>
      <c r="AK894">
        <v>62.5</v>
      </c>
      <c r="AL894">
        <v>0</v>
      </c>
      <c r="AM894">
        <v>62.5</v>
      </c>
      <c r="AN894">
        <v>37.020000000000003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1</v>
      </c>
      <c r="AW894">
        <v>1</v>
      </c>
      <c r="AZ894">
        <v>1</v>
      </c>
      <c r="BA894">
        <v>1</v>
      </c>
      <c r="BB894">
        <v>1</v>
      </c>
      <c r="BC894">
        <v>1</v>
      </c>
      <c r="BD894" t="s">
        <v>3</v>
      </c>
      <c r="BE894" t="s">
        <v>3</v>
      </c>
      <c r="BF894" t="s">
        <v>3</v>
      </c>
      <c r="BG894" t="s">
        <v>3</v>
      </c>
      <c r="BH894">
        <v>0</v>
      </c>
      <c r="BI894">
        <v>4</v>
      </c>
      <c r="BJ894" t="s">
        <v>41</v>
      </c>
      <c r="BM894">
        <v>1</v>
      </c>
      <c r="BN894">
        <v>0</v>
      </c>
      <c r="BO894" t="s">
        <v>3</v>
      </c>
      <c r="BP894">
        <v>0</v>
      </c>
      <c r="BQ894">
        <v>1</v>
      </c>
      <c r="BR894">
        <v>0</v>
      </c>
      <c r="BS894">
        <v>1</v>
      </c>
      <c r="BT894">
        <v>1</v>
      </c>
      <c r="BU894">
        <v>1</v>
      </c>
      <c r="BV894">
        <v>1</v>
      </c>
      <c r="BW894">
        <v>1</v>
      </c>
      <c r="BX894">
        <v>1</v>
      </c>
      <c r="BY894" t="s">
        <v>3</v>
      </c>
      <c r="BZ894">
        <v>0</v>
      </c>
      <c r="CA894">
        <v>0</v>
      </c>
      <c r="CE894">
        <v>0</v>
      </c>
      <c r="CF894">
        <v>0</v>
      </c>
      <c r="CG894">
        <v>0</v>
      </c>
      <c r="CM894">
        <v>0</v>
      </c>
      <c r="CN894" t="s">
        <v>3</v>
      </c>
      <c r="CO894">
        <v>0</v>
      </c>
      <c r="CP894">
        <f t="shared" si="621"/>
        <v>4425.18</v>
      </c>
      <c r="CQ894">
        <f t="shared" si="622"/>
        <v>0</v>
      </c>
      <c r="CR894">
        <f t="shared" si="640"/>
        <v>62.5</v>
      </c>
      <c r="CS894">
        <f t="shared" si="623"/>
        <v>37.020000000000003</v>
      </c>
      <c r="CT894">
        <f t="shared" si="624"/>
        <v>0</v>
      </c>
      <c r="CU894">
        <f t="shared" si="625"/>
        <v>0</v>
      </c>
      <c r="CV894">
        <f t="shared" si="626"/>
        <v>0</v>
      </c>
      <c r="CW894">
        <f t="shared" si="627"/>
        <v>0</v>
      </c>
      <c r="CX894">
        <f t="shared" si="628"/>
        <v>0</v>
      </c>
      <c r="CY894">
        <f t="shared" si="629"/>
        <v>0</v>
      </c>
      <c r="CZ894">
        <f t="shared" si="630"/>
        <v>0</v>
      </c>
      <c r="DC894" t="s">
        <v>3</v>
      </c>
      <c r="DD894" t="s">
        <v>3</v>
      </c>
      <c r="DE894" t="s">
        <v>3</v>
      </c>
      <c r="DF894" t="s">
        <v>3</v>
      </c>
      <c r="DG894" t="s">
        <v>3</v>
      </c>
      <c r="DH894" t="s">
        <v>3</v>
      </c>
      <c r="DI894" t="s">
        <v>3</v>
      </c>
      <c r="DJ894" t="s">
        <v>3</v>
      </c>
      <c r="DK894" t="s">
        <v>3</v>
      </c>
      <c r="DL894" t="s">
        <v>3</v>
      </c>
      <c r="DM894" t="s">
        <v>3</v>
      </c>
      <c r="DN894">
        <v>0</v>
      </c>
      <c r="DO894">
        <v>0</v>
      </c>
      <c r="DP894">
        <v>1</v>
      </c>
      <c r="DQ894">
        <v>1</v>
      </c>
      <c r="DU894">
        <v>1009</v>
      </c>
      <c r="DV894" t="s">
        <v>30</v>
      </c>
      <c r="DW894" t="s">
        <v>30</v>
      </c>
      <c r="DX894">
        <v>1000</v>
      </c>
      <c r="EE894">
        <v>38628633</v>
      </c>
      <c r="EF894">
        <v>1</v>
      </c>
      <c r="EG894" t="s">
        <v>24</v>
      </c>
      <c r="EH894">
        <v>0</v>
      </c>
      <c r="EI894" t="s">
        <v>3</v>
      </c>
      <c r="EJ894">
        <v>4</v>
      </c>
      <c r="EK894">
        <v>1</v>
      </c>
      <c r="EL894" t="s">
        <v>42</v>
      </c>
      <c r="EM894" t="s">
        <v>26</v>
      </c>
      <c r="EO894" t="s">
        <v>3</v>
      </c>
      <c r="EQ894">
        <v>0</v>
      </c>
      <c r="ER894">
        <v>62.5</v>
      </c>
      <c r="ES894">
        <v>0</v>
      </c>
      <c r="ET894">
        <v>62.5</v>
      </c>
      <c r="EU894">
        <v>37.020000000000003</v>
      </c>
      <c r="EV894">
        <v>0</v>
      </c>
      <c r="EW894">
        <v>0</v>
      </c>
      <c r="EX894">
        <v>0</v>
      </c>
      <c r="EY894">
        <v>0</v>
      </c>
      <c r="FQ894">
        <v>0</v>
      </c>
      <c r="FR894">
        <f t="shared" si="631"/>
        <v>0</v>
      </c>
      <c r="FS894">
        <v>0</v>
      </c>
      <c r="FX894">
        <v>0</v>
      </c>
      <c r="FY894">
        <v>0</v>
      </c>
      <c r="GA894" t="s">
        <v>3</v>
      </c>
      <c r="GD894">
        <v>1</v>
      </c>
      <c r="GF894">
        <v>-283681225</v>
      </c>
      <c r="GG894">
        <v>2</v>
      </c>
      <c r="GH894">
        <v>1</v>
      </c>
      <c r="GI894">
        <v>-2</v>
      </c>
      <c r="GJ894">
        <v>0</v>
      </c>
      <c r="GK894">
        <v>0</v>
      </c>
      <c r="GL894">
        <f t="shared" si="632"/>
        <v>0</v>
      </c>
      <c r="GM894">
        <f>ROUND(O894+X894+Y894,2)+GX894</f>
        <v>4425.18</v>
      </c>
      <c r="GN894">
        <f>IF(OR(BI894=0,BI894=1),ROUND(O894+X894+Y894,2),0)</f>
        <v>0</v>
      </c>
      <c r="GO894">
        <f>IF(BI894=2,ROUND(O894+X894+Y894,2),0)</f>
        <v>0</v>
      </c>
      <c r="GP894">
        <f>IF(BI894=4,ROUND(O894+X894+Y894,2)+GX894,0)</f>
        <v>4425.18</v>
      </c>
      <c r="GR894">
        <v>0</v>
      </c>
      <c r="GS894">
        <v>3</v>
      </c>
      <c r="GT894">
        <v>0</v>
      </c>
      <c r="GU894" t="s">
        <v>3</v>
      </c>
      <c r="GV894">
        <f t="shared" si="633"/>
        <v>0</v>
      </c>
      <c r="GW894">
        <v>1</v>
      </c>
      <c r="GX894">
        <f t="shared" si="634"/>
        <v>0</v>
      </c>
      <c r="HA894">
        <v>0</v>
      </c>
      <c r="HB894">
        <v>0</v>
      </c>
      <c r="HC894">
        <f t="shared" si="635"/>
        <v>0</v>
      </c>
      <c r="HE894" t="s">
        <v>3</v>
      </c>
      <c r="HF894" t="s">
        <v>3</v>
      </c>
      <c r="IK894">
        <v>0</v>
      </c>
    </row>
    <row r="895" spans="1:245" x14ac:dyDescent="0.2">
      <c r="A895">
        <v>17</v>
      </c>
      <c r="B895">
        <v>1</v>
      </c>
      <c r="C895">
        <f>ROW(SmtRes!A232)</f>
        <v>232</v>
      </c>
      <c r="D895">
        <f>ROW(EtalonRes!A229)</f>
        <v>229</v>
      </c>
      <c r="E895" t="s">
        <v>52</v>
      </c>
      <c r="F895" t="s">
        <v>44</v>
      </c>
      <c r="G895" t="s">
        <v>45</v>
      </c>
      <c r="H895" t="s">
        <v>30</v>
      </c>
      <c r="I895">
        <f>ROUND(I893,9)</f>
        <v>7.8669779999999996</v>
      </c>
      <c r="J895">
        <v>0</v>
      </c>
      <c r="O895">
        <f t="shared" si="607"/>
        <v>1411.34</v>
      </c>
      <c r="P895">
        <f t="shared" si="608"/>
        <v>0</v>
      </c>
      <c r="Q895">
        <f t="shared" si="609"/>
        <v>1411.34</v>
      </c>
      <c r="R895">
        <f t="shared" si="610"/>
        <v>835.47</v>
      </c>
      <c r="S895">
        <f t="shared" si="611"/>
        <v>0</v>
      </c>
      <c r="T895">
        <f t="shared" si="612"/>
        <v>0</v>
      </c>
      <c r="U895">
        <f t="shared" si="613"/>
        <v>0</v>
      </c>
      <c r="V895">
        <f t="shared" si="614"/>
        <v>0</v>
      </c>
      <c r="W895">
        <f t="shared" si="615"/>
        <v>0</v>
      </c>
      <c r="X895">
        <f t="shared" si="616"/>
        <v>0</v>
      </c>
      <c r="Y895">
        <f t="shared" si="617"/>
        <v>0</v>
      </c>
      <c r="AA895">
        <v>38214492</v>
      </c>
      <c r="AB895">
        <f t="shared" si="618"/>
        <v>179.4</v>
      </c>
      <c r="AC895">
        <f t="shared" si="636"/>
        <v>0</v>
      </c>
      <c r="AD895">
        <f t="shared" si="637"/>
        <v>179.4</v>
      </c>
      <c r="AE895">
        <f t="shared" si="638"/>
        <v>106.2</v>
      </c>
      <c r="AF895">
        <f t="shared" si="638"/>
        <v>0</v>
      </c>
      <c r="AG895">
        <f t="shared" si="619"/>
        <v>0</v>
      </c>
      <c r="AH895">
        <f t="shared" si="639"/>
        <v>0</v>
      </c>
      <c r="AI895">
        <f t="shared" si="639"/>
        <v>0</v>
      </c>
      <c r="AJ895">
        <f t="shared" si="620"/>
        <v>0</v>
      </c>
      <c r="AK895">
        <v>179.4</v>
      </c>
      <c r="AL895">
        <v>0</v>
      </c>
      <c r="AM895">
        <v>179.4</v>
      </c>
      <c r="AN895">
        <v>106.2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1</v>
      </c>
      <c r="AW895">
        <v>1</v>
      </c>
      <c r="AZ895">
        <v>1</v>
      </c>
      <c r="BA895">
        <v>1</v>
      </c>
      <c r="BB895">
        <v>1</v>
      </c>
      <c r="BC895">
        <v>1</v>
      </c>
      <c r="BD895" t="s">
        <v>3</v>
      </c>
      <c r="BE895" t="s">
        <v>3</v>
      </c>
      <c r="BF895" t="s">
        <v>3</v>
      </c>
      <c r="BG895" t="s">
        <v>3</v>
      </c>
      <c r="BH895">
        <v>0</v>
      </c>
      <c r="BI895">
        <v>4</v>
      </c>
      <c r="BJ895" t="s">
        <v>46</v>
      </c>
      <c r="BM895">
        <v>1</v>
      </c>
      <c r="BN895">
        <v>0</v>
      </c>
      <c r="BO895" t="s">
        <v>3</v>
      </c>
      <c r="BP895">
        <v>0</v>
      </c>
      <c r="BQ895">
        <v>1</v>
      </c>
      <c r="BR895">
        <v>0</v>
      </c>
      <c r="BS895">
        <v>1</v>
      </c>
      <c r="BT895">
        <v>1</v>
      </c>
      <c r="BU895">
        <v>1</v>
      </c>
      <c r="BV895">
        <v>1</v>
      </c>
      <c r="BW895">
        <v>1</v>
      </c>
      <c r="BX895">
        <v>1</v>
      </c>
      <c r="BY895" t="s">
        <v>3</v>
      </c>
      <c r="BZ895">
        <v>0</v>
      </c>
      <c r="CA895">
        <v>0</v>
      </c>
      <c r="CE895">
        <v>0</v>
      </c>
      <c r="CF895">
        <v>0</v>
      </c>
      <c r="CG895">
        <v>0</v>
      </c>
      <c r="CM895">
        <v>0</v>
      </c>
      <c r="CN895" t="s">
        <v>3</v>
      </c>
      <c r="CO895">
        <v>0</v>
      </c>
      <c r="CP895">
        <f t="shared" si="621"/>
        <v>1411.34</v>
      </c>
      <c r="CQ895">
        <f t="shared" si="622"/>
        <v>0</v>
      </c>
      <c r="CR895">
        <f t="shared" si="640"/>
        <v>179.4</v>
      </c>
      <c r="CS895">
        <f t="shared" si="623"/>
        <v>106.2</v>
      </c>
      <c r="CT895">
        <f t="shared" si="624"/>
        <v>0</v>
      </c>
      <c r="CU895">
        <f t="shared" si="625"/>
        <v>0</v>
      </c>
      <c r="CV895">
        <f t="shared" si="626"/>
        <v>0</v>
      </c>
      <c r="CW895">
        <f t="shared" si="627"/>
        <v>0</v>
      </c>
      <c r="CX895">
        <f t="shared" si="628"/>
        <v>0</v>
      </c>
      <c r="CY895">
        <f t="shared" si="629"/>
        <v>0</v>
      </c>
      <c r="CZ895">
        <f t="shared" si="630"/>
        <v>0</v>
      </c>
      <c r="DC895" t="s">
        <v>3</v>
      </c>
      <c r="DD895" t="s">
        <v>3</v>
      </c>
      <c r="DE895" t="s">
        <v>3</v>
      </c>
      <c r="DF895" t="s">
        <v>3</v>
      </c>
      <c r="DG895" t="s">
        <v>3</v>
      </c>
      <c r="DH895" t="s">
        <v>3</v>
      </c>
      <c r="DI895" t="s">
        <v>3</v>
      </c>
      <c r="DJ895" t="s">
        <v>3</v>
      </c>
      <c r="DK895" t="s">
        <v>3</v>
      </c>
      <c r="DL895" t="s">
        <v>3</v>
      </c>
      <c r="DM895" t="s">
        <v>3</v>
      </c>
      <c r="DN895">
        <v>0</v>
      </c>
      <c r="DO895">
        <v>0</v>
      </c>
      <c r="DP895">
        <v>1</v>
      </c>
      <c r="DQ895">
        <v>1</v>
      </c>
      <c r="DU895">
        <v>1009</v>
      </c>
      <c r="DV895" t="s">
        <v>30</v>
      </c>
      <c r="DW895" t="s">
        <v>30</v>
      </c>
      <c r="DX895">
        <v>1000</v>
      </c>
      <c r="EE895">
        <v>38628633</v>
      </c>
      <c r="EF895">
        <v>1</v>
      </c>
      <c r="EG895" t="s">
        <v>24</v>
      </c>
      <c r="EH895">
        <v>0</v>
      </c>
      <c r="EI895" t="s">
        <v>3</v>
      </c>
      <c r="EJ895">
        <v>4</v>
      </c>
      <c r="EK895">
        <v>1</v>
      </c>
      <c r="EL895" t="s">
        <v>42</v>
      </c>
      <c r="EM895" t="s">
        <v>26</v>
      </c>
      <c r="EO895" t="s">
        <v>3</v>
      </c>
      <c r="EQ895">
        <v>0</v>
      </c>
      <c r="ER895">
        <v>179.4</v>
      </c>
      <c r="ES895">
        <v>0</v>
      </c>
      <c r="ET895">
        <v>179.4</v>
      </c>
      <c r="EU895">
        <v>106.2</v>
      </c>
      <c r="EV895">
        <v>0</v>
      </c>
      <c r="EW895">
        <v>0</v>
      </c>
      <c r="EX895">
        <v>0</v>
      </c>
      <c r="EY895">
        <v>0</v>
      </c>
      <c r="FQ895">
        <v>0</v>
      </c>
      <c r="FR895">
        <f t="shared" si="631"/>
        <v>0</v>
      </c>
      <c r="FS895">
        <v>0</v>
      </c>
      <c r="FX895">
        <v>0</v>
      </c>
      <c r="FY895">
        <v>0</v>
      </c>
      <c r="GA895" t="s">
        <v>3</v>
      </c>
      <c r="GD895">
        <v>1</v>
      </c>
      <c r="GF895">
        <v>1779235029</v>
      </c>
      <c r="GG895">
        <v>2</v>
      </c>
      <c r="GH895">
        <v>1</v>
      </c>
      <c r="GI895">
        <v>-2</v>
      </c>
      <c r="GJ895">
        <v>0</v>
      </c>
      <c r="GK895">
        <v>0</v>
      </c>
      <c r="GL895">
        <f t="shared" si="632"/>
        <v>0</v>
      </c>
      <c r="GM895">
        <f>ROUND(O895+X895+Y895,2)+GX895</f>
        <v>1411.34</v>
      </c>
      <c r="GN895">
        <f>IF(OR(BI895=0,BI895=1),ROUND(O895+X895+Y895,2),0)</f>
        <v>0</v>
      </c>
      <c r="GO895">
        <f>IF(BI895=2,ROUND(O895+X895+Y895,2),0)</f>
        <v>0</v>
      </c>
      <c r="GP895">
        <f>IF(BI895=4,ROUND(O895+X895+Y895,2)+GX895,0)</f>
        <v>1411.34</v>
      </c>
      <c r="GR895">
        <v>0</v>
      </c>
      <c r="GS895">
        <v>3</v>
      </c>
      <c r="GT895">
        <v>0</v>
      </c>
      <c r="GU895" t="s">
        <v>3</v>
      </c>
      <c r="GV895">
        <f t="shared" si="633"/>
        <v>0</v>
      </c>
      <c r="GW895">
        <v>1</v>
      </c>
      <c r="GX895">
        <f t="shared" si="634"/>
        <v>0</v>
      </c>
      <c r="HA895">
        <v>0</v>
      </c>
      <c r="HB895">
        <v>0</v>
      </c>
      <c r="HC895">
        <f t="shared" si="635"/>
        <v>0</v>
      </c>
      <c r="HE895" t="s">
        <v>3</v>
      </c>
      <c r="HF895" t="s">
        <v>3</v>
      </c>
      <c r="IK895">
        <v>0</v>
      </c>
    </row>
    <row r="896" spans="1:245" x14ac:dyDescent="0.2">
      <c r="A896">
        <v>17</v>
      </c>
      <c r="B896">
        <v>1</v>
      </c>
      <c r="C896">
        <f>ROW(SmtRes!A234)</f>
        <v>234</v>
      </c>
      <c r="D896">
        <f>ROW(EtalonRes!A231)</f>
        <v>231</v>
      </c>
      <c r="E896" t="s">
        <v>111</v>
      </c>
      <c r="F896" t="s">
        <v>48</v>
      </c>
      <c r="G896" t="s">
        <v>49</v>
      </c>
      <c r="H896" t="s">
        <v>30</v>
      </c>
      <c r="I896">
        <f>ROUND(I894+I895,9)</f>
        <v>78.669780000000003</v>
      </c>
      <c r="J896">
        <v>0</v>
      </c>
      <c r="O896">
        <f t="shared" si="607"/>
        <v>55849.25</v>
      </c>
      <c r="P896">
        <f t="shared" si="608"/>
        <v>0</v>
      </c>
      <c r="Q896">
        <f t="shared" si="609"/>
        <v>55849.25</v>
      </c>
      <c r="R896">
        <f t="shared" si="610"/>
        <v>33116.83</v>
      </c>
      <c r="S896">
        <f t="shared" si="611"/>
        <v>0</v>
      </c>
      <c r="T896">
        <f t="shared" si="612"/>
        <v>0</v>
      </c>
      <c r="U896">
        <f t="shared" si="613"/>
        <v>0</v>
      </c>
      <c r="V896">
        <f t="shared" si="614"/>
        <v>0</v>
      </c>
      <c r="W896">
        <f t="shared" si="615"/>
        <v>0</v>
      </c>
      <c r="X896">
        <f t="shared" si="616"/>
        <v>0</v>
      </c>
      <c r="Y896">
        <f t="shared" si="617"/>
        <v>0</v>
      </c>
      <c r="AA896">
        <v>38214492</v>
      </c>
      <c r="AB896">
        <f t="shared" si="618"/>
        <v>709.92</v>
      </c>
      <c r="AC896">
        <f>ROUND(((ES896*24)),6)</f>
        <v>0</v>
      </c>
      <c r="AD896">
        <f>ROUND(((((ET896*24))-((EU896*24)))+AE896),6)</f>
        <v>709.92</v>
      </c>
      <c r="AE896">
        <f>ROUND(((EU896*24)),6)</f>
        <v>420.96</v>
      </c>
      <c r="AF896">
        <f>ROUND(((EV896*24)),6)</f>
        <v>0</v>
      </c>
      <c r="AG896">
        <f t="shared" si="619"/>
        <v>0</v>
      </c>
      <c r="AH896">
        <f>((EW896*24))</f>
        <v>0</v>
      </c>
      <c r="AI896">
        <f>((EX896*24))</f>
        <v>0</v>
      </c>
      <c r="AJ896">
        <f t="shared" si="620"/>
        <v>0</v>
      </c>
      <c r="AK896">
        <v>29.58</v>
      </c>
      <c r="AL896">
        <v>0</v>
      </c>
      <c r="AM896">
        <v>29.58</v>
      </c>
      <c r="AN896">
        <v>17.54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1</v>
      </c>
      <c r="AW896">
        <v>1</v>
      </c>
      <c r="AZ896">
        <v>1</v>
      </c>
      <c r="BA896">
        <v>1</v>
      </c>
      <c r="BB896">
        <v>1</v>
      </c>
      <c r="BC896">
        <v>1</v>
      </c>
      <c r="BD896" t="s">
        <v>3</v>
      </c>
      <c r="BE896" t="s">
        <v>3</v>
      </c>
      <c r="BF896" t="s">
        <v>3</v>
      </c>
      <c r="BG896" t="s">
        <v>3</v>
      </c>
      <c r="BH896">
        <v>0</v>
      </c>
      <c r="BI896">
        <v>4</v>
      </c>
      <c r="BJ896" t="s">
        <v>50</v>
      </c>
      <c r="BM896">
        <v>1</v>
      </c>
      <c r="BN896">
        <v>0</v>
      </c>
      <c r="BO896" t="s">
        <v>3</v>
      </c>
      <c r="BP896">
        <v>0</v>
      </c>
      <c r="BQ896">
        <v>1</v>
      </c>
      <c r="BR896">
        <v>0</v>
      </c>
      <c r="BS896">
        <v>1</v>
      </c>
      <c r="BT896">
        <v>1</v>
      </c>
      <c r="BU896">
        <v>1</v>
      </c>
      <c r="BV896">
        <v>1</v>
      </c>
      <c r="BW896">
        <v>1</v>
      </c>
      <c r="BX896">
        <v>1</v>
      </c>
      <c r="BY896" t="s">
        <v>3</v>
      </c>
      <c r="BZ896">
        <v>0</v>
      </c>
      <c r="CA896">
        <v>0</v>
      </c>
      <c r="CE896">
        <v>0</v>
      </c>
      <c r="CF896">
        <v>0</v>
      </c>
      <c r="CG896">
        <v>0</v>
      </c>
      <c r="CM896">
        <v>0</v>
      </c>
      <c r="CN896" t="s">
        <v>3</v>
      </c>
      <c r="CO896">
        <v>0</v>
      </c>
      <c r="CP896">
        <f t="shared" si="621"/>
        <v>55849.25</v>
      </c>
      <c r="CQ896">
        <f t="shared" si="622"/>
        <v>0</v>
      </c>
      <c r="CR896">
        <f>(((((ET896*24))*BB896-((EU896*24))*BS896)+AE896*BS896)*AV896)</f>
        <v>709.92</v>
      </c>
      <c r="CS896">
        <f t="shared" si="623"/>
        <v>420.96</v>
      </c>
      <c r="CT896">
        <f t="shared" si="624"/>
        <v>0</v>
      </c>
      <c r="CU896">
        <f t="shared" si="625"/>
        <v>0</v>
      </c>
      <c r="CV896">
        <f t="shared" si="626"/>
        <v>0</v>
      </c>
      <c r="CW896">
        <f t="shared" si="627"/>
        <v>0</v>
      </c>
      <c r="CX896">
        <f t="shared" si="628"/>
        <v>0</v>
      </c>
      <c r="CY896">
        <f t="shared" si="629"/>
        <v>0</v>
      </c>
      <c r="CZ896">
        <f t="shared" si="630"/>
        <v>0</v>
      </c>
      <c r="DC896" t="s">
        <v>3</v>
      </c>
      <c r="DD896" t="s">
        <v>328</v>
      </c>
      <c r="DE896" t="s">
        <v>328</v>
      </c>
      <c r="DF896" t="s">
        <v>328</v>
      </c>
      <c r="DG896" t="s">
        <v>328</v>
      </c>
      <c r="DH896" t="s">
        <v>3</v>
      </c>
      <c r="DI896" t="s">
        <v>328</v>
      </c>
      <c r="DJ896" t="s">
        <v>328</v>
      </c>
      <c r="DK896" t="s">
        <v>3</v>
      </c>
      <c r="DL896" t="s">
        <v>3</v>
      </c>
      <c r="DM896" t="s">
        <v>3</v>
      </c>
      <c r="DN896">
        <v>0</v>
      </c>
      <c r="DO896">
        <v>0</v>
      </c>
      <c r="DP896">
        <v>1</v>
      </c>
      <c r="DQ896">
        <v>1</v>
      </c>
      <c r="DU896">
        <v>1009</v>
      </c>
      <c r="DV896" t="s">
        <v>30</v>
      </c>
      <c r="DW896" t="s">
        <v>30</v>
      </c>
      <c r="DX896">
        <v>1000</v>
      </c>
      <c r="EE896">
        <v>38628633</v>
      </c>
      <c r="EF896">
        <v>1</v>
      </c>
      <c r="EG896" t="s">
        <v>24</v>
      </c>
      <c r="EH896">
        <v>0</v>
      </c>
      <c r="EI896" t="s">
        <v>3</v>
      </c>
      <c r="EJ896">
        <v>4</v>
      </c>
      <c r="EK896">
        <v>1</v>
      </c>
      <c r="EL896" t="s">
        <v>42</v>
      </c>
      <c r="EM896" t="s">
        <v>26</v>
      </c>
      <c r="EO896" t="s">
        <v>3</v>
      </c>
      <c r="EQ896">
        <v>0</v>
      </c>
      <c r="ER896">
        <v>29.58</v>
      </c>
      <c r="ES896">
        <v>0</v>
      </c>
      <c r="ET896">
        <v>29.58</v>
      </c>
      <c r="EU896">
        <v>17.54</v>
      </c>
      <c r="EV896">
        <v>0</v>
      </c>
      <c r="EW896">
        <v>0</v>
      </c>
      <c r="EX896">
        <v>0</v>
      </c>
      <c r="EY896">
        <v>0</v>
      </c>
      <c r="FQ896">
        <v>0</v>
      </c>
      <c r="FR896">
        <f t="shared" si="631"/>
        <v>0</v>
      </c>
      <c r="FS896">
        <v>0</v>
      </c>
      <c r="FX896">
        <v>0</v>
      </c>
      <c r="FY896">
        <v>0</v>
      </c>
      <c r="GA896" t="s">
        <v>3</v>
      </c>
      <c r="GD896">
        <v>1</v>
      </c>
      <c r="GF896">
        <v>-576512497</v>
      </c>
      <c r="GG896">
        <v>2</v>
      </c>
      <c r="GH896">
        <v>1</v>
      </c>
      <c r="GI896">
        <v>-2</v>
      </c>
      <c r="GJ896">
        <v>0</v>
      </c>
      <c r="GK896">
        <v>0</v>
      </c>
      <c r="GL896">
        <f t="shared" si="632"/>
        <v>0</v>
      </c>
      <c r="GM896">
        <f>ROUND(O896+X896+Y896,2)+GX896</f>
        <v>55849.25</v>
      </c>
      <c r="GN896">
        <f>IF(OR(BI896=0,BI896=1),ROUND(O896+X896+Y896,2),0)</f>
        <v>0</v>
      </c>
      <c r="GO896">
        <f>IF(BI896=2,ROUND(O896+X896+Y896,2),0)</f>
        <v>0</v>
      </c>
      <c r="GP896">
        <f>IF(BI896=4,ROUND(O896+X896+Y896,2)+GX896,0)</f>
        <v>55849.25</v>
      </c>
      <c r="GR896">
        <v>0</v>
      </c>
      <c r="GS896">
        <v>3</v>
      </c>
      <c r="GT896">
        <v>0</v>
      </c>
      <c r="GU896" t="s">
        <v>3</v>
      </c>
      <c r="GV896">
        <f t="shared" si="633"/>
        <v>0</v>
      </c>
      <c r="GW896">
        <v>1</v>
      </c>
      <c r="GX896">
        <f t="shared" si="634"/>
        <v>0</v>
      </c>
      <c r="HA896">
        <v>0</v>
      </c>
      <c r="HB896">
        <v>0</v>
      </c>
      <c r="HC896">
        <f t="shared" si="635"/>
        <v>0</v>
      </c>
      <c r="HE896" t="s">
        <v>3</v>
      </c>
      <c r="HF896" t="s">
        <v>3</v>
      </c>
      <c r="IK896">
        <v>0</v>
      </c>
    </row>
    <row r="897" spans="1:245" x14ac:dyDescent="0.2">
      <c r="A897">
        <v>17</v>
      </c>
      <c r="B897">
        <v>1</v>
      </c>
      <c r="E897" t="s">
        <v>115</v>
      </c>
      <c r="F897" t="s">
        <v>53</v>
      </c>
      <c r="G897" t="s">
        <v>54</v>
      </c>
      <c r="H897" t="s">
        <v>30</v>
      </c>
      <c r="I897">
        <f>ROUND(I896,9)</f>
        <v>78.669780000000003</v>
      </c>
      <c r="J897">
        <v>0</v>
      </c>
      <c r="O897">
        <f t="shared" si="607"/>
        <v>15573.47</v>
      </c>
      <c r="P897">
        <f t="shared" si="608"/>
        <v>15573.47</v>
      </c>
      <c r="Q897">
        <f t="shared" si="609"/>
        <v>0</v>
      </c>
      <c r="R897">
        <f t="shared" si="610"/>
        <v>0</v>
      </c>
      <c r="S897">
        <f t="shared" si="611"/>
        <v>0</v>
      </c>
      <c r="T897">
        <f t="shared" si="612"/>
        <v>0</v>
      </c>
      <c r="U897">
        <f t="shared" si="613"/>
        <v>0</v>
      </c>
      <c r="V897">
        <f t="shared" si="614"/>
        <v>0</v>
      </c>
      <c r="W897">
        <f t="shared" si="615"/>
        <v>0</v>
      </c>
      <c r="X897">
        <f t="shared" si="616"/>
        <v>0</v>
      </c>
      <c r="Y897">
        <f t="shared" si="617"/>
        <v>0</v>
      </c>
      <c r="AA897">
        <v>38214492</v>
      </c>
      <c r="AB897">
        <f t="shared" si="618"/>
        <v>197.96</v>
      </c>
      <c r="AC897">
        <f>ROUND((ES897),6)</f>
        <v>197.96</v>
      </c>
      <c r="AD897">
        <f>ROUND((((ET897)-(EU897))+AE897),6)</f>
        <v>0</v>
      </c>
      <c r="AE897">
        <f>ROUND((EU897),6)</f>
        <v>0</v>
      </c>
      <c r="AF897">
        <f>ROUND((EV897),6)</f>
        <v>0</v>
      </c>
      <c r="AG897">
        <f t="shared" si="619"/>
        <v>0</v>
      </c>
      <c r="AH897">
        <f>(EW897)</f>
        <v>0</v>
      </c>
      <c r="AI897">
        <f>(EX897)</f>
        <v>0</v>
      </c>
      <c r="AJ897">
        <f t="shared" si="620"/>
        <v>0</v>
      </c>
      <c r="AK897">
        <v>197.96</v>
      </c>
      <c r="AL897">
        <v>197.96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70</v>
      </c>
      <c r="AU897">
        <v>10</v>
      </c>
      <c r="AV897">
        <v>1</v>
      </c>
      <c r="AW897">
        <v>1</v>
      </c>
      <c r="AZ897">
        <v>1</v>
      </c>
      <c r="BA897">
        <v>1</v>
      </c>
      <c r="BB897">
        <v>1</v>
      </c>
      <c r="BC897">
        <v>1</v>
      </c>
      <c r="BD897" t="s">
        <v>3</v>
      </c>
      <c r="BE897" t="s">
        <v>3</v>
      </c>
      <c r="BF897" t="s">
        <v>3</v>
      </c>
      <c r="BG897" t="s">
        <v>3</v>
      </c>
      <c r="BH897">
        <v>3</v>
      </c>
      <c r="BI897">
        <v>4</v>
      </c>
      <c r="BJ897" t="s">
        <v>55</v>
      </c>
      <c r="BM897">
        <v>0</v>
      </c>
      <c r="BN897">
        <v>0</v>
      </c>
      <c r="BO897" t="s">
        <v>3</v>
      </c>
      <c r="BP897">
        <v>0</v>
      </c>
      <c r="BQ897">
        <v>1</v>
      </c>
      <c r="BR897">
        <v>0</v>
      </c>
      <c r="BS897">
        <v>1</v>
      </c>
      <c r="BT897">
        <v>1</v>
      </c>
      <c r="BU897">
        <v>1</v>
      </c>
      <c r="BV897">
        <v>1</v>
      </c>
      <c r="BW897">
        <v>1</v>
      </c>
      <c r="BX897">
        <v>1</v>
      </c>
      <c r="BY897" t="s">
        <v>3</v>
      </c>
      <c r="BZ897">
        <v>70</v>
      </c>
      <c r="CA897">
        <v>10</v>
      </c>
      <c r="CE897">
        <v>0</v>
      </c>
      <c r="CF897">
        <v>0</v>
      </c>
      <c r="CG897">
        <v>0</v>
      </c>
      <c r="CM897">
        <v>0</v>
      </c>
      <c r="CN897" t="s">
        <v>3</v>
      </c>
      <c r="CO897">
        <v>0</v>
      </c>
      <c r="CP897">
        <f t="shared" si="621"/>
        <v>15573.47</v>
      </c>
      <c r="CQ897">
        <f t="shared" si="622"/>
        <v>197.96</v>
      </c>
      <c r="CR897">
        <f>((((ET897)*BB897-(EU897)*BS897)+AE897*BS897)*AV897)</f>
        <v>0</v>
      </c>
      <c r="CS897">
        <f t="shared" si="623"/>
        <v>0</v>
      </c>
      <c r="CT897">
        <f t="shared" si="624"/>
        <v>0</v>
      </c>
      <c r="CU897">
        <f t="shared" si="625"/>
        <v>0</v>
      </c>
      <c r="CV897">
        <f t="shared" si="626"/>
        <v>0</v>
      </c>
      <c r="CW897">
        <f t="shared" si="627"/>
        <v>0</v>
      </c>
      <c r="CX897">
        <f t="shared" si="628"/>
        <v>0</v>
      </c>
      <c r="CY897">
        <f t="shared" si="629"/>
        <v>0</v>
      </c>
      <c r="CZ897">
        <f t="shared" si="630"/>
        <v>0</v>
      </c>
      <c r="DC897" t="s">
        <v>3</v>
      </c>
      <c r="DD897" t="s">
        <v>3</v>
      </c>
      <c r="DE897" t="s">
        <v>3</v>
      </c>
      <c r="DF897" t="s">
        <v>3</v>
      </c>
      <c r="DG897" t="s">
        <v>3</v>
      </c>
      <c r="DH897" t="s">
        <v>3</v>
      </c>
      <c r="DI897" t="s">
        <v>3</v>
      </c>
      <c r="DJ897" t="s">
        <v>3</v>
      </c>
      <c r="DK897" t="s">
        <v>3</v>
      </c>
      <c r="DL897" t="s">
        <v>3</v>
      </c>
      <c r="DM897" t="s">
        <v>3</v>
      </c>
      <c r="DN897">
        <v>0</v>
      </c>
      <c r="DO897">
        <v>0</v>
      </c>
      <c r="DP897">
        <v>1</v>
      </c>
      <c r="DQ897">
        <v>1</v>
      </c>
      <c r="DU897">
        <v>1009</v>
      </c>
      <c r="DV897" t="s">
        <v>30</v>
      </c>
      <c r="DW897" t="s">
        <v>30</v>
      </c>
      <c r="DX897">
        <v>1000</v>
      </c>
      <c r="EE897">
        <v>38628631</v>
      </c>
      <c r="EF897">
        <v>1</v>
      </c>
      <c r="EG897" t="s">
        <v>24</v>
      </c>
      <c r="EH897">
        <v>0</v>
      </c>
      <c r="EI897" t="s">
        <v>3</v>
      </c>
      <c r="EJ897">
        <v>4</v>
      </c>
      <c r="EK897">
        <v>0</v>
      </c>
      <c r="EL897" t="s">
        <v>25</v>
      </c>
      <c r="EM897" t="s">
        <v>26</v>
      </c>
      <c r="EO897" t="s">
        <v>3</v>
      </c>
      <c r="EQ897">
        <v>0</v>
      </c>
      <c r="ER897">
        <v>197.96</v>
      </c>
      <c r="ES897">
        <v>197.96</v>
      </c>
      <c r="ET897">
        <v>0</v>
      </c>
      <c r="EU897">
        <v>0</v>
      </c>
      <c r="EV897">
        <v>0</v>
      </c>
      <c r="EW897">
        <v>0</v>
      </c>
      <c r="EX897">
        <v>0</v>
      </c>
      <c r="EY897">
        <v>0</v>
      </c>
      <c r="FQ897">
        <v>0</v>
      </c>
      <c r="FR897">
        <f t="shared" si="631"/>
        <v>0</v>
      </c>
      <c r="FS897">
        <v>0</v>
      </c>
      <c r="FX897">
        <v>70</v>
      </c>
      <c r="FY897">
        <v>10</v>
      </c>
      <c r="GA897" t="s">
        <v>3</v>
      </c>
      <c r="GD897">
        <v>0</v>
      </c>
      <c r="GF897">
        <v>-1219268023</v>
      </c>
      <c r="GG897">
        <v>2</v>
      </c>
      <c r="GH897">
        <v>1</v>
      </c>
      <c r="GI897">
        <v>-2</v>
      </c>
      <c r="GJ897">
        <v>0</v>
      </c>
      <c r="GK897">
        <f>ROUND(R897*(R12)/100,2)</f>
        <v>0</v>
      </c>
      <c r="GL897">
        <f t="shared" si="632"/>
        <v>0</v>
      </c>
      <c r="GM897">
        <f>ROUND(O897+X897+Y897+GK897,2)+GX897</f>
        <v>15573.47</v>
      </c>
      <c r="GN897">
        <f>IF(OR(BI897=0,BI897=1),ROUND(O897+X897+Y897+GK897,2),0)</f>
        <v>0</v>
      </c>
      <c r="GO897">
        <f>IF(BI897=2,ROUND(O897+X897+Y897+GK897,2),0)</f>
        <v>0</v>
      </c>
      <c r="GP897">
        <f>IF(BI897=4,ROUND(O897+X897+Y897+GK897,2)+GX897,0)</f>
        <v>15573.47</v>
      </c>
      <c r="GR897">
        <v>0</v>
      </c>
      <c r="GS897">
        <v>3</v>
      </c>
      <c r="GT897">
        <v>0</v>
      </c>
      <c r="GU897" t="s">
        <v>3</v>
      </c>
      <c r="GV897">
        <f t="shared" si="633"/>
        <v>0</v>
      </c>
      <c r="GW897">
        <v>1</v>
      </c>
      <c r="GX897">
        <f t="shared" si="634"/>
        <v>0</v>
      </c>
      <c r="HA897">
        <v>0</v>
      </c>
      <c r="HB897">
        <v>0</v>
      </c>
      <c r="HC897">
        <f t="shared" si="635"/>
        <v>0</v>
      </c>
      <c r="HE897" t="s">
        <v>3</v>
      </c>
      <c r="HF897" t="s">
        <v>3</v>
      </c>
      <c r="IK897">
        <v>0</v>
      </c>
    </row>
    <row r="898" spans="1:245" x14ac:dyDescent="0.2">
      <c r="A898">
        <v>17</v>
      </c>
      <c r="B898">
        <v>1</v>
      </c>
      <c r="E898" t="s">
        <v>128</v>
      </c>
      <c r="F898" t="s">
        <v>321</v>
      </c>
      <c r="G898" t="s">
        <v>322</v>
      </c>
      <c r="H898" t="s">
        <v>22</v>
      </c>
      <c r="I898">
        <v>0</v>
      </c>
      <c r="J898">
        <v>0</v>
      </c>
      <c r="O898">
        <f t="shared" si="607"/>
        <v>0</v>
      </c>
      <c r="P898">
        <f t="shared" si="608"/>
        <v>0</v>
      </c>
      <c r="Q898">
        <f t="shared" si="609"/>
        <v>0</v>
      </c>
      <c r="R898">
        <f t="shared" si="610"/>
        <v>0</v>
      </c>
      <c r="S898">
        <f t="shared" si="611"/>
        <v>0</v>
      </c>
      <c r="T898">
        <f t="shared" si="612"/>
        <v>0</v>
      </c>
      <c r="U898">
        <f t="shared" si="613"/>
        <v>0</v>
      </c>
      <c r="V898">
        <f t="shared" si="614"/>
        <v>0</v>
      </c>
      <c r="W898">
        <f t="shared" si="615"/>
        <v>0</v>
      </c>
      <c r="X898">
        <f t="shared" si="616"/>
        <v>0</v>
      </c>
      <c r="Y898">
        <f t="shared" si="617"/>
        <v>0</v>
      </c>
      <c r="AA898">
        <v>38214492</v>
      </c>
      <c r="AB898">
        <f t="shared" si="618"/>
        <v>576.58399999999995</v>
      </c>
      <c r="AC898">
        <f>ROUND(((ES898*0)),6)</f>
        <v>0</v>
      </c>
      <c r="AD898">
        <f>ROUND(((((ET898*0.2))-((EU898*0.2)))+AE898),6)</f>
        <v>0</v>
      </c>
      <c r="AE898">
        <f>ROUND(((EU898*0.2)),6)</f>
        <v>0</v>
      </c>
      <c r="AF898">
        <f>ROUND(((EV898*0.2)),6)</f>
        <v>576.58399999999995</v>
      </c>
      <c r="AG898">
        <f t="shared" si="619"/>
        <v>0</v>
      </c>
      <c r="AH898">
        <f>((EW898*0.2))</f>
        <v>3.73</v>
      </c>
      <c r="AI898">
        <f>((EX898*0.2))</f>
        <v>0</v>
      </c>
      <c r="AJ898">
        <f t="shared" si="620"/>
        <v>0</v>
      </c>
      <c r="AK898">
        <v>27171.56</v>
      </c>
      <c r="AL898">
        <v>24288.639999999999</v>
      </c>
      <c r="AM898">
        <v>0</v>
      </c>
      <c r="AN898">
        <v>0</v>
      </c>
      <c r="AO898">
        <v>2882.92</v>
      </c>
      <c r="AP898">
        <v>0</v>
      </c>
      <c r="AQ898">
        <v>18.649999999999999</v>
      </c>
      <c r="AR898">
        <v>0</v>
      </c>
      <c r="AS898">
        <v>0</v>
      </c>
      <c r="AT898">
        <v>70</v>
      </c>
      <c r="AU898">
        <v>10</v>
      </c>
      <c r="AV898">
        <v>1</v>
      </c>
      <c r="AW898">
        <v>1</v>
      </c>
      <c r="AZ898">
        <v>1</v>
      </c>
      <c r="BA898">
        <v>1</v>
      </c>
      <c r="BB898">
        <v>1</v>
      </c>
      <c r="BC898">
        <v>1</v>
      </c>
      <c r="BD898" t="s">
        <v>3</v>
      </c>
      <c r="BE898" t="s">
        <v>3</v>
      </c>
      <c r="BF898" t="s">
        <v>3</v>
      </c>
      <c r="BG898" t="s">
        <v>3</v>
      </c>
      <c r="BH898">
        <v>0</v>
      </c>
      <c r="BI898">
        <v>4</v>
      </c>
      <c r="BJ898" t="s">
        <v>329</v>
      </c>
      <c r="BM898">
        <v>0</v>
      </c>
      <c r="BN898">
        <v>0</v>
      </c>
      <c r="BO898" t="s">
        <v>3</v>
      </c>
      <c r="BP898">
        <v>0</v>
      </c>
      <c r="BQ898">
        <v>1</v>
      </c>
      <c r="BR898">
        <v>0</v>
      </c>
      <c r="BS898">
        <v>1</v>
      </c>
      <c r="BT898">
        <v>1</v>
      </c>
      <c r="BU898">
        <v>1</v>
      </c>
      <c r="BV898">
        <v>1</v>
      </c>
      <c r="BW898">
        <v>1</v>
      </c>
      <c r="BX898">
        <v>1</v>
      </c>
      <c r="BY898" t="s">
        <v>3</v>
      </c>
      <c r="BZ898">
        <v>70</v>
      </c>
      <c r="CA898">
        <v>10</v>
      </c>
      <c r="CE898">
        <v>0</v>
      </c>
      <c r="CF898">
        <v>0</v>
      </c>
      <c r="CG898">
        <v>0</v>
      </c>
      <c r="CM898">
        <v>0</v>
      </c>
      <c r="CN898" t="s">
        <v>3</v>
      </c>
      <c r="CO898">
        <v>0</v>
      </c>
      <c r="CP898">
        <f t="shared" si="621"/>
        <v>0</v>
      </c>
      <c r="CQ898">
        <f t="shared" si="622"/>
        <v>0</v>
      </c>
      <c r="CR898">
        <f>(((((ET898*0.2))*BB898-((EU898*0.2))*BS898)+AE898*BS898)*AV898)</f>
        <v>0</v>
      </c>
      <c r="CS898">
        <f t="shared" si="623"/>
        <v>0</v>
      </c>
      <c r="CT898">
        <f t="shared" si="624"/>
        <v>576.58399999999995</v>
      </c>
      <c r="CU898">
        <f t="shared" si="625"/>
        <v>0</v>
      </c>
      <c r="CV898">
        <f t="shared" si="626"/>
        <v>3.73</v>
      </c>
      <c r="CW898">
        <f t="shared" si="627"/>
        <v>0</v>
      </c>
      <c r="CX898">
        <f t="shared" si="628"/>
        <v>0</v>
      </c>
      <c r="CY898">
        <f t="shared" si="629"/>
        <v>0</v>
      </c>
      <c r="CZ898">
        <f t="shared" si="630"/>
        <v>0</v>
      </c>
      <c r="DC898" t="s">
        <v>3</v>
      </c>
      <c r="DD898" t="s">
        <v>32</v>
      </c>
      <c r="DE898" t="s">
        <v>33</v>
      </c>
      <c r="DF898" t="s">
        <v>33</v>
      </c>
      <c r="DG898" t="s">
        <v>33</v>
      </c>
      <c r="DH898" t="s">
        <v>3</v>
      </c>
      <c r="DI898" t="s">
        <v>33</v>
      </c>
      <c r="DJ898" t="s">
        <v>33</v>
      </c>
      <c r="DK898" t="s">
        <v>3</v>
      </c>
      <c r="DL898" t="s">
        <v>3</v>
      </c>
      <c r="DM898" t="s">
        <v>3</v>
      </c>
      <c r="DN898">
        <v>0</v>
      </c>
      <c r="DO898">
        <v>0</v>
      </c>
      <c r="DP898">
        <v>1</v>
      </c>
      <c r="DQ898">
        <v>1</v>
      </c>
      <c r="DU898">
        <v>1005</v>
      </c>
      <c r="DV898" t="s">
        <v>22</v>
      </c>
      <c r="DW898" t="s">
        <v>22</v>
      </c>
      <c r="DX898">
        <v>100</v>
      </c>
      <c r="EE898">
        <v>38628631</v>
      </c>
      <c r="EF898">
        <v>1</v>
      </c>
      <c r="EG898" t="s">
        <v>24</v>
      </c>
      <c r="EH898">
        <v>0</v>
      </c>
      <c r="EI898" t="s">
        <v>3</v>
      </c>
      <c r="EJ898">
        <v>4</v>
      </c>
      <c r="EK898">
        <v>0</v>
      </c>
      <c r="EL898" t="s">
        <v>25</v>
      </c>
      <c r="EM898" t="s">
        <v>26</v>
      </c>
      <c r="EO898" t="s">
        <v>3</v>
      </c>
      <c r="EQ898">
        <v>0</v>
      </c>
      <c r="ER898">
        <v>27171.56</v>
      </c>
      <c r="ES898">
        <v>24288.639999999999</v>
      </c>
      <c r="ET898">
        <v>0</v>
      </c>
      <c r="EU898">
        <v>0</v>
      </c>
      <c r="EV898">
        <v>2882.92</v>
      </c>
      <c r="EW898">
        <v>18.649999999999999</v>
      </c>
      <c r="EX898">
        <v>0</v>
      </c>
      <c r="EY898">
        <v>0</v>
      </c>
      <c r="FQ898">
        <v>0</v>
      </c>
      <c r="FR898">
        <f t="shared" si="631"/>
        <v>0</v>
      </c>
      <c r="FS898">
        <v>0</v>
      </c>
      <c r="FX898">
        <v>70</v>
      </c>
      <c r="FY898">
        <v>10</v>
      </c>
      <c r="GA898" t="s">
        <v>3</v>
      </c>
      <c r="GD898">
        <v>0</v>
      </c>
      <c r="GF898">
        <v>1672565264</v>
      </c>
      <c r="GG898">
        <v>2</v>
      </c>
      <c r="GH898">
        <v>1</v>
      </c>
      <c r="GI898">
        <v>-2</v>
      </c>
      <c r="GJ898">
        <v>0</v>
      </c>
      <c r="GK898">
        <f>ROUND(R898*(R12)/100,2)</f>
        <v>0</v>
      </c>
      <c r="GL898">
        <f t="shared" si="632"/>
        <v>0</v>
      </c>
      <c r="GM898">
        <f>ROUND(O898+X898+Y898+GK898,2)+GX898</f>
        <v>0</v>
      </c>
      <c r="GN898">
        <f>IF(OR(BI898=0,BI898=1),ROUND(O898+X898+Y898+GK898,2),0)</f>
        <v>0</v>
      </c>
      <c r="GO898">
        <f>IF(BI898=2,ROUND(O898+X898+Y898+GK898,2),0)</f>
        <v>0</v>
      </c>
      <c r="GP898">
        <f>IF(BI898=4,ROUND(O898+X898+Y898+GK898,2)+GX898,0)</f>
        <v>0</v>
      </c>
      <c r="GR898">
        <v>0</v>
      </c>
      <c r="GS898">
        <v>0</v>
      </c>
      <c r="GT898">
        <v>0</v>
      </c>
      <c r="GU898" t="s">
        <v>3</v>
      </c>
      <c r="GV898">
        <f t="shared" si="633"/>
        <v>0</v>
      </c>
      <c r="GW898">
        <v>1</v>
      </c>
      <c r="GX898">
        <f t="shared" si="634"/>
        <v>0</v>
      </c>
      <c r="HA898">
        <v>0</v>
      </c>
      <c r="HB898">
        <v>0</v>
      </c>
      <c r="HC898">
        <f t="shared" si="635"/>
        <v>0</v>
      </c>
      <c r="HE898" t="s">
        <v>3</v>
      </c>
      <c r="HF898" t="s">
        <v>3</v>
      </c>
      <c r="IK898">
        <v>0</v>
      </c>
    </row>
    <row r="900" spans="1:245" x14ac:dyDescent="0.2">
      <c r="A900" s="2">
        <v>51</v>
      </c>
      <c r="B900" s="2">
        <f>B885</f>
        <v>1</v>
      </c>
      <c r="C900" s="2">
        <f>A885</f>
        <v>5</v>
      </c>
      <c r="D900" s="2">
        <f>ROW(A885)</f>
        <v>885</v>
      </c>
      <c r="E900" s="2"/>
      <c r="F900" s="2" t="str">
        <f>IF(F885&lt;&gt;"",F885,"")</f>
        <v>Новый подраздел</v>
      </c>
      <c r="G900" s="2" t="str">
        <f>IF(G885&lt;&gt;"",G885,"")</f>
        <v>Демонтажные работы</v>
      </c>
      <c r="H900" s="2">
        <v>0</v>
      </c>
      <c r="I900" s="2"/>
      <c r="J900" s="2"/>
      <c r="K900" s="2"/>
      <c r="L900" s="2"/>
      <c r="M900" s="2"/>
      <c r="N900" s="2"/>
      <c r="O900" s="2">
        <f t="shared" ref="O900:T900" si="641">ROUND(AB900,2)</f>
        <v>126172.4</v>
      </c>
      <c r="P900" s="2">
        <f t="shared" si="641"/>
        <v>15573.47</v>
      </c>
      <c r="Q900" s="2">
        <f t="shared" si="641"/>
        <v>67205.75</v>
      </c>
      <c r="R900" s="2">
        <f t="shared" si="641"/>
        <v>38314.46</v>
      </c>
      <c r="S900" s="2">
        <f t="shared" si="641"/>
        <v>43393.18</v>
      </c>
      <c r="T900" s="2">
        <f t="shared" si="641"/>
        <v>0</v>
      </c>
      <c r="U900" s="2">
        <f>AH900</f>
        <v>263.70215968000002</v>
      </c>
      <c r="V900" s="2">
        <f>AI900</f>
        <v>0</v>
      </c>
      <c r="W900" s="2">
        <f>ROUND(AJ900,2)</f>
        <v>0</v>
      </c>
      <c r="X900" s="2">
        <f>ROUND(AK900,2)</f>
        <v>30375.23</v>
      </c>
      <c r="Y900" s="2">
        <f>ROUND(AL900,2)</f>
        <v>4339.32</v>
      </c>
      <c r="Z900" s="2"/>
      <c r="AA900" s="2"/>
      <c r="AB900" s="2">
        <f>ROUND(SUMIF(AA889:AA898,"=38214492",O889:O898),2)</f>
        <v>126172.4</v>
      </c>
      <c r="AC900" s="2">
        <f>ROUND(SUMIF(AA889:AA898,"=38214492",P889:P898),2)</f>
        <v>15573.47</v>
      </c>
      <c r="AD900" s="2">
        <f>ROUND(SUMIF(AA889:AA898,"=38214492",Q889:Q898),2)</f>
        <v>67205.75</v>
      </c>
      <c r="AE900" s="2">
        <f>ROUND(SUMIF(AA889:AA898,"=38214492",R889:R898),2)</f>
        <v>38314.46</v>
      </c>
      <c r="AF900" s="2">
        <f>ROUND(SUMIF(AA889:AA898,"=38214492",S889:S898),2)</f>
        <v>43393.18</v>
      </c>
      <c r="AG900" s="2">
        <f>ROUND(SUMIF(AA889:AA898,"=38214492",T889:T898),2)</f>
        <v>0</v>
      </c>
      <c r="AH900" s="2">
        <f>SUMIF(AA889:AA898,"=38214492",U889:U898)</f>
        <v>263.70215968000002</v>
      </c>
      <c r="AI900" s="2">
        <f>SUMIF(AA889:AA898,"=38214492",V889:V898)</f>
        <v>0</v>
      </c>
      <c r="AJ900" s="2">
        <f>ROUND(SUMIF(AA889:AA898,"=38214492",W889:W898),2)</f>
        <v>0</v>
      </c>
      <c r="AK900" s="2">
        <f>ROUND(SUMIF(AA889:AA898,"=38214492",X889:X898),2)</f>
        <v>30375.23</v>
      </c>
      <c r="AL900" s="2">
        <f>ROUND(SUMIF(AA889:AA898,"=38214492",Y889:Y898),2)</f>
        <v>4339.32</v>
      </c>
      <c r="AM900" s="2"/>
      <c r="AN900" s="2"/>
      <c r="AO900" s="2">
        <f t="shared" ref="AO900:BD900" si="642">ROUND(BX900,2)</f>
        <v>0</v>
      </c>
      <c r="AP900" s="2">
        <f t="shared" si="642"/>
        <v>0</v>
      </c>
      <c r="AQ900" s="2">
        <f t="shared" si="642"/>
        <v>0</v>
      </c>
      <c r="AR900" s="2">
        <f t="shared" si="642"/>
        <v>162767.26999999999</v>
      </c>
      <c r="AS900" s="2">
        <f t="shared" si="642"/>
        <v>0</v>
      </c>
      <c r="AT900" s="2">
        <f t="shared" si="642"/>
        <v>0</v>
      </c>
      <c r="AU900" s="2">
        <f t="shared" si="642"/>
        <v>162767.26999999999</v>
      </c>
      <c r="AV900" s="2">
        <f t="shared" si="642"/>
        <v>15573.47</v>
      </c>
      <c r="AW900" s="2">
        <f t="shared" si="642"/>
        <v>15573.47</v>
      </c>
      <c r="AX900" s="2">
        <f t="shared" si="642"/>
        <v>0</v>
      </c>
      <c r="AY900" s="2">
        <f t="shared" si="642"/>
        <v>15573.47</v>
      </c>
      <c r="AZ900" s="2">
        <f t="shared" si="642"/>
        <v>0</v>
      </c>
      <c r="BA900" s="2">
        <f t="shared" si="642"/>
        <v>0</v>
      </c>
      <c r="BB900" s="2">
        <f t="shared" si="642"/>
        <v>0</v>
      </c>
      <c r="BC900" s="2">
        <f t="shared" si="642"/>
        <v>0</v>
      </c>
      <c r="BD900" s="2">
        <f t="shared" si="642"/>
        <v>0</v>
      </c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>
        <f>ROUND(SUMIF(AA889:AA898,"=38214492",FQ889:FQ898),2)</f>
        <v>0</v>
      </c>
      <c r="BY900" s="2">
        <f>ROUND(SUMIF(AA889:AA898,"=38214492",FR889:FR898),2)</f>
        <v>0</v>
      </c>
      <c r="BZ900" s="2">
        <f>ROUND(SUMIF(AA889:AA898,"=38214492",GL889:GL898),2)</f>
        <v>0</v>
      </c>
      <c r="CA900" s="2">
        <f>ROUND(SUMIF(AA889:AA898,"=38214492",GM889:GM898),2)</f>
        <v>162767.26999999999</v>
      </c>
      <c r="CB900" s="2">
        <f>ROUND(SUMIF(AA889:AA898,"=38214492",GN889:GN898),2)</f>
        <v>0</v>
      </c>
      <c r="CC900" s="2">
        <f>ROUND(SUMIF(AA889:AA898,"=38214492",GO889:GO898),2)</f>
        <v>0</v>
      </c>
      <c r="CD900" s="2">
        <f>ROUND(SUMIF(AA889:AA898,"=38214492",GP889:GP898),2)</f>
        <v>162767.26999999999</v>
      </c>
      <c r="CE900" s="2">
        <f>AC900-BX900</f>
        <v>15573.47</v>
      </c>
      <c r="CF900" s="2">
        <f>AC900-BY900</f>
        <v>15573.47</v>
      </c>
      <c r="CG900" s="2">
        <f>BX900-BZ900</f>
        <v>0</v>
      </c>
      <c r="CH900" s="2">
        <f>AC900-BX900-BY900+BZ900</f>
        <v>15573.47</v>
      </c>
      <c r="CI900" s="2">
        <f>BY900-BZ900</f>
        <v>0</v>
      </c>
      <c r="CJ900" s="2">
        <f>ROUND(SUMIF(AA889:AA898,"=38214492",GX889:GX898),2)</f>
        <v>0</v>
      </c>
      <c r="CK900" s="2">
        <f>ROUND(SUMIF(AA889:AA898,"=38214492",GY889:GY898),2)</f>
        <v>0</v>
      </c>
      <c r="CL900" s="2">
        <f>ROUND(SUMIF(AA889:AA898,"=38214492",GZ889:GZ898),2)</f>
        <v>0</v>
      </c>
      <c r="CM900" s="2">
        <f>ROUND(SUMIF(AA889:AA898,"=38214492",HD889:HD898),2)</f>
        <v>0</v>
      </c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  <c r="DC900" s="2"/>
      <c r="DD900" s="2"/>
      <c r="DE900" s="2"/>
      <c r="DF900" s="2"/>
      <c r="DG900" s="3"/>
      <c r="DH900" s="3"/>
      <c r="DI900" s="3"/>
      <c r="DJ900" s="3"/>
      <c r="DK900" s="3"/>
      <c r="DL900" s="3"/>
      <c r="DM900" s="3"/>
      <c r="DN900" s="3"/>
      <c r="DO900" s="3"/>
      <c r="DP900" s="3"/>
      <c r="DQ900" s="3"/>
      <c r="DR900" s="3"/>
      <c r="DS900" s="3"/>
      <c r="DT900" s="3"/>
      <c r="DU900" s="3"/>
      <c r="DV900" s="3"/>
      <c r="DW900" s="3"/>
      <c r="DX900" s="3"/>
      <c r="DY900" s="3"/>
      <c r="DZ900" s="3"/>
      <c r="EA900" s="3"/>
      <c r="EB900" s="3"/>
      <c r="EC900" s="3"/>
      <c r="ED900" s="3"/>
      <c r="EE900" s="3"/>
      <c r="EF900" s="3"/>
      <c r="EG900" s="3"/>
      <c r="EH900" s="3"/>
      <c r="EI900" s="3"/>
      <c r="EJ900" s="3"/>
      <c r="EK900" s="3"/>
      <c r="EL900" s="3"/>
      <c r="EM900" s="3"/>
      <c r="EN900" s="3"/>
      <c r="EO900" s="3"/>
      <c r="EP900" s="3"/>
      <c r="EQ900" s="3"/>
      <c r="ER900" s="3"/>
      <c r="ES900" s="3"/>
      <c r="ET900" s="3"/>
      <c r="EU900" s="3"/>
      <c r="EV900" s="3"/>
      <c r="EW900" s="3"/>
      <c r="EX900" s="3"/>
      <c r="EY900" s="3"/>
      <c r="EZ900" s="3"/>
      <c r="FA900" s="3"/>
      <c r="FB900" s="3"/>
      <c r="FC900" s="3"/>
      <c r="FD900" s="3"/>
      <c r="FE900" s="3"/>
      <c r="FF900" s="3"/>
      <c r="FG900" s="3"/>
      <c r="FH900" s="3"/>
      <c r="FI900" s="3"/>
      <c r="FJ900" s="3"/>
      <c r="FK900" s="3"/>
      <c r="FL900" s="3"/>
      <c r="FM900" s="3"/>
      <c r="FN900" s="3"/>
      <c r="FO900" s="3"/>
      <c r="FP900" s="3"/>
      <c r="FQ900" s="3"/>
      <c r="FR900" s="3"/>
      <c r="FS900" s="3"/>
      <c r="FT900" s="3"/>
      <c r="FU900" s="3"/>
      <c r="FV900" s="3"/>
      <c r="FW900" s="3"/>
      <c r="FX900" s="3"/>
      <c r="FY900" s="3"/>
      <c r="FZ900" s="3"/>
      <c r="GA900" s="3"/>
      <c r="GB900" s="3"/>
      <c r="GC900" s="3"/>
      <c r="GD900" s="3"/>
      <c r="GE900" s="3"/>
      <c r="GF900" s="3"/>
      <c r="GG900" s="3"/>
      <c r="GH900" s="3"/>
      <c r="GI900" s="3"/>
      <c r="GJ900" s="3"/>
      <c r="GK900" s="3"/>
      <c r="GL900" s="3"/>
      <c r="GM900" s="3"/>
      <c r="GN900" s="3"/>
      <c r="GO900" s="3"/>
      <c r="GP900" s="3"/>
      <c r="GQ900" s="3"/>
      <c r="GR900" s="3"/>
      <c r="GS900" s="3"/>
      <c r="GT900" s="3"/>
      <c r="GU900" s="3"/>
      <c r="GV900" s="3"/>
      <c r="GW900" s="3"/>
      <c r="GX900" s="3">
        <v>0</v>
      </c>
    </row>
    <row r="902" spans="1:245" x14ac:dyDescent="0.2">
      <c r="A902" s="4">
        <v>50</v>
      </c>
      <c r="B902" s="4">
        <v>0</v>
      </c>
      <c r="C902" s="4">
        <v>0</v>
      </c>
      <c r="D902" s="4">
        <v>1</v>
      </c>
      <c r="E902" s="4">
        <v>201</v>
      </c>
      <c r="F902" s="4">
        <f>ROUND(Source!O900,O902)</f>
        <v>126172.4</v>
      </c>
      <c r="G902" s="4" t="s">
        <v>56</v>
      </c>
      <c r="H902" s="4" t="s">
        <v>57</v>
      </c>
      <c r="I902" s="4"/>
      <c r="J902" s="4"/>
      <c r="K902" s="4">
        <v>201</v>
      </c>
      <c r="L902" s="4">
        <v>1</v>
      </c>
      <c r="M902" s="4">
        <v>3</v>
      </c>
      <c r="N902" s="4" t="s">
        <v>3</v>
      </c>
      <c r="O902" s="4">
        <v>2</v>
      </c>
      <c r="P902" s="4"/>
      <c r="Q902" s="4"/>
      <c r="R902" s="4"/>
      <c r="S902" s="4"/>
      <c r="T902" s="4"/>
      <c r="U902" s="4"/>
      <c r="V902" s="4"/>
      <c r="W902" s="4"/>
    </row>
    <row r="903" spans="1:245" x14ac:dyDescent="0.2">
      <c r="A903" s="4">
        <v>50</v>
      </c>
      <c r="B903" s="4">
        <v>0</v>
      </c>
      <c r="C903" s="4">
        <v>0</v>
      </c>
      <c r="D903" s="4">
        <v>1</v>
      </c>
      <c r="E903" s="4">
        <v>202</v>
      </c>
      <c r="F903" s="4">
        <f>ROUND(Source!P900,O903)</f>
        <v>15573.47</v>
      </c>
      <c r="G903" s="4" t="s">
        <v>58</v>
      </c>
      <c r="H903" s="4" t="s">
        <v>59</v>
      </c>
      <c r="I903" s="4"/>
      <c r="J903" s="4"/>
      <c r="K903" s="4">
        <v>202</v>
      </c>
      <c r="L903" s="4">
        <v>2</v>
      </c>
      <c r="M903" s="4">
        <v>3</v>
      </c>
      <c r="N903" s="4" t="s">
        <v>3</v>
      </c>
      <c r="O903" s="4">
        <v>2</v>
      </c>
      <c r="P903" s="4"/>
      <c r="Q903" s="4"/>
      <c r="R903" s="4"/>
      <c r="S903" s="4"/>
      <c r="T903" s="4"/>
      <c r="U903" s="4"/>
      <c r="V903" s="4"/>
      <c r="W903" s="4"/>
    </row>
    <row r="904" spans="1:245" x14ac:dyDescent="0.2">
      <c r="A904" s="4">
        <v>50</v>
      </c>
      <c r="B904" s="4">
        <v>0</v>
      </c>
      <c r="C904" s="4">
        <v>0</v>
      </c>
      <c r="D904" s="4">
        <v>1</v>
      </c>
      <c r="E904" s="4">
        <v>222</v>
      </c>
      <c r="F904" s="4">
        <f>ROUND(Source!AO900,O904)</f>
        <v>0</v>
      </c>
      <c r="G904" s="4" t="s">
        <v>60</v>
      </c>
      <c r="H904" s="4" t="s">
        <v>61</v>
      </c>
      <c r="I904" s="4"/>
      <c r="J904" s="4"/>
      <c r="K904" s="4">
        <v>222</v>
      </c>
      <c r="L904" s="4">
        <v>3</v>
      </c>
      <c r="M904" s="4">
        <v>3</v>
      </c>
      <c r="N904" s="4" t="s">
        <v>3</v>
      </c>
      <c r="O904" s="4">
        <v>2</v>
      </c>
      <c r="P904" s="4"/>
      <c r="Q904" s="4"/>
      <c r="R904" s="4"/>
      <c r="S904" s="4"/>
      <c r="T904" s="4"/>
      <c r="U904" s="4"/>
      <c r="V904" s="4"/>
      <c r="W904" s="4"/>
    </row>
    <row r="905" spans="1:245" x14ac:dyDescent="0.2">
      <c r="A905" s="4">
        <v>50</v>
      </c>
      <c r="B905" s="4">
        <v>0</v>
      </c>
      <c r="C905" s="4">
        <v>0</v>
      </c>
      <c r="D905" s="4">
        <v>1</v>
      </c>
      <c r="E905" s="4">
        <v>225</v>
      </c>
      <c r="F905" s="4">
        <f>ROUND(Source!AV900,O905)</f>
        <v>15573.47</v>
      </c>
      <c r="G905" s="4" t="s">
        <v>62</v>
      </c>
      <c r="H905" s="4" t="s">
        <v>63</v>
      </c>
      <c r="I905" s="4"/>
      <c r="J905" s="4"/>
      <c r="K905" s="4">
        <v>225</v>
      </c>
      <c r="L905" s="4">
        <v>4</v>
      </c>
      <c r="M905" s="4">
        <v>3</v>
      </c>
      <c r="N905" s="4" t="s">
        <v>3</v>
      </c>
      <c r="O905" s="4">
        <v>2</v>
      </c>
      <c r="P905" s="4"/>
      <c r="Q905" s="4"/>
      <c r="R905" s="4"/>
      <c r="S905" s="4"/>
      <c r="T905" s="4"/>
      <c r="U905" s="4"/>
      <c r="V905" s="4"/>
      <c r="W905" s="4"/>
    </row>
    <row r="906" spans="1:245" x14ac:dyDescent="0.2">
      <c r="A906" s="4">
        <v>50</v>
      </c>
      <c r="B906" s="4">
        <v>0</v>
      </c>
      <c r="C906" s="4">
        <v>0</v>
      </c>
      <c r="D906" s="4">
        <v>1</v>
      </c>
      <c r="E906" s="4">
        <v>226</v>
      </c>
      <c r="F906" s="4">
        <f>ROUND(Source!AW900,O906)</f>
        <v>15573.47</v>
      </c>
      <c r="G906" s="4" t="s">
        <v>64</v>
      </c>
      <c r="H906" s="4" t="s">
        <v>65</v>
      </c>
      <c r="I906" s="4"/>
      <c r="J906" s="4"/>
      <c r="K906" s="4">
        <v>226</v>
      </c>
      <c r="L906" s="4">
        <v>5</v>
      </c>
      <c r="M906" s="4">
        <v>3</v>
      </c>
      <c r="N906" s="4" t="s">
        <v>3</v>
      </c>
      <c r="O906" s="4">
        <v>2</v>
      </c>
      <c r="P906" s="4"/>
      <c r="Q906" s="4"/>
      <c r="R906" s="4"/>
      <c r="S906" s="4"/>
      <c r="T906" s="4"/>
      <c r="U906" s="4"/>
      <c r="V906" s="4"/>
      <c r="W906" s="4"/>
    </row>
    <row r="907" spans="1:245" x14ac:dyDescent="0.2">
      <c r="A907" s="4">
        <v>50</v>
      </c>
      <c r="B907" s="4">
        <v>0</v>
      </c>
      <c r="C907" s="4">
        <v>0</v>
      </c>
      <c r="D907" s="4">
        <v>1</v>
      </c>
      <c r="E907" s="4">
        <v>227</v>
      </c>
      <c r="F907" s="4">
        <f>ROUND(Source!AX900,O907)</f>
        <v>0</v>
      </c>
      <c r="G907" s="4" t="s">
        <v>66</v>
      </c>
      <c r="H907" s="4" t="s">
        <v>67</v>
      </c>
      <c r="I907" s="4"/>
      <c r="J907" s="4"/>
      <c r="K907" s="4">
        <v>227</v>
      </c>
      <c r="L907" s="4">
        <v>6</v>
      </c>
      <c r="M907" s="4">
        <v>3</v>
      </c>
      <c r="N907" s="4" t="s">
        <v>3</v>
      </c>
      <c r="O907" s="4">
        <v>2</v>
      </c>
      <c r="P907" s="4"/>
      <c r="Q907" s="4"/>
      <c r="R907" s="4"/>
      <c r="S907" s="4"/>
      <c r="T907" s="4"/>
      <c r="U907" s="4"/>
      <c r="V907" s="4"/>
      <c r="W907" s="4"/>
    </row>
    <row r="908" spans="1:245" x14ac:dyDescent="0.2">
      <c r="A908" s="4">
        <v>50</v>
      </c>
      <c r="B908" s="4">
        <v>0</v>
      </c>
      <c r="C908" s="4">
        <v>0</v>
      </c>
      <c r="D908" s="4">
        <v>1</v>
      </c>
      <c r="E908" s="4">
        <v>228</v>
      </c>
      <c r="F908" s="4">
        <f>ROUND(Source!AY900,O908)</f>
        <v>15573.47</v>
      </c>
      <c r="G908" s="4" t="s">
        <v>68</v>
      </c>
      <c r="H908" s="4" t="s">
        <v>69</v>
      </c>
      <c r="I908" s="4"/>
      <c r="J908" s="4"/>
      <c r="K908" s="4">
        <v>228</v>
      </c>
      <c r="L908" s="4">
        <v>7</v>
      </c>
      <c r="M908" s="4">
        <v>3</v>
      </c>
      <c r="N908" s="4" t="s">
        <v>3</v>
      </c>
      <c r="O908" s="4">
        <v>2</v>
      </c>
      <c r="P908" s="4"/>
      <c r="Q908" s="4"/>
      <c r="R908" s="4"/>
      <c r="S908" s="4"/>
      <c r="T908" s="4"/>
      <c r="U908" s="4"/>
      <c r="V908" s="4"/>
      <c r="W908" s="4"/>
    </row>
    <row r="909" spans="1:245" x14ac:dyDescent="0.2">
      <c r="A909" s="4">
        <v>50</v>
      </c>
      <c r="B909" s="4">
        <v>0</v>
      </c>
      <c r="C909" s="4">
        <v>0</v>
      </c>
      <c r="D909" s="4">
        <v>1</v>
      </c>
      <c r="E909" s="4">
        <v>216</v>
      </c>
      <c r="F909" s="4">
        <f>ROUND(Source!AP900,O909)</f>
        <v>0</v>
      </c>
      <c r="G909" s="4" t="s">
        <v>70</v>
      </c>
      <c r="H909" s="4" t="s">
        <v>71</v>
      </c>
      <c r="I909" s="4"/>
      <c r="J909" s="4"/>
      <c r="K909" s="4">
        <v>216</v>
      </c>
      <c r="L909" s="4">
        <v>8</v>
      </c>
      <c r="M909" s="4">
        <v>3</v>
      </c>
      <c r="N909" s="4" t="s">
        <v>3</v>
      </c>
      <c r="O909" s="4">
        <v>2</v>
      </c>
      <c r="P909" s="4"/>
      <c r="Q909" s="4"/>
      <c r="R909" s="4"/>
      <c r="S909" s="4"/>
      <c r="T909" s="4"/>
      <c r="U909" s="4"/>
      <c r="V909" s="4"/>
      <c r="W909" s="4"/>
    </row>
    <row r="910" spans="1:245" x14ac:dyDescent="0.2">
      <c r="A910" s="4">
        <v>50</v>
      </c>
      <c r="B910" s="4">
        <v>0</v>
      </c>
      <c r="C910" s="4">
        <v>0</v>
      </c>
      <c r="D910" s="4">
        <v>1</v>
      </c>
      <c r="E910" s="4">
        <v>223</v>
      </c>
      <c r="F910" s="4">
        <f>ROUND(Source!AQ900,O910)</f>
        <v>0</v>
      </c>
      <c r="G910" s="4" t="s">
        <v>72</v>
      </c>
      <c r="H910" s="4" t="s">
        <v>73</v>
      </c>
      <c r="I910" s="4"/>
      <c r="J910" s="4"/>
      <c r="K910" s="4">
        <v>223</v>
      </c>
      <c r="L910" s="4">
        <v>9</v>
      </c>
      <c r="M910" s="4">
        <v>3</v>
      </c>
      <c r="N910" s="4" t="s">
        <v>3</v>
      </c>
      <c r="O910" s="4">
        <v>2</v>
      </c>
      <c r="P910" s="4"/>
      <c r="Q910" s="4"/>
      <c r="R910" s="4"/>
      <c r="S910" s="4"/>
      <c r="T910" s="4"/>
      <c r="U910" s="4"/>
      <c r="V910" s="4"/>
      <c r="W910" s="4"/>
    </row>
    <row r="911" spans="1:245" x14ac:dyDescent="0.2">
      <c r="A911" s="4">
        <v>50</v>
      </c>
      <c r="B911" s="4">
        <v>0</v>
      </c>
      <c r="C911" s="4">
        <v>0</v>
      </c>
      <c r="D911" s="4">
        <v>1</v>
      </c>
      <c r="E911" s="4">
        <v>229</v>
      </c>
      <c r="F911" s="4">
        <f>ROUND(Source!AZ900,O911)</f>
        <v>0</v>
      </c>
      <c r="G911" s="4" t="s">
        <v>74</v>
      </c>
      <c r="H911" s="4" t="s">
        <v>75</v>
      </c>
      <c r="I911" s="4"/>
      <c r="J911" s="4"/>
      <c r="K911" s="4">
        <v>229</v>
      </c>
      <c r="L911" s="4">
        <v>10</v>
      </c>
      <c r="M911" s="4">
        <v>3</v>
      </c>
      <c r="N911" s="4" t="s">
        <v>3</v>
      </c>
      <c r="O911" s="4">
        <v>2</v>
      </c>
      <c r="P911" s="4"/>
      <c r="Q911" s="4"/>
      <c r="R911" s="4"/>
      <c r="S911" s="4"/>
      <c r="T911" s="4"/>
      <c r="U911" s="4"/>
      <c r="V911" s="4"/>
      <c r="W911" s="4"/>
    </row>
    <row r="912" spans="1:245" x14ac:dyDescent="0.2">
      <c r="A912" s="4">
        <v>50</v>
      </c>
      <c r="B912" s="4">
        <v>0</v>
      </c>
      <c r="C912" s="4">
        <v>0</v>
      </c>
      <c r="D912" s="4">
        <v>1</v>
      </c>
      <c r="E912" s="4">
        <v>203</v>
      </c>
      <c r="F912" s="4">
        <f>ROUND(Source!Q900,O912)</f>
        <v>67205.75</v>
      </c>
      <c r="G912" s="4" t="s">
        <v>76</v>
      </c>
      <c r="H912" s="4" t="s">
        <v>77</v>
      </c>
      <c r="I912" s="4"/>
      <c r="J912" s="4"/>
      <c r="K912" s="4">
        <v>203</v>
      </c>
      <c r="L912" s="4">
        <v>11</v>
      </c>
      <c r="M912" s="4">
        <v>3</v>
      </c>
      <c r="N912" s="4" t="s">
        <v>3</v>
      </c>
      <c r="O912" s="4">
        <v>2</v>
      </c>
      <c r="P912" s="4"/>
      <c r="Q912" s="4"/>
      <c r="R912" s="4"/>
      <c r="S912" s="4"/>
      <c r="T912" s="4"/>
      <c r="U912" s="4"/>
      <c r="V912" s="4"/>
      <c r="W912" s="4"/>
    </row>
    <row r="913" spans="1:23" x14ac:dyDescent="0.2">
      <c r="A913" s="4">
        <v>50</v>
      </c>
      <c r="B913" s="4">
        <v>0</v>
      </c>
      <c r="C913" s="4">
        <v>0</v>
      </c>
      <c r="D913" s="4">
        <v>1</v>
      </c>
      <c r="E913" s="4">
        <v>231</v>
      </c>
      <c r="F913" s="4">
        <f>ROUND(Source!BB900,O913)</f>
        <v>0</v>
      </c>
      <c r="G913" s="4" t="s">
        <v>78</v>
      </c>
      <c r="H913" s="4" t="s">
        <v>79</v>
      </c>
      <c r="I913" s="4"/>
      <c r="J913" s="4"/>
      <c r="K913" s="4">
        <v>231</v>
      </c>
      <c r="L913" s="4">
        <v>12</v>
      </c>
      <c r="M913" s="4">
        <v>3</v>
      </c>
      <c r="N913" s="4" t="s">
        <v>3</v>
      </c>
      <c r="O913" s="4">
        <v>2</v>
      </c>
      <c r="P913" s="4"/>
      <c r="Q913" s="4"/>
      <c r="R913" s="4"/>
      <c r="S913" s="4"/>
      <c r="T913" s="4"/>
      <c r="U913" s="4"/>
      <c r="V913" s="4"/>
      <c r="W913" s="4"/>
    </row>
    <row r="914" spans="1:23" x14ac:dyDescent="0.2">
      <c r="A914" s="4">
        <v>50</v>
      </c>
      <c r="B914" s="4">
        <v>0</v>
      </c>
      <c r="C914" s="4">
        <v>0</v>
      </c>
      <c r="D914" s="4">
        <v>1</v>
      </c>
      <c r="E914" s="4">
        <v>204</v>
      </c>
      <c r="F914" s="4">
        <f>ROUND(Source!R900,O914)</f>
        <v>38314.46</v>
      </c>
      <c r="G914" s="4" t="s">
        <v>80</v>
      </c>
      <c r="H914" s="4" t="s">
        <v>81</v>
      </c>
      <c r="I914" s="4"/>
      <c r="J914" s="4"/>
      <c r="K914" s="4">
        <v>204</v>
      </c>
      <c r="L914" s="4">
        <v>13</v>
      </c>
      <c r="M914" s="4">
        <v>3</v>
      </c>
      <c r="N914" s="4" t="s">
        <v>3</v>
      </c>
      <c r="O914" s="4">
        <v>2</v>
      </c>
      <c r="P914" s="4"/>
      <c r="Q914" s="4"/>
      <c r="R914" s="4"/>
      <c r="S914" s="4"/>
      <c r="T914" s="4"/>
      <c r="U914" s="4"/>
      <c r="V914" s="4"/>
      <c r="W914" s="4"/>
    </row>
    <row r="915" spans="1:23" x14ac:dyDescent="0.2">
      <c r="A915" s="4">
        <v>50</v>
      </c>
      <c r="B915" s="4">
        <v>0</v>
      </c>
      <c r="C915" s="4">
        <v>0</v>
      </c>
      <c r="D915" s="4">
        <v>1</v>
      </c>
      <c r="E915" s="4">
        <v>205</v>
      </c>
      <c r="F915" s="4">
        <f>ROUND(Source!S900,O915)</f>
        <v>43393.18</v>
      </c>
      <c r="G915" s="4" t="s">
        <v>82</v>
      </c>
      <c r="H915" s="4" t="s">
        <v>83</v>
      </c>
      <c r="I915" s="4"/>
      <c r="J915" s="4"/>
      <c r="K915" s="4">
        <v>205</v>
      </c>
      <c r="L915" s="4">
        <v>14</v>
      </c>
      <c r="M915" s="4">
        <v>3</v>
      </c>
      <c r="N915" s="4" t="s">
        <v>3</v>
      </c>
      <c r="O915" s="4">
        <v>2</v>
      </c>
      <c r="P915" s="4"/>
      <c r="Q915" s="4"/>
      <c r="R915" s="4"/>
      <c r="S915" s="4"/>
      <c r="T915" s="4"/>
      <c r="U915" s="4"/>
      <c r="V915" s="4"/>
      <c r="W915" s="4"/>
    </row>
    <row r="916" spans="1:23" x14ac:dyDescent="0.2">
      <c r="A916" s="4">
        <v>50</v>
      </c>
      <c r="B916" s="4">
        <v>0</v>
      </c>
      <c r="C916" s="4">
        <v>0</v>
      </c>
      <c r="D916" s="4">
        <v>1</v>
      </c>
      <c r="E916" s="4">
        <v>232</v>
      </c>
      <c r="F916" s="4">
        <f>ROUND(Source!BC900,O916)</f>
        <v>0</v>
      </c>
      <c r="G916" s="4" t="s">
        <v>84</v>
      </c>
      <c r="H916" s="4" t="s">
        <v>85</v>
      </c>
      <c r="I916" s="4"/>
      <c r="J916" s="4"/>
      <c r="K916" s="4">
        <v>232</v>
      </c>
      <c r="L916" s="4">
        <v>15</v>
      </c>
      <c r="M916" s="4">
        <v>3</v>
      </c>
      <c r="N916" s="4" t="s">
        <v>3</v>
      </c>
      <c r="O916" s="4">
        <v>2</v>
      </c>
      <c r="P916" s="4"/>
      <c r="Q916" s="4"/>
      <c r="R916" s="4"/>
      <c r="S916" s="4"/>
      <c r="T916" s="4"/>
      <c r="U916" s="4"/>
      <c r="V916" s="4"/>
      <c r="W916" s="4"/>
    </row>
    <row r="917" spans="1:23" x14ac:dyDescent="0.2">
      <c r="A917" s="4">
        <v>50</v>
      </c>
      <c r="B917" s="4">
        <v>0</v>
      </c>
      <c r="C917" s="4">
        <v>0</v>
      </c>
      <c r="D917" s="4">
        <v>1</v>
      </c>
      <c r="E917" s="4">
        <v>214</v>
      </c>
      <c r="F917" s="4">
        <f>ROUND(Source!AS900,O917)</f>
        <v>0</v>
      </c>
      <c r="G917" s="4" t="s">
        <v>86</v>
      </c>
      <c r="H917" s="4" t="s">
        <v>87</v>
      </c>
      <c r="I917" s="4"/>
      <c r="J917" s="4"/>
      <c r="K917" s="4">
        <v>214</v>
      </c>
      <c r="L917" s="4">
        <v>16</v>
      </c>
      <c r="M917" s="4">
        <v>3</v>
      </c>
      <c r="N917" s="4" t="s">
        <v>3</v>
      </c>
      <c r="O917" s="4">
        <v>2</v>
      </c>
      <c r="P917" s="4"/>
      <c r="Q917" s="4"/>
      <c r="R917" s="4"/>
      <c r="S917" s="4"/>
      <c r="T917" s="4"/>
      <c r="U917" s="4"/>
      <c r="V917" s="4"/>
      <c r="W917" s="4"/>
    </row>
    <row r="918" spans="1:23" x14ac:dyDescent="0.2">
      <c r="A918" s="4">
        <v>50</v>
      </c>
      <c r="B918" s="4">
        <v>0</v>
      </c>
      <c r="C918" s="4">
        <v>0</v>
      </c>
      <c r="D918" s="4">
        <v>1</v>
      </c>
      <c r="E918" s="4">
        <v>215</v>
      </c>
      <c r="F918" s="4">
        <f>ROUND(Source!AT900,O918)</f>
        <v>0</v>
      </c>
      <c r="G918" s="4" t="s">
        <v>88</v>
      </c>
      <c r="H918" s="4" t="s">
        <v>89</v>
      </c>
      <c r="I918" s="4"/>
      <c r="J918" s="4"/>
      <c r="K918" s="4">
        <v>215</v>
      </c>
      <c r="L918" s="4">
        <v>17</v>
      </c>
      <c r="M918" s="4">
        <v>3</v>
      </c>
      <c r="N918" s="4" t="s">
        <v>3</v>
      </c>
      <c r="O918" s="4">
        <v>2</v>
      </c>
      <c r="P918" s="4"/>
      <c r="Q918" s="4"/>
      <c r="R918" s="4"/>
      <c r="S918" s="4"/>
      <c r="T918" s="4"/>
      <c r="U918" s="4"/>
      <c r="V918" s="4"/>
      <c r="W918" s="4"/>
    </row>
    <row r="919" spans="1:23" x14ac:dyDescent="0.2">
      <c r="A919" s="4">
        <v>50</v>
      </c>
      <c r="B919" s="4">
        <v>0</v>
      </c>
      <c r="C919" s="4">
        <v>0</v>
      </c>
      <c r="D919" s="4">
        <v>1</v>
      </c>
      <c r="E919" s="4">
        <v>217</v>
      </c>
      <c r="F919" s="4">
        <f>ROUND(Source!AU900,O919)</f>
        <v>162767.26999999999</v>
      </c>
      <c r="G919" s="4" t="s">
        <v>90</v>
      </c>
      <c r="H919" s="4" t="s">
        <v>91</v>
      </c>
      <c r="I919" s="4"/>
      <c r="J919" s="4"/>
      <c r="K919" s="4">
        <v>217</v>
      </c>
      <c r="L919" s="4">
        <v>18</v>
      </c>
      <c r="M919" s="4">
        <v>3</v>
      </c>
      <c r="N919" s="4" t="s">
        <v>3</v>
      </c>
      <c r="O919" s="4">
        <v>2</v>
      </c>
      <c r="P919" s="4"/>
      <c r="Q919" s="4"/>
      <c r="R919" s="4"/>
      <c r="S919" s="4"/>
      <c r="T919" s="4"/>
      <c r="U919" s="4"/>
      <c r="V919" s="4"/>
      <c r="W919" s="4"/>
    </row>
    <row r="920" spans="1:23" x14ac:dyDescent="0.2">
      <c r="A920" s="4">
        <v>50</v>
      </c>
      <c r="B920" s="4">
        <v>0</v>
      </c>
      <c r="C920" s="4">
        <v>0</v>
      </c>
      <c r="D920" s="4">
        <v>1</v>
      </c>
      <c r="E920" s="4">
        <v>230</v>
      </c>
      <c r="F920" s="4">
        <f>ROUND(Source!BA900,O920)</f>
        <v>0</v>
      </c>
      <c r="G920" s="4" t="s">
        <v>92</v>
      </c>
      <c r="H920" s="4" t="s">
        <v>93</v>
      </c>
      <c r="I920" s="4"/>
      <c r="J920" s="4"/>
      <c r="K920" s="4">
        <v>230</v>
      </c>
      <c r="L920" s="4">
        <v>19</v>
      </c>
      <c r="M920" s="4">
        <v>3</v>
      </c>
      <c r="N920" s="4" t="s">
        <v>3</v>
      </c>
      <c r="O920" s="4">
        <v>2</v>
      </c>
      <c r="P920" s="4"/>
      <c r="Q920" s="4"/>
      <c r="R920" s="4"/>
      <c r="S920" s="4"/>
      <c r="T920" s="4"/>
      <c r="U920" s="4"/>
      <c r="V920" s="4"/>
      <c r="W920" s="4"/>
    </row>
    <row r="921" spans="1:23" x14ac:dyDescent="0.2">
      <c r="A921" s="4">
        <v>50</v>
      </c>
      <c r="B921" s="4">
        <v>0</v>
      </c>
      <c r="C921" s="4">
        <v>0</v>
      </c>
      <c r="D921" s="4">
        <v>1</v>
      </c>
      <c r="E921" s="4">
        <v>206</v>
      </c>
      <c r="F921" s="4">
        <f>ROUND(Source!T900,O921)</f>
        <v>0</v>
      </c>
      <c r="G921" s="4" t="s">
        <v>94</v>
      </c>
      <c r="H921" s="4" t="s">
        <v>95</v>
      </c>
      <c r="I921" s="4"/>
      <c r="J921" s="4"/>
      <c r="K921" s="4">
        <v>206</v>
      </c>
      <c r="L921" s="4">
        <v>20</v>
      </c>
      <c r="M921" s="4">
        <v>3</v>
      </c>
      <c r="N921" s="4" t="s">
        <v>3</v>
      </c>
      <c r="O921" s="4">
        <v>2</v>
      </c>
      <c r="P921" s="4"/>
      <c r="Q921" s="4"/>
      <c r="R921" s="4"/>
      <c r="S921" s="4"/>
      <c r="T921" s="4"/>
      <c r="U921" s="4"/>
      <c r="V921" s="4"/>
      <c r="W921" s="4"/>
    </row>
    <row r="922" spans="1:23" x14ac:dyDescent="0.2">
      <c r="A922" s="4">
        <v>50</v>
      </c>
      <c r="B922" s="4">
        <v>0</v>
      </c>
      <c r="C922" s="4">
        <v>0</v>
      </c>
      <c r="D922" s="4">
        <v>1</v>
      </c>
      <c r="E922" s="4">
        <v>207</v>
      </c>
      <c r="F922" s="4">
        <f>Source!U900</f>
        <v>263.70215968000002</v>
      </c>
      <c r="G922" s="4" t="s">
        <v>96</v>
      </c>
      <c r="H922" s="4" t="s">
        <v>97</v>
      </c>
      <c r="I922" s="4"/>
      <c r="J922" s="4"/>
      <c r="K922" s="4">
        <v>207</v>
      </c>
      <c r="L922" s="4">
        <v>21</v>
      </c>
      <c r="M922" s="4">
        <v>3</v>
      </c>
      <c r="N922" s="4" t="s">
        <v>3</v>
      </c>
      <c r="O922" s="4">
        <v>-1</v>
      </c>
      <c r="P922" s="4"/>
      <c r="Q922" s="4"/>
      <c r="R922" s="4"/>
      <c r="S922" s="4"/>
      <c r="T922" s="4"/>
      <c r="U922" s="4"/>
      <c r="V922" s="4"/>
      <c r="W922" s="4"/>
    </row>
    <row r="923" spans="1:23" x14ac:dyDescent="0.2">
      <c r="A923" s="4">
        <v>50</v>
      </c>
      <c r="B923" s="4">
        <v>0</v>
      </c>
      <c r="C923" s="4">
        <v>0</v>
      </c>
      <c r="D923" s="4">
        <v>1</v>
      </c>
      <c r="E923" s="4">
        <v>208</v>
      </c>
      <c r="F923" s="4">
        <f>Source!V900</f>
        <v>0</v>
      </c>
      <c r="G923" s="4" t="s">
        <v>98</v>
      </c>
      <c r="H923" s="4" t="s">
        <v>99</v>
      </c>
      <c r="I923" s="4"/>
      <c r="J923" s="4"/>
      <c r="K923" s="4">
        <v>208</v>
      </c>
      <c r="L923" s="4">
        <v>22</v>
      </c>
      <c r="M923" s="4">
        <v>3</v>
      </c>
      <c r="N923" s="4" t="s">
        <v>3</v>
      </c>
      <c r="O923" s="4">
        <v>-1</v>
      </c>
      <c r="P923" s="4"/>
      <c r="Q923" s="4"/>
      <c r="R923" s="4"/>
      <c r="S923" s="4"/>
      <c r="T923" s="4"/>
      <c r="U923" s="4"/>
      <c r="V923" s="4"/>
      <c r="W923" s="4"/>
    </row>
    <row r="924" spans="1:23" x14ac:dyDescent="0.2">
      <c r="A924" s="4">
        <v>50</v>
      </c>
      <c r="B924" s="4">
        <v>0</v>
      </c>
      <c r="C924" s="4">
        <v>0</v>
      </c>
      <c r="D924" s="4">
        <v>1</v>
      </c>
      <c r="E924" s="4">
        <v>209</v>
      </c>
      <c r="F924" s="4">
        <f>ROUND(Source!W900,O924)</f>
        <v>0</v>
      </c>
      <c r="G924" s="4" t="s">
        <v>100</v>
      </c>
      <c r="H924" s="4" t="s">
        <v>101</v>
      </c>
      <c r="I924" s="4"/>
      <c r="J924" s="4"/>
      <c r="K924" s="4">
        <v>209</v>
      </c>
      <c r="L924" s="4">
        <v>23</v>
      </c>
      <c r="M924" s="4">
        <v>3</v>
      </c>
      <c r="N924" s="4" t="s">
        <v>3</v>
      </c>
      <c r="O924" s="4">
        <v>2</v>
      </c>
      <c r="P924" s="4"/>
      <c r="Q924" s="4"/>
      <c r="R924" s="4"/>
      <c r="S924" s="4"/>
      <c r="T924" s="4"/>
      <c r="U924" s="4"/>
      <c r="V924" s="4"/>
      <c r="W924" s="4"/>
    </row>
    <row r="925" spans="1:23" x14ac:dyDescent="0.2">
      <c r="A925" s="4">
        <v>50</v>
      </c>
      <c r="B925" s="4">
        <v>0</v>
      </c>
      <c r="C925" s="4">
        <v>0</v>
      </c>
      <c r="D925" s="4">
        <v>1</v>
      </c>
      <c r="E925" s="4">
        <v>233</v>
      </c>
      <c r="F925" s="4">
        <f>ROUND(Source!BD900,O925)</f>
        <v>0</v>
      </c>
      <c r="G925" s="4" t="s">
        <v>102</v>
      </c>
      <c r="H925" s="4" t="s">
        <v>103</v>
      </c>
      <c r="I925" s="4"/>
      <c r="J925" s="4"/>
      <c r="K925" s="4">
        <v>233</v>
      </c>
      <c r="L925" s="4">
        <v>24</v>
      </c>
      <c r="M925" s="4">
        <v>3</v>
      </c>
      <c r="N925" s="4" t="s">
        <v>3</v>
      </c>
      <c r="O925" s="4">
        <v>2</v>
      </c>
      <c r="P925" s="4"/>
      <c r="Q925" s="4"/>
      <c r="R925" s="4"/>
      <c r="S925" s="4"/>
      <c r="T925" s="4"/>
      <c r="U925" s="4"/>
      <c r="V925" s="4"/>
      <c r="W925" s="4"/>
    </row>
    <row r="926" spans="1:23" x14ac:dyDescent="0.2">
      <c r="A926" s="4">
        <v>50</v>
      </c>
      <c r="B926" s="4">
        <v>0</v>
      </c>
      <c r="C926" s="4">
        <v>0</v>
      </c>
      <c r="D926" s="4">
        <v>1</v>
      </c>
      <c r="E926" s="4">
        <v>210</v>
      </c>
      <c r="F926" s="4">
        <f>ROUND(Source!X900,O926)</f>
        <v>30375.23</v>
      </c>
      <c r="G926" s="4" t="s">
        <v>104</v>
      </c>
      <c r="H926" s="4" t="s">
        <v>105</v>
      </c>
      <c r="I926" s="4"/>
      <c r="J926" s="4"/>
      <c r="K926" s="4">
        <v>210</v>
      </c>
      <c r="L926" s="4">
        <v>25</v>
      </c>
      <c r="M926" s="4">
        <v>3</v>
      </c>
      <c r="N926" s="4" t="s">
        <v>3</v>
      </c>
      <c r="O926" s="4">
        <v>2</v>
      </c>
      <c r="P926" s="4"/>
      <c r="Q926" s="4"/>
      <c r="R926" s="4"/>
      <c r="S926" s="4"/>
      <c r="T926" s="4"/>
      <c r="U926" s="4"/>
      <c r="V926" s="4"/>
      <c r="W926" s="4"/>
    </row>
    <row r="927" spans="1:23" x14ac:dyDescent="0.2">
      <c r="A927" s="4">
        <v>50</v>
      </c>
      <c r="B927" s="4">
        <v>0</v>
      </c>
      <c r="C927" s="4">
        <v>0</v>
      </c>
      <c r="D927" s="4">
        <v>1</v>
      </c>
      <c r="E927" s="4">
        <v>211</v>
      </c>
      <c r="F927" s="4">
        <f>ROUND(Source!Y900,O927)</f>
        <v>4339.32</v>
      </c>
      <c r="G927" s="4" t="s">
        <v>106</v>
      </c>
      <c r="H927" s="4" t="s">
        <v>107</v>
      </c>
      <c r="I927" s="4"/>
      <c r="J927" s="4"/>
      <c r="K927" s="4">
        <v>211</v>
      </c>
      <c r="L927" s="4">
        <v>26</v>
      </c>
      <c r="M927" s="4">
        <v>3</v>
      </c>
      <c r="N927" s="4" t="s">
        <v>3</v>
      </c>
      <c r="O927" s="4">
        <v>2</v>
      </c>
      <c r="P927" s="4"/>
      <c r="Q927" s="4"/>
      <c r="R927" s="4"/>
      <c r="S927" s="4"/>
      <c r="T927" s="4"/>
      <c r="U927" s="4"/>
      <c r="V927" s="4"/>
      <c r="W927" s="4"/>
    </row>
    <row r="928" spans="1:23" x14ac:dyDescent="0.2">
      <c r="A928" s="4">
        <v>50</v>
      </c>
      <c r="B928" s="4">
        <v>0</v>
      </c>
      <c r="C928" s="4">
        <v>0</v>
      </c>
      <c r="D928" s="4">
        <v>1</v>
      </c>
      <c r="E928" s="4">
        <v>224</v>
      </c>
      <c r="F928" s="4">
        <f>ROUND(Source!AR900,O928)</f>
        <v>162767.26999999999</v>
      </c>
      <c r="G928" s="4" t="s">
        <v>108</v>
      </c>
      <c r="H928" s="4" t="s">
        <v>109</v>
      </c>
      <c r="I928" s="4"/>
      <c r="J928" s="4"/>
      <c r="K928" s="4">
        <v>224</v>
      </c>
      <c r="L928" s="4">
        <v>27</v>
      </c>
      <c r="M928" s="4">
        <v>3</v>
      </c>
      <c r="N928" s="4" t="s">
        <v>3</v>
      </c>
      <c r="O928" s="4">
        <v>2</v>
      </c>
      <c r="P928" s="4"/>
      <c r="Q928" s="4"/>
      <c r="R928" s="4"/>
      <c r="S928" s="4"/>
      <c r="T928" s="4"/>
      <c r="U928" s="4"/>
      <c r="V928" s="4"/>
      <c r="W928" s="4"/>
    </row>
    <row r="930" spans="1:245" x14ac:dyDescent="0.2">
      <c r="A930" s="1">
        <v>5</v>
      </c>
      <c r="B930" s="1">
        <v>1</v>
      </c>
      <c r="C930" s="1"/>
      <c r="D930" s="1">
        <f>ROW(A955)</f>
        <v>955</v>
      </c>
      <c r="E930" s="1"/>
      <c r="F930" s="1" t="s">
        <v>17</v>
      </c>
      <c r="G930" s="1" t="s">
        <v>330</v>
      </c>
      <c r="H930" s="1" t="s">
        <v>3</v>
      </c>
      <c r="I930" s="1">
        <v>0</v>
      </c>
      <c r="J930" s="1"/>
      <c r="K930" s="1">
        <v>0</v>
      </c>
      <c r="L930" s="1"/>
      <c r="M930" s="1"/>
      <c r="N930" s="1"/>
      <c r="O930" s="1"/>
      <c r="P930" s="1"/>
      <c r="Q930" s="1"/>
      <c r="R930" s="1"/>
      <c r="S930" s="1"/>
      <c r="T930" s="1"/>
      <c r="U930" s="1" t="s">
        <v>3</v>
      </c>
      <c r="V930" s="1">
        <v>0</v>
      </c>
      <c r="W930" s="1"/>
      <c r="X930" s="1"/>
      <c r="Y930" s="1"/>
      <c r="Z930" s="1"/>
      <c r="AA930" s="1"/>
      <c r="AB930" s="1" t="s">
        <v>3</v>
      </c>
      <c r="AC930" s="1" t="s">
        <v>3</v>
      </c>
      <c r="AD930" s="1" t="s">
        <v>3</v>
      </c>
      <c r="AE930" s="1" t="s">
        <v>3</v>
      </c>
      <c r="AF930" s="1" t="s">
        <v>3</v>
      </c>
      <c r="AG930" s="1" t="s">
        <v>3</v>
      </c>
      <c r="AH930" s="1"/>
      <c r="AI930" s="1"/>
      <c r="AJ930" s="1"/>
      <c r="AK930" s="1"/>
      <c r="AL930" s="1"/>
      <c r="AM930" s="1"/>
      <c r="AN930" s="1"/>
      <c r="AO930" s="1"/>
      <c r="AP930" s="1" t="s">
        <v>3</v>
      </c>
      <c r="AQ930" s="1" t="s">
        <v>3</v>
      </c>
      <c r="AR930" s="1" t="s">
        <v>3</v>
      </c>
      <c r="AS930" s="1"/>
      <c r="AT930" s="1"/>
      <c r="AU930" s="1"/>
      <c r="AV930" s="1"/>
      <c r="AW930" s="1"/>
      <c r="AX930" s="1"/>
      <c r="AY930" s="1"/>
      <c r="AZ930" s="1" t="s">
        <v>3</v>
      </c>
      <c r="BA930" s="1"/>
      <c r="BB930" s="1" t="s">
        <v>3</v>
      </c>
      <c r="BC930" s="1" t="s">
        <v>3</v>
      </c>
      <c r="BD930" s="1" t="s">
        <v>3</v>
      </c>
      <c r="BE930" s="1" t="s">
        <v>3</v>
      </c>
      <c r="BF930" s="1" t="s">
        <v>3</v>
      </c>
      <c r="BG930" s="1" t="s">
        <v>3</v>
      </c>
      <c r="BH930" s="1" t="s">
        <v>3</v>
      </c>
      <c r="BI930" s="1" t="s">
        <v>3</v>
      </c>
      <c r="BJ930" s="1" t="s">
        <v>3</v>
      </c>
      <c r="BK930" s="1" t="s">
        <v>3</v>
      </c>
      <c r="BL930" s="1" t="s">
        <v>3</v>
      </c>
      <c r="BM930" s="1" t="s">
        <v>3</v>
      </c>
      <c r="BN930" s="1" t="s">
        <v>3</v>
      </c>
      <c r="BO930" s="1" t="s">
        <v>3</v>
      </c>
      <c r="BP930" s="1" t="s">
        <v>3</v>
      </c>
      <c r="BQ930" s="1"/>
      <c r="BR930" s="1"/>
      <c r="BS930" s="1"/>
      <c r="BT930" s="1"/>
      <c r="BU930" s="1"/>
      <c r="BV930" s="1"/>
      <c r="BW930" s="1"/>
      <c r="BX930" s="1">
        <v>0</v>
      </c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>
        <v>0</v>
      </c>
    </row>
    <row r="932" spans="1:245" x14ac:dyDescent="0.2">
      <c r="A932" s="2">
        <v>52</v>
      </c>
      <c r="B932" s="2">
        <f t="shared" ref="B932:G932" si="643">B955</f>
        <v>1</v>
      </c>
      <c r="C932" s="2">
        <f t="shared" si="643"/>
        <v>5</v>
      </c>
      <c r="D932" s="2">
        <f t="shared" si="643"/>
        <v>930</v>
      </c>
      <c r="E932" s="2">
        <f t="shared" si="643"/>
        <v>0</v>
      </c>
      <c r="F932" s="2" t="str">
        <f t="shared" si="643"/>
        <v>Новый подраздел</v>
      </c>
      <c r="G932" s="2" t="str">
        <f t="shared" si="643"/>
        <v>Монтажные работы</v>
      </c>
      <c r="H932" s="2"/>
      <c r="I932" s="2"/>
      <c r="J932" s="2"/>
      <c r="K932" s="2"/>
      <c r="L932" s="2"/>
      <c r="M932" s="2"/>
      <c r="N932" s="2"/>
      <c r="O932" s="2">
        <f t="shared" ref="O932:AT932" si="644">O955</f>
        <v>4820084.0999999996</v>
      </c>
      <c r="P932" s="2">
        <f t="shared" si="644"/>
        <v>4539637.55</v>
      </c>
      <c r="Q932" s="2">
        <f t="shared" si="644"/>
        <v>434.4</v>
      </c>
      <c r="R932" s="2">
        <f t="shared" si="644"/>
        <v>22.16</v>
      </c>
      <c r="S932" s="2">
        <f t="shared" si="644"/>
        <v>280012.15000000002</v>
      </c>
      <c r="T932" s="2">
        <f t="shared" si="644"/>
        <v>0</v>
      </c>
      <c r="U932" s="2">
        <f t="shared" si="644"/>
        <v>1558.39137708</v>
      </c>
      <c r="V932" s="2">
        <f t="shared" si="644"/>
        <v>0</v>
      </c>
      <c r="W932" s="2">
        <f t="shared" si="644"/>
        <v>0</v>
      </c>
      <c r="X932" s="2">
        <f t="shared" si="644"/>
        <v>196008.51</v>
      </c>
      <c r="Y932" s="2">
        <f t="shared" si="644"/>
        <v>28001.23</v>
      </c>
      <c r="Z932" s="2">
        <f t="shared" si="644"/>
        <v>0</v>
      </c>
      <c r="AA932" s="2">
        <f t="shared" si="644"/>
        <v>0</v>
      </c>
      <c r="AB932" s="2">
        <f t="shared" si="644"/>
        <v>4820084.0999999996</v>
      </c>
      <c r="AC932" s="2">
        <f t="shared" si="644"/>
        <v>4539637.55</v>
      </c>
      <c r="AD932" s="2">
        <f t="shared" si="644"/>
        <v>434.4</v>
      </c>
      <c r="AE932" s="2">
        <f t="shared" si="644"/>
        <v>22.16</v>
      </c>
      <c r="AF932" s="2">
        <f t="shared" si="644"/>
        <v>280012.15000000002</v>
      </c>
      <c r="AG932" s="2">
        <f t="shared" si="644"/>
        <v>0</v>
      </c>
      <c r="AH932" s="2">
        <f t="shared" si="644"/>
        <v>1558.39137708</v>
      </c>
      <c r="AI932" s="2">
        <f t="shared" si="644"/>
        <v>0</v>
      </c>
      <c r="AJ932" s="2">
        <f t="shared" si="644"/>
        <v>0</v>
      </c>
      <c r="AK932" s="2">
        <f t="shared" si="644"/>
        <v>196008.51</v>
      </c>
      <c r="AL932" s="2">
        <f t="shared" si="644"/>
        <v>28001.23</v>
      </c>
      <c r="AM932" s="2">
        <f t="shared" si="644"/>
        <v>0</v>
      </c>
      <c r="AN932" s="2">
        <f t="shared" si="644"/>
        <v>0</v>
      </c>
      <c r="AO932" s="2">
        <f t="shared" si="644"/>
        <v>0</v>
      </c>
      <c r="AP932" s="2">
        <f t="shared" si="644"/>
        <v>0</v>
      </c>
      <c r="AQ932" s="2">
        <f t="shared" si="644"/>
        <v>0</v>
      </c>
      <c r="AR932" s="2">
        <f t="shared" si="644"/>
        <v>5044117.7699999996</v>
      </c>
      <c r="AS932" s="2">
        <f t="shared" si="644"/>
        <v>3120740.46</v>
      </c>
      <c r="AT932" s="2">
        <f t="shared" si="644"/>
        <v>0</v>
      </c>
      <c r="AU932" s="2">
        <f t="shared" ref="AU932:BZ932" si="645">AU955</f>
        <v>1923377.31</v>
      </c>
      <c r="AV932" s="2">
        <f t="shared" si="645"/>
        <v>4539637.55</v>
      </c>
      <c r="AW932" s="2">
        <f t="shared" si="645"/>
        <v>4539637.55</v>
      </c>
      <c r="AX932" s="2">
        <f t="shared" si="645"/>
        <v>0</v>
      </c>
      <c r="AY932" s="2">
        <f t="shared" si="645"/>
        <v>4539637.55</v>
      </c>
      <c r="AZ932" s="2">
        <f t="shared" si="645"/>
        <v>0</v>
      </c>
      <c r="BA932" s="2">
        <f t="shared" si="645"/>
        <v>0</v>
      </c>
      <c r="BB932" s="2">
        <f t="shared" si="645"/>
        <v>0</v>
      </c>
      <c r="BC932" s="2">
        <f t="shared" si="645"/>
        <v>0</v>
      </c>
      <c r="BD932" s="2">
        <f t="shared" si="645"/>
        <v>0</v>
      </c>
      <c r="BE932" s="2">
        <f t="shared" si="645"/>
        <v>0</v>
      </c>
      <c r="BF932" s="2">
        <f t="shared" si="645"/>
        <v>0</v>
      </c>
      <c r="BG932" s="2">
        <f t="shared" si="645"/>
        <v>0</v>
      </c>
      <c r="BH932" s="2">
        <f t="shared" si="645"/>
        <v>0</v>
      </c>
      <c r="BI932" s="2">
        <f t="shared" si="645"/>
        <v>0</v>
      </c>
      <c r="BJ932" s="2">
        <f t="shared" si="645"/>
        <v>0</v>
      </c>
      <c r="BK932" s="2">
        <f t="shared" si="645"/>
        <v>0</v>
      </c>
      <c r="BL932" s="2">
        <f t="shared" si="645"/>
        <v>0</v>
      </c>
      <c r="BM932" s="2">
        <f t="shared" si="645"/>
        <v>0</v>
      </c>
      <c r="BN932" s="2">
        <f t="shared" si="645"/>
        <v>0</v>
      </c>
      <c r="BO932" s="2">
        <f t="shared" si="645"/>
        <v>0</v>
      </c>
      <c r="BP932" s="2">
        <f t="shared" si="645"/>
        <v>0</v>
      </c>
      <c r="BQ932" s="2">
        <f t="shared" si="645"/>
        <v>0</v>
      </c>
      <c r="BR932" s="2">
        <f t="shared" si="645"/>
        <v>0</v>
      </c>
      <c r="BS932" s="2">
        <f t="shared" si="645"/>
        <v>0</v>
      </c>
      <c r="BT932" s="2">
        <f t="shared" si="645"/>
        <v>0</v>
      </c>
      <c r="BU932" s="2">
        <f t="shared" si="645"/>
        <v>0</v>
      </c>
      <c r="BV932" s="2">
        <f t="shared" si="645"/>
        <v>0</v>
      </c>
      <c r="BW932" s="2">
        <f t="shared" si="645"/>
        <v>0</v>
      </c>
      <c r="BX932" s="2">
        <f t="shared" si="645"/>
        <v>0</v>
      </c>
      <c r="BY932" s="2">
        <f t="shared" si="645"/>
        <v>0</v>
      </c>
      <c r="BZ932" s="2">
        <f t="shared" si="645"/>
        <v>0</v>
      </c>
      <c r="CA932" s="2">
        <f t="shared" ref="CA932:DF932" si="646">CA955</f>
        <v>5044117.7699999996</v>
      </c>
      <c r="CB932" s="2">
        <f t="shared" si="646"/>
        <v>3120740.46</v>
      </c>
      <c r="CC932" s="2">
        <f t="shared" si="646"/>
        <v>0</v>
      </c>
      <c r="CD932" s="2">
        <f t="shared" si="646"/>
        <v>1923377.31</v>
      </c>
      <c r="CE932" s="2">
        <f t="shared" si="646"/>
        <v>4539637.55</v>
      </c>
      <c r="CF932" s="2">
        <f t="shared" si="646"/>
        <v>4539637.55</v>
      </c>
      <c r="CG932" s="2">
        <f t="shared" si="646"/>
        <v>0</v>
      </c>
      <c r="CH932" s="2">
        <f t="shared" si="646"/>
        <v>4539637.55</v>
      </c>
      <c r="CI932" s="2">
        <f t="shared" si="646"/>
        <v>0</v>
      </c>
      <c r="CJ932" s="2">
        <f t="shared" si="646"/>
        <v>0</v>
      </c>
      <c r="CK932" s="2">
        <f t="shared" si="646"/>
        <v>0</v>
      </c>
      <c r="CL932" s="2">
        <f t="shared" si="646"/>
        <v>0</v>
      </c>
      <c r="CM932" s="2">
        <f t="shared" si="646"/>
        <v>0</v>
      </c>
      <c r="CN932" s="2">
        <f t="shared" si="646"/>
        <v>0</v>
      </c>
      <c r="CO932" s="2">
        <f t="shared" si="646"/>
        <v>0</v>
      </c>
      <c r="CP932" s="2">
        <f t="shared" si="646"/>
        <v>0</v>
      </c>
      <c r="CQ932" s="2">
        <f t="shared" si="646"/>
        <v>0</v>
      </c>
      <c r="CR932" s="2">
        <f t="shared" si="646"/>
        <v>0</v>
      </c>
      <c r="CS932" s="2">
        <f t="shared" si="646"/>
        <v>0</v>
      </c>
      <c r="CT932" s="2">
        <f t="shared" si="646"/>
        <v>0</v>
      </c>
      <c r="CU932" s="2">
        <f t="shared" si="646"/>
        <v>0</v>
      </c>
      <c r="CV932" s="2">
        <f t="shared" si="646"/>
        <v>0</v>
      </c>
      <c r="CW932" s="2">
        <f t="shared" si="646"/>
        <v>0</v>
      </c>
      <c r="CX932" s="2">
        <f t="shared" si="646"/>
        <v>0</v>
      </c>
      <c r="CY932" s="2">
        <f t="shared" si="646"/>
        <v>0</v>
      </c>
      <c r="CZ932" s="2">
        <f t="shared" si="646"/>
        <v>0</v>
      </c>
      <c r="DA932" s="2">
        <f t="shared" si="646"/>
        <v>0</v>
      </c>
      <c r="DB932" s="2">
        <f t="shared" si="646"/>
        <v>0</v>
      </c>
      <c r="DC932" s="2">
        <f t="shared" si="646"/>
        <v>0</v>
      </c>
      <c r="DD932" s="2">
        <f t="shared" si="646"/>
        <v>0</v>
      </c>
      <c r="DE932" s="2">
        <f t="shared" si="646"/>
        <v>0</v>
      </c>
      <c r="DF932" s="2">
        <f t="shared" si="646"/>
        <v>0</v>
      </c>
      <c r="DG932" s="3">
        <f t="shared" ref="DG932:EL932" si="647">DG955</f>
        <v>0</v>
      </c>
      <c r="DH932" s="3">
        <f t="shared" si="647"/>
        <v>0</v>
      </c>
      <c r="DI932" s="3">
        <f t="shared" si="647"/>
        <v>0</v>
      </c>
      <c r="DJ932" s="3">
        <f t="shared" si="647"/>
        <v>0</v>
      </c>
      <c r="DK932" s="3">
        <f t="shared" si="647"/>
        <v>0</v>
      </c>
      <c r="DL932" s="3">
        <f t="shared" si="647"/>
        <v>0</v>
      </c>
      <c r="DM932" s="3">
        <f t="shared" si="647"/>
        <v>0</v>
      </c>
      <c r="DN932" s="3">
        <f t="shared" si="647"/>
        <v>0</v>
      </c>
      <c r="DO932" s="3">
        <f t="shared" si="647"/>
        <v>0</v>
      </c>
      <c r="DP932" s="3">
        <f t="shared" si="647"/>
        <v>0</v>
      </c>
      <c r="DQ932" s="3">
        <f t="shared" si="647"/>
        <v>0</v>
      </c>
      <c r="DR932" s="3">
        <f t="shared" si="647"/>
        <v>0</v>
      </c>
      <c r="DS932" s="3">
        <f t="shared" si="647"/>
        <v>0</v>
      </c>
      <c r="DT932" s="3">
        <f t="shared" si="647"/>
        <v>0</v>
      </c>
      <c r="DU932" s="3">
        <f t="shared" si="647"/>
        <v>0</v>
      </c>
      <c r="DV932" s="3">
        <f t="shared" si="647"/>
        <v>0</v>
      </c>
      <c r="DW932" s="3">
        <f t="shared" si="647"/>
        <v>0</v>
      </c>
      <c r="DX932" s="3">
        <f t="shared" si="647"/>
        <v>0</v>
      </c>
      <c r="DY932" s="3">
        <f t="shared" si="647"/>
        <v>0</v>
      </c>
      <c r="DZ932" s="3">
        <f t="shared" si="647"/>
        <v>0</v>
      </c>
      <c r="EA932" s="3">
        <f t="shared" si="647"/>
        <v>0</v>
      </c>
      <c r="EB932" s="3">
        <f t="shared" si="647"/>
        <v>0</v>
      </c>
      <c r="EC932" s="3">
        <f t="shared" si="647"/>
        <v>0</v>
      </c>
      <c r="ED932" s="3">
        <f t="shared" si="647"/>
        <v>0</v>
      </c>
      <c r="EE932" s="3">
        <f t="shared" si="647"/>
        <v>0</v>
      </c>
      <c r="EF932" s="3">
        <f t="shared" si="647"/>
        <v>0</v>
      </c>
      <c r="EG932" s="3">
        <f t="shared" si="647"/>
        <v>0</v>
      </c>
      <c r="EH932" s="3">
        <f t="shared" si="647"/>
        <v>0</v>
      </c>
      <c r="EI932" s="3">
        <f t="shared" si="647"/>
        <v>0</v>
      </c>
      <c r="EJ932" s="3">
        <f t="shared" si="647"/>
        <v>0</v>
      </c>
      <c r="EK932" s="3">
        <f t="shared" si="647"/>
        <v>0</v>
      </c>
      <c r="EL932" s="3">
        <f t="shared" si="647"/>
        <v>0</v>
      </c>
      <c r="EM932" s="3">
        <f t="shared" ref="EM932:FR932" si="648">EM955</f>
        <v>0</v>
      </c>
      <c r="EN932" s="3">
        <f t="shared" si="648"/>
        <v>0</v>
      </c>
      <c r="EO932" s="3">
        <f t="shared" si="648"/>
        <v>0</v>
      </c>
      <c r="EP932" s="3">
        <f t="shared" si="648"/>
        <v>0</v>
      </c>
      <c r="EQ932" s="3">
        <f t="shared" si="648"/>
        <v>0</v>
      </c>
      <c r="ER932" s="3">
        <f t="shared" si="648"/>
        <v>0</v>
      </c>
      <c r="ES932" s="3">
        <f t="shared" si="648"/>
        <v>0</v>
      </c>
      <c r="ET932" s="3">
        <f t="shared" si="648"/>
        <v>0</v>
      </c>
      <c r="EU932" s="3">
        <f t="shared" si="648"/>
        <v>0</v>
      </c>
      <c r="EV932" s="3">
        <f t="shared" si="648"/>
        <v>0</v>
      </c>
      <c r="EW932" s="3">
        <f t="shared" si="648"/>
        <v>0</v>
      </c>
      <c r="EX932" s="3">
        <f t="shared" si="648"/>
        <v>0</v>
      </c>
      <c r="EY932" s="3">
        <f t="shared" si="648"/>
        <v>0</v>
      </c>
      <c r="EZ932" s="3">
        <f t="shared" si="648"/>
        <v>0</v>
      </c>
      <c r="FA932" s="3">
        <f t="shared" si="648"/>
        <v>0</v>
      </c>
      <c r="FB932" s="3">
        <f t="shared" si="648"/>
        <v>0</v>
      </c>
      <c r="FC932" s="3">
        <f t="shared" si="648"/>
        <v>0</v>
      </c>
      <c r="FD932" s="3">
        <f t="shared" si="648"/>
        <v>0</v>
      </c>
      <c r="FE932" s="3">
        <f t="shared" si="648"/>
        <v>0</v>
      </c>
      <c r="FF932" s="3">
        <f t="shared" si="648"/>
        <v>0</v>
      </c>
      <c r="FG932" s="3">
        <f t="shared" si="648"/>
        <v>0</v>
      </c>
      <c r="FH932" s="3">
        <f t="shared" si="648"/>
        <v>0</v>
      </c>
      <c r="FI932" s="3">
        <f t="shared" si="648"/>
        <v>0</v>
      </c>
      <c r="FJ932" s="3">
        <f t="shared" si="648"/>
        <v>0</v>
      </c>
      <c r="FK932" s="3">
        <f t="shared" si="648"/>
        <v>0</v>
      </c>
      <c r="FL932" s="3">
        <f t="shared" si="648"/>
        <v>0</v>
      </c>
      <c r="FM932" s="3">
        <f t="shared" si="648"/>
        <v>0</v>
      </c>
      <c r="FN932" s="3">
        <f t="shared" si="648"/>
        <v>0</v>
      </c>
      <c r="FO932" s="3">
        <f t="shared" si="648"/>
        <v>0</v>
      </c>
      <c r="FP932" s="3">
        <f t="shared" si="648"/>
        <v>0</v>
      </c>
      <c r="FQ932" s="3">
        <f t="shared" si="648"/>
        <v>0</v>
      </c>
      <c r="FR932" s="3">
        <f t="shared" si="648"/>
        <v>0</v>
      </c>
      <c r="FS932" s="3">
        <f t="shared" ref="FS932:GX932" si="649">FS955</f>
        <v>0</v>
      </c>
      <c r="FT932" s="3">
        <f t="shared" si="649"/>
        <v>0</v>
      </c>
      <c r="FU932" s="3">
        <f t="shared" si="649"/>
        <v>0</v>
      </c>
      <c r="FV932" s="3">
        <f t="shared" si="649"/>
        <v>0</v>
      </c>
      <c r="FW932" s="3">
        <f t="shared" si="649"/>
        <v>0</v>
      </c>
      <c r="FX932" s="3">
        <f t="shared" si="649"/>
        <v>0</v>
      </c>
      <c r="FY932" s="3">
        <f t="shared" si="649"/>
        <v>0</v>
      </c>
      <c r="FZ932" s="3">
        <f t="shared" si="649"/>
        <v>0</v>
      </c>
      <c r="GA932" s="3">
        <f t="shared" si="649"/>
        <v>0</v>
      </c>
      <c r="GB932" s="3">
        <f t="shared" si="649"/>
        <v>0</v>
      </c>
      <c r="GC932" s="3">
        <f t="shared" si="649"/>
        <v>0</v>
      </c>
      <c r="GD932" s="3">
        <f t="shared" si="649"/>
        <v>0</v>
      </c>
      <c r="GE932" s="3">
        <f t="shared" si="649"/>
        <v>0</v>
      </c>
      <c r="GF932" s="3">
        <f t="shared" si="649"/>
        <v>0</v>
      </c>
      <c r="GG932" s="3">
        <f t="shared" si="649"/>
        <v>0</v>
      </c>
      <c r="GH932" s="3">
        <f t="shared" si="649"/>
        <v>0</v>
      </c>
      <c r="GI932" s="3">
        <f t="shared" si="649"/>
        <v>0</v>
      </c>
      <c r="GJ932" s="3">
        <f t="shared" si="649"/>
        <v>0</v>
      </c>
      <c r="GK932" s="3">
        <f t="shared" si="649"/>
        <v>0</v>
      </c>
      <c r="GL932" s="3">
        <f t="shared" si="649"/>
        <v>0</v>
      </c>
      <c r="GM932" s="3">
        <f t="shared" si="649"/>
        <v>0</v>
      </c>
      <c r="GN932" s="3">
        <f t="shared" si="649"/>
        <v>0</v>
      </c>
      <c r="GO932" s="3">
        <f t="shared" si="649"/>
        <v>0</v>
      </c>
      <c r="GP932" s="3">
        <f t="shared" si="649"/>
        <v>0</v>
      </c>
      <c r="GQ932" s="3">
        <f t="shared" si="649"/>
        <v>0</v>
      </c>
      <c r="GR932" s="3">
        <f t="shared" si="649"/>
        <v>0</v>
      </c>
      <c r="GS932" s="3">
        <f t="shared" si="649"/>
        <v>0</v>
      </c>
      <c r="GT932" s="3">
        <f t="shared" si="649"/>
        <v>0</v>
      </c>
      <c r="GU932" s="3">
        <f t="shared" si="649"/>
        <v>0</v>
      </c>
      <c r="GV932" s="3">
        <f t="shared" si="649"/>
        <v>0</v>
      </c>
      <c r="GW932" s="3">
        <f t="shared" si="649"/>
        <v>0</v>
      </c>
      <c r="GX932" s="3">
        <f t="shared" si="649"/>
        <v>0</v>
      </c>
    </row>
    <row r="934" spans="1:245" x14ac:dyDescent="0.2">
      <c r="A934">
        <v>17</v>
      </c>
      <c r="B934">
        <v>1</v>
      </c>
      <c r="C934">
        <f>ROW(SmtRes!A237)</f>
        <v>237</v>
      </c>
      <c r="D934">
        <f>ROW(EtalonRes!A234)</f>
        <v>234</v>
      </c>
      <c r="E934" t="s">
        <v>132</v>
      </c>
      <c r="F934" t="s">
        <v>20</v>
      </c>
      <c r="G934" t="s">
        <v>331</v>
      </c>
      <c r="H934" t="s">
        <v>22</v>
      </c>
      <c r="I934">
        <f>ROUND(338/100,9)</f>
        <v>3.38</v>
      </c>
      <c r="J934">
        <v>0</v>
      </c>
      <c r="O934">
        <f t="shared" ref="O934:O953" si="650">ROUND(CP934,2)</f>
        <v>9023.3799999999992</v>
      </c>
      <c r="P934">
        <f t="shared" ref="P934:P953" si="651">ROUND(CQ934*I934,2)</f>
        <v>0</v>
      </c>
      <c r="Q934">
        <f t="shared" ref="Q934:Q953" si="652">ROUND(CR934*I934,2)</f>
        <v>0.2</v>
      </c>
      <c r="R934">
        <f t="shared" ref="R934:R953" si="653">ROUND(CS934*I934,2)</f>
        <v>0</v>
      </c>
      <c r="S934">
        <f t="shared" ref="S934:S953" si="654">ROUND(CT934*I934,2)</f>
        <v>9023.18</v>
      </c>
      <c r="T934">
        <f t="shared" ref="T934:T953" si="655">ROUND(CU934*I934,2)</f>
        <v>0</v>
      </c>
      <c r="U934">
        <f t="shared" ref="U934:U953" si="656">CV934*I934</f>
        <v>51.207000000000001</v>
      </c>
      <c r="V934">
        <f t="shared" ref="V934:V953" si="657">CW934*I934</f>
        <v>0</v>
      </c>
      <c r="W934">
        <f t="shared" ref="W934:W953" si="658">ROUND(CX934*I934,2)</f>
        <v>0</v>
      </c>
      <c r="X934">
        <f t="shared" ref="X934:X953" si="659">ROUND(CY934,2)</f>
        <v>6316.23</v>
      </c>
      <c r="Y934">
        <f t="shared" ref="Y934:Y953" si="660">ROUND(CZ934,2)</f>
        <v>902.32</v>
      </c>
      <c r="AA934">
        <v>38214492</v>
      </c>
      <c r="AB934">
        <f t="shared" ref="AB934:AB953" si="661">ROUND((AC934+AD934+AF934),6)</f>
        <v>2669.64</v>
      </c>
      <c r="AC934">
        <f>ROUND((ES934),6)</f>
        <v>0</v>
      </c>
      <c r="AD934">
        <f t="shared" ref="AD934:AD953" si="662">ROUND((((ET934)-(EU934))+AE934),6)</f>
        <v>0.06</v>
      </c>
      <c r="AE934">
        <f t="shared" ref="AE934:AE953" si="663">ROUND((EU934),6)</f>
        <v>0</v>
      </c>
      <c r="AF934">
        <f t="shared" ref="AF934:AF953" si="664">ROUND((EV934),6)</f>
        <v>2669.58</v>
      </c>
      <c r="AG934">
        <f t="shared" ref="AG934:AG953" si="665">ROUND((AP934),6)</f>
        <v>0</v>
      </c>
      <c r="AH934">
        <f t="shared" ref="AH934:AH953" si="666">(EW934)</f>
        <v>15.15</v>
      </c>
      <c r="AI934">
        <f t="shared" ref="AI934:AI953" si="667">(EX934)</f>
        <v>0</v>
      </c>
      <c r="AJ934">
        <f t="shared" ref="AJ934:AJ953" si="668">(AS934)</f>
        <v>0</v>
      </c>
      <c r="AK934">
        <v>2669.64</v>
      </c>
      <c r="AL934">
        <v>0</v>
      </c>
      <c r="AM934">
        <v>0.06</v>
      </c>
      <c r="AN934">
        <v>0</v>
      </c>
      <c r="AO934">
        <v>2669.58</v>
      </c>
      <c r="AP934">
        <v>0</v>
      </c>
      <c r="AQ934">
        <v>15.15</v>
      </c>
      <c r="AR934">
        <v>0</v>
      </c>
      <c r="AS934">
        <v>0</v>
      </c>
      <c r="AT934">
        <v>70</v>
      </c>
      <c r="AU934">
        <v>10</v>
      </c>
      <c r="AV934">
        <v>1</v>
      </c>
      <c r="AW934">
        <v>1</v>
      </c>
      <c r="AZ934">
        <v>1</v>
      </c>
      <c r="BA934">
        <v>1</v>
      </c>
      <c r="BB934">
        <v>1</v>
      </c>
      <c r="BC934">
        <v>1</v>
      </c>
      <c r="BD934" t="s">
        <v>3</v>
      </c>
      <c r="BE934" t="s">
        <v>3</v>
      </c>
      <c r="BF934" t="s">
        <v>3</v>
      </c>
      <c r="BG934" t="s">
        <v>3</v>
      </c>
      <c r="BH934">
        <v>0</v>
      </c>
      <c r="BI934">
        <v>4</v>
      </c>
      <c r="BJ934" t="s">
        <v>23</v>
      </c>
      <c r="BM934">
        <v>0</v>
      </c>
      <c r="BN934">
        <v>0</v>
      </c>
      <c r="BO934" t="s">
        <v>3</v>
      </c>
      <c r="BP934">
        <v>0</v>
      </c>
      <c r="BQ934">
        <v>1</v>
      </c>
      <c r="BR934">
        <v>0</v>
      </c>
      <c r="BS934">
        <v>1</v>
      </c>
      <c r="BT934">
        <v>1</v>
      </c>
      <c r="BU934">
        <v>1</v>
      </c>
      <c r="BV934">
        <v>1</v>
      </c>
      <c r="BW934">
        <v>1</v>
      </c>
      <c r="BX934">
        <v>1</v>
      </c>
      <c r="BY934" t="s">
        <v>3</v>
      </c>
      <c r="BZ934">
        <v>70</v>
      </c>
      <c r="CA934">
        <v>10</v>
      </c>
      <c r="CE934">
        <v>0</v>
      </c>
      <c r="CF934">
        <v>0</v>
      </c>
      <c r="CG934">
        <v>0</v>
      </c>
      <c r="CM934">
        <v>0</v>
      </c>
      <c r="CN934" t="s">
        <v>3</v>
      </c>
      <c r="CO934">
        <v>0</v>
      </c>
      <c r="CP934">
        <f t="shared" ref="CP934:CP953" si="669">(P934+Q934+S934)</f>
        <v>9023.380000000001</v>
      </c>
      <c r="CQ934">
        <f t="shared" ref="CQ934:CQ953" si="670">(AC934*BC934*AW934)</f>
        <v>0</v>
      </c>
      <c r="CR934">
        <f t="shared" ref="CR934:CR953" si="671">((((ET934)*BB934-(EU934)*BS934)+AE934*BS934)*AV934)</f>
        <v>0.06</v>
      </c>
      <c r="CS934">
        <f t="shared" ref="CS934:CS953" si="672">(AE934*BS934*AV934)</f>
        <v>0</v>
      </c>
      <c r="CT934">
        <f t="shared" ref="CT934:CT953" si="673">(AF934*BA934*AV934)</f>
        <v>2669.58</v>
      </c>
      <c r="CU934">
        <f t="shared" ref="CU934:CU953" si="674">AG934</f>
        <v>0</v>
      </c>
      <c r="CV934">
        <f t="shared" ref="CV934:CV953" si="675">(AH934*AV934)</f>
        <v>15.15</v>
      </c>
      <c r="CW934">
        <f t="shared" ref="CW934:CW953" si="676">AI934</f>
        <v>0</v>
      </c>
      <c r="CX934">
        <f t="shared" ref="CX934:CX953" si="677">AJ934</f>
        <v>0</v>
      </c>
      <c r="CY934">
        <f t="shared" ref="CY934:CY953" si="678">((S934*BZ934)/100)</f>
        <v>6316.2259999999997</v>
      </c>
      <c r="CZ934">
        <f t="shared" ref="CZ934:CZ953" si="679">((S934*CA934)/100)</f>
        <v>902.31799999999998</v>
      </c>
      <c r="DC934" t="s">
        <v>3</v>
      </c>
      <c r="DD934" t="s">
        <v>3</v>
      </c>
      <c r="DE934" t="s">
        <v>3</v>
      </c>
      <c r="DF934" t="s">
        <v>3</v>
      </c>
      <c r="DG934" t="s">
        <v>3</v>
      </c>
      <c r="DH934" t="s">
        <v>3</v>
      </c>
      <c r="DI934" t="s">
        <v>3</v>
      </c>
      <c r="DJ934" t="s">
        <v>3</v>
      </c>
      <c r="DK934" t="s">
        <v>3</v>
      </c>
      <c r="DL934" t="s">
        <v>3</v>
      </c>
      <c r="DM934" t="s">
        <v>3</v>
      </c>
      <c r="DN934">
        <v>0</v>
      </c>
      <c r="DO934">
        <v>0</v>
      </c>
      <c r="DP934">
        <v>1</v>
      </c>
      <c r="DQ934">
        <v>1</v>
      </c>
      <c r="DU934">
        <v>1005</v>
      </c>
      <c r="DV934" t="s">
        <v>22</v>
      </c>
      <c r="DW934" t="s">
        <v>22</v>
      </c>
      <c r="DX934">
        <v>100</v>
      </c>
      <c r="EE934">
        <v>38628631</v>
      </c>
      <c r="EF934">
        <v>1</v>
      </c>
      <c r="EG934" t="s">
        <v>24</v>
      </c>
      <c r="EH934">
        <v>0</v>
      </c>
      <c r="EI934" t="s">
        <v>3</v>
      </c>
      <c r="EJ934">
        <v>4</v>
      </c>
      <c r="EK934">
        <v>0</v>
      </c>
      <c r="EL934" t="s">
        <v>25</v>
      </c>
      <c r="EM934" t="s">
        <v>26</v>
      </c>
      <c r="EO934" t="s">
        <v>3</v>
      </c>
      <c r="EQ934">
        <v>0</v>
      </c>
      <c r="ER934">
        <v>2669.64</v>
      </c>
      <c r="ES934">
        <v>0</v>
      </c>
      <c r="ET934">
        <v>0.06</v>
      </c>
      <c r="EU934">
        <v>0</v>
      </c>
      <c r="EV934">
        <v>2669.58</v>
      </c>
      <c r="EW934">
        <v>15.15</v>
      </c>
      <c r="EX934">
        <v>0</v>
      </c>
      <c r="EY934">
        <v>0</v>
      </c>
      <c r="FQ934">
        <v>0</v>
      </c>
      <c r="FR934">
        <f t="shared" ref="FR934:FR953" si="680">ROUND(IF(AND(BH934=3,BI934=3),P934,0),2)</f>
        <v>0</v>
      </c>
      <c r="FS934">
        <v>0</v>
      </c>
      <c r="FX934">
        <v>70</v>
      </c>
      <c r="FY934">
        <v>10</v>
      </c>
      <c r="GA934" t="s">
        <v>3</v>
      </c>
      <c r="GD934">
        <v>0</v>
      </c>
      <c r="GF934">
        <v>331312129</v>
      </c>
      <c r="GG934">
        <v>2</v>
      </c>
      <c r="GH934">
        <v>1</v>
      </c>
      <c r="GI934">
        <v>-2</v>
      </c>
      <c r="GJ934">
        <v>0</v>
      </c>
      <c r="GK934">
        <f>ROUND(R934*(R12)/100,2)</f>
        <v>0</v>
      </c>
      <c r="GL934">
        <f t="shared" ref="GL934:GL953" si="681">ROUND(IF(AND(BH934=3,BI934=3,FS934&lt;&gt;0),P934,0),2)</f>
        <v>0</v>
      </c>
      <c r="GM934">
        <f t="shared" ref="GM934:GM953" si="682">ROUND(O934+X934+Y934+GK934,2)+GX934</f>
        <v>16241.93</v>
      </c>
      <c r="GN934">
        <f t="shared" ref="GN934:GN953" si="683">IF(OR(BI934=0,BI934=1),ROUND(O934+X934+Y934+GK934,2),0)</f>
        <v>0</v>
      </c>
      <c r="GO934">
        <f t="shared" ref="GO934:GO953" si="684">IF(BI934=2,ROUND(O934+X934+Y934+GK934,2),0)</f>
        <v>0</v>
      </c>
      <c r="GP934">
        <f t="shared" ref="GP934:GP953" si="685">IF(BI934=4,ROUND(O934+X934+Y934+GK934,2)+GX934,0)</f>
        <v>16241.93</v>
      </c>
      <c r="GR934">
        <v>0</v>
      </c>
      <c r="GS934">
        <v>3</v>
      </c>
      <c r="GT934">
        <v>0</v>
      </c>
      <c r="GU934" t="s">
        <v>3</v>
      </c>
      <c r="GV934">
        <f t="shared" ref="GV934:GV953" si="686">ROUND((GT934),6)</f>
        <v>0</v>
      </c>
      <c r="GW934">
        <v>1</v>
      </c>
      <c r="GX934">
        <f t="shared" ref="GX934:GX953" si="687">ROUND(HC934*I934,2)</f>
        <v>0</v>
      </c>
      <c r="HA934">
        <v>0</v>
      </c>
      <c r="HB934">
        <v>0</v>
      </c>
      <c r="HC934">
        <f t="shared" ref="HC934:HC953" si="688">GV934*GW934</f>
        <v>0</v>
      </c>
      <c r="HE934" t="s">
        <v>3</v>
      </c>
      <c r="HF934" t="s">
        <v>3</v>
      </c>
      <c r="IK934">
        <v>0</v>
      </c>
    </row>
    <row r="935" spans="1:245" x14ac:dyDescent="0.2">
      <c r="A935">
        <v>17</v>
      </c>
      <c r="B935">
        <v>1</v>
      </c>
      <c r="C935">
        <f>ROW(SmtRes!A240)</f>
        <v>240</v>
      </c>
      <c r="D935">
        <f>ROW(EtalonRes!A237)</f>
        <v>237</v>
      </c>
      <c r="E935" t="s">
        <v>143</v>
      </c>
      <c r="F935" t="s">
        <v>332</v>
      </c>
      <c r="G935" t="s">
        <v>333</v>
      </c>
      <c r="H935" t="s">
        <v>22</v>
      </c>
      <c r="I935">
        <f>ROUND(338/100,9)</f>
        <v>3.38</v>
      </c>
      <c r="J935">
        <v>0</v>
      </c>
      <c r="O935">
        <f t="shared" si="650"/>
        <v>21598.61</v>
      </c>
      <c r="P935">
        <f t="shared" si="651"/>
        <v>0</v>
      </c>
      <c r="Q935">
        <f t="shared" si="652"/>
        <v>0</v>
      </c>
      <c r="R935">
        <f t="shared" si="653"/>
        <v>0</v>
      </c>
      <c r="S935">
        <f t="shared" si="654"/>
        <v>21598.61</v>
      </c>
      <c r="T935">
        <f t="shared" si="655"/>
        <v>0</v>
      </c>
      <c r="U935">
        <f t="shared" si="656"/>
        <v>109.78239999999998</v>
      </c>
      <c r="V935">
        <f t="shared" si="657"/>
        <v>0</v>
      </c>
      <c r="W935">
        <f t="shared" si="658"/>
        <v>0</v>
      </c>
      <c r="X935">
        <f t="shared" si="659"/>
        <v>15119.03</v>
      </c>
      <c r="Y935">
        <f t="shared" si="660"/>
        <v>2159.86</v>
      </c>
      <c r="AA935">
        <v>38214492</v>
      </c>
      <c r="AB935">
        <f t="shared" si="661"/>
        <v>6390.12</v>
      </c>
      <c r="AC935">
        <f>ROUND(((ES935*0)),6)</f>
        <v>0</v>
      </c>
      <c r="AD935">
        <f t="shared" si="662"/>
        <v>0</v>
      </c>
      <c r="AE935">
        <f t="shared" si="663"/>
        <v>0</v>
      </c>
      <c r="AF935">
        <f t="shared" si="664"/>
        <v>6390.12</v>
      </c>
      <c r="AG935">
        <f t="shared" si="665"/>
        <v>0</v>
      </c>
      <c r="AH935">
        <f t="shared" si="666"/>
        <v>32.479999999999997</v>
      </c>
      <c r="AI935">
        <f t="shared" si="667"/>
        <v>0</v>
      </c>
      <c r="AJ935">
        <f t="shared" si="668"/>
        <v>0</v>
      </c>
      <c r="AK935">
        <v>27720.86</v>
      </c>
      <c r="AL935">
        <v>21330.74</v>
      </c>
      <c r="AM935">
        <v>0</v>
      </c>
      <c r="AN935">
        <v>0</v>
      </c>
      <c r="AO935">
        <v>6390.12</v>
      </c>
      <c r="AP935">
        <v>0</v>
      </c>
      <c r="AQ935">
        <v>32.479999999999997</v>
      </c>
      <c r="AR935">
        <v>0</v>
      </c>
      <c r="AS935">
        <v>0</v>
      </c>
      <c r="AT935">
        <v>70</v>
      </c>
      <c r="AU935">
        <v>10</v>
      </c>
      <c r="AV935">
        <v>1</v>
      </c>
      <c r="AW935">
        <v>1</v>
      </c>
      <c r="AZ935">
        <v>1</v>
      </c>
      <c r="BA935">
        <v>1</v>
      </c>
      <c r="BB935">
        <v>1</v>
      </c>
      <c r="BC935">
        <v>1</v>
      </c>
      <c r="BD935" t="s">
        <v>3</v>
      </c>
      <c r="BE935" t="s">
        <v>3</v>
      </c>
      <c r="BF935" t="s">
        <v>3</v>
      </c>
      <c r="BG935" t="s">
        <v>3</v>
      </c>
      <c r="BH935">
        <v>0</v>
      </c>
      <c r="BI935">
        <v>4</v>
      </c>
      <c r="BJ935" t="s">
        <v>334</v>
      </c>
      <c r="BM935">
        <v>0</v>
      </c>
      <c r="BN935">
        <v>0</v>
      </c>
      <c r="BO935" t="s">
        <v>3</v>
      </c>
      <c r="BP935">
        <v>0</v>
      </c>
      <c r="BQ935">
        <v>1</v>
      </c>
      <c r="BR935">
        <v>0</v>
      </c>
      <c r="BS935">
        <v>1</v>
      </c>
      <c r="BT935">
        <v>1</v>
      </c>
      <c r="BU935">
        <v>1</v>
      </c>
      <c r="BV935">
        <v>1</v>
      </c>
      <c r="BW935">
        <v>1</v>
      </c>
      <c r="BX935">
        <v>1</v>
      </c>
      <c r="BY935" t="s">
        <v>3</v>
      </c>
      <c r="BZ935">
        <v>70</v>
      </c>
      <c r="CA935">
        <v>10</v>
      </c>
      <c r="CE935">
        <v>0</v>
      </c>
      <c r="CF935">
        <v>0</v>
      </c>
      <c r="CG935">
        <v>0</v>
      </c>
      <c r="CM935">
        <v>0</v>
      </c>
      <c r="CN935" t="s">
        <v>3</v>
      </c>
      <c r="CO935">
        <v>0</v>
      </c>
      <c r="CP935">
        <f t="shared" si="669"/>
        <v>21598.61</v>
      </c>
      <c r="CQ935">
        <f t="shared" si="670"/>
        <v>0</v>
      </c>
      <c r="CR935">
        <f t="shared" si="671"/>
        <v>0</v>
      </c>
      <c r="CS935">
        <f t="shared" si="672"/>
        <v>0</v>
      </c>
      <c r="CT935">
        <f t="shared" si="673"/>
        <v>6390.12</v>
      </c>
      <c r="CU935">
        <f t="shared" si="674"/>
        <v>0</v>
      </c>
      <c r="CV935">
        <f t="shared" si="675"/>
        <v>32.479999999999997</v>
      </c>
      <c r="CW935">
        <f t="shared" si="676"/>
        <v>0</v>
      </c>
      <c r="CX935">
        <f t="shared" si="677"/>
        <v>0</v>
      </c>
      <c r="CY935">
        <f t="shared" si="678"/>
        <v>15119.027</v>
      </c>
      <c r="CZ935">
        <f t="shared" si="679"/>
        <v>2159.8609999999999</v>
      </c>
      <c r="DC935" t="s">
        <v>3</v>
      </c>
      <c r="DD935" t="s">
        <v>32</v>
      </c>
      <c r="DE935" t="s">
        <v>3</v>
      </c>
      <c r="DF935" t="s">
        <v>3</v>
      </c>
      <c r="DG935" t="s">
        <v>3</v>
      </c>
      <c r="DH935" t="s">
        <v>3</v>
      </c>
      <c r="DI935" t="s">
        <v>3</v>
      </c>
      <c r="DJ935" t="s">
        <v>3</v>
      </c>
      <c r="DK935" t="s">
        <v>3</v>
      </c>
      <c r="DL935" t="s">
        <v>3</v>
      </c>
      <c r="DM935" t="s">
        <v>3</v>
      </c>
      <c r="DN935">
        <v>0</v>
      </c>
      <c r="DO935">
        <v>0</v>
      </c>
      <c r="DP935">
        <v>1</v>
      </c>
      <c r="DQ935">
        <v>1</v>
      </c>
      <c r="DU935">
        <v>1005</v>
      </c>
      <c r="DV935" t="s">
        <v>22</v>
      </c>
      <c r="DW935" t="s">
        <v>22</v>
      </c>
      <c r="DX935">
        <v>100</v>
      </c>
      <c r="EE935">
        <v>38628631</v>
      </c>
      <c r="EF935">
        <v>1</v>
      </c>
      <c r="EG935" t="s">
        <v>24</v>
      </c>
      <c r="EH935">
        <v>0</v>
      </c>
      <c r="EI935" t="s">
        <v>3</v>
      </c>
      <c r="EJ935">
        <v>4</v>
      </c>
      <c r="EK935">
        <v>0</v>
      </c>
      <c r="EL935" t="s">
        <v>25</v>
      </c>
      <c r="EM935" t="s">
        <v>26</v>
      </c>
      <c r="EO935" t="s">
        <v>3</v>
      </c>
      <c r="EQ935">
        <v>0</v>
      </c>
      <c r="ER935">
        <v>27720.86</v>
      </c>
      <c r="ES935">
        <v>21330.74</v>
      </c>
      <c r="ET935">
        <v>0</v>
      </c>
      <c r="EU935">
        <v>0</v>
      </c>
      <c r="EV935">
        <v>6390.12</v>
      </c>
      <c r="EW935">
        <v>32.479999999999997</v>
      </c>
      <c r="EX935">
        <v>0</v>
      </c>
      <c r="EY935">
        <v>0</v>
      </c>
      <c r="FQ935">
        <v>0</v>
      </c>
      <c r="FR935">
        <f t="shared" si="680"/>
        <v>0</v>
      </c>
      <c r="FS935">
        <v>0</v>
      </c>
      <c r="FX935">
        <v>70</v>
      </c>
      <c r="FY935">
        <v>10</v>
      </c>
      <c r="GA935" t="s">
        <v>3</v>
      </c>
      <c r="GD935">
        <v>0</v>
      </c>
      <c r="GF935">
        <v>-676090032</v>
      </c>
      <c r="GG935">
        <v>2</v>
      </c>
      <c r="GH935">
        <v>1</v>
      </c>
      <c r="GI935">
        <v>-2</v>
      </c>
      <c r="GJ935">
        <v>0</v>
      </c>
      <c r="GK935">
        <f>ROUND(R935*(R12)/100,2)</f>
        <v>0</v>
      </c>
      <c r="GL935">
        <f t="shared" si="681"/>
        <v>0</v>
      </c>
      <c r="GM935">
        <f t="shared" si="682"/>
        <v>38877.5</v>
      </c>
      <c r="GN935">
        <f t="shared" si="683"/>
        <v>0</v>
      </c>
      <c r="GO935">
        <f t="shared" si="684"/>
        <v>0</v>
      </c>
      <c r="GP935">
        <f t="shared" si="685"/>
        <v>38877.5</v>
      </c>
      <c r="GR935">
        <v>0</v>
      </c>
      <c r="GS935">
        <v>3</v>
      </c>
      <c r="GT935">
        <v>0</v>
      </c>
      <c r="GU935" t="s">
        <v>3</v>
      </c>
      <c r="GV935">
        <f t="shared" si="686"/>
        <v>0</v>
      </c>
      <c r="GW935">
        <v>1</v>
      </c>
      <c r="GX935">
        <f t="shared" si="687"/>
        <v>0</v>
      </c>
      <c r="HA935">
        <v>0</v>
      </c>
      <c r="HB935">
        <v>0</v>
      </c>
      <c r="HC935">
        <f t="shared" si="688"/>
        <v>0</v>
      </c>
      <c r="HE935" t="s">
        <v>3</v>
      </c>
      <c r="HF935" t="s">
        <v>3</v>
      </c>
      <c r="IK935">
        <v>0</v>
      </c>
    </row>
    <row r="936" spans="1:245" x14ac:dyDescent="0.2">
      <c r="A936">
        <v>17</v>
      </c>
      <c r="B936">
        <v>1</v>
      </c>
      <c r="C936">
        <f>ROW(SmtRes!A246)</f>
        <v>246</v>
      </c>
      <c r="D936">
        <f>ROW(EtalonRes!A243)</f>
        <v>243</v>
      </c>
      <c r="E936" t="s">
        <v>146</v>
      </c>
      <c r="F936" t="s">
        <v>335</v>
      </c>
      <c r="G936" t="s">
        <v>336</v>
      </c>
      <c r="H936" t="s">
        <v>22</v>
      </c>
      <c r="I936">
        <v>6.259836</v>
      </c>
      <c r="J936">
        <v>0</v>
      </c>
      <c r="O936">
        <f t="shared" si="650"/>
        <v>93756.95</v>
      </c>
      <c r="P936">
        <f t="shared" si="651"/>
        <v>48142.400000000001</v>
      </c>
      <c r="Q936">
        <f t="shared" si="652"/>
        <v>9.89</v>
      </c>
      <c r="R936">
        <f t="shared" si="653"/>
        <v>0</v>
      </c>
      <c r="S936">
        <f t="shared" si="654"/>
        <v>45604.66</v>
      </c>
      <c r="T936">
        <f t="shared" si="655"/>
        <v>0</v>
      </c>
      <c r="U936">
        <f t="shared" si="656"/>
        <v>231.80172708000001</v>
      </c>
      <c r="V936">
        <f t="shared" si="657"/>
        <v>0</v>
      </c>
      <c r="W936">
        <f t="shared" si="658"/>
        <v>0</v>
      </c>
      <c r="X936">
        <f t="shared" si="659"/>
        <v>31923.26</v>
      </c>
      <c r="Y936">
        <f t="shared" si="660"/>
        <v>4560.47</v>
      </c>
      <c r="AA936">
        <v>38214492</v>
      </c>
      <c r="AB936">
        <f t="shared" si="661"/>
        <v>14977.54</v>
      </c>
      <c r="AC936">
        <f t="shared" ref="AC936:AC953" si="689">ROUND((ES936),6)</f>
        <v>7690.68</v>
      </c>
      <c r="AD936">
        <f t="shared" si="662"/>
        <v>1.58</v>
      </c>
      <c r="AE936">
        <f t="shared" si="663"/>
        <v>0</v>
      </c>
      <c r="AF936">
        <f t="shared" si="664"/>
        <v>7285.28</v>
      </c>
      <c r="AG936">
        <f t="shared" si="665"/>
        <v>0</v>
      </c>
      <c r="AH936">
        <f t="shared" si="666"/>
        <v>37.03</v>
      </c>
      <c r="AI936">
        <f t="shared" si="667"/>
        <v>0</v>
      </c>
      <c r="AJ936">
        <f t="shared" si="668"/>
        <v>0</v>
      </c>
      <c r="AK936">
        <v>14977.54</v>
      </c>
      <c r="AL936">
        <v>7690.68</v>
      </c>
      <c r="AM936">
        <v>1.58</v>
      </c>
      <c r="AN936">
        <v>0</v>
      </c>
      <c r="AO936">
        <v>7285.28</v>
      </c>
      <c r="AP936">
        <v>0</v>
      </c>
      <c r="AQ936">
        <v>37.03</v>
      </c>
      <c r="AR936">
        <v>0</v>
      </c>
      <c r="AS936">
        <v>0</v>
      </c>
      <c r="AT936">
        <v>70</v>
      </c>
      <c r="AU936">
        <v>10</v>
      </c>
      <c r="AV936">
        <v>1</v>
      </c>
      <c r="AW936">
        <v>1</v>
      </c>
      <c r="AZ936">
        <v>1</v>
      </c>
      <c r="BA936">
        <v>1</v>
      </c>
      <c r="BB936">
        <v>1</v>
      </c>
      <c r="BC936">
        <v>1</v>
      </c>
      <c r="BD936" t="s">
        <v>3</v>
      </c>
      <c r="BE936" t="s">
        <v>3</v>
      </c>
      <c r="BF936" t="s">
        <v>3</v>
      </c>
      <c r="BG936" t="s">
        <v>3</v>
      </c>
      <c r="BH936">
        <v>0</v>
      </c>
      <c r="BI936">
        <v>4</v>
      </c>
      <c r="BJ936" t="s">
        <v>337</v>
      </c>
      <c r="BM936">
        <v>0</v>
      </c>
      <c r="BN936">
        <v>0</v>
      </c>
      <c r="BO936" t="s">
        <v>3</v>
      </c>
      <c r="BP936">
        <v>0</v>
      </c>
      <c r="BQ936">
        <v>1</v>
      </c>
      <c r="BR936">
        <v>0</v>
      </c>
      <c r="BS936">
        <v>1</v>
      </c>
      <c r="BT936">
        <v>1</v>
      </c>
      <c r="BU936">
        <v>1</v>
      </c>
      <c r="BV936">
        <v>1</v>
      </c>
      <c r="BW936">
        <v>1</v>
      </c>
      <c r="BX936">
        <v>1</v>
      </c>
      <c r="BY936" t="s">
        <v>3</v>
      </c>
      <c r="BZ936">
        <v>70</v>
      </c>
      <c r="CA936">
        <v>10</v>
      </c>
      <c r="CE936">
        <v>0</v>
      </c>
      <c r="CF936">
        <v>0</v>
      </c>
      <c r="CG936">
        <v>0</v>
      </c>
      <c r="CM936">
        <v>0</v>
      </c>
      <c r="CN936" t="s">
        <v>3</v>
      </c>
      <c r="CO936">
        <v>0</v>
      </c>
      <c r="CP936">
        <f t="shared" si="669"/>
        <v>93756.950000000012</v>
      </c>
      <c r="CQ936">
        <f t="shared" si="670"/>
        <v>7690.68</v>
      </c>
      <c r="CR936">
        <f t="shared" si="671"/>
        <v>1.58</v>
      </c>
      <c r="CS936">
        <f t="shared" si="672"/>
        <v>0</v>
      </c>
      <c r="CT936">
        <f t="shared" si="673"/>
        <v>7285.28</v>
      </c>
      <c r="CU936">
        <f t="shared" si="674"/>
        <v>0</v>
      </c>
      <c r="CV936">
        <f t="shared" si="675"/>
        <v>37.03</v>
      </c>
      <c r="CW936">
        <f t="shared" si="676"/>
        <v>0</v>
      </c>
      <c r="CX936">
        <f t="shared" si="677"/>
        <v>0</v>
      </c>
      <c r="CY936">
        <f t="shared" si="678"/>
        <v>31923.262000000002</v>
      </c>
      <c r="CZ936">
        <f t="shared" si="679"/>
        <v>4560.4660000000003</v>
      </c>
      <c r="DC936" t="s">
        <v>3</v>
      </c>
      <c r="DD936" t="s">
        <v>3</v>
      </c>
      <c r="DE936" t="s">
        <v>3</v>
      </c>
      <c r="DF936" t="s">
        <v>3</v>
      </c>
      <c r="DG936" t="s">
        <v>3</v>
      </c>
      <c r="DH936" t="s">
        <v>3</v>
      </c>
      <c r="DI936" t="s">
        <v>3</v>
      </c>
      <c r="DJ936" t="s">
        <v>3</v>
      </c>
      <c r="DK936" t="s">
        <v>3</v>
      </c>
      <c r="DL936" t="s">
        <v>3</v>
      </c>
      <c r="DM936" t="s">
        <v>3</v>
      </c>
      <c r="DN936">
        <v>0</v>
      </c>
      <c r="DO936">
        <v>0</v>
      </c>
      <c r="DP936">
        <v>1</v>
      </c>
      <c r="DQ936">
        <v>1</v>
      </c>
      <c r="DU936">
        <v>1005</v>
      </c>
      <c r="DV936" t="s">
        <v>22</v>
      </c>
      <c r="DW936" t="s">
        <v>22</v>
      </c>
      <c r="DX936">
        <v>100</v>
      </c>
      <c r="EE936">
        <v>38628631</v>
      </c>
      <c r="EF936">
        <v>1</v>
      </c>
      <c r="EG936" t="s">
        <v>24</v>
      </c>
      <c r="EH936">
        <v>0</v>
      </c>
      <c r="EI936" t="s">
        <v>3</v>
      </c>
      <c r="EJ936">
        <v>4</v>
      </c>
      <c r="EK936">
        <v>0</v>
      </c>
      <c r="EL936" t="s">
        <v>25</v>
      </c>
      <c r="EM936" t="s">
        <v>26</v>
      </c>
      <c r="EO936" t="s">
        <v>3</v>
      </c>
      <c r="EQ936">
        <v>0</v>
      </c>
      <c r="ER936">
        <v>14977.54</v>
      </c>
      <c r="ES936">
        <v>7690.68</v>
      </c>
      <c r="ET936">
        <v>1.58</v>
      </c>
      <c r="EU936">
        <v>0</v>
      </c>
      <c r="EV936">
        <v>7285.28</v>
      </c>
      <c r="EW936">
        <v>37.03</v>
      </c>
      <c r="EX936">
        <v>0</v>
      </c>
      <c r="EY936">
        <v>0</v>
      </c>
      <c r="FQ936">
        <v>0</v>
      </c>
      <c r="FR936">
        <f t="shared" si="680"/>
        <v>0</v>
      </c>
      <c r="FS936">
        <v>0</v>
      </c>
      <c r="FX936">
        <v>70</v>
      </c>
      <c r="FY936">
        <v>10</v>
      </c>
      <c r="GA936" t="s">
        <v>3</v>
      </c>
      <c r="GD936">
        <v>0</v>
      </c>
      <c r="GF936">
        <v>510873116</v>
      </c>
      <c r="GG936">
        <v>2</v>
      </c>
      <c r="GH936">
        <v>1</v>
      </c>
      <c r="GI936">
        <v>-2</v>
      </c>
      <c r="GJ936">
        <v>0</v>
      </c>
      <c r="GK936">
        <f>ROUND(R936*(R12)/100,2)</f>
        <v>0</v>
      </c>
      <c r="GL936">
        <f t="shared" si="681"/>
        <v>0</v>
      </c>
      <c r="GM936">
        <f t="shared" si="682"/>
        <v>130240.68</v>
      </c>
      <c r="GN936">
        <f t="shared" si="683"/>
        <v>0</v>
      </c>
      <c r="GO936">
        <f t="shared" si="684"/>
        <v>0</v>
      </c>
      <c r="GP936">
        <f t="shared" si="685"/>
        <v>130240.68</v>
      </c>
      <c r="GR936">
        <v>0</v>
      </c>
      <c r="GS936">
        <v>3</v>
      </c>
      <c r="GT936">
        <v>0</v>
      </c>
      <c r="GU936" t="s">
        <v>3</v>
      </c>
      <c r="GV936">
        <f t="shared" si="686"/>
        <v>0</v>
      </c>
      <c r="GW936">
        <v>1</v>
      </c>
      <c r="GX936">
        <f t="shared" si="687"/>
        <v>0</v>
      </c>
      <c r="HA936">
        <v>0</v>
      </c>
      <c r="HB936">
        <v>0</v>
      </c>
      <c r="HC936">
        <f t="shared" si="688"/>
        <v>0</v>
      </c>
      <c r="HE936" t="s">
        <v>3</v>
      </c>
      <c r="HF936" t="s">
        <v>3</v>
      </c>
      <c r="IK936">
        <v>0</v>
      </c>
    </row>
    <row r="937" spans="1:245" x14ac:dyDescent="0.2">
      <c r="A937">
        <v>18</v>
      </c>
      <c r="B937">
        <v>1</v>
      </c>
      <c r="C937">
        <v>246</v>
      </c>
      <c r="E937" t="s">
        <v>338</v>
      </c>
      <c r="F937" t="s">
        <v>339</v>
      </c>
      <c r="G937" t="s">
        <v>340</v>
      </c>
      <c r="H937" t="s">
        <v>206</v>
      </c>
      <c r="I937">
        <f>I936*J937</f>
        <v>-5.1330655200000006</v>
      </c>
      <c r="J937">
        <v>-0.82000000000000006</v>
      </c>
      <c r="O937">
        <f t="shared" si="650"/>
        <v>-38496.300000000003</v>
      </c>
      <c r="P937">
        <f t="shared" si="651"/>
        <v>-38496.300000000003</v>
      </c>
      <c r="Q937">
        <f t="shared" si="652"/>
        <v>0</v>
      </c>
      <c r="R937">
        <f t="shared" si="653"/>
        <v>0</v>
      </c>
      <c r="S937">
        <f t="shared" si="654"/>
        <v>0</v>
      </c>
      <c r="T937">
        <f t="shared" si="655"/>
        <v>0</v>
      </c>
      <c r="U937">
        <f t="shared" si="656"/>
        <v>0</v>
      </c>
      <c r="V937">
        <f t="shared" si="657"/>
        <v>0</v>
      </c>
      <c r="W937">
        <f t="shared" si="658"/>
        <v>0</v>
      </c>
      <c r="X937">
        <f t="shared" si="659"/>
        <v>0</v>
      </c>
      <c r="Y937">
        <f t="shared" si="660"/>
        <v>0</v>
      </c>
      <c r="AA937">
        <v>38214492</v>
      </c>
      <c r="AB937">
        <f t="shared" si="661"/>
        <v>7499.67</v>
      </c>
      <c r="AC937">
        <f t="shared" si="689"/>
        <v>7499.67</v>
      </c>
      <c r="AD937">
        <f t="shared" si="662"/>
        <v>0</v>
      </c>
      <c r="AE937">
        <f t="shared" si="663"/>
        <v>0</v>
      </c>
      <c r="AF937">
        <f t="shared" si="664"/>
        <v>0</v>
      </c>
      <c r="AG937">
        <f t="shared" si="665"/>
        <v>0</v>
      </c>
      <c r="AH937">
        <f t="shared" si="666"/>
        <v>0</v>
      </c>
      <c r="AI937">
        <f t="shared" si="667"/>
        <v>0</v>
      </c>
      <c r="AJ937">
        <f t="shared" si="668"/>
        <v>0</v>
      </c>
      <c r="AK937">
        <v>7499.67</v>
      </c>
      <c r="AL937">
        <v>7499.67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70</v>
      </c>
      <c r="AU937">
        <v>10</v>
      </c>
      <c r="AV937">
        <v>1</v>
      </c>
      <c r="AW937">
        <v>1</v>
      </c>
      <c r="AZ937">
        <v>1</v>
      </c>
      <c r="BA937">
        <v>1</v>
      </c>
      <c r="BB937">
        <v>1</v>
      </c>
      <c r="BC937">
        <v>1</v>
      </c>
      <c r="BD937" t="s">
        <v>3</v>
      </c>
      <c r="BE937" t="s">
        <v>3</v>
      </c>
      <c r="BF937" t="s">
        <v>3</v>
      </c>
      <c r="BG937" t="s">
        <v>3</v>
      </c>
      <c r="BH937">
        <v>3</v>
      </c>
      <c r="BI937">
        <v>4</v>
      </c>
      <c r="BJ937" t="s">
        <v>341</v>
      </c>
      <c r="BM937">
        <v>0</v>
      </c>
      <c r="BN937">
        <v>0</v>
      </c>
      <c r="BO937" t="s">
        <v>3</v>
      </c>
      <c r="BP937">
        <v>0</v>
      </c>
      <c r="BQ937">
        <v>1</v>
      </c>
      <c r="BR937">
        <v>1</v>
      </c>
      <c r="BS937">
        <v>1</v>
      </c>
      <c r="BT937">
        <v>1</v>
      </c>
      <c r="BU937">
        <v>1</v>
      </c>
      <c r="BV937">
        <v>1</v>
      </c>
      <c r="BW937">
        <v>1</v>
      </c>
      <c r="BX937">
        <v>1</v>
      </c>
      <c r="BY937" t="s">
        <v>3</v>
      </c>
      <c r="BZ937">
        <v>70</v>
      </c>
      <c r="CA937">
        <v>10</v>
      </c>
      <c r="CE937">
        <v>0</v>
      </c>
      <c r="CF937">
        <v>0</v>
      </c>
      <c r="CG937">
        <v>0</v>
      </c>
      <c r="CM937">
        <v>0</v>
      </c>
      <c r="CN937" t="s">
        <v>3</v>
      </c>
      <c r="CO937">
        <v>0</v>
      </c>
      <c r="CP937">
        <f t="shared" si="669"/>
        <v>-38496.300000000003</v>
      </c>
      <c r="CQ937">
        <f t="shared" si="670"/>
        <v>7499.67</v>
      </c>
      <c r="CR937">
        <f t="shared" si="671"/>
        <v>0</v>
      </c>
      <c r="CS937">
        <f t="shared" si="672"/>
        <v>0</v>
      </c>
      <c r="CT937">
        <f t="shared" si="673"/>
        <v>0</v>
      </c>
      <c r="CU937">
        <f t="shared" si="674"/>
        <v>0</v>
      </c>
      <c r="CV937">
        <f t="shared" si="675"/>
        <v>0</v>
      </c>
      <c r="CW937">
        <f t="shared" si="676"/>
        <v>0</v>
      </c>
      <c r="CX937">
        <f t="shared" si="677"/>
        <v>0</v>
      </c>
      <c r="CY937">
        <f t="shared" si="678"/>
        <v>0</v>
      </c>
      <c r="CZ937">
        <f t="shared" si="679"/>
        <v>0</v>
      </c>
      <c r="DC937" t="s">
        <v>3</v>
      </c>
      <c r="DD937" t="s">
        <v>3</v>
      </c>
      <c r="DE937" t="s">
        <v>3</v>
      </c>
      <c r="DF937" t="s">
        <v>3</v>
      </c>
      <c r="DG937" t="s">
        <v>3</v>
      </c>
      <c r="DH937" t="s">
        <v>3</v>
      </c>
      <c r="DI937" t="s">
        <v>3</v>
      </c>
      <c r="DJ937" t="s">
        <v>3</v>
      </c>
      <c r="DK937" t="s">
        <v>3</v>
      </c>
      <c r="DL937" t="s">
        <v>3</v>
      </c>
      <c r="DM937" t="s">
        <v>3</v>
      </c>
      <c r="DN937">
        <v>0</v>
      </c>
      <c r="DO937">
        <v>0</v>
      </c>
      <c r="DP937">
        <v>1</v>
      </c>
      <c r="DQ937">
        <v>1</v>
      </c>
      <c r="DU937">
        <v>1007</v>
      </c>
      <c r="DV937" t="s">
        <v>206</v>
      </c>
      <c r="DW937" t="s">
        <v>206</v>
      </c>
      <c r="DX937">
        <v>1</v>
      </c>
      <c r="EE937">
        <v>38628631</v>
      </c>
      <c r="EF937">
        <v>1</v>
      </c>
      <c r="EG937" t="s">
        <v>24</v>
      </c>
      <c r="EH937">
        <v>0</v>
      </c>
      <c r="EI937" t="s">
        <v>3</v>
      </c>
      <c r="EJ937">
        <v>4</v>
      </c>
      <c r="EK937">
        <v>0</v>
      </c>
      <c r="EL937" t="s">
        <v>25</v>
      </c>
      <c r="EM937" t="s">
        <v>26</v>
      </c>
      <c r="EO937" t="s">
        <v>3</v>
      </c>
      <c r="EQ937">
        <v>0</v>
      </c>
      <c r="ER937">
        <v>7499.67</v>
      </c>
      <c r="ES937">
        <v>7499.67</v>
      </c>
      <c r="ET937">
        <v>0</v>
      </c>
      <c r="EU937">
        <v>0</v>
      </c>
      <c r="EV937">
        <v>0</v>
      </c>
      <c r="EW937">
        <v>0</v>
      </c>
      <c r="EX937">
        <v>0</v>
      </c>
      <c r="FQ937">
        <v>0</v>
      </c>
      <c r="FR937">
        <f t="shared" si="680"/>
        <v>0</v>
      </c>
      <c r="FS937">
        <v>0</v>
      </c>
      <c r="FX937">
        <v>70</v>
      </c>
      <c r="FY937">
        <v>10</v>
      </c>
      <c r="GA937" t="s">
        <v>3</v>
      </c>
      <c r="GD937">
        <v>0</v>
      </c>
      <c r="GF937">
        <v>-115606</v>
      </c>
      <c r="GG937">
        <v>2</v>
      </c>
      <c r="GH937">
        <v>1</v>
      </c>
      <c r="GI937">
        <v>-2</v>
      </c>
      <c r="GJ937">
        <v>0</v>
      </c>
      <c r="GK937">
        <f>ROUND(R937*(R12)/100,2)</f>
        <v>0</v>
      </c>
      <c r="GL937">
        <f t="shared" si="681"/>
        <v>0</v>
      </c>
      <c r="GM937">
        <f t="shared" si="682"/>
        <v>-38496.300000000003</v>
      </c>
      <c r="GN937">
        <f t="shared" si="683"/>
        <v>0</v>
      </c>
      <c r="GO937">
        <f t="shared" si="684"/>
        <v>0</v>
      </c>
      <c r="GP937">
        <f t="shared" si="685"/>
        <v>-38496.300000000003</v>
      </c>
      <c r="GR937">
        <v>0</v>
      </c>
      <c r="GS937">
        <v>3</v>
      </c>
      <c r="GT937">
        <v>0</v>
      </c>
      <c r="GU937" t="s">
        <v>3</v>
      </c>
      <c r="GV937">
        <f t="shared" si="686"/>
        <v>0</v>
      </c>
      <c r="GW937">
        <v>1</v>
      </c>
      <c r="GX937">
        <f t="shared" si="687"/>
        <v>0</v>
      </c>
      <c r="HA937">
        <v>0</v>
      </c>
      <c r="HB937">
        <v>0</v>
      </c>
      <c r="HC937">
        <f t="shared" si="688"/>
        <v>0</v>
      </c>
      <c r="HE937" t="s">
        <v>3</v>
      </c>
      <c r="HF937" t="s">
        <v>3</v>
      </c>
      <c r="IK937">
        <v>0</v>
      </c>
    </row>
    <row r="938" spans="1:245" x14ac:dyDescent="0.2">
      <c r="A938">
        <v>17</v>
      </c>
      <c r="B938">
        <v>1</v>
      </c>
      <c r="E938" t="s">
        <v>150</v>
      </c>
      <c r="F938" t="s">
        <v>129</v>
      </c>
      <c r="G938" t="s">
        <v>342</v>
      </c>
      <c r="H938" t="s">
        <v>206</v>
      </c>
      <c r="I938">
        <v>0</v>
      </c>
      <c r="J938">
        <v>0</v>
      </c>
      <c r="O938">
        <f t="shared" si="650"/>
        <v>0</v>
      </c>
      <c r="P938">
        <f t="shared" si="651"/>
        <v>0</v>
      </c>
      <c r="Q938">
        <f t="shared" si="652"/>
        <v>0</v>
      </c>
      <c r="R938">
        <f t="shared" si="653"/>
        <v>0</v>
      </c>
      <c r="S938">
        <f t="shared" si="654"/>
        <v>0</v>
      </c>
      <c r="T938">
        <f t="shared" si="655"/>
        <v>0</v>
      </c>
      <c r="U938">
        <f t="shared" si="656"/>
        <v>0</v>
      </c>
      <c r="V938">
        <f t="shared" si="657"/>
        <v>0</v>
      </c>
      <c r="W938">
        <f t="shared" si="658"/>
        <v>0</v>
      </c>
      <c r="X938">
        <f t="shared" si="659"/>
        <v>0</v>
      </c>
      <c r="Y938">
        <f t="shared" si="660"/>
        <v>0</v>
      </c>
      <c r="AA938">
        <v>38214492</v>
      </c>
      <c r="AB938">
        <f t="shared" si="661"/>
        <v>14022.17</v>
      </c>
      <c r="AC938">
        <f t="shared" si="689"/>
        <v>14022.17</v>
      </c>
      <c r="AD938">
        <f t="shared" si="662"/>
        <v>0</v>
      </c>
      <c r="AE938">
        <f t="shared" si="663"/>
        <v>0</v>
      </c>
      <c r="AF938">
        <f t="shared" si="664"/>
        <v>0</v>
      </c>
      <c r="AG938">
        <f t="shared" si="665"/>
        <v>0</v>
      </c>
      <c r="AH938">
        <f t="shared" si="666"/>
        <v>0</v>
      </c>
      <c r="AI938">
        <f t="shared" si="667"/>
        <v>0</v>
      </c>
      <c r="AJ938">
        <f t="shared" si="668"/>
        <v>0</v>
      </c>
      <c r="AK938">
        <v>14022.17</v>
      </c>
      <c r="AL938">
        <v>14022.17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70</v>
      </c>
      <c r="AU938">
        <v>10</v>
      </c>
      <c r="AV938">
        <v>1</v>
      </c>
      <c r="AW938">
        <v>1</v>
      </c>
      <c r="AZ938">
        <v>1</v>
      </c>
      <c r="BA938">
        <v>1</v>
      </c>
      <c r="BB938">
        <v>1</v>
      </c>
      <c r="BC938">
        <v>1</v>
      </c>
      <c r="BD938" t="s">
        <v>3</v>
      </c>
      <c r="BE938" t="s">
        <v>3</v>
      </c>
      <c r="BF938" t="s">
        <v>3</v>
      </c>
      <c r="BG938" t="s">
        <v>3</v>
      </c>
      <c r="BH938">
        <v>3</v>
      </c>
      <c r="BI938">
        <v>4</v>
      </c>
      <c r="BJ938" t="s">
        <v>3</v>
      </c>
      <c r="BM938">
        <v>0</v>
      </c>
      <c r="BN938">
        <v>0</v>
      </c>
      <c r="BO938" t="s">
        <v>3</v>
      </c>
      <c r="BP938">
        <v>0</v>
      </c>
      <c r="BQ938">
        <v>1</v>
      </c>
      <c r="BR938">
        <v>0</v>
      </c>
      <c r="BS938">
        <v>1</v>
      </c>
      <c r="BT938">
        <v>1</v>
      </c>
      <c r="BU938">
        <v>1</v>
      </c>
      <c r="BV938">
        <v>1</v>
      </c>
      <c r="BW938">
        <v>1</v>
      </c>
      <c r="BX938">
        <v>1</v>
      </c>
      <c r="BY938" t="s">
        <v>3</v>
      </c>
      <c r="BZ938">
        <v>70</v>
      </c>
      <c r="CA938">
        <v>10</v>
      </c>
      <c r="CE938">
        <v>0</v>
      </c>
      <c r="CF938">
        <v>0</v>
      </c>
      <c r="CG938">
        <v>0</v>
      </c>
      <c r="CM938">
        <v>0</v>
      </c>
      <c r="CN938" t="s">
        <v>3</v>
      </c>
      <c r="CO938">
        <v>0</v>
      </c>
      <c r="CP938">
        <f t="shared" si="669"/>
        <v>0</v>
      </c>
      <c r="CQ938">
        <f t="shared" si="670"/>
        <v>14022.17</v>
      </c>
      <c r="CR938">
        <f t="shared" si="671"/>
        <v>0</v>
      </c>
      <c r="CS938">
        <f t="shared" si="672"/>
        <v>0</v>
      </c>
      <c r="CT938">
        <f t="shared" si="673"/>
        <v>0</v>
      </c>
      <c r="CU938">
        <f t="shared" si="674"/>
        <v>0</v>
      </c>
      <c r="CV938">
        <f t="shared" si="675"/>
        <v>0</v>
      </c>
      <c r="CW938">
        <f t="shared" si="676"/>
        <v>0</v>
      </c>
      <c r="CX938">
        <f t="shared" si="677"/>
        <v>0</v>
      </c>
      <c r="CY938">
        <f t="shared" si="678"/>
        <v>0</v>
      </c>
      <c r="CZ938">
        <f t="shared" si="679"/>
        <v>0</v>
      </c>
      <c r="DC938" t="s">
        <v>3</v>
      </c>
      <c r="DD938" t="s">
        <v>3</v>
      </c>
      <c r="DE938" t="s">
        <v>3</v>
      </c>
      <c r="DF938" t="s">
        <v>3</v>
      </c>
      <c r="DG938" t="s">
        <v>3</v>
      </c>
      <c r="DH938" t="s">
        <v>3</v>
      </c>
      <c r="DI938" t="s">
        <v>3</v>
      </c>
      <c r="DJ938" t="s">
        <v>3</v>
      </c>
      <c r="DK938" t="s">
        <v>3</v>
      </c>
      <c r="DL938" t="s">
        <v>3</v>
      </c>
      <c r="DM938" t="s">
        <v>3</v>
      </c>
      <c r="DN938">
        <v>0</v>
      </c>
      <c r="DO938">
        <v>0</v>
      </c>
      <c r="DP938">
        <v>1</v>
      </c>
      <c r="DQ938">
        <v>1</v>
      </c>
      <c r="DU938">
        <v>1007</v>
      </c>
      <c r="DV938" t="s">
        <v>206</v>
      </c>
      <c r="DW938" t="s">
        <v>206</v>
      </c>
      <c r="DX938">
        <v>1</v>
      </c>
      <c r="EE938">
        <v>38628631</v>
      </c>
      <c r="EF938">
        <v>1</v>
      </c>
      <c r="EG938" t="s">
        <v>24</v>
      </c>
      <c r="EH938">
        <v>0</v>
      </c>
      <c r="EI938" t="s">
        <v>3</v>
      </c>
      <c r="EJ938">
        <v>4</v>
      </c>
      <c r="EK938">
        <v>0</v>
      </c>
      <c r="EL938" t="s">
        <v>25</v>
      </c>
      <c r="EM938" t="s">
        <v>26</v>
      </c>
      <c r="EO938" t="s">
        <v>3</v>
      </c>
      <c r="EQ938">
        <v>0</v>
      </c>
      <c r="ER938">
        <v>14022.17</v>
      </c>
      <c r="ES938">
        <v>14022.17</v>
      </c>
      <c r="ET938">
        <v>0</v>
      </c>
      <c r="EU938">
        <v>0</v>
      </c>
      <c r="EV938">
        <v>0</v>
      </c>
      <c r="EW938">
        <v>0</v>
      </c>
      <c r="EX938">
        <v>0</v>
      </c>
      <c r="EY938">
        <v>0</v>
      </c>
      <c r="EZ938">
        <v>5</v>
      </c>
      <c r="FC938">
        <v>1</v>
      </c>
      <c r="FD938">
        <v>18</v>
      </c>
      <c r="FF938">
        <v>16496.669999999998</v>
      </c>
      <c r="FQ938">
        <v>0</v>
      </c>
      <c r="FR938">
        <f t="shared" si="680"/>
        <v>0</v>
      </c>
      <c r="FS938">
        <v>0</v>
      </c>
      <c r="FX938">
        <v>70</v>
      </c>
      <c r="FY938">
        <v>10</v>
      </c>
      <c r="GA938" t="s">
        <v>343</v>
      </c>
      <c r="GD938">
        <v>0</v>
      </c>
      <c r="GF938">
        <v>-360520800</v>
      </c>
      <c r="GG938">
        <v>2</v>
      </c>
      <c r="GH938">
        <v>3</v>
      </c>
      <c r="GI938">
        <v>-2</v>
      </c>
      <c r="GJ938">
        <v>0</v>
      </c>
      <c r="GK938">
        <f>ROUND(R938*(R12)/100,2)</f>
        <v>0</v>
      </c>
      <c r="GL938">
        <f t="shared" si="681"/>
        <v>0</v>
      </c>
      <c r="GM938">
        <f t="shared" si="682"/>
        <v>0</v>
      </c>
      <c r="GN938">
        <f t="shared" si="683"/>
        <v>0</v>
      </c>
      <c r="GO938">
        <f t="shared" si="684"/>
        <v>0</v>
      </c>
      <c r="GP938">
        <f t="shared" si="685"/>
        <v>0</v>
      </c>
      <c r="GR938">
        <v>1</v>
      </c>
      <c r="GS938">
        <v>1</v>
      </c>
      <c r="GT938">
        <v>0</v>
      </c>
      <c r="GU938" t="s">
        <v>3</v>
      </c>
      <c r="GV938">
        <f t="shared" si="686"/>
        <v>0</v>
      </c>
      <c r="GW938">
        <v>1</v>
      </c>
      <c r="GX938">
        <f t="shared" si="687"/>
        <v>0</v>
      </c>
      <c r="HA938">
        <v>0</v>
      </c>
      <c r="HB938">
        <v>0</v>
      </c>
      <c r="HC938">
        <f t="shared" si="688"/>
        <v>0</v>
      </c>
      <c r="HE938" t="s">
        <v>153</v>
      </c>
      <c r="HF938" t="s">
        <v>27</v>
      </c>
      <c r="IK938">
        <v>0</v>
      </c>
    </row>
    <row r="939" spans="1:245" x14ac:dyDescent="0.2">
      <c r="A939">
        <v>17</v>
      </c>
      <c r="B939">
        <v>1</v>
      </c>
      <c r="E939" t="s">
        <v>154</v>
      </c>
      <c r="F939" t="s">
        <v>129</v>
      </c>
      <c r="G939" t="s">
        <v>344</v>
      </c>
      <c r="H939" t="s">
        <v>206</v>
      </c>
      <c r="I939">
        <v>78.599999999999994</v>
      </c>
      <c r="J939">
        <v>0</v>
      </c>
      <c r="O939">
        <f t="shared" si="650"/>
        <v>1102142.56</v>
      </c>
      <c r="P939">
        <f t="shared" si="651"/>
        <v>1102142.56</v>
      </c>
      <c r="Q939">
        <f t="shared" si="652"/>
        <v>0</v>
      </c>
      <c r="R939">
        <f t="shared" si="653"/>
        <v>0</v>
      </c>
      <c r="S939">
        <f t="shared" si="654"/>
        <v>0</v>
      </c>
      <c r="T939">
        <f t="shared" si="655"/>
        <v>0</v>
      </c>
      <c r="U939">
        <f t="shared" si="656"/>
        <v>0</v>
      </c>
      <c r="V939">
        <f t="shared" si="657"/>
        <v>0</v>
      </c>
      <c r="W939">
        <f t="shared" si="658"/>
        <v>0</v>
      </c>
      <c r="X939">
        <f t="shared" si="659"/>
        <v>0</v>
      </c>
      <c r="Y939">
        <f t="shared" si="660"/>
        <v>0</v>
      </c>
      <c r="AA939">
        <v>38214492</v>
      </c>
      <c r="AB939">
        <f t="shared" si="661"/>
        <v>14022.17</v>
      </c>
      <c r="AC939">
        <f t="shared" si="689"/>
        <v>14022.17</v>
      </c>
      <c r="AD939">
        <f t="shared" si="662"/>
        <v>0</v>
      </c>
      <c r="AE939">
        <f t="shared" si="663"/>
        <v>0</v>
      </c>
      <c r="AF939">
        <f t="shared" si="664"/>
        <v>0</v>
      </c>
      <c r="AG939">
        <f t="shared" si="665"/>
        <v>0</v>
      </c>
      <c r="AH939">
        <f t="shared" si="666"/>
        <v>0</v>
      </c>
      <c r="AI939">
        <f t="shared" si="667"/>
        <v>0</v>
      </c>
      <c r="AJ939">
        <f t="shared" si="668"/>
        <v>0</v>
      </c>
      <c r="AK939">
        <v>14022.17</v>
      </c>
      <c r="AL939">
        <v>14022.17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70</v>
      </c>
      <c r="AU939">
        <v>10</v>
      </c>
      <c r="AV939">
        <v>1</v>
      </c>
      <c r="AW939">
        <v>1</v>
      </c>
      <c r="AZ939">
        <v>1</v>
      </c>
      <c r="BA939">
        <v>1</v>
      </c>
      <c r="BB939">
        <v>1</v>
      </c>
      <c r="BC939">
        <v>1</v>
      </c>
      <c r="BD939" t="s">
        <v>3</v>
      </c>
      <c r="BE939" t="s">
        <v>3</v>
      </c>
      <c r="BF939" t="s">
        <v>3</v>
      </c>
      <c r="BG939" t="s">
        <v>3</v>
      </c>
      <c r="BH939">
        <v>3</v>
      </c>
      <c r="BI939">
        <v>4</v>
      </c>
      <c r="BJ939" t="s">
        <v>3</v>
      </c>
      <c r="BM939">
        <v>0</v>
      </c>
      <c r="BN939">
        <v>0</v>
      </c>
      <c r="BO939" t="s">
        <v>3</v>
      </c>
      <c r="BP939">
        <v>0</v>
      </c>
      <c r="BQ939">
        <v>1</v>
      </c>
      <c r="BR939">
        <v>0</v>
      </c>
      <c r="BS939">
        <v>1</v>
      </c>
      <c r="BT939">
        <v>1</v>
      </c>
      <c r="BU939">
        <v>1</v>
      </c>
      <c r="BV939">
        <v>1</v>
      </c>
      <c r="BW939">
        <v>1</v>
      </c>
      <c r="BX939">
        <v>1</v>
      </c>
      <c r="BY939" t="s">
        <v>3</v>
      </c>
      <c r="BZ939">
        <v>70</v>
      </c>
      <c r="CA939">
        <v>10</v>
      </c>
      <c r="CE939">
        <v>0</v>
      </c>
      <c r="CF939">
        <v>0</v>
      </c>
      <c r="CG939">
        <v>0</v>
      </c>
      <c r="CM939">
        <v>0</v>
      </c>
      <c r="CN939" t="s">
        <v>3</v>
      </c>
      <c r="CO939">
        <v>0</v>
      </c>
      <c r="CP939">
        <f t="shared" si="669"/>
        <v>1102142.56</v>
      </c>
      <c r="CQ939">
        <f t="shared" si="670"/>
        <v>14022.17</v>
      </c>
      <c r="CR939">
        <f t="shared" si="671"/>
        <v>0</v>
      </c>
      <c r="CS939">
        <f t="shared" si="672"/>
        <v>0</v>
      </c>
      <c r="CT939">
        <f t="shared" si="673"/>
        <v>0</v>
      </c>
      <c r="CU939">
        <f t="shared" si="674"/>
        <v>0</v>
      </c>
      <c r="CV939">
        <f t="shared" si="675"/>
        <v>0</v>
      </c>
      <c r="CW939">
        <f t="shared" si="676"/>
        <v>0</v>
      </c>
      <c r="CX939">
        <f t="shared" si="677"/>
        <v>0</v>
      </c>
      <c r="CY939">
        <f t="shared" si="678"/>
        <v>0</v>
      </c>
      <c r="CZ939">
        <f t="shared" si="679"/>
        <v>0</v>
      </c>
      <c r="DC939" t="s">
        <v>3</v>
      </c>
      <c r="DD939" t="s">
        <v>3</v>
      </c>
      <c r="DE939" t="s">
        <v>3</v>
      </c>
      <c r="DF939" t="s">
        <v>3</v>
      </c>
      <c r="DG939" t="s">
        <v>3</v>
      </c>
      <c r="DH939" t="s">
        <v>3</v>
      </c>
      <c r="DI939" t="s">
        <v>3</v>
      </c>
      <c r="DJ939" t="s">
        <v>3</v>
      </c>
      <c r="DK939" t="s">
        <v>3</v>
      </c>
      <c r="DL939" t="s">
        <v>3</v>
      </c>
      <c r="DM939" t="s">
        <v>3</v>
      </c>
      <c r="DN939">
        <v>0</v>
      </c>
      <c r="DO939">
        <v>0</v>
      </c>
      <c r="DP939">
        <v>1</v>
      </c>
      <c r="DQ939">
        <v>1</v>
      </c>
      <c r="DU939">
        <v>1007</v>
      </c>
      <c r="DV939" t="s">
        <v>206</v>
      </c>
      <c r="DW939" t="s">
        <v>206</v>
      </c>
      <c r="DX939">
        <v>1</v>
      </c>
      <c r="EE939">
        <v>38628631</v>
      </c>
      <c r="EF939">
        <v>1</v>
      </c>
      <c r="EG939" t="s">
        <v>24</v>
      </c>
      <c r="EH939">
        <v>0</v>
      </c>
      <c r="EI939" t="s">
        <v>3</v>
      </c>
      <c r="EJ939">
        <v>4</v>
      </c>
      <c r="EK939">
        <v>0</v>
      </c>
      <c r="EL939" t="s">
        <v>25</v>
      </c>
      <c r="EM939" t="s">
        <v>26</v>
      </c>
      <c r="EO939" t="s">
        <v>3</v>
      </c>
      <c r="EQ939">
        <v>0</v>
      </c>
      <c r="ER939">
        <v>14022.17</v>
      </c>
      <c r="ES939">
        <v>14022.17</v>
      </c>
      <c r="ET939">
        <v>0</v>
      </c>
      <c r="EU939">
        <v>0</v>
      </c>
      <c r="EV939">
        <v>0</v>
      </c>
      <c r="EW939">
        <v>0</v>
      </c>
      <c r="EX939">
        <v>0</v>
      </c>
      <c r="EY939">
        <v>0</v>
      </c>
      <c r="EZ939">
        <v>5</v>
      </c>
      <c r="FC939">
        <v>1</v>
      </c>
      <c r="FD939">
        <v>18</v>
      </c>
      <c r="FF939">
        <v>16496.669999999998</v>
      </c>
      <c r="FQ939">
        <v>0</v>
      </c>
      <c r="FR939">
        <f t="shared" si="680"/>
        <v>0</v>
      </c>
      <c r="FS939">
        <v>0</v>
      </c>
      <c r="FX939">
        <v>70</v>
      </c>
      <c r="FY939">
        <v>10</v>
      </c>
      <c r="GA939" t="s">
        <v>343</v>
      </c>
      <c r="GD939">
        <v>0</v>
      </c>
      <c r="GF939">
        <v>1239553028</v>
      </c>
      <c r="GG939">
        <v>2</v>
      </c>
      <c r="GH939">
        <v>3</v>
      </c>
      <c r="GI939">
        <v>-2</v>
      </c>
      <c r="GJ939">
        <v>0</v>
      </c>
      <c r="GK939">
        <f>ROUND(R939*(R12)/100,2)</f>
        <v>0</v>
      </c>
      <c r="GL939">
        <f t="shared" si="681"/>
        <v>0</v>
      </c>
      <c r="GM939">
        <f t="shared" si="682"/>
        <v>1102142.56</v>
      </c>
      <c r="GN939">
        <f t="shared" si="683"/>
        <v>0</v>
      </c>
      <c r="GO939">
        <f t="shared" si="684"/>
        <v>0</v>
      </c>
      <c r="GP939">
        <f t="shared" si="685"/>
        <v>1102142.56</v>
      </c>
      <c r="GR939">
        <v>1</v>
      </c>
      <c r="GS939">
        <v>1</v>
      </c>
      <c r="GT939">
        <v>0</v>
      </c>
      <c r="GU939" t="s">
        <v>3</v>
      </c>
      <c r="GV939">
        <f t="shared" si="686"/>
        <v>0</v>
      </c>
      <c r="GW939">
        <v>1</v>
      </c>
      <c r="GX939">
        <f t="shared" si="687"/>
        <v>0</v>
      </c>
      <c r="HA939">
        <v>0</v>
      </c>
      <c r="HB939">
        <v>0</v>
      </c>
      <c r="HC939">
        <f t="shared" si="688"/>
        <v>0</v>
      </c>
      <c r="HE939" t="s">
        <v>153</v>
      </c>
      <c r="HF939" t="s">
        <v>27</v>
      </c>
      <c r="IK939">
        <v>0</v>
      </c>
    </row>
    <row r="940" spans="1:245" x14ac:dyDescent="0.2">
      <c r="A940">
        <v>17</v>
      </c>
      <c r="B940">
        <v>1</v>
      </c>
      <c r="C940">
        <f>ROW(SmtRes!A251)</f>
        <v>251</v>
      </c>
      <c r="D940">
        <f>ROW(EtalonRes!A247)</f>
        <v>247</v>
      </c>
      <c r="E940" t="s">
        <v>157</v>
      </c>
      <c r="F940" t="s">
        <v>321</v>
      </c>
      <c r="G940" t="s">
        <v>345</v>
      </c>
      <c r="H940" t="s">
        <v>22</v>
      </c>
      <c r="I940">
        <f>ROUND(I889,9)</f>
        <v>42.88</v>
      </c>
      <c r="J940">
        <v>0</v>
      </c>
      <c r="O940">
        <f t="shared" si="650"/>
        <v>1226302.3899999999</v>
      </c>
      <c r="P940">
        <f t="shared" si="651"/>
        <v>1097412.83</v>
      </c>
      <c r="Q940">
        <f t="shared" si="652"/>
        <v>0</v>
      </c>
      <c r="R940">
        <f t="shared" si="653"/>
        <v>0</v>
      </c>
      <c r="S940">
        <f t="shared" si="654"/>
        <v>128889.56</v>
      </c>
      <c r="T940">
        <f t="shared" si="655"/>
        <v>0</v>
      </c>
      <c r="U940">
        <f t="shared" si="656"/>
        <v>799.71199999999999</v>
      </c>
      <c r="V940">
        <f t="shared" si="657"/>
        <v>0</v>
      </c>
      <c r="W940">
        <f t="shared" si="658"/>
        <v>0</v>
      </c>
      <c r="X940">
        <f t="shared" si="659"/>
        <v>90222.69</v>
      </c>
      <c r="Y940">
        <f t="shared" si="660"/>
        <v>12888.96</v>
      </c>
      <c r="AA940">
        <v>38214492</v>
      </c>
      <c r="AB940">
        <f t="shared" si="661"/>
        <v>28598.47</v>
      </c>
      <c r="AC940">
        <f t="shared" si="689"/>
        <v>25592.65</v>
      </c>
      <c r="AD940">
        <f t="shared" si="662"/>
        <v>0</v>
      </c>
      <c r="AE940">
        <f t="shared" si="663"/>
        <v>0</v>
      </c>
      <c r="AF940">
        <f t="shared" si="664"/>
        <v>3005.82</v>
      </c>
      <c r="AG940">
        <f t="shared" si="665"/>
        <v>0</v>
      </c>
      <c r="AH940">
        <f t="shared" si="666"/>
        <v>18.649999999999999</v>
      </c>
      <c r="AI940">
        <f t="shared" si="667"/>
        <v>0</v>
      </c>
      <c r="AJ940">
        <f t="shared" si="668"/>
        <v>0</v>
      </c>
      <c r="AK940">
        <v>28598.47</v>
      </c>
      <c r="AL940">
        <v>25592.65</v>
      </c>
      <c r="AM940">
        <v>0</v>
      </c>
      <c r="AN940">
        <v>0</v>
      </c>
      <c r="AO940">
        <v>3005.82</v>
      </c>
      <c r="AP940">
        <v>0</v>
      </c>
      <c r="AQ940">
        <v>18.649999999999999</v>
      </c>
      <c r="AR940">
        <v>0</v>
      </c>
      <c r="AS940">
        <v>0</v>
      </c>
      <c r="AT940">
        <v>70</v>
      </c>
      <c r="AU940">
        <v>10</v>
      </c>
      <c r="AV940">
        <v>1</v>
      </c>
      <c r="AW940">
        <v>1</v>
      </c>
      <c r="AZ940">
        <v>1</v>
      </c>
      <c r="BA940">
        <v>1</v>
      </c>
      <c r="BB940">
        <v>1</v>
      </c>
      <c r="BC940">
        <v>1</v>
      </c>
      <c r="BD940" t="s">
        <v>3</v>
      </c>
      <c r="BE940" t="s">
        <v>3</v>
      </c>
      <c r="BF940" t="s">
        <v>3</v>
      </c>
      <c r="BG940" t="s">
        <v>3</v>
      </c>
      <c r="BH940">
        <v>0</v>
      </c>
      <c r="BI940">
        <v>4</v>
      </c>
      <c r="BJ940" t="s">
        <v>323</v>
      </c>
      <c r="BM940">
        <v>0</v>
      </c>
      <c r="BN940">
        <v>0</v>
      </c>
      <c r="BO940" t="s">
        <v>3</v>
      </c>
      <c r="BP940">
        <v>0</v>
      </c>
      <c r="BQ940">
        <v>1</v>
      </c>
      <c r="BR940">
        <v>0</v>
      </c>
      <c r="BS940">
        <v>1</v>
      </c>
      <c r="BT940">
        <v>1</v>
      </c>
      <c r="BU940">
        <v>1</v>
      </c>
      <c r="BV940">
        <v>1</v>
      </c>
      <c r="BW940">
        <v>1</v>
      </c>
      <c r="BX940">
        <v>1</v>
      </c>
      <c r="BY940" t="s">
        <v>3</v>
      </c>
      <c r="BZ940">
        <v>70</v>
      </c>
      <c r="CA940">
        <v>10</v>
      </c>
      <c r="CE940">
        <v>0</v>
      </c>
      <c r="CF940">
        <v>0</v>
      </c>
      <c r="CG940">
        <v>0</v>
      </c>
      <c r="CM940">
        <v>0</v>
      </c>
      <c r="CN940" t="s">
        <v>3</v>
      </c>
      <c r="CO940">
        <v>0</v>
      </c>
      <c r="CP940">
        <f t="shared" si="669"/>
        <v>1226302.3900000001</v>
      </c>
      <c r="CQ940">
        <f t="shared" si="670"/>
        <v>25592.65</v>
      </c>
      <c r="CR940">
        <f t="shared" si="671"/>
        <v>0</v>
      </c>
      <c r="CS940">
        <f t="shared" si="672"/>
        <v>0</v>
      </c>
      <c r="CT940">
        <f t="shared" si="673"/>
        <v>3005.82</v>
      </c>
      <c r="CU940">
        <f t="shared" si="674"/>
        <v>0</v>
      </c>
      <c r="CV940">
        <f t="shared" si="675"/>
        <v>18.649999999999999</v>
      </c>
      <c r="CW940">
        <f t="shared" si="676"/>
        <v>0</v>
      </c>
      <c r="CX940">
        <f t="shared" si="677"/>
        <v>0</v>
      </c>
      <c r="CY940">
        <f t="shared" si="678"/>
        <v>90222.691999999995</v>
      </c>
      <c r="CZ940">
        <f t="shared" si="679"/>
        <v>12888.956</v>
      </c>
      <c r="DC940" t="s">
        <v>3</v>
      </c>
      <c r="DD940" t="s">
        <v>3</v>
      </c>
      <c r="DE940" t="s">
        <v>3</v>
      </c>
      <c r="DF940" t="s">
        <v>3</v>
      </c>
      <c r="DG940" t="s">
        <v>3</v>
      </c>
      <c r="DH940" t="s">
        <v>3</v>
      </c>
      <c r="DI940" t="s">
        <v>3</v>
      </c>
      <c r="DJ940" t="s">
        <v>3</v>
      </c>
      <c r="DK940" t="s">
        <v>3</v>
      </c>
      <c r="DL940" t="s">
        <v>3</v>
      </c>
      <c r="DM940" t="s">
        <v>3</v>
      </c>
      <c r="DN940">
        <v>0</v>
      </c>
      <c r="DO940">
        <v>0</v>
      </c>
      <c r="DP940">
        <v>1</v>
      </c>
      <c r="DQ940">
        <v>1</v>
      </c>
      <c r="DU940">
        <v>1005</v>
      </c>
      <c r="DV940" t="s">
        <v>22</v>
      </c>
      <c r="DW940" t="s">
        <v>22</v>
      </c>
      <c r="DX940">
        <v>100</v>
      </c>
      <c r="EE940">
        <v>38628631</v>
      </c>
      <c r="EF940">
        <v>1</v>
      </c>
      <c r="EG940" t="s">
        <v>24</v>
      </c>
      <c r="EH940">
        <v>0</v>
      </c>
      <c r="EI940" t="s">
        <v>3</v>
      </c>
      <c r="EJ940">
        <v>4</v>
      </c>
      <c r="EK940">
        <v>0</v>
      </c>
      <c r="EL940" t="s">
        <v>25</v>
      </c>
      <c r="EM940" t="s">
        <v>26</v>
      </c>
      <c r="EO940" t="s">
        <v>3</v>
      </c>
      <c r="EQ940">
        <v>0</v>
      </c>
      <c r="ER940">
        <v>28598.47</v>
      </c>
      <c r="ES940">
        <v>25592.65</v>
      </c>
      <c r="ET940">
        <v>0</v>
      </c>
      <c r="EU940">
        <v>0</v>
      </c>
      <c r="EV940">
        <v>3005.82</v>
      </c>
      <c r="EW940">
        <v>18.649999999999999</v>
      </c>
      <c r="EX940">
        <v>0</v>
      </c>
      <c r="EY940">
        <v>0</v>
      </c>
      <c r="FQ940">
        <v>0</v>
      </c>
      <c r="FR940">
        <f t="shared" si="680"/>
        <v>0</v>
      </c>
      <c r="FS940">
        <v>0</v>
      </c>
      <c r="FX940">
        <v>70</v>
      </c>
      <c r="FY940">
        <v>10</v>
      </c>
      <c r="GA940" t="s">
        <v>3</v>
      </c>
      <c r="GD940">
        <v>0</v>
      </c>
      <c r="GF940">
        <v>2093626276</v>
      </c>
      <c r="GG940">
        <v>2</v>
      </c>
      <c r="GH940">
        <v>1</v>
      </c>
      <c r="GI940">
        <v>-2</v>
      </c>
      <c r="GJ940">
        <v>0</v>
      </c>
      <c r="GK940">
        <f>ROUND(R940*(R12)/100,2)</f>
        <v>0</v>
      </c>
      <c r="GL940">
        <f t="shared" si="681"/>
        <v>0</v>
      </c>
      <c r="GM940">
        <f t="shared" si="682"/>
        <v>1329414.04</v>
      </c>
      <c r="GN940">
        <f t="shared" si="683"/>
        <v>0</v>
      </c>
      <c r="GO940">
        <f t="shared" si="684"/>
        <v>0</v>
      </c>
      <c r="GP940">
        <f t="shared" si="685"/>
        <v>1329414.04</v>
      </c>
      <c r="GR940">
        <v>0</v>
      </c>
      <c r="GS940">
        <v>3</v>
      </c>
      <c r="GT940">
        <v>0</v>
      </c>
      <c r="GU940" t="s">
        <v>3</v>
      </c>
      <c r="GV940">
        <f t="shared" si="686"/>
        <v>0</v>
      </c>
      <c r="GW940">
        <v>1</v>
      </c>
      <c r="GX940">
        <f t="shared" si="687"/>
        <v>0</v>
      </c>
      <c r="HA940">
        <v>0</v>
      </c>
      <c r="HB940">
        <v>0</v>
      </c>
      <c r="HC940">
        <f t="shared" si="688"/>
        <v>0</v>
      </c>
      <c r="HE940" t="s">
        <v>3</v>
      </c>
      <c r="HF940" t="s">
        <v>3</v>
      </c>
      <c r="IK940">
        <v>0</v>
      </c>
    </row>
    <row r="941" spans="1:245" x14ac:dyDescent="0.2">
      <c r="A941">
        <v>18</v>
      </c>
      <c r="B941">
        <v>1</v>
      </c>
      <c r="C941">
        <v>249</v>
      </c>
      <c r="E941" t="s">
        <v>346</v>
      </c>
      <c r="F941" t="s">
        <v>347</v>
      </c>
      <c r="G941" t="s">
        <v>348</v>
      </c>
      <c r="H941" t="s">
        <v>206</v>
      </c>
      <c r="I941">
        <f>I940*J941</f>
        <v>-129.06880000000001</v>
      </c>
      <c r="J941">
        <v>-3.0100000000000002</v>
      </c>
      <c r="O941">
        <f t="shared" si="650"/>
        <v>-864964.89</v>
      </c>
      <c r="P941">
        <f t="shared" si="651"/>
        <v>-864964.89</v>
      </c>
      <c r="Q941">
        <f t="shared" si="652"/>
        <v>0</v>
      </c>
      <c r="R941">
        <f t="shared" si="653"/>
        <v>0</v>
      </c>
      <c r="S941">
        <f t="shared" si="654"/>
        <v>0</v>
      </c>
      <c r="T941">
        <f t="shared" si="655"/>
        <v>0</v>
      </c>
      <c r="U941">
        <f t="shared" si="656"/>
        <v>0</v>
      </c>
      <c r="V941">
        <f t="shared" si="657"/>
        <v>0</v>
      </c>
      <c r="W941">
        <f t="shared" si="658"/>
        <v>0</v>
      </c>
      <c r="X941">
        <f t="shared" si="659"/>
        <v>0</v>
      </c>
      <c r="Y941">
        <f t="shared" si="660"/>
        <v>0</v>
      </c>
      <c r="AA941">
        <v>38214492</v>
      </c>
      <c r="AB941">
        <f t="shared" si="661"/>
        <v>6701.58</v>
      </c>
      <c r="AC941">
        <f t="shared" si="689"/>
        <v>6701.58</v>
      </c>
      <c r="AD941">
        <f t="shared" si="662"/>
        <v>0</v>
      </c>
      <c r="AE941">
        <f t="shared" si="663"/>
        <v>0</v>
      </c>
      <c r="AF941">
        <f t="shared" si="664"/>
        <v>0</v>
      </c>
      <c r="AG941">
        <f t="shared" si="665"/>
        <v>0</v>
      </c>
      <c r="AH941">
        <f t="shared" si="666"/>
        <v>0</v>
      </c>
      <c r="AI941">
        <f t="shared" si="667"/>
        <v>0</v>
      </c>
      <c r="AJ941">
        <f t="shared" si="668"/>
        <v>0</v>
      </c>
      <c r="AK941">
        <v>6701.58</v>
      </c>
      <c r="AL941">
        <v>6701.58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70</v>
      </c>
      <c r="AU941">
        <v>10</v>
      </c>
      <c r="AV941">
        <v>1</v>
      </c>
      <c r="AW941">
        <v>1</v>
      </c>
      <c r="AZ941">
        <v>1</v>
      </c>
      <c r="BA941">
        <v>1</v>
      </c>
      <c r="BB941">
        <v>1</v>
      </c>
      <c r="BC941">
        <v>1</v>
      </c>
      <c r="BD941" t="s">
        <v>3</v>
      </c>
      <c r="BE941" t="s">
        <v>3</v>
      </c>
      <c r="BF941" t="s">
        <v>3</v>
      </c>
      <c r="BG941" t="s">
        <v>3</v>
      </c>
      <c r="BH941">
        <v>3</v>
      </c>
      <c r="BI941">
        <v>4</v>
      </c>
      <c r="BJ941" t="s">
        <v>349</v>
      </c>
      <c r="BM941">
        <v>0</v>
      </c>
      <c r="BN941">
        <v>0</v>
      </c>
      <c r="BO941" t="s">
        <v>3</v>
      </c>
      <c r="BP941">
        <v>0</v>
      </c>
      <c r="BQ941">
        <v>1</v>
      </c>
      <c r="BR941">
        <v>1</v>
      </c>
      <c r="BS941">
        <v>1</v>
      </c>
      <c r="BT941">
        <v>1</v>
      </c>
      <c r="BU941">
        <v>1</v>
      </c>
      <c r="BV941">
        <v>1</v>
      </c>
      <c r="BW941">
        <v>1</v>
      </c>
      <c r="BX941">
        <v>1</v>
      </c>
      <c r="BY941" t="s">
        <v>3</v>
      </c>
      <c r="BZ941">
        <v>70</v>
      </c>
      <c r="CA941">
        <v>10</v>
      </c>
      <c r="CE941">
        <v>0</v>
      </c>
      <c r="CF941">
        <v>0</v>
      </c>
      <c r="CG941">
        <v>0</v>
      </c>
      <c r="CM941">
        <v>0</v>
      </c>
      <c r="CN941" t="s">
        <v>3</v>
      </c>
      <c r="CO941">
        <v>0</v>
      </c>
      <c r="CP941">
        <f t="shared" si="669"/>
        <v>-864964.89</v>
      </c>
      <c r="CQ941">
        <f t="shared" si="670"/>
        <v>6701.58</v>
      </c>
      <c r="CR941">
        <f t="shared" si="671"/>
        <v>0</v>
      </c>
      <c r="CS941">
        <f t="shared" si="672"/>
        <v>0</v>
      </c>
      <c r="CT941">
        <f t="shared" si="673"/>
        <v>0</v>
      </c>
      <c r="CU941">
        <f t="shared" si="674"/>
        <v>0</v>
      </c>
      <c r="CV941">
        <f t="shared" si="675"/>
        <v>0</v>
      </c>
      <c r="CW941">
        <f t="shared" si="676"/>
        <v>0</v>
      </c>
      <c r="CX941">
        <f t="shared" si="677"/>
        <v>0</v>
      </c>
      <c r="CY941">
        <f t="shared" si="678"/>
        <v>0</v>
      </c>
      <c r="CZ941">
        <f t="shared" si="679"/>
        <v>0</v>
      </c>
      <c r="DC941" t="s">
        <v>3</v>
      </c>
      <c r="DD941" t="s">
        <v>3</v>
      </c>
      <c r="DE941" t="s">
        <v>3</v>
      </c>
      <c r="DF941" t="s">
        <v>3</v>
      </c>
      <c r="DG941" t="s">
        <v>3</v>
      </c>
      <c r="DH941" t="s">
        <v>3</v>
      </c>
      <c r="DI941" t="s">
        <v>3</v>
      </c>
      <c r="DJ941" t="s">
        <v>3</v>
      </c>
      <c r="DK941" t="s">
        <v>3</v>
      </c>
      <c r="DL941" t="s">
        <v>3</v>
      </c>
      <c r="DM941" t="s">
        <v>3</v>
      </c>
      <c r="DN941">
        <v>0</v>
      </c>
      <c r="DO941">
        <v>0</v>
      </c>
      <c r="DP941">
        <v>1</v>
      </c>
      <c r="DQ941">
        <v>1</v>
      </c>
      <c r="DU941">
        <v>1007</v>
      </c>
      <c r="DV941" t="s">
        <v>206</v>
      </c>
      <c r="DW941" t="s">
        <v>206</v>
      </c>
      <c r="DX941">
        <v>1</v>
      </c>
      <c r="EE941">
        <v>38628631</v>
      </c>
      <c r="EF941">
        <v>1</v>
      </c>
      <c r="EG941" t="s">
        <v>24</v>
      </c>
      <c r="EH941">
        <v>0</v>
      </c>
      <c r="EI941" t="s">
        <v>3</v>
      </c>
      <c r="EJ941">
        <v>4</v>
      </c>
      <c r="EK941">
        <v>0</v>
      </c>
      <c r="EL941" t="s">
        <v>25</v>
      </c>
      <c r="EM941" t="s">
        <v>26</v>
      </c>
      <c r="EO941" t="s">
        <v>3</v>
      </c>
      <c r="EQ941">
        <v>0</v>
      </c>
      <c r="ER941">
        <v>6701.58</v>
      </c>
      <c r="ES941">
        <v>6701.58</v>
      </c>
      <c r="ET941">
        <v>0</v>
      </c>
      <c r="EU941">
        <v>0</v>
      </c>
      <c r="EV941">
        <v>0</v>
      </c>
      <c r="EW941">
        <v>0</v>
      </c>
      <c r="EX941">
        <v>0</v>
      </c>
      <c r="FQ941">
        <v>0</v>
      </c>
      <c r="FR941">
        <f t="shared" si="680"/>
        <v>0</v>
      </c>
      <c r="FS941">
        <v>0</v>
      </c>
      <c r="FX941">
        <v>70</v>
      </c>
      <c r="FY941">
        <v>10</v>
      </c>
      <c r="GA941" t="s">
        <v>3</v>
      </c>
      <c r="GD941">
        <v>0</v>
      </c>
      <c r="GF941">
        <v>1463256945</v>
      </c>
      <c r="GG941">
        <v>2</v>
      </c>
      <c r="GH941">
        <v>1</v>
      </c>
      <c r="GI941">
        <v>-2</v>
      </c>
      <c r="GJ941">
        <v>0</v>
      </c>
      <c r="GK941">
        <f>ROUND(R941*(R12)/100,2)</f>
        <v>0</v>
      </c>
      <c r="GL941">
        <f t="shared" si="681"/>
        <v>0</v>
      </c>
      <c r="GM941">
        <f t="shared" si="682"/>
        <v>-864964.89</v>
      </c>
      <c r="GN941">
        <f t="shared" si="683"/>
        <v>0</v>
      </c>
      <c r="GO941">
        <f t="shared" si="684"/>
        <v>0</v>
      </c>
      <c r="GP941">
        <f t="shared" si="685"/>
        <v>-864964.89</v>
      </c>
      <c r="GR941">
        <v>0</v>
      </c>
      <c r="GS941">
        <v>3</v>
      </c>
      <c r="GT941">
        <v>0</v>
      </c>
      <c r="GU941" t="s">
        <v>3</v>
      </c>
      <c r="GV941">
        <f t="shared" si="686"/>
        <v>0</v>
      </c>
      <c r="GW941">
        <v>1</v>
      </c>
      <c r="GX941">
        <f t="shared" si="687"/>
        <v>0</v>
      </c>
      <c r="HA941">
        <v>0</v>
      </c>
      <c r="HB941">
        <v>0</v>
      </c>
      <c r="HC941">
        <f t="shared" si="688"/>
        <v>0</v>
      </c>
      <c r="HE941" t="s">
        <v>3</v>
      </c>
      <c r="HF941" t="s">
        <v>3</v>
      </c>
      <c r="IK941">
        <v>0</v>
      </c>
    </row>
    <row r="942" spans="1:245" x14ac:dyDescent="0.2">
      <c r="A942">
        <v>18</v>
      </c>
      <c r="B942">
        <v>1</v>
      </c>
      <c r="C942">
        <v>251</v>
      </c>
      <c r="E942" t="s">
        <v>350</v>
      </c>
      <c r="F942" t="s">
        <v>351</v>
      </c>
      <c r="G942" t="s">
        <v>352</v>
      </c>
      <c r="H942" t="s">
        <v>206</v>
      </c>
      <c r="I942">
        <f>I940*J942</f>
        <v>0</v>
      </c>
      <c r="J942">
        <v>0</v>
      </c>
      <c r="O942">
        <f t="shared" si="650"/>
        <v>0</v>
      </c>
      <c r="P942">
        <f t="shared" si="651"/>
        <v>0</v>
      </c>
      <c r="Q942">
        <f t="shared" si="652"/>
        <v>0</v>
      </c>
      <c r="R942">
        <f t="shared" si="653"/>
        <v>0</v>
      </c>
      <c r="S942">
        <f t="shared" si="654"/>
        <v>0</v>
      </c>
      <c r="T942">
        <f t="shared" si="655"/>
        <v>0</v>
      </c>
      <c r="U942">
        <f t="shared" si="656"/>
        <v>0</v>
      </c>
      <c r="V942">
        <f t="shared" si="657"/>
        <v>0</v>
      </c>
      <c r="W942">
        <f t="shared" si="658"/>
        <v>0</v>
      </c>
      <c r="X942">
        <f t="shared" si="659"/>
        <v>0</v>
      </c>
      <c r="Y942">
        <f t="shared" si="660"/>
        <v>0</v>
      </c>
      <c r="AA942">
        <v>38214492</v>
      </c>
      <c r="AB942">
        <f t="shared" si="661"/>
        <v>33945.129999999997</v>
      </c>
      <c r="AC942">
        <f t="shared" si="689"/>
        <v>33945.129999999997</v>
      </c>
      <c r="AD942">
        <f t="shared" si="662"/>
        <v>0</v>
      </c>
      <c r="AE942">
        <f t="shared" si="663"/>
        <v>0</v>
      </c>
      <c r="AF942">
        <f t="shared" si="664"/>
        <v>0</v>
      </c>
      <c r="AG942">
        <f t="shared" si="665"/>
        <v>0</v>
      </c>
      <c r="AH942">
        <f t="shared" si="666"/>
        <v>0</v>
      </c>
      <c r="AI942">
        <f t="shared" si="667"/>
        <v>0</v>
      </c>
      <c r="AJ942">
        <f t="shared" si="668"/>
        <v>0</v>
      </c>
      <c r="AK942">
        <v>33945.129999999997</v>
      </c>
      <c r="AL942">
        <v>33945.129999999997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70</v>
      </c>
      <c r="AU942">
        <v>10</v>
      </c>
      <c r="AV942">
        <v>1</v>
      </c>
      <c r="AW942">
        <v>1</v>
      </c>
      <c r="AZ942">
        <v>1</v>
      </c>
      <c r="BA942">
        <v>1</v>
      </c>
      <c r="BB942">
        <v>1</v>
      </c>
      <c r="BC942">
        <v>1</v>
      </c>
      <c r="BD942" t="s">
        <v>3</v>
      </c>
      <c r="BE942" t="s">
        <v>3</v>
      </c>
      <c r="BF942" t="s">
        <v>3</v>
      </c>
      <c r="BG942" t="s">
        <v>3</v>
      </c>
      <c r="BH942">
        <v>3</v>
      </c>
      <c r="BI942">
        <v>4</v>
      </c>
      <c r="BJ942" t="s">
        <v>353</v>
      </c>
      <c r="BM942">
        <v>0</v>
      </c>
      <c r="BN942">
        <v>0</v>
      </c>
      <c r="BO942" t="s">
        <v>3</v>
      </c>
      <c r="BP942">
        <v>0</v>
      </c>
      <c r="BQ942">
        <v>1</v>
      </c>
      <c r="BR942">
        <v>0</v>
      </c>
      <c r="BS942">
        <v>1</v>
      </c>
      <c r="BT942">
        <v>1</v>
      </c>
      <c r="BU942">
        <v>1</v>
      </c>
      <c r="BV942">
        <v>1</v>
      </c>
      <c r="BW942">
        <v>1</v>
      </c>
      <c r="BX942">
        <v>1</v>
      </c>
      <c r="BY942" t="s">
        <v>3</v>
      </c>
      <c r="BZ942">
        <v>70</v>
      </c>
      <c r="CA942">
        <v>10</v>
      </c>
      <c r="CE942">
        <v>0</v>
      </c>
      <c r="CF942">
        <v>0</v>
      </c>
      <c r="CG942">
        <v>0</v>
      </c>
      <c r="CM942">
        <v>0</v>
      </c>
      <c r="CN942" t="s">
        <v>3</v>
      </c>
      <c r="CO942">
        <v>0</v>
      </c>
      <c r="CP942">
        <f t="shared" si="669"/>
        <v>0</v>
      </c>
      <c r="CQ942">
        <f t="shared" si="670"/>
        <v>33945.129999999997</v>
      </c>
      <c r="CR942">
        <f t="shared" si="671"/>
        <v>0</v>
      </c>
      <c r="CS942">
        <f t="shared" si="672"/>
        <v>0</v>
      </c>
      <c r="CT942">
        <f t="shared" si="673"/>
        <v>0</v>
      </c>
      <c r="CU942">
        <f t="shared" si="674"/>
        <v>0</v>
      </c>
      <c r="CV942">
        <f t="shared" si="675"/>
        <v>0</v>
      </c>
      <c r="CW942">
        <f t="shared" si="676"/>
        <v>0</v>
      </c>
      <c r="CX942">
        <f t="shared" si="677"/>
        <v>0</v>
      </c>
      <c r="CY942">
        <f t="shared" si="678"/>
        <v>0</v>
      </c>
      <c r="CZ942">
        <f t="shared" si="679"/>
        <v>0</v>
      </c>
      <c r="DC942" t="s">
        <v>3</v>
      </c>
      <c r="DD942" t="s">
        <v>3</v>
      </c>
      <c r="DE942" t="s">
        <v>3</v>
      </c>
      <c r="DF942" t="s">
        <v>3</v>
      </c>
      <c r="DG942" t="s">
        <v>3</v>
      </c>
      <c r="DH942" t="s">
        <v>3</v>
      </c>
      <c r="DI942" t="s">
        <v>3</v>
      </c>
      <c r="DJ942" t="s">
        <v>3</v>
      </c>
      <c r="DK942" t="s">
        <v>3</v>
      </c>
      <c r="DL942" t="s">
        <v>3</v>
      </c>
      <c r="DM942" t="s">
        <v>3</v>
      </c>
      <c r="DN942">
        <v>0</v>
      </c>
      <c r="DO942">
        <v>0</v>
      </c>
      <c r="DP942">
        <v>1</v>
      </c>
      <c r="DQ942">
        <v>1</v>
      </c>
      <c r="DU942">
        <v>1007</v>
      </c>
      <c r="DV942" t="s">
        <v>206</v>
      </c>
      <c r="DW942" t="s">
        <v>206</v>
      </c>
      <c r="DX942">
        <v>1</v>
      </c>
      <c r="EE942">
        <v>38628631</v>
      </c>
      <c r="EF942">
        <v>1</v>
      </c>
      <c r="EG942" t="s">
        <v>24</v>
      </c>
      <c r="EH942">
        <v>0</v>
      </c>
      <c r="EI942" t="s">
        <v>3</v>
      </c>
      <c r="EJ942">
        <v>4</v>
      </c>
      <c r="EK942">
        <v>0</v>
      </c>
      <c r="EL942" t="s">
        <v>25</v>
      </c>
      <c r="EM942" t="s">
        <v>26</v>
      </c>
      <c r="EO942" t="s">
        <v>3</v>
      </c>
      <c r="EQ942">
        <v>0</v>
      </c>
      <c r="ER942">
        <v>33945.129999999997</v>
      </c>
      <c r="ES942">
        <v>33945.129999999997</v>
      </c>
      <c r="ET942">
        <v>0</v>
      </c>
      <c r="EU942">
        <v>0</v>
      </c>
      <c r="EV942">
        <v>0</v>
      </c>
      <c r="EW942">
        <v>0</v>
      </c>
      <c r="EX942">
        <v>0</v>
      </c>
      <c r="FQ942">
        <v>0</v>
      </c>
      <c r="FR942">
        <f t="shared" si="680"/>
        <v>0</v>
      </c>
      <c r="FS942">
        <v>0</v>
      </c>
      <c r="FX942">
        <v>70</v>
      </c>
      <c r="FY942">
        <v>10</v>
      </c>
      <c r="GA942" t="s">
        <v>3</v>
      </c>
      <c r="GD942">
        <v>0</v>
      </c>
      <c r="GF942">
        <v>-108478875</v>
      </c>
      <c r="GG942">
        <v>2</v>
      </c>
      <c r="GH942">
        <v>1</v>
      </c>
      <c r="GI942">
        <v>-2</v>
      </c>
      <c r="GJ942">
        <v>0</v>
      </c>
      <c r="GK942">
        <f>ROUND(R942*(R12)/100,2)</f>
        <v>0</v>
      </c>
      <c r="GL942">
        <f t="shared" si="681"/>
        <v>0</v>
      </c>
      <c r="GM942">
        <f t="shared" si="682"/>
        <v>0</v>
      </c>
      <c r="GN942">
        <f t="shared" si="683"/>
        <v>0</v>
      </c>
      <c r="GO942">
        <f t="shared" si="684"/>
        <v>0</v>
      </c>
      <c r="GP942">
        <f t="shared" si="685"/>
        <v>0</v>
      </c>
      <c r="GR942">
        <v>0</v>
      </c>
      <c r="GS942">
        <v>3</v>
      </c>
      <c r="GT942">
        <v>0</v>
      </c>
      <c r="GU942" t="s">
        <v>3</v>
      </c>
      <c r="GV942">
        <f t="shared" si="686"/>
        <v>0</v>
      </c>
      <c r="GW942">
        <v>1</v>
      </c>
      <c r="GX942">
        <f t="shared" si="687"/>
        <v>0</v>
      </c>
      <c r="HA942">
        <v>0</v>
      </c>
      <c r="HB942">
        <v>0</v>
      </c>
      <c r="HC942">
        <f t="shared" si="688"/>
        <v>0</v>
      </c>
      <c r="HE942" t="s">
        <v>3</v>
      </c>
      <c r="HF942" t="s">
        <v>3</v>
      </c>
      <c r="IK942">
        <v>0</v>
      </c>
    </row>
    <row r="943" spans="1:245" x14ac:dyDescent="0.2">
      <c r="A943">
        <v>17</v>
      </c>
      <c r="B943">
        <v>1</v>
      </c>
      <c r="E943" t="s">
        <v>160</v>
      </c>
      <c r="F943" t="s">
        <v>129</v>
      </c>
      <c r="G943" t="s">
        <v>354</v>
      </c>
      <c r="H943" t="s">
        <v>206</v>
      </c>
      <c r="I943">
        <v>162</v>
      </c>
      <c r="J943">
        <v>0</v>
      </c>
      <c r="O943">
        <f t="shared" si="650"/>
        <v>3120740.46</v>
      </c>
      <c r="P943">
        <f t="shared" si="651"/>
        <v>3120740.46</v>
      </c>
      <c r="Q943">
        <f t="shared" si="652"/>
        <v>0</v>
      </c>
      <c r="R943">
        <f t="shared" si="653"/>
        <v>0</v>
      </c>
      <c r="S943">
        <f t="shared" si="654"/>
        <v>0</v>
      </c>
      <c r="T943">
        <f t="shared" si="655"/>
        <v>0</v>
      </c>
      <c r="U943">
        <f t="shared" si="656"/>
        <v>0</v>
      </c>
      <c r="V943">
        <f t="shared" si="657"/>
        <v>0</v>
      </c>
      <c r="W943">
        <f t="shared" si="658"/>
        <v>0</v>
      </c>
      <c r="X943">
        <f t="shared" si="659"/>
        <v>0</v>
      </c>
      <c r="Y943">
        <f t="shared" si="660"/>
        <v>0</v>
      </c>
      <c r="AA943">
        <v>38214492</v>
      </c>
      <c r="AB943">
        <f t="shared" si="661"/>
        <v>19263.830000000002</v>
      </c>
      <c r="AC943">
        <f t="shared" si="689"/>
        <v>19263.830000000002</v>
      </c>
      <c r="AD943">
        <f t="shared" si="662"/>
        <v>0</v>
      </c>
      <c r="AE943">
        <f t="shared" si="663"/>
        <v>0</v>
      </c>
      <c r="AF943">
        <f t="shared" si="664"/>
        <v>0</v>
      </c>
      <c r="AG943">
        <f t="shared" si="665"/>
        <v>0</v>
      </c>
      <c r="AH943">
        <f t="shared" si="666"/>
        <v>0</v>
      </c>
      <c r="AI943">
        <f t="shared" si="667"/>
        <v>0</v>
      </c>
      <c r="AJ943">
        <f t="shared" si="668"/>
        <v>0</v>
      </c>
      <c r="AK943">
        <v>19263.830000000002</v>
      </c>
      <c r="AL943">
        <v>19263.830000000002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1</v>
      </c>
      <c r="AW943">
        <v>1</v>
      </c>
      <c r="AZ943">
        <v>1</v>
      </c>
      <c r="BA943">
        <v>1</v>
      </c>
      <c r="BB943">
        <v>1</v>
      </c>
      <c r="BC943">
        <v>1</v>
      </c>
      <c r="BD943" t="s">
        <v>3</v>
      </c>
      <c r="BE943" t="s">
        <v>3</v>
      </c>
      <c r="BF943" t="s">
        <v>3</v>
      </c>
      <c r="BG943" t="s">
        <v>3</v>
      </c>
      <c r="BH943">
        <v>3</v>
      </c>
      <c r="BI943">
        <v>1</v>
      </c>
      <c r="BJ943" t="s">
        <v>3</v>
      </c>
      <c r="BM943">
        <v>6001</v>
      </c>
      <c r="BN943">
        <v>0</v>
      </c>
      <c r="BO943" t="s">
        <v>3</v>
      </c>
      <c r="BP943">
        <v>0</v>
      </c>
      <c r="BQ943">
        <v>0</v>
      </c>
      <c r="BR943">
        <v>0</v>
      </c>
      <c r="BS943">
        <v>1</v>
      </c>
      <c r="BT943">
        <v>1</v>
      </c>
      <c r="BU943">
        <v>1</v>
      </c>
      <c r="BV943">
        <v>1</v>
      </c>
      <c r="BW943">
        <v>1</v>
      </c>
      <c r="BX943">
        <v>1</v>
      </c>
      <c r="BY943" t="s">
        <v>3</v>
      </c>
      <c r="BZ943">
        <v>0</v>
      </c>
      <c r="CA943">
        <v>0</v>
      </c>
      <c r="CE943">
        <v>0</v>
      </c>
      <c r="CF943">
        <v>0</v>
      </c>
      <c r="CG943">
        <v>0</v>
      </c>
      <c r="CM943">
        <v>0</v>
      </c>
      <c r="CN943" t="s">
        <v>3</v>
      </c>
      <c r="CO943">
        <v>0</v>
      </c>
      <c r="CP943">
        <f t="shared" si="669"/>
        <v>3120740.46</v>
      </c>
      <c r="CQ943">
        <f t="shared" si="670"/>
        <v>19263.830000000002</v>
      </c>
      <c r="CR943">
        <f t="shared" si="671"/>
        <v>0</v>
      </c>
      <c r="CS943">
        <f t="shared" si="672"/>
        <v>0</v>
      </c>
      <c r="CT943">
        <f t="shared" si="673"/>
        <v>0</v>
      </c>
      <c r="CU943">
        <f t="shared" si="674"/>
        <v>0</v>
      </c>
      <c r="CV943">
        <f t="shared" si="675"/>
        <v>0</v>
      </c>
      <c r="CW943">
        <f t="shared" si="676"/>
        <v>0</v>
      </c>
      <c r="CX943">
        <f t="shared" si="677"/>
        <v>0</v>
      </c>
      <c r="CY943">
        <f t="shared" si="678"/>
        <v>0</v>
      </c>
      <c r="CZ943">
        <f t="shared" si="679"/>
        <v>0</v>
      </c>
      <c r="DC943" t="s">
        <v>3</v>
      </c>
      <c r="DD943" t="s">
        <v>3</v>
      </c>
      <c r="DE943" t="s">
        <v>3</v>
      </c>
      <c r="DF943" t="s">
        <v>3</v>
      </c>
      <c r="DG943" t="s">
        <v>3</v>
      </c>
      <c r="DH943" t="s">
        <v>3</v>
      </c>
      <c r="DI943" t="s">
        <v>3</v>
      </c>
      <c r="DJ943" t="s">
        <v>3</v>
      </c>
      <c r="DK943" t="s">
        <v>3</v>
      </c>
      <c r="DL943" t="s">
        <v>3</v>
      </c>
      <c r="DM943" t="s">
        <v>3</v>
      </c>
      <c r="DN943">
        <v>0</v>
      </c>
      <c r="DO943">
        <v>0</v>
      </c>
      <c r="DP943">
        <v>1</v>
      </c>
      <c r="DQ943">
        <v>1</v>
      </c>
      <c r="DU943">
        <v>1007</v>
      </c>
      <c r="DV943" t="s">
        <v>206</v>
      </c>
      <c r="DW943" t="s">
        <v>206</v>
      </c>
      <c r="DX943">
        <v>1</v>
      </c>
      <c r="EE943">
        <v>38661473</v>
      </c>
      <c r="EF943">
        <v>0</v>
      </c>
      <c r="EG943" t="s">
        <v>130</v>
      </c>
      <c r="EH943">
        <v>0</v>
      </c>
      <c r="EI943" t="s">
        <v>3</v>
      </c>
      <c r="EJ943">
        <v>1</v>
      </c>
      <c r="EK943">
        <v>6001</v>
      </c>
      <c r="EL943" t="s">
        <v>131</v>
      </c>
      <c r="EM943" t="s">
        <v>130</v>
      </c>
      <c r="EO943" t="s">
        <v>3</v>
      </c>
      <c r="EQ943">
        <v>0</v>
      </c>
      <c r="ER943">
        <v>19263.830000000002</v>
      </c>
      <c r="ES943">
        <v>19263.830000000002</v>
      </c>
      <c r="ET943">
        <v>0</v>
      </c>
      <c r="EU943">
        <v>0</v>
      </c>
      <c r="EV943">
        <v>0</v>
      </c>
      <c r="EW943">
        <v>0</v>
      </c>
      <c r="EX943">
        <v>0</v>
      </c>
      <c r="EY943">
        <v>0</v>
      </c>
      <c r="EZ943">
        <v>5</v>
      </c>
      <c r="FC943">
        <v>1</v>
      </c>
      <c r="FD943">
        <v>18</v>
      </c>
      <c r="FF943">
        <v>23116.6</v>
      </c>
      <c r="FQ943">
        <v>0</v>
      </c>
      <c r="FR943">
        <f t="shared" si="680"/>
        <v>0</v>
      </c>
      <c r="FS943">
        <v>0</v>
      </c>
      <c r="FX943">
        <v>0</v>
      </c>
      <c r="FY943">
        <v>0</v>
      </c>
      <c r="GA943" t="s">
        <v>355</v>
      </c>
      <c r="GD943">
        <v>0</v>
      </c>
      <c r="GF943">
        <v>355861266</v>
      </c>
      <c r="GG943">
        <v>2</v>
      </c>
      <c r="GH943">
        <v>3</v>
      </c>
      <c r="GI943">
        <v>-2</v>
      </c>
      <c r="GJ943">
        <v>0</v>
      </c>
      <c r="GK943">
        <f>ROUND(R943*(R12)/100,2)</f>
        <v>0</v>
      </c>
      <c r="GL943">
        <f t="shared" si="681"/>
        <v>0</v>
      </c>
      <c r="GM943">
        <f t="shared" si="682"/>
        <v>3120740.46</v>
      </c>
      <c r="GN943">
        <f t="shared" si="683"/>
        <v>3120740.46</v>
      </c>
      <c r="GO943">
        <f t="shared" si="684"/>
        <v>0</v>
      </c>
      <c r="GP943">
        <f t="shared" si="685"/>
        <v>0</v>
      </c>
      <c r="GR943">
        <v>1</v>
      </c>
      <c r="GS943">
        <v>1</v>
      </c>
      <c r="GT943">
        <v>0</v>
      </c>
      <c r="GU943" t="s">
        <v>3</v>
      </c>
      <c r="GV943">
        <f t="shared" si="686"/>
        <v>0</v>
      </c>
      <c r="GW943">
        <v>1</v>
      </c>
      <c r="GX943">
        <f t="shared" si="687"/>
        <v>0</v>
      </c>
      <c r="HA943">
        <v>0</v>
      </c>
      <c r="HB943">
        <v>0</v>
      </c>
      <c r="HC943">
        <f t="shared" si="688"/>
        <v>0</v>
      </c>
      <c r="HE943" t="s">
        <v>153</v>
      </c>
      <c r="HF943" t="s">
        <v>153</v>
      </c>
      <c r="IK943">
        <v>0</v>
      </c>
    </row>
    <row r="944" spans="1:245" x14ac:dyDescent="0.2">
      <c r="A944">
        <v>17</v>
      </c>
      <c r="B944">
        <v>1</v>
      </c>
      <c r="C944">
        <f>ROW(SmtRes!A259)</f>
        <v>259</v>
      </c>
      <c r="D944">
        <f>ROW(EtalonRes!A255)</f>
        <v>255</v>
      </c>
      <c r="E944" t="s">
        <v>163</v>
      </c>
      <c r="F944" t="s">
        <v>356</v>
      </c>
      <c r="G944" t="s">
        <v>357</v>
      </c>
      <c r="H944" t="s">
        <v>22</v>
      </c>
      <c r="I944">
        <f>ROUND(I890,9)</f>
        <v>3.15</v>
      </c>
      <c r="J944">
        <v>0</v>
      </c>
      <c r="O944">
        <f t="shared" si="650"/>
        <v>137105.10999999999</v>
      </c>
      <c r="P944">
        <f t="shared" si="651"/>
        <v>69928.800000000003</v>
      </c>
      <c r="Q944">
        <f t="shared" si="652"/>
        <v>214.74</v>
      </c>
      <c r="R944">
        <f t="shared" si="653"/>
        <v>21.29</v>
      </c>
      <c r="S944">
        <f t="shared" si="654"/>
        <v>66961.570000000007</v>
      </c>
      <c r="T944">
        <f t="shared" si="655"/>
        <v>0</v>
      </c>
      <c r="U944">
        <f t="shared" si="656"/>
        <v>326.40300000000002</v>
      </c>
      <c r="V944">
        <f t="shared" si="657"/>
        <v>0</v>
      </c>
      <c r="W944">
        <f t="shared" si="658"/>
        <v>0</v>
      </c>
      <c r="X944">
        <f t="shared" si="659"/>
        <v>46873.1</v>
      </c>
      <c r="Y944">
        <f t="shared" si="660"/>
        <v>6696.16</v>
      </c>
      <c r="AA944">
        <v>38214492</v>
      </c>
      <c r="AB944">
        <f t="shared" si="661"/>
        <v>43525.43</v>
      </c>
      <c r="AC944">
        <f t="shared" si="689"/>
        <v>22199.62</v>
      </c>
      <c r="AD944">
        <f t="shared" si="662"/>
        <v>68.17</v>
      </c>
      <c r="AE944">
        <f t="shared" si="663"/>
        <v>6.76</v>
      </c>
      <c r="AF944">
        <f t="shared" si="664"/>
        <v>21257.64</v>
      </c>
      <c r="AG944">
        <f t="shared" si="665"/>
        <v>0</v>
      </c>
      <c r="AH944">
        <f t="shared" si="666"/>
        <v>103.62</v>
      </c>
      <c r="AI944">
        <f t="shared" si="667"/>
        <v>0</v>
      </c>
      <c r="AJ944">
        <f t="shared" si="668"/>
        <v>0</v>
      </c>
      <c r="AK944">
        <v>43525.43</v>
      </c>
      <c r="AL944">
        <v>22199.62</v>
      </c>
      <c r="AM944">
        <v>68.17</v>
      </c>
      <c r="AN944">
        <v>6.76</v>
      </c>
      <c r="AO944">
        <v>21257.64</v>
      </c>
      <c r="AP944">
        <v>0</v>
      </c>
      <c r="AQ944">
        <v>103.62</v>
      </c>
      <c r="AR944">
        <v>0</v>
      </c>
      <c r="AS944">
        <v>0</v>
      </c>
      <c r="AT944">
        <v>70</v>
      </c>
      <c r="AU944">
        <v>10</v>
      </c>
      <c r="AV944">
        <v>1</v>
      </c>
      <c r="AW944">
        <v>1</v>
      </c>
      <c r="AZ944">
        <v>1</v>
      </c>
      <c r="BA944">
        <v>1</v>
      </c>
      <c r="BB944">
        <v>1</v>
      </c>
      <c r="BC944">
        <v>1</v>
      </c>
      <c r="BD944" t="s">
        <v>3</v>
      </c>
      <c r="BE944" t="s">
        <v>3</v>
      </c>
      <c r="BF944" t="s">
        <v>3</v>
      </c>
      <c r="BG944" t="s">
        <v>3</v>
      </c>
      <c r="BH944">
        <v>0</v>
      </c>
      <c r="BI944">
        <v>4</v>
      </c>
      <c r="BJ944" t="s">
        <v>358</v>
      </c>
      <c r="BM944">
        <v>0</v>
      </c>
      <c r="BN944">
        <v>0</v>
      </c>
      <c r="BO944" t="s">
        <v>3</v>
      </c>
      <c r="BP944">
        <v>0</v>
      </c>
      <c r="BQ944">
        <v>1</v>
      </c>
      <c r="BR944">
        <v>0</v>
      </c>
      <c r="BS944">
        <v>1</v>
      </c>
      <c r="BT944">
        <v>1</v>
      </c>
      <c r="BU944">
        <v>1</v>
      </c>
      <c r="BV944">
        <v>1</v>
      </c>
      <c r="BW944">
        <v>1</v>
      </c>
      <c r="BX944">
        <v>1</v>
      </c>
      <c r="BY944" t="s">
        <v>3</v>
      </c>
      <c r="BZ944">
        <v>70</v>
      </c>
      <c r="CA944">
        <v>10</v>
      </c>
      <c r="CE944">
        <v>0</v>
      </c>
      <c r="CF944">
        <v>0</v>
      </c>
      <c r="CG944">
        <v>0</v>
      </c>
      <c r="CM944">
        <v>0</v>
      </c>
      <c r="CN944" t="s">
        <v>3</v>
      </c>
      <c r="CO944">
        <v>0</v>
      </c>
      <c r="CP944">
        <f t="shared" si="669"/>
        <v>137105.11000000002</v>
      </c>
      <c r="CQ944">
        <f t="shared" si="670"/>
        <v>22199.62</v>
      </c>
      <c r="CR944">
        <f t="shared" si="671"/>
        <v>68.17</v>
      </c>
      <c r="CS944">
        <f t="shared" si="672"/>
        <v>6.76</v>
      </c>
      <c r="CT944">
        <f t="shared" si="673"/>
        <v>21257.64</v>
      </c>
      <c r="CU944">
        <f t="shared" si="674"/>
        <v>0</v>
      </c>
      <c r="CV944">
        <f t="shared" si="675"/>
        <v>103.62</v>
      </c>
      <c r="CW944">
        <f t="shared" si="676"/>
        <v>0</v>
      </c>
      <c r="CX944">
        <f t="shared" si="677"/>
        <v>0</v>
      </c>
      <c r="CY944">
        <f t="shared" si="678"/>
        <v>46873.099000000002</v>
      </c>
      <c r="CZ944">
        <f t="shared" si="679"/>
        <v>6696.1570000000011</v>
      </c>
      <c r="DC944" t="s">
        <v>3</v>
      </c>
      <c r="DD944" t="s">
        <v>3</v>
      </c>
      <c r="DE944" t="s">
        <v>3</v>
      </c>
      <c r="DF944" t="s">
        <v>3</v>
      </c>
      <c r="DG944" t="s">
        <v>3</v>
      </c>
      <c r="DH944" t="s">
        <v>3</v>
      </c>
      <c r="DI944" t="s">
        <v>3</v>
      </c>
      <c r="DJ944" t="s">
        <v>3</v>
      </c>
      <c r="DK944" t="s">
        <v>3</v>
      </c>
      <c r="DL944" t="s">
        <v>3</v>
      </c>
      <c r="DM944" t="s">
        <v>3</v>
      </c>
      <c r="DN944">
        <v>0</v>
      </c>
      <c r="DO944">
        <v>0</v>
      </c>
      <c r="DP944">
        <v>1</v>
      </c>
      <c r="DQ944">
        <v>1</v>
      </c>
      <c r="DU944">
        <v>1005</v>
      </c>
      <c r="DV944" t="s">
        <v>22</v>
      </c>
      <c r="DW944" t="s">
        <v>22</v>
      </c>
      <c r="DX944">
        <v>100</v>
      </c>
      <c r="EE944">
        <v>38628631</v>
      </c>
      <c r="EF944">
        <v>1</v>
      </c>
      <c r="EG944" t="s">
        <v>24</v>
      </c>
      <c r="EH944">
        <v>0</v>
      </c>
      <c r="EI944" t="s">
        <v>3</v>
      </c>
      <c r="EJ944">
        <v>4</v>
      </c>
      <c r="EK944">
        <v>0</v>
      </c>
      <c r="EL944" t="s">
        <v>25</v>
      </c>
      <c r="EM944" t="s">
        <v>26</v>
      </c>
      <c r="EO944" t="s">
        <v>3</v>
      </c>
      <c r="EQ944">
        <v>0</v>
      </c>
      <c r="ER944">
        <v>43525.43</v>
      </c>
      <c r="ES944">
        <v>22199.62</v>
      </c>
      <c r="ET944">
        <v>68.17</v>
      </c>
      <c r="EU944">
        <v>6.76</v>
      </c>
      <c r="EV944">
        <v>21257.64</v>
      </c>
      <c r="EW944">
        <v>103.62</v>
      </c>
      <c r="EX944">
        <v>0</v>
      </c>
      <c r="EY944">
        <v>0</v>
      </c>
      <c r="FQ944">
        <v>0</v>
      </c>
      <c r="FR944">
        <f t="shared" si="680"/>
        <v>0</v>
      </c>
      <c r="FS944">
        <v>0</v>
      </c>
      <c r="FX944">
        <v>70</v>
      </c>
      <c r="FY944">
        <v>10</v>
      </c>
      <c r="GA944" t="s">
        <v>3</v>
      </c>
      <c r="GD944">
        <v>0</v>
      </c>
      <c r="GF944">
        <v>730542349</v>
      </c>
      <c r="GG944">
        <v>2</v>
      </c>
      <c r="GH944">
        <v>1</v>
      </c>
      <c r="GI944">
        <v>-2</v>
      </c>
      <c r="GJ944">
        <v>0</v>
      </c>
      <c r="GK944">
        <f>ROUND(R944*(R12)/100,2)</f>
        <v>22.99</v>
      </c>
      <c r="GL944">
        <f t="shared" si="681"/>
        <v>0</v>
      </c>
      <c r="GM944">
        <f t="shared" si="682"/>
        <v>190697.36</v>
      </c>
      <c r="GN944">
        <f t="shared" si="683"/>
        <v>0</v>
      </c>
      <c r="GO944">
        <f t="shared" si="684"/>
        <v>0</v>
      </c>
      <c r="GP944">
        <f t="shared" si="685"/>
        <v>190697.36</v>
      </c>
      <c r="GR944">
        <v>0</v>
      </c>
      <c r="GS944">
        <v>3</v>
      </c>
      <c r="GT944">
        <v>0</v>
      </c>
      <c r="GU944" t="s">
        <v>3</v>
      </c>
      <c r="GV944">
        <f t="shared" si="686"/>
        <v>0</v>
      </c>
      <c r="GW944">
        <v>1</v>
      </c>
      <c r="GX944">
        <f t="shared" si="687"/>
        <v>0</v>
      </c>
      <c r="HA944">
        <v>0</v>
      </c>
      <c r="HB944">
        <v>0</v>
      </c>
      <c r="HC944">
        <f t="shared" si="688"/>
        <v>0</v>
      </c>
      <c r="HE944" t="s">
        <v>3</v>
      </c>
      <c r="HF944" t="s">
        <v>3</v>
      </c>
      <c r="IK944">
        <v>0</v>
      </c>
    </row>
    <row r="945" spans="1:245" x14ac:dyDescent="0.2">
      <c r="A945">
        <v>17</v>
      </c>
      <c r="B945">
        <v>1</v>
      </c>
      <c r="C945">
        <f>ROW(SmtRes!A264)</f>
        <v>264</v>
      </c>
      <c r="D945">
        <f>ROW(EtalonRes!A260)</f>
        <v>260</v>
      </c>
      <c r="E945" t="s">
        <v>166</v>
      </c>
      <c r="F945" t="s">
        <v>359</v>
      </c>
      <c r="G945" t="s">
        <v>360</v>
      </c>
      <c r="H945" t="s">
        <v>22</v>
      </c>
      <c r="I945">
        <f>ROUND(I944*0.5,9)</f>
        <v>1.575</v>
      </c>
      <c r="J945">
        <v>0</v>
      </c>
      <c r="O945">
        <f t="shared" si="650"/>
        <v>12875.83</v>
      </c>
      <c r="P945">
        <f t="shared" si="651"/>
        <v>4731.6899999999996</v>
      </c>
      <c r="Q945">
        <f t="shared" si="652"/>
        <v>209.57</v>
      </c>
      <c r="R945">
        <f t="shared" si="653"/>
        <v>0.87</v>
      </c>
      <c r="S945">
        <f t="shared" si="654"/>
        <v>7934.57</v>
      </c>
      <c r="T945">
        <f t="shared" si="655"/>
        <v>0</v>
      </c>
      <c r="U945">
        <f t="shared" si="656"/>
        <v>39.485250000000001</v>
      </c>
      <c r="V945">
        <f t="shared" si="657"/>
        <v>0</v>
      </c>
      <c r="W945">
        <f t="shared" si="658"/>
        <v>0</v>
      </c>
      <c r="X945">
        <f t="shared" si="659"/>
        <v>5554.2</v>
      </c>
      <c r="Y945">
        <f t="shared" si="660"/>
        <v>793.46</v>
      </c>
      <c r="AA945">
        <v>38214492</v>
      </c>
      <c r="AB945">
        <f t="shared" si="661"/>
        <v>8175.13</v>
      </c>
      <c r="AC945">
        <f t="shared" si="689"/>
        <v>3004.25</v>
      </c>
      <c r="AD945">
        <f t="shared" si="662"/>
        <v>133.06</v>
      </c>
      <c r="AE945">
        <f t="shared" si="663"/>
        <v>0.55000000000000004</v>
      </c>
      <c r="AF945">
        <f t="shared" si="664"/>
        <v>5037.82</v>
      </c>
      <c r="AG945">
        <f t="shared" si="665"/>
        <v>0</v>
      </c>
      <c r="AH945">
        <f t="shared" si="666"/>
        <v>25.07</v>
      </c>
      <c r="AI945">
        <f t="shared" si="667"/>
        <v>0</v>
      </c>
      <c r="AJ945">
        <f t="shared" si="668"/>
        <v>0</v>
      </c>
      <c r="AK945">
        <v>8175.13</v>
      </c>
      <c r="AL945">
        <v>3004.25</v>
      </c>
      <c r="AM945">
        <v>133.06</v>
      </c>
      <c r="AN945">
        <v>0.55000000000000004</v>
      </c>
      <c r="AO945">
        <v>5037.82</v>
      </c>
      <c r="AP945">
        <v>0</v>
      </c>
      <c r="AQ945">
        <v>25.07</v>
      </c>
      <c r="AR945">
        <v>0</v>
      </c>
      <c r="AS945">
        <v>0</v>
      </c>
      <c r="AT945">
        <v>70</v>
      </c>
      <c r="AU945">
        <v>10</v>
      </c>
      <c r="AV945">
        <v>1</v>
      </c>
      <c r="AW945">
        <v>1</v>
      </c>
      <c r="AZ945">
        <v>1</v>
      </c>
      <c r="BA945">
        <v>1</v>
      </c>
      <c r="BB945">
        <v>1</v>
      </c>
      <c r="BC945">
        <v>1</v>
      </c>
      <c r="BD945" t="s">
        <v>3</v>
      </c>
      <c r="BE945" t="s">
        <v>3</v>
      </c>
      <c r="BF945" t="s">
        <v>3</v>
      </c>
      <c r="BG945" t="s">
        <v>3</v>
      </c>
      <c r="BH945">
        <v>0</v>
      </c>
      <c r="BI945">
        <v>4</v>
      </c>
      <c r="BJ945" t="s">
        <v>361</v>
      </c>
      <c r="BM945">
        <v>0</v>
      </c>
      <c r="BN945">
        <v>0</v>
      </c>
      <c r="BO945" t="s">
        <v>3</v>
      </c>
      <c r="BP945">
        <v>0</v>
      </c>
      <c r="BQ945">
        <v>1</v>
      </c>
      <c r="BR945">
        <v>0</v>
      </c>
      <c r="BS945">
        <v>1</v>
      </c>
      <c r="BT945">
        <v>1</v>
      </c>
      <c r="BU945">
        <v>1</v>
      </c>
      <c r="BV945">
        <v>1</v>
      </c>
      <c r="BW945">
        <v>1</v>
      </c>
      <c r="BX945">
        <v>1</v>
      </c>
      <c r="BY945" t="s">
        <v>3</v>
      </c>
      <c r="BZ945">
        <v>70</v>
      </c>
      <c r="CA945">
        <v>10</v>
      </c>
      <c r="CE945">
        <v>0</v>
      </c>
      <c r="CF945">
        <v>0</v>
      </c>
      <c r="CG945">
        <v>0</v>
      </c>
      <c r="CM945">
        <v>0</v>
      </c>
      <c r="CN945" t="s">
        <v>3</v>
      </c>
      <c r="CO945">
        <v>0</v>
      </c>
      <c r="CP945">
        <f t="shared" si="669"/>
        <v>12875.829999999998</v>
      </c>
      <c r="CQ945">
        <f t="shared" si="670"/>
        <v>3004.25</v>
      </c>
      <c r="CR945">
        <f t="shared" si="671"/>
        <v>133.06</v>
      </c>
      <c r="CS945">
        <f t="shared" si="672"/>
        <v>0.55000000000000004</v>
      </c>
      <c r="CT945">
        <f t="shared" si="673"/>
        <v>5037.82</v>
      </c>
      <c r="CU945">
        <f t="shared" si="674"/>
        <v>0</v>
      </c>
      <c r="CV945">
        <f t="shared" si="675"/>
        <v>25.07</v>
      </c>
      <c r="CW945">
        <f t="shared" si="676"/>
        <v>0</v>
      </c>
      <c r="CX945">
        <f t="shared" si="677"/>
        <v>0</v>
      </c>
      <c r="CY945">
        <f t="shared" si="678"/>
        <v>5554.1990000000005</v>
      </c>
      <c r="CZ945">
        <f t="shared" si="679"/>
        <v>793.45699999999999</v>
      </c>
      <c r="DC945" t="s">
        <v>3</v>
      </c>
      <c r="DD945" t="s">
        <v>3</v>
      </c>
      <c r="DE945" t="s">
        <v>3</v>
      </c>
      <c r="DF945" t="s">
        <v>3</v>
      </c>
      <c r="DG945" t="s">
        <v>3</v>
      </c>
      <c r="DH945" t="s">
        <v>3</v>
      </c>
      <c r="DI945" t="s">
        <v>3</v>
      </c>
      <c r="DJ945" t="s">
        <v>3</v>
      </c>
      <c r="DK945" t="s">
        <v>3</v>
      </c>
      <c r="DL945" t="s">
        <v>3</v>
      </c>
      <c r="DM945" t="s">
        <v>3</v>
      </c>
      <c r="DN945">
        <v>0</v>
      </c>
      <c r="DO945">
        <v>0</v>
      </c>
      <c r="DP945">
        <v>1</v>
      </c>
      <c r="DQ945">
        <v>1</v>
      </c>
      <c r="DU945">
        <v>1005</v>
      </c>
      <c r="DV945" t="s">
        <v>22</v>
      </c>
      <c r="DW945" t="s">
        <v>22</v>
      </c>
      <c r="DX945">
        <v>100</v>
      </c>
      <c r="EE945">
        <v>38628631</v>
      </c>
      <c r="EF945">
        <v>1</v>
      </c>
      <c r="EG945" t="s">
        <v>24</v>
      </c>
      <c r="EH945">
        <v>0</v>
      </c>
      <c r="EI945" t="s">
        <v>3</v>
      </c>
      <c r="EJ945">
        <v>4</v>
      </c>
      <c r="EK945">
        <v>0</v>
      </c>
      <c r="EL945" t="s">
        <v>25</v>
      </c>
      <c r="EM945" t="s">
        <v>26</v>
      </c>
      <c r="EO945" t="s">
        <v>3</v>
      </c>
      <c r="EQ945">
        <v>0</v>
      </c>
      <c r="ER945">
        <v>8175.13</v>
      </c>
      <c r="ES945">
        <v>3004.25</v>
      </c>
      <c r="ET945">
        <v>133.06</v>
      </c>
      <c r="EU945">
        <v>0.55000000000000004</v>
      </c>
      <c r="EV945">
        <v>5037.82</v>
      </c>
      <c r="EW945">
        <v>25.07</v>
      </c>
      <c r="EX945">
        <v>0</v>
      </c>
      <c r="EY945">
        <v>0</v>
      </c>
      <c r="FQ945">
        <v>0</v>
      </c>
      <c r="FR945">
        <f t="shared" si="680"/>
        <v>0</v>
      </c>
      <c r="FS945">
        <v>0</v>
      </c>
      <c r="FX945">
        <v>70</v>
      </c>
      <c r="FY945">
        <v>10</v>
      </c>
      <c r="GA945" t="s">
        <v>3</v>
      </c>
      <c r="GD945">
        <v>0</v>
      </c>
      <c r="GF945">
        <v>1264126237</v>
      </c>
      <c r="GG945">
        <v>2</v>
      </c>
      <c r="GH945">
        <v>1</v>
      </c>
      <c r="GI945">
        <v>-2</v>
      </c>
      <c r="GJ945">
        <v>0</v>
      </c>
      <c r="GK945">
        <f>ROUND(R945*(R12)/100,2)</f>
        <v>0.94</v>
      </c>
      <c r="GL945">
        <f t="shared" si="681"/>
        <v>0</v>
      </c>
      <c r="GM945">
        <f t="shared" si="682"/>
        <v>19224.43</v>
      </c>
      <c r="GN945">
        <f t="shared" si="683"/>
        <v>0</v>
      </c>
      <c r="GO945">
        <f t="shared" si="684"/>
        <v>0</v>
      </c>
      <c r="GP945">
        <f t="shared" si="685"/>
        <v>19224.43</v>
      </c>
      <c r="GR945">
        <v>0</v>
      </c>
      <c r="GS945">
        <v>3</v>
      </c>
      <c r="GT945">
        <v>0</v>
      </c>
      <c r="GU945" t="s">
        <v>3</v>
      </c>
      <c r="GV945">
        <f t="shared" si="686"/>
        <v>0</v>
      </c>
      <c r="GW945">
        <v>1</v>
      </c>
      <c r="GX945">
        <f t="shared" si="687"/>
        <v>0</v>
      </c>
      <c r="HA945">
        <v>0</v>
      </c>
      <c r="HB945">
        <v>0</v>
      </c>
      <c r="HC945">
        <f t="shared" si="688"/>
        <v>0</v>
      </c>
      <c r="HE945" t="s">
        <v>3</v>
      </c>
      <c r="HF945" t="s">
        <v>3</v>
      </c>
      <c r="IK945">
        <v>0</v>
      </c>
    </row>
    <row r="946" spans="1:245" x14ac:dyDescent="0.2">
      <c r="A946">
        <v>17</v>
      </c>
      <c r="B946">
        <v>1</v>
      </c>
      <c r="C946">
        <f>ROW(SmtRes!A266)</f>
        <v>266</v>
      </c>
      <c r="E946" t="s">
        <v>170</v>
      </c>
      <c r="F946" t="s">
        <v>362</v>
      </c>
      <c r="G946" t="s">
        <v>363</v>
      </c>
      <c r="H946" t="s">
        <v>206</v>
      </c>
      <c r="I946">
        <v>0</v>
      </c>
      <c r="J946">
        <v>0</v>
      </c>
      <c r="O946">
        <f t="shared" si="650"/>
        <v>0</v>
      </c>
      <c r="P946">
        <f t="shared" si="651"/>
        <v>0</v>
      </c>
      <c r="Q946">
        <f t="shared" si="652"/>
        <v>0</v>
      </c>
      <c r="R946">
        <f t="shared" si="653"/>
        <v>0</v>
      </c>
      <c r="S946">
        <f t="shared" si="654"/>
        <v>0</v>
      </c>
      <c r="T946">
        <f t="shared" si="655"/>
        <v>0</v>
      </c>
      <c r="U946">
        <f t="shared" si="656"/>
        <v>0</v>
      </c>
      <c r="V946">
        <f t="shared" si="657"/>
        <v>0</v>
      </c>
      <c r="W946">
        <f t="shared" si="658"/>
        <v>0</v>
      </c>
      <c r="X946">
        <f t="shared" si="659"/>
        <v>0</v>
      </c>
      <c r="Y946">
        <f t="shared" si="660"/>
        <v>0</v>
      </c>
      <c r="AA946">
        <v>38214492</v>
      </c>
      <c r="AB946">
        <f t="shared" si="661"/>
        <v>18369.96</v>
      </c>
      <c r="AC946">
        <f t="shared" si="689"/>
        <v>8573.68</v>
      </c>
      <c r="AD946">
        <f t="shared" si="662"/>
        <v>32.68</v>
      </c>
      <c r="AE946">
        <f t="shared" si="663"/>
        <v>3.29</v>
      </c>
      <c r="AF946">
        <f t="shared" si="664"/>
        <v>9763.6</v>
      </c>
      <c r="AG946">
        <f t="shared" si="665"/>
        <v>0</v>
      </c>
      <c r="AH946">
        <f t="shared" si="666"/>
        <v>47.38</v>
      </c>
      <c r="AI946">
        <f t="shared" si="667"/>
        <v>0</v>
      </c>
      <c r="AJ946">
        <f t="shared" si="668"/>
        <v>0</v>
      </c>
      <c r="AK946">
        <v>18369.96</v>
      </c>
      <c r="AL946">
        <v>8573.68</v>
      </c>
      <c r="AM946">
        <v>32.68</v>
      </c>
      <c r="AN946">
        <v>3.29</v>
      </c>
      <c r="AO946">
        <v>9763.6</v>
      </c>
      <c r="AP946">
        <v>0</v>
      </c>
      <c r="AQ946">
        <v>47.38</v>
      </c>
      <c r="AR946">
        <v>0</v>
      </c>
      <c r="AS946">
        <v>0</v>
      </c>
      <c r="AT946">
        <v>70</v>
      </c>
      <c r="AU946">
        <v>10</v>
      </c>
      <c r="AV946">
        <v>1</v>
      </c>
      <c r="AW946">
        <v>1</v>
      </c>
      <c r="AZ946">
        <v>1</v>
      </c>
      <c r="BA946">
        <v>1</v>
      </c>
      <c r="BB946">
        <v>1</v>
      </c>
      <c r="BC946">
        <v>1</v>
      </c>
      <c r="BD946" t="s">
        <v>3</v>
      </c>
      <c r="BE946" t="s">
        <v>3</v>
      </c>
      <c r="BF946" t="s">
        <v>3</v>
      </c>
      <c r="BG946" t="s">
        <v>3</v>
      </c>
      <c r="BH946">
        <v>0</v>
      </c>
      <c r="BI946">
        <v>4</v>
      </c>
      <c r="BJ946" t="s">
        <v>364</v>
      </c>
      <c r="BM946">
        <v>0</v>
      </c>
      <c r="BN946">
        <v>0</v>
      </c>
      <c r="BO946" t="s">
        <v>3</v>
      </c>
      <c r="BP946">
        <v>0</v>
      </c>
      <c r="BQ946">
        <v>1</v>
      </c>
      <c r="BR946">
        <v>0</v>
      </c>
      <c r="BS946">
        <v>1</v>
      </c>
      <c r="BT946">
        <v>1</v>
      </c>
      <c r="BU946">
        <v>1</v>
      </c>
      <c r="BV946">
        <v>1</v>
      </c>
      <c r="BW946">
        <v>1</v>
      </c>
      <c r="BX946">
        <v>1</v>
      </c>
      <c r="BY946" t="s">
        <v>3</v>
      </c>
      <c r="BZ946">
        <v>70</v>
      </c>
      <c r="CA946">
        <v>10</v>
      </c>
      <c r="CE946">
        <v>0</v>
      </c>
      <c r="CF946">
        <v>0</v>
      </c>
      <c r="CG946">
        <v>0</v>
      </c>
      <c r="CM946">
        <v>0</v>
      </c>
      <c r="CN946" t="s">
        <v>3</v>
      </c>
      <c r="CO946">
        <v>0</v>
      </c>
      <c r="CP946">
        <f t="shared" si="669"/>
        <v>0</v>
      </c>
      <c r="CQ946">
        <f t="shared" si="670"/>
        <v>8573.68</v>
      </c>
      <c r="CR946">
        <f t="shared" si="671"/>
        <v>32.68</v>
      </c>
      <c r="CS946">
        <f t="shared" si="672"/>
        <v>3.29</v>
      </c>
      <c r="CT946">
        <f t="shared" si="673"/>
        <v>9763.6</v>
      </c>
      <c r="CU946">
        <f t="shared" si="674"/>
        <v>0</v>
      </c>
      <c r="CV946">
        <f t="shared" si="675"/>
        <v>47.38</v>
      </c>
      <c r="CW946">
        <f t="shared" si="676"/>
        <v>0</v>
      </c>
      <c r="CX946">
        <f t="shared" si="677"/>
        <v>0</v>
      </c>
      <c r="CY946">
        <f t="shared" si="678"/>
        <v>0</v>
      </c>
      <c r="CZ946">
        <f t="shared" si="679"/>
        <v>0</v>
      </c>
      <c r="DC946" t="s">
        <v>3</v>
      </c>
      <c r="DD946" t="s">
        <v>3</v>
      </c>
      <c r="DE946" t="s">
        <v>3</v>
      </c>
      <c r="DF946" t="s">
        <v>3</v>
      </c>
      <c r="DG946" t="s">
        <v>3</v>
      </c>
      <c r="DH946" t="s">
        <v>3</v>
      </c>
      <c r="DI946" t="s">
        <v>3</v>
      </c>
      <c r="DJ946" t="s">
        <v>3</v>
      </c>
      <c r="DK946" t="s">
        <v>3</v>
      </c>
      <c r="DL946" t="s">
        <v>3</v>
      </c>
      <c r="DM946" t="s">
        <v>3</v>
      </c>
      <c r="DN946">
        <v>0</v>
      </c>
      <c r="DO946">
        <v>0</v>
      </c>
      <c r="DP946">
        <v>1</v>
      </c>
      <c r="DQ946">
        <v>1</v>
      </c>
      <c r="DU946">
        <v>1007</v>
      </c>
      <c r="DV946" t="s">
        <v>206</v>
      </c>
      <c r="DW946" t="s">
        <v>206</v>
      </c>
      <c r="DX946">
        <v>1</v>
      </c>
      <c r="EE946">
        <v>38628631</v>
      </c>
      <c r="EF946">
        <v>1</v>
      </c>
      <c r="EG946" t="s">
        <v>24</v>
      </c>
      <c r="EH946">
        <v>0</v>
      </c>
      <c r="EI946" t="s">
        <v>3</v>
      </c>
      <c r="EJ946">
        <v>4</v>
      </c>
      <c r="EK946">
        <v>0</v>
      </c>
      <c r="EL946" t="s">
        <v>25</v>
      </c>
      <c r="EM946" t="s">
        <v>26</v>
      </c>
      <c r="EO946" t="s">
        <v>3</v>
      </c>
      <c r="EQ946">
        <v>0</v>
      </c>
      <c r="ER946">
        <v>18369.96</v>
      </c>
      <c r="ES946">
        <v>8573.68</v>
      </c>
      <c r="ET946">
        <v>32.68</v>
      </c>
      <c r="EU946">
        <v>3.29</v>
      </c>
      <c r="EV946">
        <v>9763.6</v>
      </c>
      <c r="EW946">
        <v>47.38</v>
      </c>
      <c r="EX946">
        <v>0</v>
      </c>
      <c r="EY946">
        <v>0</v>
      </c>
      <c r="FQ946">
        <v>0</v>
      </c>
      <c r="FR946">
        <f t="shared" si="680"/>
        <v>0</v>
      </c>
      <c r="FS946">
        <v>0</v>
      </c>
      <c r="FX946">
        <v>70</v>
      </c>
      <c r="FY946">
        <v>10</v>
      </c>
      <c r="GA946" t="s">
        <v>3</v>
      </c>
      <c r="GD946">
        <v>0</v>
      </c>
      <c r="GF946">
        <v>-498908757</v>
      </c>
      <c r="GG946">
        <v>2</v>
      </c>
      <c r="GH946">
        <v>1</v>
      </c>
      <c r="GI946">
        <v>-2</v>
      </c>
      <c r="GJ946">
        <v>0</v>
      </c>
      <c r="GK946">
        <f>ROUND(R946*(R12)/100,2)</f>
        <v>0</v>
      </c>
      <c r="GL946">
        <f t="shared" si="681"/>
        <v>0</v>
      </c>
      <c r="GM946">
        <f t="shared" si="682"/>
        <v>0</v>
      </c>
      <c r="GN946">
        <f t="shared" si="683"/>
        <v>0</v>
      </c>
      <c r="GO946">
        <f t="shared" si="684"/>
        <v>0</v>
      </c>
      <c r="GP946">
        <f t="shared" si="685"/>
        <v>0</v>
      </c>
      <c r="GR946">
        <v>0</v>
      </c>
      <c r="GS946">
        <v>0</v>
      </c>
      <c r="GT946">
        <v>0</v>
      </c>
      <c r="GU946" t="s">
        <v>3</v>
      </c>
      <c r="GV946">
        <f t="shared" si="686"/>
        <v>0</v>
      </c>
      <c r="GW946">
        <v>1</v>
      </c>
      <c r="GX946">
        <f t="shared" si="687"/>
        <v>0</v>
      </c>
      <c r="HA946">
        <v>0</v>
      </c>
      <c r="HB946">
        <v>0</v>
      </c>
      <c r="HC946">
        <f t="shared" si="688"/>
        <v>0</v>
      </c>
      <c r="HE946" t="s">
        <v>3</v>
      </c>
      <c r="HF946" t="s">
        <v>3</v>
      </c>
      <c r="IK946">
        <v>0</v>
      </c>
    </row>
    <row r="947" spans="1:245" x14ac:dyDescent="0.2">
      <c r="A947">
        <v>18</v>
      </c>
      <c r="B947">
        <v>1</v>
      </c>
      <c r="C947">
        <v>265</v>
      </c>
      <c r="E947" t="s">
        <v>365</v>
      </c>
      <c r="F947" t="s">
        <v>366</v>
      </c>
      <c r="G947" t="s">
        <v>367</v>
      </c>
      <c r="H947" t="s">
        <v>206</v>
      </c>
      <c r="I947">
        <f>I946*J947</f>
        <v>0</v>
      </c>
      <c r="J947">
        <v>-0.96</v>
      </c>
      <c r="O947">
        <f t="shared" si="650"/>
        <v>0</v>
      </c>
      <c r="P947">
        <f t="shared" si="651"/>
        <v>0</v>
      </c>
      <c r="Q947">
        <f t="shared" si="652"/>
        <v>0</v>
      </c>
      <c r="R947">
        <f t="shared" si="653"/>
        <v>0</v>
      </c>
      <c r="S947">
        <f t="shared" si="654"/>
        <v>0</v>
      </c>
      <c r="T947">
        <f t="shared" si="655"/>
        <v>0</v>
      </c>
      <c r="U947">
        <f t="shared" si="656"/>
        <v>0</v>
      </c>
      <c r="V947">
        <f t="shared" si="657"/>
        <v>0</v>
      </c>
      <c r="W947">
        <f t="shared" si="658"/>
        <v>0</v>
      </c>
      <c r="X947">
        <f t="shared" si="659"/>
        <v>0</v>
      </c>
      <c r="Y947">
        <f t="shared" si="660"/>
        <v>0</v>
      </c>
      <c r="AA947">
        <v>38214492</v>
      </c>
      <c r="AB947">
        <f t="shared" si="661"/>
        <v>5578.47</v>
      </c>
      <c r="AC947">
        <f t="shared" si="689"/>
        <v>5578.47</v>
      </c>
      <c r="AD947">
        <f t="shared" si="662"/>
        <v>0</v>
      </c>
      <c r="AE947">
        <f t="shared" si="663"/>
        <v>0</v>
      </c>
      <c r="AF947">
        <f t="shared" si="664"/>
        <v>0</v>
      </c>
      <c r="AG947">
        <f t="shared" si="665"/>
        <v>0</v>
      </c>
      <c r="AH947">
        <f t="shared" si="666"/>
        <v>0</v>
      </c>
      <c r="AI947">
        <f t="shared" si="667"/>
        <v>0</v>
      </c>
      <c r="AJ947">
        <f t="shared" si="668"/>
        <v>0</v>
      </c>
      <c r="AK947">
        <v>5578.47</v>
      </c>
      <c r="AL947">
        <v>5578.47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70</v>
      </c>
      <c r="AU947">
        <v>10</v>
      </c>
      <c r="AV947">
        <v>1</v>
      </c>
      <c r="AW947">
        <v>1</v>
      </c>
      <c r="AZ947">
        <v>1</v>
      </c>
      <c r="BA947">
        <v>1</v>
      </c>
      <c r="BB947">
        <v>1</v>
      </c>
      <c r="BC947">
        <v>1</v>
      </c>
      <c r="BD947" t="s">
        <v>3</v>
      </c>
      <c r="BE947" t="s">
        <v>3</v>
      </c>
      <c r="BF947" t="s">
        <v>3</v>
      </c>
      <c r="BG947" t="s">
        <v>3</v>
      </c>
      <c r="BH947">
        <v>3</v>
      </c>
      <c r="BI947">
        <v>4</v>
      </c>
      <c r="BJ947" t="s">
        <v>368</v>
      </c>
      <c r="BM947">
        <v>0</v>
      </c>
      <c r="BN947">
        <v>0</v>
      </c>
      <c r="BO947" t="s">
        <v>3</v>
      </c>
      <c r="BP947">
        <v>0</v>
      </c>
      <c r="BQ947">
        <v>1</v>
      </c>
      <c r="BR947">
        <v>1</v>
      </c>
      <c r="BS947">
        <v>1</v>
      </c>
      <c r="BT947">
        <v>1</v>
      </c>
      <c r="BU947">
        <v>1</v>
      </c>
      <c r="BV947">
        <v>1</v>
      </c>
      <c r="BW947">
        <v>1</v>
      </c>
      <c r="BX947">
        <v>1</v>
      </c>
      <c r="BY947" t="s">
        <v>3</v>
      </c>
      <c r="BZ947">
        <v>70</v>
      </c>
      <c r="CA947">
        <v>10</v>
      </c>
      <c r="CE947">
        <v>0</v>
      </c>
      <c r="CF947">
        <v>0</v>
      </c>
      <c r="CG947">
        <v>0</v>
      </c>
      <c r="CM947">
        <v>0</v>
      </c>
      <c r="CN947" t="s">
        <v>3</v>
      </c>
      <c r="CO947">
        <v>0</v>
      </c>
      <c r="CP947">
        <f t="shared" si="669"/>
        <v>0</v>
      </c>
      <c r="CQ947">
        <f t="shared" si="670"/>
        <v>5578.47</v>
      </c>
      <c r="CR947">
        <f t="shared" si="671"/>
        <v>0</v>
      </c>
      <c r="CS947">
        <f t="shared" si="672"/>
        <v>0</v>
      </c>
      <c r="CT947">
        <f t="shared" si="673"/>
        <v>0</v>
      </c>
      <c r="CU947">
        <f t="shared" si="674"/>
        <v>0</v>
      </c>
      <c r="CV947">
        <f t="shared" si="675"/>
        <v>0</v>
      </c>
      <c r="CW947">
        <f t="shared" si="676"/>
        <v>0</v>
      </c>
      <c r="CX947">
        <f t="shared" si="677"/>
        <v>0</v>
      </c>
      <c r="CY947">
        <f t="shared" si="678"/>
        <v>0</v>
      </c>
      <c r="CZ947">
        <f t="shared" si="679"/>
        <v>0</v>
      </c>
      <c r="DC947" t="s">
        <v>3</v>
      </c>
      <c r="DD947" t="s">
        <v>3</v>
      </c>
      <c r="DE947" t="s">
        <v>3</v>
      </c>
      <c r="DF947" t="s">
        <v>3</v>
      </c>
      <c r="DG947" t="s">
        <v>3</v>
      </c>
      <c r="DH947" t="s">
        <v>3</v>
      </c>
      <c r="DI947" t="s">
        <v>3</v>
      </c>
      <c r="DJ947" t="s">
        <v>3</v>
      </c>
      <c r="DK947" t="s">
        <v>3</v>
      </c>
      <c r="DL947" t="s">
        <v>3</v>
      </c>
      <c r="DM947" t="s">
        <v>3</v>
      </c>
      <c r="DN947">
        <v>0</v>
      </c>
      <c r="DO947">
        <v>0</v>
      </c>
      <c r="DP947">
        <v>1</v>
      </c>
      <c r="DQ947">
        <v>1</v>
      </c>
      <c r="DU947">
        <v>1007</v>
      </c>
      <c r="DV947" t="s">
        <v>206</v>
      </c>
      <c r="DW947" t="s">
        <v>206</v>
      </c>
      <c r="DX947">
        <v>1</v>
      </c>
      <c r="EE947">
        <v>38628631</v>
      </c>
      <c r="EF947">
        <v>1</v>
      </c>
      <c r="EG947" t="s">
        <v>24</v>
      </c>
      <c r="EH947">
        <v>0</v>
      </c>
      <c r="EI947" t="s">
        <v>3</v>
      </c>
      <c r="EJ947">
        <v>4</v>
      </c>
      <c r="EK947">
        <v>0</v>
      </c>
      <c r="EL947" t="s">
        <v>25</v>
      </c>
      <c r="EM947" t="s">
        <v>26</v>
      </c>
      <c r="EO947" t="s">
        <v>3</v>
      </c>
      <c r="EQ947">
        <v>32768</v>
      </c>
      <c r="ER947">
        <v>5578.47</v>
      </c>
      <c r="ES947">
        <v>5578.47</v>
      </c>
      <c r="ET947">
        <v>0</v>
      </c>
      <c r="EU947">
        <v>0</v>
      </c>
      <c r="EV947">
        <v>0</v>
      </c>
      <c r="EW947">
        <v>0</v>
      </c>
      <c r="EX947">
        <v>0</v>
      </c>
      <c r="FQ947">
        <v>0</v>
      </c>
      <c r="FR947">
        <f t="shared" si="680"/>
        <v>0</v>
      </c>
      <c r="FS947">
        <v>0</v>
      </c>
      <c r="FX947">
        <v>70</v>
      </c>
      <c r="FY947">
        <v>10</v>
      </c>
      <c r="GA947" t="s">
        <v>3</v>
      </c>
      <c r="GD947">
        <v>0</v>
      </c>
      <c r="GF947">
        <v>-1402776850</v>
      </c>
      <c r="GG947">
        <v>2</v>
      </c>
      <c r="GH947">
        <v>1</v>
      </c>
      <c r="GI947">
        <v>-2</v>
      </c>
      <c r="GJ947">
        <v>0</v>
      </c>
      <c r="GK947">
        <f>ROUND(R947*(R12)/100,2)</f>
        <v>0</v>
      </c>
      <c r="GL947">
        <f t="shared" si="681"/>
        <v>0</v>
      </c>
      <c r="GM947">
        <f t="shared" si="682"/>
        <v>0</v>
      </c>
      <c r="GN947">
        <f t="shared" si="683"/>
        <v>0</v>
      </c>
      <c r="GO947">
        <f t="shared" si="684"/>
        <v>0</v>
      </c>
      <c r="GP947">
        <f t="shared" si="685"/>
        <v>0</v>
      </c>
      <c r="GR947">
        <v>0</v>
      </c>
      <c r="GS947">
        <v>0</v>
      </c>
      <c r="GT947">
        <v>0</v>
      </c>
      <c r="GU947" t="s">
        <v>3</v>
      </c>
      <c r="GV947">
        <f t="shared" si="686"/>
        <v>0</v>
      </c>
      <c r="GW947">
        <v>1</v>
      </c>
      <c r="GX947">
        <f t="shared" si="687"/>
        <v>0</v>
      </c>
      <c r="HA947">
        <v>0</v>
      </c>
      <c r="HB947">
        <v>0</v>
      </c>
      <c r="HC947">
        <f t="shared" si="688"/>
        <v>0</v>
      </c>
      <c r="HE947" t="s">
        <v>3</v>
      </c>
      <c r="HF947" t="s">
        <v>3</v>
      </c>
      <c r="IK947">
        <v>0</v>
      </c>
    </row>
    <row r="948" spans="1:245" x14ac:dyDescent="0.2">
      <c r="A948">
        <v>18</v>
      </c>
      <c r="B948">
        <v>1</v>
      </c>
      <c r="C948">
        <v>266</v>
      </c>
      <c r="E948" t="s">
        <v>369</v>
      </c>
      <c r="F948" t="s">
        <v>370</v>
      </c>
      <c r="G948" t="s">
        <v>371</v>
      </c>
      <c r="H948" t="s">
        <v>206</v>
      </c>
      <c r="I948">
        <f>I946*J948</f>
        <v>0</v>
      </c>
      <c r="J948">
        <v>0.96</v>
      </c>
      <c r="O948">
        <f t="shared" si="650"/>
        <v>0</v>
      </c>
      <c r="P948">
        <f t="shared" si="651"/>
        <v>0</v>
      </c>
      <c r="Q948">
        <f t="shared" si="652"/>
        <v>0</v>
      </c>
      <c r="R948">
        <f t="shared" si="653"/>
        <v>0</v>
      </c>
      <c r="S948">
        <f t="shared" si="654"/>
        <v>0</v>
      </c>
      <c r="T948">
        <f t="shared" si="655"/>
        <v>0</v>
      </c>
      <c r="U948">
        <f t="shared" si="656"/>
        <v>0</v>
      </c>
      <c r="V948">
        <f t="shared" si="657"/>
        <v>0</v>
      </c>
      <c r="W948">
        <f t="shared" si="658"/>
        <v>0</v>
      </c>
      <c r="X948">
        <f t="shared" si="659"/>
        <v>0</v>
      </c>
      <c r="Y948">
        <f t="shared" si="660"/>
        <v>0</v>
      </c>
      <c r="AA948">
        <v>38214492</v>
      </c>
      <c r="AB948">
        <f t="shared" si="661"/>
        <v>6277.99</v>
      </c>
      <c r="AC948">
        <f t="shared" si="689"/>
        <v>6277.99</v>
      </c>
      <c r="AD948">
        <f t="shared" si="662"/>
        <v>0</v>
      </c>
      <c r="AE948">
        <f t="shared" si="663"/>
        <v>0</v>
      </c>
      <c r="AF948">
        <f t="shared" si="664"/>
        <v>0</v>
      </c>
      <c r="AG948">
        <f t="shared" si="665"/>
        <v>0</v>
      </c>
      <c r="AH948">
        <f t="shared" si="666"/>
        <v>0</v>
      </c>
      <c r="AI948">
        <f t="shared" si="667"/>
        <v>0</v>
      </c>
      <c r="AJ948">
        <f t="shared" si="668"/>
        <v>0</v>
      </c>
      <c r="AK948">
        <v>6277.99</v>
      </c>
      <c r="AL948">
        <v>6277.99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70</v>
      </c>
      <c r="AU948">
        <v>10</v>
      </c>
      <c r="AV948">
        <v>1</v>
      </c>
      <c r="AW948">
        <v>1</v>
      </c>
      <c r="AZ948">
        <v>1</v>
      </c>
      <c r="BA948">
        <v>1</v>
      </c>
      <c r="BB948">
        <v>1</v>
      </c>
      <c r="BC948">
        <v>1</v>
      </c>
      <c r="BD948" t="s">
        <v>3</v>
      </c>
      <c r="BE948" t="s">
        <v>3</v>
      </c>
      <c r="BF948" t="s">
        <v>3</v>
      </c>
      <c r="BG948" t="s">
        <v>3</v>
      </c>
      <c r="BH948">
        <v>3</v>
      </c>
      <c r="BI948">
        <v>4</v>
      </c>
      <c r="BJ948" t="s">
        <v>372</v>
      </c>
      <c r="BM948">
        <v>0</v>
      </c>
      <c r="BN948">
        <v>0</v>
      </c>
      <c r="BO948" t="s">
        <v>3</v>
      </c>
      <c r="BP948">
        <v>0</v>
      </c>
      <c r="BQ948">
        <v>1</v>
      </c>
      <c r="BR948">
        <v>0</v>
      </c>
      <c r="BS948">
        <v>1</v>
      </c>
      <c r="BT948">
        <v>1</v>
      </c>
      <c r="BU948">
        <v>1</v>
      </c>
      <c r="BV948">
        <v>1</v>
      </c>
      <c r="BW948">
        <v>1</v>
      </c>
      <c r="BX948">
        <v>1</v>
      </c>
      <c r="BY948" t="s">
        <v>3</v>
      </c>
      <c r="BZ948">
        <v>70</v>
      </c>
      <c r="CA948">
        <v>10</v>
      </c>
      <c r="CE948">
        <v>0</v>
      </c>
      <c r="CF948">
        <v>0</v>
      </c>
      <c r="CG948">
        <v>0</v>
      </c>
      <c r="CM948">
        <v>0</v>
      </c>
      <c r="CN948" t="s">
        <v>3</v>
      </c>
      <c r="CO948">
        <v>0</v>
      </c>
      <c r="CP948">
        <f t="shared" si="669"/>
        <v>0</v>
      </c>
      <c r="CQ948">
        <f t="shared" si="670"/>
        <v>6277.99</v>
      </c>
      <c r="CR948">
        <f t="shared" si="671"/>
        <v>0</v>
      </c>
      <c r="CS948">
        <f t="shared" si="672"/>
        <v>0</v>
      </c>
      <c r="CT948">
        <f t="shared" si="673"/>
        <v>0</v>
      </c>
      <c r="CU948">
        <f t="shared" si="674"/>
        <v>0</v>
      </c>
      <c r="CV948">
        <f t="shared" si="675"/>
        <v>0</v>
      </c>
      <c r="CW948">
        <f t="shared" si="676"/>
        <v>0</v>
      </c>
      <c r="CX948">
        <f t="shared" si="677"/>
        <v>0</v>
      </c>
      <c r="CY948">
        <f t="shared" si="678"/>
        <v>0</v>
      </c>
      <c r="CZ948">
        <f t="shared" si="679"/>
        <v>0</v>
      </c>
      <c r="DC948" t="s">
        <v>3</v>
      </c>
      <c r="DD948" t="s">
        <v>3</v>
      </c>
      <c r="DE948" t="s">
        <v>3</v>
      </c>
      <c r="DF948" t="s">
        <v>3</v>
      </c>
      <c r="DG948" t="s">
        <v>3</v>
      </c>
      <c r="DH948" t="s">
        <v>3</v>
      </c>
      <c r="DI948" t="s">
        <v>3</v>
      </c>
      <c r="DJ948" t="s">
        <v>3</v>
      </c>
      <c r="DK948" t="s">
        <v>3</v>
      </c>
      <c r="DL948" t="s">
        <v>3</v>
      </c>
      <c r="DM948" t="s">
        <v>3</v>
      </c>
      <c r="DN948">
        <v>0</v>
      </c>
      <c r="DO948">
        <v>0</v>
      </c>
      <c r="DP948">
        <v>1</v>
      </c>
      <c r="DQ948">
        <v>1</v>
      </c>
      <c r="DU948">
        <v>1007</v>
      </c>
      <c r="DV948" t="s">
        <v>206</v>
      </c>
      <c r="DW948" t="s">
        <v>206</v>
      </c>
      <c r="DX948">
        <v>1</v>
      </c>
      <c r="EE948">
        <v>38628631</v>
      </c>
      <c r="EF948">
        <v>1</v>
      </c>
      <c r="EG948" t="s">
        <v>24</v>
      </c>
      <c r="EH948">
        <v>0</v>
      </c>
      <c r="EI948" t="s">
        <v>3</v>
      </c>
      <c r="EJ948">
        <v>4</v>
      </c>
      <c r="EK948">
        <v>0</v>
      </c>
      <c r="EL948" t="s">
        <v>25</v>
      </c>
      <c r="EM948" t="s">
        <v>26</v>
      </c>
      <c r="EO948" t="s">
        <v>3</v>
      </c>
      <c r="EQ948">
        <v>0</v>
      </c>
      <c r="ER948">
        <v>6277.99</v>
      </c>
      <c r="ES948">
        <v>6277.99</v>
      </c>
      <c r="ET948">
        <v>0</v>
      </c>
      <c r="EU948">
        <v>0</v>
      </c>
      <c r="EV948">
        <v>0</v>
      </c>
      <c r="EW948">
        <v>0</v>
      </c>
      <c r="EX948">
        <v>0</v>
      </c>
      <c r="FQ948">
        <v>0</v>
      </c>
      <c r="FR948">
        <f t="shared" si="680"/>
        <v>0</v>
      </c>
      <c r="FS948">
        <v>0</v>
      </c>
      <c r="FX948">
        <v>70</v>
      </c>
      <c r="FY948">
        <v>10</v>
      </c>
      <c r="GA948" t="s">
        <v>3</v>
      </c>
      <c r="GD948">
        <v>0</v>
      </c>
      <c r="GF948">
        <v>1091102540</v>
      </c>
      <c r="GG948">
        <v>2</v>
      </c>
      <c r="GH948">
        <v>1</v>
      </c>
      <c r="GI948">
        <v>-2</v>
      </c>
      <c r="GJ948">
        <v>0</v>
      </c>
      <c r="GK948">
        <f>ROUND(R948*(R12)/100,2)</f>
        <v>0</v>
      </c>
      <c r="GL948">
        <f t="shared" si="681"/>
        <v>0</v>
      </c>
      <c r="GM948">
        <f t="shared" si="682"/>
        <v>0</v>
      </c>
      <c r="GN948">
        <f t="shared" si="683"/>
        <v>0</v>
      </c>
      <c r="GO948">
        <f t="shared" si="684"/>
        <v>0</v>
      </c>
      <c r="GP948">
        <f t="shared" si="685"/>
        <v>0</v>
      </c>
      <c r="GR948">
        <v>0</v>
      </c>
      <c r="GS948">
        <v>0</v>
      </c>
      <c r="GT948">
        <v>0</v>
      </c>
      <c r="GU948" t="s">
        <v>3</v>
      </c>
      <c r="GV948">
        <f t="shared" si="686"/>
        <v>0</v>
      </c>
      <c r="GW948">
        <v>1</v>
      </c>
      <c r="GX948">
        <f t="shared" si="687"/>
        <v>0</v>
      </c>
      <c r="HA948">
        <v>0</v>
      </c>
      <c r="HB948">
        <v>0</v>
      </c>
      <c r="HC948">
        <f t="shared" si="688"/>
        <v>0</v>
      </c>
      <c r="HE948" t="s">
        <v>3</v>
      </c>
      <c r="HF948" t="s">
        <v>3</v>
      </c>
      <c r="IK948">
        <v>0</v>
      </c>
    </row>
    <row r="949" spans="1:245" x14ac:dyDescent="0.2">
      <c r="A949">
        <v>17</v>
      </c>
      <c r="B949">
        <v>1</v>
      </c>
      <c r="C949">
        <f>ROW(SmtRes!A268)</f>
        <v>268</v>
      </c>
      <c r="E949" t="s">
        <v>175</v>
      </c>
      <c r="F949" t="s">
        <v>373</v>
      </c>
      <c r="G949" t="s">
        <v>374</v>
      </c>
      <c r="H949" t="s">
        <v>206</v>
      </c>
      <c r="I949">
        <v>0</v>
      </c>
      <c r="J949">
        <v>0</v>
      </c>
      <c r="O949">
        <f t="shared" si="650"/>
        <v>0</v>
      </c>
      <c r="P949">
        <f t="shared" si="651"/>
        <v>0</v>
      </c>
      <c r="Q949">
        <f t="shared" si="652"/>
        <v>0</v>
      </c>
      <c r="R949">
        <f t="shared" si="653"/>
        <v>0</v>
      </c>
      <c r="S949">
        <f t="shared" si="654"/>
        <v>0</v>
      </c>
      <c r="T949">
        <f t="shared" si="655"/>
        <v>0</v>
      </c>
      <c r="U949">
        <f t="shared" si="656"/>
        <v>0</v>
      </c>
      <c r="V949">
        <f t="shared" si="657"/>
        <v>0</v>
      </c>
      <c r="W949">
        <f t="shared" si="658"/>
        <v>0</v>
      </c>
      <c r="X949">
        <f t="shared" si="659"/>
        <v>0</v>
      </c>
      <c r="Y949">
        <f t="shared" si="660"/>
        <v>0</v>
      </c>
      <c r="AA949">
        <v>38214492</v>
      </c>
      <c r="AB949">
        <f t="shared" si="661"/>
        <v>10897.17</v>
      </c>
      <c r="AC949">
        <f t="shared" si="689"/>
        <v>7259.49</v>
      </c>
      <c r="AD949">
        <f t="shared" si="662"/>
        <v>0</v>
      </c>
      <c r="AE949">
        <f t="shared" si="663"/>
        <v>0</v>
      </c>
      <c r="AF949">
        <f t="shared" si="664"/>
        <v>3637.68</v>
      </c>
      <c r="AG949">
        <f t="shared" si="665"/>
        <v>0</v>
      </c>
      <c r="AH949">
        <f t="shared" si="666"/>
        <v>17.02</v>
      </c>
      <c r="AI949">
        <f t="shared" si="667"/>
        <v>0</v>
      </c>
      <c r="AJ949">
        <f t="shared" si="668"/>
        <v>0</v>
      </c>
      <c r="AK949">
        <v>10897.17</v>
      </c>
      <c r="AL949">
        <v>7259.49</v>
      </c>
      <c r="AM949">
        <v>0</v>
      </c>
      <c r="AN949">
        <v>0</v>
      </c>
      <c r="AO949">
        <v>3637.68</v>
      </c>
      <c r="AP949">
        <v>0</v>
      </c>
      <c r="AQ949">
        <v>17.02</v>
      </c>
      <c r="AR949">
        <v>0</v>
      </c>
      <c r="AS949">
        <v>0</v>
      </c>
      <c r="AT949">
        <v>70</v>
      </c>
      <c r="AU949">
        <v>10</v>
      </c>
      <c r="AV949">
        <v>1</v>
      </c>
      <c r="AW949">
        <v>1</v>
      </c>
      <c r="AZ949">
        <v>1</v>
      </c>
      <c r="BA949">
        <v>1</v>
      </c>
      <c r="BB949">
        <v>1</v>
      </c>
      <c r="BC949">
        <v>1</v>
      </c>
      <c r="BD949" t="s">
        <v>3</v>
      </c>
      <c r="BE949" t="s">
        <v>3</v>
      </c>
      <c r="BF949" t="s">
        <v>3</v>
      </c>
      <c r="BG949" t="s">
        <v>3</v>
      </c>
      <c r="BH949">
        <v>0</v>
      </c>
      <c r="BI949">
        <v>4</v>
      </c>
      <c r="BJ949" t="s">
        <v>375</v>
      </c>
      <c r="BM949">
        <v>0</v>
      </c>
      <c r="BN949">
        <v>0</v>
      </c>
      <c r="BO949" t="s">
        <v>3</v>
      </c>
      <c r="BP949">
        <v>0</v>
      </c>
      <c r="BQ949">
        <v>1</v>
      </c>
      <c r="BR949">
        <v>0</v>
      </c>
      <c r="BS949">
        <v>1</v>
      </c>
      <c r="BT949">
        <v>1</v>
      </c>
      <c r="BU949">
        <v>1</v>
      </c>
      <c r="BV949">
        <v>1</v>
      </c>
      <c r="BW949">
        <v>1</v>
      </c>
      <c r="BX949">
        <v>1</v>
      </c>
      <c r="BY949" t="s">
        <v>3</v>
      </c>
      <c r="BZ949">
        <v>70</v>
      </c>
      <c r="CA949">
        <v>10</v>
      </c>
      <c r="CE949">
        <v>0</v>
      </c>
      <c r="CF949">
        <v>0</v>
      </c>
      <c r="CG949">
        <v>0</v>
      </c>
      <c r="CM949">
        <v>0</v>
      </c>
      <c r="CN949" t="s">
        <v>3</v>
      </c>
      <c r="CO949">
        <v>0</v>
      </c>
      <c r="CP949">
        <f t="shared" si="669"/>
        <v>0</v>
      </c>
      <c r="CQ949">
        <f t="shared" si="670"/>
        <v>7259.49</v>
      </c>
      <c r="CR949">
        <f t="shared" si="671"/>
        <v>0</v>
      </c>
      <c r="CS949">
        <f t="shared" si="672"/>
        <v>0</v>
      </c>
      <c r="CT949">
        <f t="shared" si="673"/>
        <v>3637.68</v>
      </c>
      <c r="CU949">
        <f t="shared" si="674"/>
        <v>0</v>
      </c>
      <c r="CV949">
        <f t="shared" si="675"/>
        <v>17.02</v>
      </c>
      <c r="CW949">
        <f t="shared" si="676"/>
        <v>0</v>
      </c>
      <c r="CX949">
        <f t="shared" si="677"/>
        <v>0</v>
      </c>
      <c r="CY949">
        <f t="shared" si="678"/>
        <v>0</v>
      </c>
      <c r="CZ949">
        <f t="shared" si="679"/>
        <v>0</v>
      </c>
      <c r="DC949" t="s">
        <v>3</v>
      </c>
      <c r="DD949" t="s">
        <v>3</v>
      </c>
      <c r="DE949" t="s">
        <v>3</v>
      </c>
      <c r="DF949" t="s">
        <v>3</v>
      </c>
      <c r="DG949" t="s">
        <v>3</v>
      </c>
      <c r="DH949" t="s">
        <v>3</v>
      </c>
      <c r="DI949" t="s">
        <v>3</v>
      </c>
      <c r="DJ949" t="s">
        <v>3</v>
      </c>
      <c r="DK949" t="s">
        <v>3</v>
      </c>
      <c r="DL949" t="s">
        <v>3</v>
      </c>
      <c r="DM949" t="s">
        <v>3</v>
      </c>
      <c r="DN949">
        <v>0</v>
      </c>
      <c r="DO949">
        <v>0</v>
      </c>
      <c r="DP949">
        <v>1</v>
      </c>
      <c r="DQ949">
        <v>1</v>
      </c>
      <c r="DU949">
        <v>1007</v>
      </c>
      <c r="DV949" t="s">
        <v>206</v>
      </c>
      <c r="DW949" t="s">
        <v>206</v>
      </c>
      <c r="DX949">
        <v>1</v>
      </c>
      <c r="EE949">
        <v>38628631</v>
      </c>
      <c r="EF949">
        <v>1</v>
      </c>
      <c r="EG949" t="s">
        <v>24</v>
      </c>
      <c r="EH949">
        <v>0</v>
      </c>
      <c r="EI949" t="s">
        <v>3</v>
      </c>
      <c r="EJ949">
        <v>4</v>
      </c>
      <c r="EK949">
        <v>0</v>
      </c>
      <c r="EL949" t="s">
        <v>25</v>
      </c>
      <c r="EM949" t="s">
        <v>26</v>
      </c>
      <c r="EO949" t="s">
        <v>3</v>
      </c>
      <c r="EQ949">
        <v>0</v>
      </c>
      <c r="ER949">
        <v>10897.17</v>
      </c>
      <c r="ES949">
        <v>7259.49</v>
      </c>
      <c r="ET949">
        <v>0</v>
      </c>
      <c r="EU949">
        <v>0</v>
      </c>
      <c r="EV949">
        <v>3637.68</v>
      </c>
      <c r="EW949">
        <v>17.02</v>
      </c>
      <c r="EX949">
        <v>0</v>
      </c>
      <c r="EY949">
        <v>0</v>
      </c>
      <c r="FQ949">
        <v>0</v>
      </c>
      <c r="FR949">
        <f t="shared" si="680"/>
        <v>0</v>
      </c>
      <c r="FS949">
        <v>0</v>
      </c>
      <c r="FX949">
        <v>70</v>
      </c>
      <c r="FY949">
        <v>10</v>
      </c>
      <c r="GA949" t="s">
        <v>3</v>
      </c>
      <c r="GD949">
        <v>0</v>
      </c>
      <c r="GF949">
        <v>835868318</v>
      </c>
      <c r="GG949">
        <v>2</v>
      </c>
      <c r="GH949">
        <v>1</v>
      </c>
      <c r="GI949">
        <v>-2</v>
      </c>
      <c r="GJ949">
        <v>0</v>
      </c>
      <c r="GK949">
        <f>ROUND(R949*(R12)/100,2)</f>
        <v>0</v>
      </c>
      <c r="GL949">
        <f t="shared" si="681"/>
        <v>0</v>
      </c>
      <c r="GM949">
        <f t="shared" si="682"/>
        <v>0</v>
      </c>
      <c r="GN949">
        <f t="shared" si="683"/>
        <v>0</v>
      </c>
      <c r="GO949">
        <f t="shared" si="684"/>
        <v>0</v>
      </c>
      <c r="GP949">
        <f t="shared" si="685"/>
        <v>0</v>
      </c>
      <c r="GR949">
        <v>0</v>
      </c>
      <c r="GS949">
        <v>0</v>
      </c>
      <c r="GT949">
        <v>0</v>
      </c>
      <c r="GU949" t="s">
        <v>3</v>
      </c>
      <c r="GV949">
        <f t="shared" si="686"/>
        <v>0</v>
      </c>
      <c r="GW949">
        <v>1</v>
      </c>
      <c r="GX949">
        <f t="shared" si="687"/>
        <v>0</v>
      </c>
      <c r="HA949">
        <v>0</v>
      </c>
      <c r="HB949">
        <v>0</v>
      </c>
      <c r="HC949">
        <f t="shared" si="688"/>
        <v>0</v>
      </c>
      <c r="HE949" t="s">
        <v>3</v>
      </c>
      <c r="HF949" t="s">
        <v>3</v>
      </c>
      <c r="IK949">
        <v>0</v>
      </c>
    </row>
    <row r="950" spans="1:245" x14ac:dyDescent="0.2">
      <c r="A950">
        <v>18</v>
      </c>
      <c r="B950">
        <v>1</v>
      </c>
      <c r="C950">
        <v>267</v>
      </c>
      <c r="E950" t="s">
        <v>376</v>
      </c>
      <c r="F950" t="s">
        <v>370</v>
      </c>
      <c r="G950" t="s">
        <v>371</v>
      </c>
      <c r="H950" t="s">
        <v>206</v>
      </c>
      <c r="I950">
        <f>I949*J950</f>
        <v>0</v>
      </c>
      <c r="J950">
        <v>1.05</v>
      </c>
      <c r="O950">
        <f t="shared" si="650"/>
        <v>0</v>
      </c>
      <c r="P950">
        <f t="shared" si="651"/>
        <v>0</v>
      </c>
      <c r="Q950">
        <f t="shared" si="652"/>
        <v>0</v>
      </c>
      <c r="R950">
        <f t="shared" si="653"/>
        <v>0</v>
      </c>
      <c r="S950">
        <f t="shared" si="654"/>
        <v>0</v>
      </c>
      <c r="T950">
        <f t="shared" si="655"/>
        <v>0</v>
      </c>
      <c r="U950">
        <f t="shared" si="656"/>
        <v>0</v>
      </c>
      <c r="V950">
        <f t="shared" si="657"/>
        <v>0</v>
      </c>
      <c r="W950">
        <f t="shared" si="658"/>
        <v>0</v>
      </c>
      <c r="X950">
        <f t="shared" si="659"/>
        <v>0</v>
      </c>
      <c r="Y950">
        <f t="shared" si="660"/>
        <v>0</v>
      </c>
      <c r="AA950">
        <v>38214492</v>
      </c>
      <c r="AB950">
        <f t="shared" si="661"/>
        <v>5558.53</v>
      </c>
      <c r="AC950">
        <f t="shared" si="689"/>
        <v>5558.53</v>
      </c>
      <c r="AD950">
        <f t="shared" si="662"/>
        <v>0</v>
      </c>
      <c r="AE950">
        <f t="shared" si="663"/>
        <v>0</v>
      </c>
      <c r="AF950">
        <f t="shared" si="664"/>
        <v>0</v>
      </c>
      <c r="AG950">
        <f t="shared" si="665"/>
        <v>0</v>
      </c>
      <c r="AH950">
        <f t="shared" si="666"/>
        <v>0</v>
      </c>
      <c r="AI950">
        <f t="shared" si="667"/>
        <v>0</v>
      </c>
      <c r="AJ950">
        <f t="shared" si="668"/>
        <v>0</v>
      </c>
      <c r="AK950">
        <v>5558.53</v>
      </c>
      <c r="AL950">
        <v>5558.53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70</v>
      </c>
      <c r="AU950">
        <v>10</v>
      </c>
      <c r="AV950">
        <v>1</v>
      </c>
      <c r="AW950">
        <v>1</v>
      </c>
      <c r="AZ950">
        <v>1</v>
      </c>
      <c r="BA950">
        <v>1</v>
      </c>
      <c r="BB950">
        <v>1</v>
      </c>
      <c r="BC950">
        <v>1</v>
      </c>
      <c r="BD950" t="s">
        <v>3</v>
      </c>
      <c r="BE950" t="s">
        <v>3</v>
      </c>
      <c r="BF950" t="s">
        <v>3</v>
      </c>
      <c r="BG950" t="s">
        <v>3</v>
      </c>
      <c r="BH950">
        <v>3</v>
      </c>
      <c r="BI950">
        <v>4</v>
      </c>
      <c r="BJ950" t="s">
        <v>377</v>
      </c>
      <c r="BM950">
        <v>0</v>
      </c>
      <c r="BN950">
        <v>0</v>
      </c>
      <c r="BO950" t="s">
        <v>3</v>
      </c>
      <c r="BP950">
        <v>0</v>
      </c>
      <c r="BQ950">
        <v>1</v>
      </c>
      <c r="BR950">
        <v>0</v>
      </c>
      <c r="BS950">
        <v>1</v>
      </c>
      <c r="BT950">
        <v>1</v>
      </c>
      <c r="BU950">
        <v>1</v>
      </c>
      <c r="BV950">
        <v>1</v>
      </c>
      <c r="BW950">
        <v>1</v>
      </c>
      <c r="BX950">
        <v>1</v>
      </c>
      <c r="BY950" t="s">
        <v>3</v>
      </c>
      <c r="BZ950">
        <v>70</v>
      </c>
      <c r="CA950">
        <v>10</v>
      </c>
      <c r="CE950">
        <v>0</v>
      </c>
      <c r="CF950">
        <v>0</v>
      </c>
      <c r="CG950">
        <v>0</v>
      </c>
      <c r="CM950">
        <v>0</v>
      </c>
      <c r="CN950" t="s">
        <v>3</v>
      </c>
      <c r="CO950">
        <v>0</v>
      </c>
      <c r="CP950">
        <f t="shared" si="669"/>
        <v>0</v>
      </c>
      <c r="CQ950">
        <f t="shared" si="670"/>
        <v>5558.53</v>
      </c>
      <c r="CR950">
        <f t="shared" si="671"/>
        <v>0</v>
      </c>
      <c r="CS950">
        <f t="shared" si="672"/>
        <v>0</v>
      </c>
      <c r="CT950">
        <f t="shared" si="673"/>
        <v>0</v>
      </c>
      <c r="CU950">
        <f t="shared" si="674"/>
        <v>0</v>
      </c>
      <c r="CV950">
        <f t="shared" si="675"/>
        <v>0</v>
      </c>
      <c r="CW950">
        <f t="shared" si="676"/>
        <v>0</v>
      </c>
      <c r="CX950">
        <f t="shared" si="677"/>
        <v>0</v>
      </c>
      <c r="CY950">
        <f t="shared" si="678"/>
        <v>0</v>
      </c>
      <c r="CZ950">
        <f t="shared" si="679"/>
        <v>0</v>
      </c>
      <c r="DC950" t="s">
        <v>3</v>
      </c>
      <c r="DD950" t="s">
        <v>3</v>
      </c>
      <c r="DE950" t="s">
        <v>3</v>
      </c>
      <c r="DF950" t="s">
        <v>3</v>
      </c>
      <c r="DG950" t="s">
        <v>3</v>
      </c>
      <c r="DH950" t="s">
        <v>3</v>
      </c>
      <c r="DI950" t="s">
        <v>3</v>
      </c>
      <c r="DJ950" t="s">
        <v>3</v>
      </c>
      <c r="DK950" t="s">
        <v>3</v>
      </c>
      <c r="DL950" t="s">
        <v>3</v>
      </c>
      <c r="DM950" t="s">
        <v>3</v>
      </c>
      <c r="DN950">
        <v>0</v>
      </c>
      <c r="DO950">
        <v>0</v>
      </c>
      <c r="DP950">
        <v>1</v>
      </c>
      <c r="DQ950">
        <v>1</v>
      </c>
      <c r="DU950">
        <v>1007</v>
      </c>
      <c r="DV950" t="s">
        <v>206</v>
      </c>
      <c r="DW950" t="s">
        <v>206</v>
      </c>
      <c r="DX950">
        <v>1</v>
      </c>
      <c r="EE950">
        <v>38628631</v>
      </c>
      <c r="EF950">
        <v>1</v>
      </c>
      <c r="EG950" t="s">
        <v>24</v>
      </c>
      <c r="EH950">
        <v>0</v>
      </c>
      <c r="EI950" t="s">
        <v>3</v>
      </c>
      <c r="EJ950">
        <v>4</v>
      </c>
      <c r="EK950">
        <v>0</v>
      </c>
      <c r="EL950" t="s">
        <v>25</v>
      </c>
      <c r="EM950" t="s">
        <v>26</v>
      </c>
      <c r="EO950" t="s">
        <v>3</v>
      </c>
      <c r="EQ950">
        <v>0</v>
      </c>
      <c r="ER950">
        <v>5558.53</v>
      </c>
      <c r="ES950">
        <v>5558.53</v>
      </c>
      <c r="ET950">
        <v>0</v>
      </c>
      <c r="EU950">
        <v>0</v>
      </c>
      <c r="EV950">
        <v>0</v>
      </c>
      <c r="EW950">
        <v>0</v>
      </c>
      <c r="EX950">
        <v>0</v>
      </c>
      <c r="FQ950">
        <v>0</v>
      </c>
      <c r="FR950">
        <f t="shared" si="680"/>
        <v>0</v>
      </c>
      <c r="FS950">
        <v>0</v>
      </c>
      <c r="FX950">
        <v>70</v>
      </c>
      <c r="FY950">
        <v>10</v>
      </c>
      <c r="GA950" t="s">
        <v>3</v>
      </c>
      <c r="GD950">
        <v>0</v>
      </c>
      <c r="GF950">
        <v>-1853239055</v>
      </c>
      <c r="GG950">
        <v>2</v>
      </c>
      <c r="GH950">
        <v>1</v>
      </c>
      <c r="GI950">
        <v>-2</v>
      </c>
      <c r="GJ950">
        <v>0</v>
      </c>
      <c r="GK950">
        <f>ROUND(R950*(R12)/100,2)</f>
        <v>0</v>
      </c>
      <c r="GL950">
        <f t="shared" si="681"/>
        <v>0</v>
      </c>
      <c r="GM950">
        <f t="shared" si="682"/>
        <v>0</v>
      </c>
      <c r="GN950">
        <f t="shared" si="683"/>
        <v>0</v>
      </c>
      <c r="GO950">
        <f t="shared" si="684"/>
        <v>0</v>
      </c>
      <c r="GP950">
        <f t="shared" si="685"/>
        <v>0</v>
      </c>
      <c r="GR950">
        <v>0</v>
      </c>
      <c r="GS950">
        <v>0</v>
      </c>
      <c r="GT950">
        <v>0</v>
      </c>
      <c r="GU950" t="s">
        <v>3</v>
      </c>
      <c r="GV950">
        <f t="shared" si="686"/>
        <v>0</v>
      </c>
      <c r="GW950">
        <v>1</v>
      </c>
      <c r="GX950">
        <f t="shared" si="687"/>
        <v>0</v>
      </c>
      <c r="HA950">
        <v>0</v>
      </c>
      <c r="HB950">
        <v>0</v>
      </c>
      <c r="HC950">
        <f t="shared" si="688"/>
        <v>0</v>
      </c>
      <c r="HE950" t="s">
        <v>3</v>
      </c>
      <c r="HF950" t="s">
        <v>3</v>
      </c>
      <c r="IK950">
        <v>0</v>
      </c>
    </row>
    <row r="951" spans="1:245" x14ac:dyDescent="0.2">
      <c r="A951">
        <v>18</v>
      </c>
      <c r="B951">
        <v>1</v>
      </c>
      <c r="C951">
        <v>268</v>
      </c>
      <c r="E951" t="s">
        <v>378</v>
      </c>
      <c r="F951" t="s">
        <v>379</v>
      </c>
      <c r="G951" t="s">
        <v>380</v>
      </c>
      <c r="H951" t="s">
        <v>206</v>
      </c>
      <c r="I951">
        <f>I949*J951</f>
        <v>0</v>
      </c>
      <c r="J951">
        <v>-1.02</v>
      </c>
      <c r="O951">
        <f t="shared" si="650"/>
        <v>0</v>
      </c>
      <c r="P951">
        <f t="shared" si="651"/>
        <v>0</v>
      </c>
      <c r="Q951">
        <f t="shared" si="652"/>
        <v>0</v>
      </c>
      <c r="R951">
        <f t="shared" si="653"/>
        <v>0</v>
      </c>
      <c r="S951">
        <f t="shared" si="654"/>
        <v>0</v>
      </c>
      <c r="T951">
        <f t="shared" si="655"/>
        <v>0</v>
      </c>
      <c r="U951">
        <f t="shared" si="656"/>
        <v>0</v>
      </c>
      <c r="V951">
        <f t="shared" si="657"/>
        <v>0</v>
      </c>
      <c r="W951">
        <f t="shared" si="658"/>
        <v>0</v>
      </c>
      <c r="X951">
        <f t="shared" si="659"/>
        <v>0</v>
      </c>
      <c r="Y951">
        <f t="shared" si="660"/>
        <v>0</v>
      </c>
      <c r="AA951">
        <v>38214492</v>
      </c>
      <c r="AB951">
        <f t="shared" si="661"/>
        <v>6773.64</v>
      </c>
      <c r="AC951">
        <f t="shared" si="689"/>
        <v>6773.64</v>
      </c>
      <c r="AD951">
        <f t="shared" si="662"/>
        <v>0</v>
      </c>
      <c r="AE951">
        <f t="shared" si="663"/>
        <v>0</v>
      </c>
      <c r="AF951">
        <f t="shared" si="664"/>
        <v>0</v>
      </c>
      <c r="AG951">
        <f t="shared" si="665"/>
        <v>0</v>
      </c>
      <c r="AH951">
        <f t="shared" si="666"/>
        <v>0</v>
      </c>
      <c r="AI951">
        <f t="shared" si="667"/>
        <v>0</v>
      </c>
      <c r="AJ951">
        <f t="shared" si="668"/>
        <v>0</v>
      </c>
      <c r="AK951">
        <v>6773.64</v>
      </c>
      <c r="AL951">
        <v>6773.64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70</v>
      </c>
      <c r="AU951">
        <v>10</v>
      </c>
      <c r="AV951">
        <v>1</v>
      </c>
      <c r="AW951">
        <v>1</v>
      </c>
      <c r="AZ951">
        <v>1</v>
      </c>
      <c r="BA951">
        <v>1</v>
      </c>
      <c r="BB951">
        <v>1</v>
      </c>
      <c r="BC951">
        <v>1</v>
      </c>
      <c r="BD951" t="s">
        <v>3</v>
      </c>
      <c r="BE951" t="s">
        <v>3</v>
      </c>
      <c r="BF951" t="s">
        <v>3</v>
      </c>
      <c r="BG951" t="s">
        <v>3</v>
      </c>
      <c r="BH951">
        <v>3</v>
      </c>
      <c r="BI951">
        <v>4</v>
      </c>
      <c r="BJ951" t="s">
        <v>381</v>
      </c>
      <c r="BM951">
        <v>0</v>
      </c>
      <c r="BN951">
        <v>0</v>
      </c>
      <c r="BO951" t="s">
        <v>3</v>
      </c>
      <c r="BP951">
        <v>0</v>
      </c>
      <c r="BQ951">
        <v>1</v>
      </c>
      <c r="BR951">
        <v>1</v>
      </c>
      <c r="BS951">
        <v>1</v>
      </c>
      <c r="BT951">
        <v>1</v>
      </c>
      <c r="BU951">
        <v>1</v>
      </c>
      <c r="BV951">
        <v>1</v>
      </c>
      <c r="BW951">
        <v>1</v>
      </c>
      <c r="BX951">
        <v>1</v>
      </c>
      <c r="BY951" t="s">
        <v>3</v>
      </c>
      <c r="BZ951">
        <v>70</v>
      </c>
      <c r="CA951">
        <v>10</v>
      </c>
      <c r="CE951">
        <v>0</v>
      </c>
      <c r="CF951">
        <v>0</v>
      </c>
      <c r="CG951">
        <v>0</v>
      </c>
      <c r="CM951">
        <v>0</v>
      </c>
      <c r="CN951" t="s">
        <v>3</v>
      </c>
      <c r="CO951">
        <v>0</v>
      </c>
      <c r="CP951">
        <f t="shared" si="669"/>
        <v>0</v>
      </c>
      <c r="CQ951">
        <f t="shared" si="670"/>
        <v>6773.64</v>
      </c>
      <c r="CR951">
        <f t="shared" si="671"/>
        <v>0</v>
      </c>
      <c r="CS951">
        <f t="shared" si="672"/>
        <v>0</v>
      </c>
      <c r="CT951">
        <f t="shared" si="673"/>
        <v>0</v>
      </c>
      <c r="CU951">
        <f t="shared" si="674"/>
        <v>0</v>
      </c>
      <c r="CV951">
        <f t="shared" si="675"/>
        <v>0</v>
      </c>
      <c r="CW951">
        <f t="shared" si="676"/>
        <v>0</v>
      </c>
      <c r="CX951">
        <f t="shared" si="677"/>
        <v>0</v>
      </c>
      <c r="CY951">
        <f t="shared" si="678"/>
        <v>0</v>
      </c>
      <c r="CZ951">
        <f t="shared" si="679"/>
        <v>0</v>
      </c>
      <c r="DC951" t="s">
        <v>3</v>
      </c>
      <c r="DD951" t="s">
        <v>3</v>
      </c>
      <c r="DE951" t="s">
        <v>3</v>
      </c>
      <c r="DF951" t="s">
        <v>3</v>
      </c>
      <c r="DG951" t="s">
        <v>3</v>
      </c>
      <c r="DH951" t="s">
        <v>3</v>
      </c>
      <c r="DI951" t="s">
        <v>3</v>
      </c>
      <c r="DJ951" t="s">
        <v>3</v>
      </c>
      <c r="DK951" t="s">
        <v>3</v>
      </c>
      <c r="DL951" t="s">
        <v>3</v>
      </c>
      <c r="DM951" t="s">
        <v>3</v>
      </c>
      <c r="DN951">
        <v>0</v>
      </c>
      <c r="DO951">
        <v>0</v>
      </c>
      <c r="DP951">
        <v>1</v>
      </c>
      <c r="DQ951">
        <v>1</v>
      </c>
      <c r="DU951">
        <v>1007</v>
      </c>
      <c r="DV951" t="s">
        <v>206</v>
      </c>
      <c r="DW951" t="s">
        <v>206</v>
      </c>
      <c r="DX951">
        <v>1</v>
      </c>
      <c r="EE951">
        <v>38628631</v>
      </c>
      <c r="EF951">
        <v>1</v>
      </c>
      <c r="EG951" t="s">
        <v>24</v>
      </c>
      <c r="EH951">
        <v>0</v>
      </c>
      <c r="EI951" t="s">
        <v>3</v>
      </c>
      <c r="EJ951">
        <v>4</v>
      </c>
      <c r="EK951">
        <v>0</v>
      </c>
      <c r="EL951" t="s">
        <v>25</v>
      </c>
      <c r="EM951" t="s">
        <v>26</v>
      </c>
      <c r="EO951" t="s">
        <v>3</v>
      </c>
      <c r="EQ951">
        <v>32768</v>
      </c>
      <c r="ER951">
        <v>6773.64</v>
      </c>
      <c r="ES951">
        <v>6773.64</v>
      </c>
      <c r="ET951">
        <v>0</v>
      </c>
      <c r="EU951">
        <v>0</v>
      </c>
      <c r="EV951">
        <v>0</v>
      </c>
      <c r="EW951">
        <v>0</v>
      </c>
      <c r="EX951">
        <v>0</v>
      </c>
      <c r="FQ951">
        <v>0</v>
      </c>
      <c r="FR951">
        <f t="shared" si="680"/>
        <v>0</v>
      </c>
      <c r="FS951">
        <v>0</v>
      </c>
      <c r="FX951">
        <v>70</v>
      </c>
      <c r="FY951">
        <v>10</v>
      </c>
      <c r="GA951" t="s">
        <v>3</v>
      </c>
      <c r="GD951">
        <v>0</v>
      </c>
      <c r="GF951">
        <v>1778666910</v>
      </c>
      <c r="GG951">
        <v>2</v>
      </c>
      <c r="GH951">
        <v>1</v>
      </c>
      <c r="GI951">
        <v>-2</v>
      </c>
      <c r="GJ951">
        <v>0</v>
      </c>
      <c r="GK951">
        <f>ROUND(R951*(R12)/100,2)</f>
        <v>0</v>
      </c>
      <c r="GL951">
        <f t="shared" si="681"/>
        <v>0</v>
      </c>
      <c r="GM951">
        <f t="shared" si="682"/>
        <v>0</v>
      </c>
      <c r="GN951">
        <f t="shared" si="683"/>
        <v>0</v>
      </c>
      <c r="GO951">
        <f t="shared" si="684"/>
        <v>0</v>
      </c>
      <c r="GP951">
        <f t="shared" si="685"/>
        <v>0</v>
      </c>
      <c r="GR951">
        <v>0</v>
      </c>
      <c r="GS951">
        <v>0</v>
      </c>
      <c r="GT951">
        <v>0</v>
      </c>
      <c r="GU951" t="s">
        <v>3</v>
      </c>
      <c r="GV951">
        <f t="shared" si="686"/>
        <v>0</v>
      </c>
      <c r="GW951">
        <v>1</v>
      </c>
      <c r="GX951">
        <f t="shared" si="687"/>
        <v>0</v>
      </c>
      <c r="HA951">
        <v>0</v>
      </c>
      <c r="HB951">
        <v>0</v>
      </c>
      <c r="HC951">
        <f t="shared" si="688"/>
        <v>0</v>
      </c>
      <c r="HE951" t="s">
        <v>3</v>
      </c>
      <c r="HF951" t="s">
        <v>3</v>
      </c>
      <c r="IK951">
        <v>0</v>
      </c>
    </row>
    <row r="952" spans="1:245" x14ac:dyDescent="0.2">
      <c r="A952">
        <v>17</v>
      </c>
      <c r="B952">
        <v>1</v>
      </c>
      <c r="E952" t="s">
        <v>179</v>
      </c>
      <c r="F952" t="s">
        <v>382</v>
      </c>
      <c r="G952" t="s">
        <v>383</v>
      </c>
      <c r="H952" t="s">
        <v>384</v>
      </c>
      <c r="I952">
        <v>0</v>
      </c>
      <c r="J952">
        <v>0</v>
      </c>
      <c r="O952">
        <f t="shared" si="650"/>
        <v>0</v>
      </c>
      <c r="P952">
        <f t="shared" si="651"/>
        <v>0</v>
      </c>
      <c r="Q952">
        <f t="shared" si="652"/>
        <v>0</v>
      </c>
      <c r="R952">
        <f t="shared" si="653"/>
        <v>0</v>
      </c>
      <c r="S952">
        <f t="shared" si="654"/>
        <v>0</v>
      </c>
      <c r="T952">
        <f t="shared" si="655"/>
        <v>0</v>
      </c>
      <c r="U952">
        <f t="shared" si="656"/>
        <v>0</v>
      </c>
      <c r="V952">
        <f t="shared" si="657"/>
        <v>0</v>
      </c>
      <c r="W952">
        <f t="shared" si="658"/>
        <v>0</v>
      </c>
      <c r="X952">
        <f t="shared" si="659"/>
        <v>0</v>
      </c>
      <c r="Y952">
        <f t="shared" si="660"/>
        <v>0</v>
      </c>
      <c r="AA952">
        <v>38214492</v>
      </c>
      <c r="AB952">
        <f t="shared" si="661"/>
        <v>948.47</v>
      </c>
      <c r="AC952">
        <f t="shared" si="689"/>
        <v>170.96</v>
      </c>
      <c r="AD952">
        <f t="shared" si="662"/>
        <v>0</v>
      </c>
      <c r="AE952">
        <f t="shared" si="663"/>
        <v>0</v>
      </c>
      <c r="AF952">
        <f t="shared" si="664"/>
        <v>777.51</v>
      </c>
      <c r="AG952">
        <f t="shared" si="665"/>
        <v>0</v>
      </c>
      <c r="AH952">
        <f t="shared" si="666"/>
        <v>3.1</v>
      </c>
      <c r="AI952">
        <f t="shared" si="667"/>
        <v>0</v>
      </c>
      <c r="AJ952">
        <f t="shared" si="668"/>
        <v>0</v>
      </c>
      <c r="AK952">
        <v>948.47</v>
      </c>
      <c r="AL952">
        <v>170.96</v>
      </c>
      <c r="AM952">
        <v>0</v>
      </c>
      <c r="AN952">
        <v>0</v>
      </c>
      <c r="AO952">
        <v>777.51</v>
      </c>
      <c r="AP952">
        <v>0</v>
      </c>
      <c r="AQ952">
        <v>3.1</v>
      </c>
      <c r="AR952">
        <v>0</v>
      </c>
      <c r="AS952">
        <v>0</v>
      </c>
      <c r="AT952">
        <v>70</v>
      </c>
      <c r="AU952">
        <v>10</v>
      </c>
      <c r="AV952">
        <v>1</v>
      </c>
      <c r="AW952">
        <v>1</v>
      </c>
      <c r="AZ952">
        <v>1</v>
      </c>
      <c r="BA952">
        <v>1</v>
      </c>
      <c r="BB952">
        <v>1</v>
      </c>
      <c r="BC952">
        <v>1</v>
      </c>
      <c r="BD952" t="s">
        <v>3</v>
      </c>
      <c r="BE952" t="s">
        <v>3</v>
      </c>
      <c r="BF952" t="s">
        <v>3</v>
      </c>
      <c r="BG952" t="s">
        <v>3</v>
      </c>
      <c r="BH952">
        <v>0</v>
      </c>
      <c r="BI952">
        <v>4</v>
      </c>
      <c r="BJ952" t="s">
        <v>385</v>
      </c>
      <c r="BM952">
        <v>0</v>
      </c>
      <c r="BN952">
        <v>0</v>
      </c>
      <c r="BO952" t="s">
        <v>3</v>
      </c>
      <c r="BP952">
        <v>0</v>
      </c>
      <c r="BQ952">
        <v>1</v>
      </c>
      <c r="BR952">
        <v>0</v>
      </c>
      <c r="BS952">
        <v>1</v>
      </c>
      <c r="BT952">
        <v>1</v>
      </c>
      <c r="BU952">
        <v>1</v>
      </c>
      <c r="BV952">
        <v>1</v>
      </c>
      <c r="BW952">
        <v>1</v>
      </c>
      <c r="BX952">
        <v>1</v>
      </c>
      <c r="BY952" t="s">
        <v>3</v>
      </c>
      <c r="BZ952">
        <v>70</v>
      </c>
      <c r="CA952">
        <v>10</v>
      </c>
      <c r="CE952">
        <v>0</v>
      </c>
      <c r="CF952">
        <v>0</v>
      </c>
      <c r="CG952">
        <v>0</v>
      </c>
      <c r="CM952">
        <v>0</v>
      </c>
      <c r="CN952" t="s">
        <v>3</v>
      </c>
      <c r="CO952">
        <v>0</v>
      </c>
      <c r="CP952">
        <f t="shared" si="669"/>
        <v>0</v>
      </c>
      <c r="CQ952">
        <f t="shared" si="670"/>
        <v>170.96</v>
      </c>
      <c r="CR952">
        <f t="shared" si="671"/>
        <v>0</v>
      </c>
      <c r="CS952">
        <f t="shared" si="672"/>
        <v>0</v>
      </c>
      <c r="CT952">
        <f t="shared" si="673"/>
        <v>777.51</v>
      </c>
      <c r="CU952">
        <f t="shared" si="674"/>
        <v>0</v>
      </c>
      <c r="CV952">
        <f t="shared" si="675"/>
        <v>3.1</v>
      </c>
      <c r="CW952">
        <f t="shared" si="676"/>
        <v>0</v>
      </c>
      <c r="CX952">
        <f t="shared" si="677"/>
        <v>0</v>
      </c>
      <c r="CY952">
        <f t="shared" si="678"/>
        <v>0</v>
      </c>
      <c r="CZ952">
        <f t="shared" si="679"/>
        <v>0</v>
      </c>
      <c r="DC952" t="s">
        <v>3</v>
      </c>
      <c r="DD952" t="s">
        <v>3</v>
      </c>
      <c r="DE952" t="s">
        <v>3</v>
      </c>
      <c r="DF952" t="s">
        <v>3</v>
      </c>
      <c r="DG952" t="s">
        <v>3</v>
      </c>
      <c r="DH952" t="s">
        <v>3</v>
      </c>
      <c r="DI952" t="s">
        <v>3</v>
      </c>
      <c r="DJ952" t="s">
        <v>3</v>
      </c>
      <c r="DK952" t="s">
        <v>3</v>
      </c>
      <c r="DL952" t="s">
        <v>3</v>
      </c>
      <c r="DM952" t="s">
        <v>3</v>
      </c>
      <c r="DN952">
        <v>0</v>
      </c>
      <c r="DO952">
        <v>0</v>
      </c>
      <c r="DP952">
        <v>1</v>
      </c>
      <c r="DQ952">
        <v>1</v>
      </c>
      <c r="DU952">
        <v>1003</v>
      </c>
      <c r="DV952" t="s">
        <v>384</v>
      </c>
      <c r="DW952" t="s">
        <v>384</v>
      </c>
      <c r="DX952">
        <v>1</v>
      </c>
      <c r="EE952">
        <v>38628631</v>
      </c>
      <c r="EF952">
        <v>1</v>
      </c>
      <c r="EG952" t="s">
        <v>24</v>
      </c>
      <c r="EH952">
        <v>0</v>
      </c>
      <c r="EI952" t="s">
        <v>3</v>
      </c>
      <c r="EJ952">
        <v>4</v>
      </c>
      <c r="EK952">
        <v>0</v>
      </c>
      <c r="EL952" t="s">
        <v>25</v>
      </c>
      <c r="EM952" t="s">
        <v>26</v>
      </c>
      <c r="EO952" t="s">
        <v>3</v>
      </c>
      <c r="EQ952">
        <v>0</v>
      </c>
      <c r="ER952">
        <v>948.47</v>
      </c>
      <c r="ES952">
        <v>170.96</v>
      </c>
      <c r="ET952">
        <v>0</v>
      </c>
      <c r="EU952">
        <v>0</v>
      </c>
      <c r="EV952">
        <v>777.51</v>
      </c>
      <c r="EW952">
        <v>3.1</v>
      </c>
      <c r="EX952">
        <v>0</v>
      </c>
      <c r="EY952">
        <v>0</v>
      </c>
      <c r="FQ952">
        <v>0</v>
      </c>
      <c r="FR952">
        <f t="shared" si="680"/>
        <v>0</v>
      </c>
      <c r="FS952">
        <v>0</v>
      </c>
      <c r="FX952">
        <v>70</v>
      </c>
      <c r="FY952">
        <v>10</v>
      </c>
      <c r="GA952" t="s">
        <v>3</v>
      </c>
      <c r="GD952">
        <v>0</v>
      </c>
      <c r="GF952">
        <v>-121145231</v>
      </c>
      <c r="GG952">
        <v>2</v>
      </c>
      <c r="GH952">
        <v>1</v>
      </c>
      <c r="GI952">
        <v>-2</v>
      </c>
      <c r="GJ952">
        <v>0</v>
      </c>
      <c r="GK952">
        <f>ROUND(R952*(R12)/100,2)</f>
        <v>0</v>
      </c>
      <c r="GL952">
        <f t="shared" si="681"/>
        <v>0</v>
      </c>
      <c r="GM952">
        <f t="shared" si="682"/>
        <v>0</v>
      </c>
      <c r="GN952">
        <f t="shared" si="683"/>
        <v>0</v>
      </c>
      <c r="GO952">
        <f t="shared" si="684"/>
        <v>0</v>
      </c>
      <c r="GP952">
        <f t="shared" si="685"/>
        <v>0</v>
      </c>
      <c r="GR952">
        <v>0</v>
      </c>
      <c r="GS952">
        <v>0</v>
      </c>
      <c r="GT952">
        <v>0</v>
      </c>
      <c r="GU952" t="s">
        <v>3</v>
      </c>
      <c r="GV952">
        <f t="shared" si="686"/>
        <v>0</v>
      </c>
      <c r="GW952">
        <v>1</v>
      </c>
      <c r="GX952">
        <f t="shared" si="687"/>
        <v>0</v>
      </c>
      <c r="HA952">
        <v>0</v>
      </c>
      <c r="HB952">
        <v>0</v>
      </c>
      <c r="HC952">
        <f t="shared" si="688"/>
        <v>0</v>
      </c>
      <c r="HE952" t="s">
        <v>3</v>
      </c>
      <c r="HF952" t="s">
        <v>3</v>
      </c>
      <c r="IK952">
        <v>0</v>
      </c>
    </row>
    <row r="953" spans="1:245" x14ac:dyDescent="0.2">
      <c r="A953">
        <v>17</v>
      </c>
      <c r="B953">
        <v>1</v>
      </c>
      <c r="E953" t="s">
        <v>184</v>
      </c>
      <c r="F953" t="s">
        <v>386</v>
      </c>
      <c r="G953" t="s">
        <v>387</v>
      </c>
      <c r="H953" t="s">
        <v>22</v>
      </c>
      <c r="I953">
        <v>0</v>
      </c>
      <c r="J953">
        <v>0</v>
      </c>
      <c r="O953">
        <f t="shared" si="650"/>
        <v>0</v>
      </c>
      <c r="P953">
        <f t="shared" si="651"/>
        <v>0</v>
      </c>
      <c r="Q953">
        <f t="shared" si="652"/>
        <v>0</v>
      </c>
      <c r="R953">
        <f t="shared" si="653"/>
        <v>0</v>
      </c>
      <c r="S953">
        <f t="shared" si="654"/>
        <v>0</v>
      </c>
      <c r="T953">
        <f t="shared" si="655"/>
        <v>0</v>
      </c>
      <c r="U953">
        <f t="shared" si="656"/>
        <v>0</v>
      </c>
      <c r="V953">
        <f t="shared" si="657"/>
        <v>0</v>
      </c>
      <c r="W953">
        <f t="shared" si="658"/>
        <v>0</v>
      </c>
      <c r="X953">
        <f t="shared" si="659"/>
        <v>0</v>
      </c>
      <c r="Y953">
        <f t="shared" si="660"/>
        <v>0</v>
      </c>
      <c r="AA953">
        <v>38214492</v>
      </c>
      <c r="AB953">
        <f t="shared" si="661"/>
        <v>3211.66</v>
      </c>
      <c r="AC953">
        <f t="shared" si="689"/>
        <v>2292.14</v>
      </c>
      <c r="AD953">
        <f t="shared" si="662"/>
        <v>48.02</v>
      </c>
      <c r="AE953">
        <f t="shared" si="663"/>
        <v>19.399999999999999</v>
      </c>
      <c r="AF953">
        <f t="shared" si="664"/>
        <v>871.5</v>
      </c>
      <c r="AG953">
        <f t="shared" si="665"/>
        <v>0</v>
      </c>
      <c r="AH953">
        <f t="shared" si="666"/>
        <v>4.63</v>
      </c>
      <c r="AI953">
        <f t="shared" si="667"/>
        <v>0</v>
      </c>
      <c r="AJ953">
        <f t="shared" si="668"/>
        <v>0</v>
      </c>
      <c r="AK953">
        <v>3211.66</v>
      </c>
      <c r="AL953">
        <v>2292.14</v>
      </c>
      <c r="AM953">
        <v>48.02</v>
      </c>
      <c r="AN953">
        <v>19.399999999999999</v>
      </c>
      <c r="AO953">
        <v>871.5</v>
      </c>
      <c r="AP953">
        <v>0</v>
      </c>
      <c r="AQ953">
        <v>4.63</v>
      </c>
      <c r="AR953">
        <v>0</v>
      </c>
      <c r="AS953">
        <v>0</v>
      </c>
      <c r="AT953">
        <v>70</v>
      </c>
      <c r="AU953">
        <v>10</v>
      </c>
      <c r="AV953">
        <v>1</v>
      </c>
      <c r="AW953">
        <v>1</v>
      </c>
      <c r="AZ953">
        <v>1</v>
      </c>
      <c r="BA953">
        <v>1</v>
      </c>
      <c r="BB953">
        <v>1</v>
      </c>
      <c r="BC953">
        <v>1</v>
      </c>
      <c r="BD953" t="s">
        <v>3</v>
      </c>
      <c r="BE953" t="s">
        <v>3</v>
      </c>
      <c r="BF953" t="s">
        <v>3</v>
      </c>
      <c r="BG953" t="s">
        <v>3</v>
      </c>
      <c r="BH953">
        <v>0</v>
      </c>
      <c r="BI953">
        <v>4</v>
      </c>
      <c r="BJ953" t="s">
        <v>388</v>
      </c>
      <c r="BM953">
        <v>0</v>
      </c>
      <c r="BN953">
        <v>0</v>
      </c>
      <c r="BO953" t="s">
        <v>3</v>
      </c>
      <c r="BP953">
        <v>0</v>
      </c>
      <c r="BQ953">
        <v>1</v>
      </c>
      <c r="BR953">
        <v>0</v>
      </c>
      <c r="BS953">
        <v>1</v>
      </c>
      <c r="BT953">
        <v>1</v>
      </c>
      <c r="BU953">
        <v>1</v>
      </c>
      <c r="BV953">
        <v>1</v>
      </c>
      <c r="BW953">
        <v>1</v>
      </c>
      <c r="BX953">
        <v>1</v>
      </c>
      <c r="BY953" t="s">
        <v>3</v>
      </c>
      <c r="BZ953">
        <v>70</v>
      </c>
      <c r="CA953">
        <v>10</v>
      </c>
      <c r="CE953">
        <v>0</v>
      </c>
      <c r="CF953">
        <v>0</v>
      </c>
      <c r="CG953">
        <v>0</v>
      </c>
      <c r="CM953">
        <v>0</v>
      </c>
      <c r="CN953" t="s">
        <v>3</v>
      </c>
      <c r="CO953">
        <v>0</v>
      </c>
      <c r="CP953">
        <f t="shared" si="669"/>
        <v>0</v>
      </c>
      <c r="CQ953">
        <f t="shared" si="670"/>
        <v>2292.14</v>
      </c>
      <c r="CR953">
        <f t="shared" si="671"/>
        <v>48.02</v>
      </c>
      <c r="CS953">
        <f t="shared" si="672"/>
        <v>19.399999999999999</v>
      </c>
      <c r="CT953">
        <f t="shared" si="673"/>
        <v>871.5</v>
      </c>
      <c r="CU953">
        <f t="shared" si="674"/>
        <v>0</v>
      </c>
      <c r="CV953">
        <f t="shared" si="675"/>
        <v>4.63</v>
      </c>
      <c r="CW953">
        <f t="shared" si="676"/>
        <v>0</v>
      </c>
      <c r="CX953">
        <f t="shared" si="677"/>
        <v>0</v>
      </c>
      <c r="CY953">
        <f t="shared" si="678"/>
        <v>0</v>
      </c>
      <c r="CZ953">
        <f t="shared" si="679"/>
        <v>0</v>
      </c>
      <c r="DC953" t="s">
        <v>3</v>
      </c>
      <c r="DD953" t="s">
        <v>3</v>
      </c>
      <c r="DE953" t="s">
        <v>3</v>
      </c>
      <c r="DF953" t="s">
        <v>3</v>
      </c>
      <c r="DG953" t="s">
        <v>3</v>
      </c>
      <c r="DH953" t="s">
        <v>3</v>
      </c>
      <c r="DI953" t="s">
        <v>3</v>
      </c>
      <c r="DJ953" t="s">
        <v>3</v>
      </c>
      <c r="DK953" t="s">
        <v>3</v>
      </c>
      <c r="DL953" t="s">
        <v>3</v>
      </c>
      <c r="DM953" t="s">
        <v>3</v>
      </c>
      <c r="DN953">
        <v>0</v>
      </c>
      <c r="DO953">
        <v>0</v>
      </c>
      <c r="DP953">
        <v>1</v>
      </c>
      <c r="DQ953">
        <v>1</v>
      </c>
      <c r="DU953">
        <v>1005</v>
      </c>
      <c r="DV953" t="s">
        <v>22</v>
      </c>
      <c r="DW953" t="s">
        <v>22</v>
      </c>
      <c r="DX953">
        <v>100</v>
      </c>
      <c r="EE953">
        <v>38628631</v>
      </c>
      <c r="EF953">
        <v>1</v>
      </c>
      <c r="EG953" t="s">
        <v>24</v>
      </c>
      <c r="EH953">
        <v>0</v>
      </c>
      <c r="EI953" t="s">
        <v>3</v>
      </c>
      <c r="EJ953">
        <v>4</v>
      </c>
      <c r="EK953">
        <v>0</v>
      </c>
      <c r="EL953" t="s">
        <v>25</v>
      </c>
      <c r="EM953" t="s">
        <v>26</v>
      </c>
      <c r="EO953" t="s">
        <v>3</v>
      </c>
      <c r="EQ953">
        <v>0</v>
      </c>
      <c r="ER953">
        <v>3211.66</v>
      </c>
      <c r="ES953">
        <v>2292.14</v>
      </c>
      <c r="ET953">
        <v>48.02</v>
      </c>
      <c r="EU953">
        <v>19.399999999999999</v>
      </c>
      <c r="EV953">
        <v>871.5</v>
      </c>
      <c r="EW953">
        <v>4.63</v>
      </c>
      <c r="EX953">
        <v>0</v>
      </c>
      <c r="EY953">
        <v>0</v>
      </c>
      <c r="FQ953">
        <v>0</v>
      </c>
      <c r="FR953">
        <f t="shared" si="680"/>
        <v>0</v>
      </c>
      <c r="FS953">
        <v>0</v>
      </c>
      <c r="FX953">
        <v>70</v>
      </c>
      <c r="FY953">
        <v>10</v>
      </c>
      <c r="GA953" t="s">
        <v>3</v>
      </c>
      <c r="GD953">
        <v>0</v>
      </c>
      <c r="GF953">
        <v>-1750952650</v>
      </c>
      <c r="GG953">
        <v>2</v>
      </c>
      <c r="GH953">
        <v>1</v>
      </c>
      <c r="GI953">
        <v>-2</v>
      </c>
      <c r="GJ953">
        <v>0</v>
      </c>
      <c r="GK953">
        <f>ROUND(R953*(R12)/100,2)</f>
        <v>0</v>
      </c>
      <c r="GL953">
        <f t="shared" si="681"/>
        <v>0</v>
      </c>
      <c r="GM953">
        <f t="shared" si="682"/>
        <v>0</v>
      </c>
      <c r="GN953">
        <f t="shared" si="683"/>
        <v>0</v>
      </c>
      <c r="GO953">
        <f t="shared" si="684"/>
        <v>0</v>
      </c>
      <c r="GP953">
        <f t="shared" si="685"/>
        <v>0</v>
      </c>
      <c r="GR953">
        <v>0</v>
      </c>
      <c r="GS953">
        <v>0</v>
      </c>
      <c r="GT953">
        <v>0</v>
      </c>
      <c r="GU953" t="s">
        <v>3</v>
      </c>
      <c r="GV953">
        <f t="shared" si="686"/>
        <v>0</v>
      </c>
      <c r="GW953">
        <v>1</v>
      </c>
      <c r="GX953">
        <f t="shared" si="687"/>
        <v>0</v>
      </c>
      <c r="HA953">
        <v>0</v>
      </c>
      <c r="HB953">
        <v>0</v>
      </c>
      <c r="HC953">
        <f t="shared" si="688"/>
        <v>0</v>
      </c>
      <c r="HE953" t="s">
        <v>3</v>
      </c>
      <c r="HF953" t="s">
        <v>3</v>
      </c>
      <c r="IK953">
        <v>0</v>
      </c>
    </row>
    <row r="955" spans="1:245" x14ac:dyDescent="0.2">
      <c r="A955" s="2">
        <v>51</v>
      </c>
      <c r="B955" s="2">
        <f>B930</f>
        <v>1</v>
      </c>
      <c r="C955" s="2">
        <f>A930</f>
        <v>5</v>
      </c>
      <c r="D955" s="2">
        <f>ROW(A930)</f>
        <v>930</v>
      </c>
      <c r="E955" s="2"/>
      <c r="F955" s="2" t="str">
        <f>IF(F930&lt;&gt;"",F930,"")</f>
        <v>Новый подраздел</v>
      </c>
      <c r="G955" s="2" t="str">
        <f>IF(G930&lt;&gt;"",G930,"")</f>
        <v>Монтажные работы</v>
      </c>
      <c r="H955" s="2">
        <v>0</v>
      </c>
      <c r="I955" s="2"/>
      <c r="J955" s="2"/>
      <c r="K955" s="2"/>
      <c r="L955" s="2"/>
      <c r="M955" s="2"/>
      <c r="N955" s="2"/>
      <c r="O955" s="2">
        <f t="shared" ref="O955:T955" si="690">ROUND(AB955,2)</f>
        <v>4820084.0999999996</v>
      </c>
      <c r="P955" s="2">
        <f t="shared" si="690"/>
        <v>4539637.55</v>
      </c>
      <c r="Q955" s="2">
        <f t="shared" si="690"/>
        <v>434.4</v>
      </c>
      <c r="R955" s="2">
        <f t="shared" si="690"/>
        <v>22.16</v>
      </c>
      <c r="S955" s="2">
        <f t="shared" si="690"/>
        <v>280012.15000000002</v>
      </c>
      <c r="T955" s="2">
        <f t="shared" si="690"/>
        <v>0</v>
      </c>
      <c r="U955" s="2">
        <f>AH955</f>
        <v>1558.39137708</v>
      </c>
      <c r="V955" s="2">
        <f>AI955</f>
        <v>0</v>
      </c>
      <c r="W955" s="2">
        <f>ROUND(AJ955,2)</f>
        <v>0</v>
      </c>
      <c r="X955" s="2">
        <f>ROUND(AK955,2)</f>
        <v>196008.51</v>
      </c>
      <c r="Y955" s="2">
        <f>ROUND(AL955,2)</f>
        <v>28001.23</v>
      </c>
      <c r="Z955" s="2"/>
      <c r="AA955" s="2"/>
      <c r="AB955" s="2">
        <f>ROUND(SUMIF(AA934:AA953,"=38214492",O934:O953),2)</f>
        <v>4820084.0999999996</v>
      </c>
      <c r="AC955" s="2">
        <f>ROUND(SUMIF(AA934:AA953,"=38214492",P934:P953),2)</f>
        <v>4539637.55</v>
      </c>
      <c r="AD955" s="2">
        <f>ROUND(SUMIF(AA934:AA953,"=38214492",Q934:Q953),2)</f>
        <v>434.4</v>
      </c>
      <c r="AE955" s="2">
        <f>ROUND(SUMIF(AA934:AA953,"=38214492",R934:R953),2)</f>
        <v>22.16</v>
      </c>
      <c r="AF955" s="2">
        <f>ROUND(SUMIF(AA934:AA953,"=38214492",S934:S953),2)</f>
        <v>280012.15000000002</v>
      </c>
      <c r="AG955" s="2">
        <f>ROUND(SUMIF(AA934:AA953,"=38214492",T934:T953),2)</f>
        <v>0</v>
      </c>
      <c r="AH955" s="2">
        <f>SUMIF(AA934:AA953,"=38214492",U934:U953)</f>
        <v>1558.39137708</v>
      </c>
      <c r="AI955" s="2">
        <f>SUMIF(AA934:AA953,"=38214492",V934:V953)</f>
        <v>0</v>
      </c>
      <c r="AJ955" s="2">
        <f>ROUND(SUMIF(AA934:AA953,"=38214492",W934:W953),2)</f>
        <v>0</v>
      </c>
      <c r="AK955" s="2">
        <f>ROUND(SUMIF(AA934:AA953,"=38214492",X934:X953),2)</f>
        <v>196008.51</v>
      </c>
      <c r="AL955" s="2">
        <f>ROUND(SUMIF(AA934:AA953,"=38214492",Y934:Y953),2)</f>
        <v>28001.23</v>
      </c>
      <c r="AM955" s="2"/>
      <c r="AN955" s="2"/>
      <c r="AO955" s="2">
        <f t="shared" ref="AO955:BD955" si="691">ROUND(BX955,2)</f>
        <v>0</v>
      </c>
      <c r="AP955" s="2">
        <f t="shared" si="691"/>
        <v>0</v>
      </c>
      <c r="AQ955" s="2">
        <f t="shared" si="691"/>
        <v>0</v>
      </c>
      <c r="AR955" s="2">
        <f t="shared" si="691"/>
        <v>5044117.7699999996</v>
      </c>
      <c r="AS955" s="2">
        <f t="shared" si="691"/>
        <v>3120740.46</v>
      </c>
      <c r="AT955" s="2">
        <f t="shared" si="691"/>
        <v>0</v>
      </c>
      <c r="AU955" s="2">
        <f t="shared" si="691"/>
        <v>1923377.31</v>
      </c>
      <c r="AV955" s="2">
        <f t="shared" si="691"/>
        <v>4539637.55</v>
      </c>
      <c r="AW955" s="2">
        <f t="shared" si="691"/>
        <v>4539637.55</v>
      </c>
      <c r="AX955" s="2">
        <f t="shared" si="691"/>
        <v>0</v>
      </c>
      <c r="AY955" s="2">
        <f t="shared" si="691"/>
        <v>4539637.55</v>
      </c>
      <c r="AZ955" s="2">
        <f t="shared" si="691"/>
        <v>0</v>
      </c>
      <c r="BA955" s="2">
        <f t="shared" si="691"/>
        <v>0</v>
      </c>
      <c r="BB955" s="2">
        <f t="shared" si="691"/>
        <v>0</v>
      </c>
      <c r="BC955" s="2">
        <f t="shared" si="691"/>
        <v>0</v>
      </c>
      <c r="BD955" s="2">
        <f t="shared" si="691"/>
        <v>0</v>
      </c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>
        <f>ROUND(SUMIF(AA934:AA953,"=38214492",FQ934:FQ953),2)</f>
        <v>0</v>
      </c>
      <c r="BY955" s="2">
        <f>ROUND(SUMIF(AA934:AA953,"=38214492",FR934:FR953),2)</f>
        <v>0</v>
      </c>
      <c r="BZ955" s="2">
        <f>ROUND(SUMIF(AA934:AA953,"=38214492",GL934:GL953),2)</f>
        <v>0</v>
      </c>
      <c r="CA955" s="2">
        <f>ROUND(SUMIF(AA934:AA953,"=38214492",GM934:GM953),2)</f>
        <v>5044117.7699999996</v>
      </c>
      <c r="CB955" s="2">
        <f>ROUND(SUMIF(AA934:AA953,"=38214492",GN934:GN953),2)</f>
        <v>3120740.46</v>
      </c>
      <c r="CC955" s="2">
        <f>ROUND(SUMIF(AA934:AA953,"=38214492",GO934:GO953),2)</f>
        <v>0</v>
      </c>
      <c r="CD955" s="2">
        <f>ROUND(SUMIF(AA934:AA953,"=38214492",GP934:GP953),2)</f>
        <v>1923377.31</v>
      </c>
      <c r="CE955" s="2">
        <f>AC955-BX955</f>
        <v>4539637.55</v>
      </c>
      <c r="CF955" s="2">
        <f>AC955-BY955</f>
        <v>4539637.55</v>
      </c>
      <c r="CG955" s="2">
        <f>BX955-BZ955</f>
        <v>0</v>
      </c>
      <c r="CH955" s="2">
        <f>AC955-BX955-BY955+BZ955</f>
        <v>4539637.55</v>
      </c>
      <c r="CI955" s="2">
        <f>BY955-BZ955</f>
        <v>0</v>
      </c>
      <c r="CJ955" s="2">
        <f>ROUND(SUMIF(AA934:AA953,"=38214492",GX934:GX953),2)</f>
        <v>0</v>
      </c>
      <c r="CK955" s="2">
        <f>ROUND(SUMIF(AA934:AA953,"=38214492",GY934:GY953),2)</f>
        <v>0</v>
      </c>
      <c r="CL955" s="2">
        <f>ROUND(SUMIF(AA934:AA953,"=38214492",GZ934:GZ953),2)</f>
        <v>0</v>
      </c>
      <c r="CM955" s="2">
        <f>ROUND(SUMIF(AA934:AA953,"=38214492",HD934:HD953),2)</f>
        <v>0</v>
      </c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  <c r="DC955" s="2"/>
      <c r="DD955" s="2"/>
      <c r="DE955" s="2"/>
      <c r="DF955" s="2"/>
      <c r="DG955" s="3"/>
      <c r="DH955" s="3"/>
      <c r="DI955" s="3"/>
      <c r="DJ955" s="3"/>
      <c r="DK955" s="3"/>
      <c r="DL955" s="3"/>
      <c r="DM955" s="3"/>
      <c r="DN955" s="3"/>
      <c r="DO955" s="3"/>
      <c r="DP955" s="3"/>
      <c r="DQ955" s="3"/>
      <c r="DR955" s="3"/>
      <c r="DS955" s="3"/>
      <c r="DT955" s="3"/>
      <c r="DU955" s="3"/>
      <c r="DV955" s="3"/>
      <c r="DW955" s="3"/>
      <c r="DX955" s="3"/>
      <c r="DY955" s="3"/>
      <c r="DZ955" s="3"/>
      <c r="EA955" s="3"/>
      <c r="EB955" s="3"/>
      <c r="EC955" s="3"/>
      <c r="ED955" s="3"/>
      <c r="EE955" s="3"/>
      <c r="EF955" s="3"/>
      <c r="EG955" s="3"/>
      <c r="EH955" s="3"/>
      <c r="EI955" s="3"/>
      <c r="EJ955" s="3"/>
      <c r="EK955" s="3"/>
      <c r="EL955" s="3"/>
      <c r="EM955" s="3"/>
      <c r="EN955" s="3"/>
      <c r="EO955" s="3"/>
      <c r="EP955" s="3"/>
      <c r="EQ955" s="3"/>
      <c r="ER955" s="3"/>
      <c r="ES955" s="3"/>
      <c r="ET955" s="3"/>
      <c r="EU955" s="3"/>
      <c r="EV955" s="3"/>
      <c r="EW955" s="3"/>
      <c r="EX955" s="3"/>
      <c r="EY955" s="3"/>
      <c r="EZ955" s="3"/>
      <c r="FA955" s="3"/>
      <c r="FB955" s="3"/>
      <c r="FC955" s="3"/>
      <c r="FD955" s="3"/>
      <c r="FE955" s="3"/>
      <c r="FF955" s="3"/>
      <c r="FG955" s="3"/>
      <c r="FH955" s="3"/>
      <c r="FI955" s="3"/>
      <c r="FJ955" s="3"/>
      <c r="FK955" s="3"/>
      <c r="FL955" s="3"/>
      <c r="FM955" s="3"/>
      <c r="FN955" s="3"/>
      <c r="FO955" s="3"/>
      <c r="FP955" s="3"/>
      <c r="FQ955" s="3"/>
      <c r="FR955" s="3"/>
      <c r="FS955" s="3"/>
      <c r="FT955" s="3"/>
      <c r="FU955" s="3"/>
      <c r="FV955" s="3"/>
      <c r="FW955" s="3"/>
      <c r="FX955" s="3"/>
      <c r="FY955" s="3"/>
      <c r="FZ955" s="3"/>
      <c r="GA955" s="3"/>
      <c r="GB955" s="3"/>
      <c r="GC955" s="3"/>
      <c r="GD955" s="3"/>
      <c r="GE955" s="3"/>
      <c r="GF955" s="3"/>
      <c r="GG955" s="3"/>
      <c r="GH955" s="3"/>
      <c r="GI955" s="3"/>
      <c r="GJ955" s="3"/>
      <c r="GK955" s="3"/>
      <c r="GL955" s="3"/>
      <c r="GM955" s="3"/>
      <c r="GN955" s="3"/>
      <c r="GO955" s="3"/>
      <c r="GP955" s="3"/>
      <c r="GQ955" s="3"/>
      <c r="GR955" s="3"/>
      <c r="GS955" s="3"/>
      <c r="GT955" s="3"/>
      <c r="GU955" s="3"/>
      <c r="GV955" s="3"/>
      <c r="GW955" s="3"/>
      <c r="GX955" s="3">
        <v>0</v>
      </c>
    </row>
    <row r="957" spans="1:245" x14ac:dyDescent="0.2">
      <c r="A957" s="4">
        <v>50</v>
      </c>
      <c r="B957" s="4">
        <v>0</v>
      </c>
      <c r="C957" s="4">
        <v>0</v>
      </c>
      <c r="D957" s="4">
        <v>1</v>
      </c>
      <c r="E957" s="4">
        <v>201</v>
      </c>
      <c r="F957" s="4">
        <f>ROUND(Source!O955,O957)</f>
        <v>4820084.0999999996</v>
      </c>
      <c r="G957" s="4" t="s">
        <v>56</v>
      </c>
      <c r="H957" s="4" t="s">
        <v>57</v>
      </c>
      <c r="I957" s="4"/>
      <c r="J957" s="4"/>
      <c r="K957" s="4">
        <v>201</v>
      </c>
      <c r="L957" s="4">
        <v>1</v>
      </c>
      <c r="M957" s="4">
        <v>3</v>
      </c>
      <c r="N957" s="4" t="s">
        <v>3</v>
      </c>
      <c r="O957" s="4">
        <v>2</v>
      </c>
      <c r="P957" s="4"/>
      <c r="Q957" s="4"/>
      <c r="R957" s="4"/>
      <c r="S957" s="4"/>
      <c r="T957" s="4"/>
      <c r="U957" s="4"/>
      <c r="V957" s="4"/>
      <c r="W957" s="4"/>
    </row>
    <row r="958" spans="1:245" x14ac:dyDescent="0.2">
      <c r="A958" s="4">
        <v>50</v>
      </c>
      <c r="B958" s="4">
        <v>0</v>
      </c>
      <c r="C958" s="4">
        <v>0</v>
      </c>
      <c r="D958" s="4">
        <v>1</v>
      </c>
      <c r="E958" s="4">
        <v>202</v>
      </c>
      <c r="F958" s="4">
        <f>ROUND(Source!P955,O958)</f>
        <v>4539637.55</v>
      </c>
      <c r="G958" s="4" t="s">
        <v>58</v>
      </c>
      <c r="H958" s="4" t="s">
        <v>59</v>
      </c>
      <c r="I958" s="4"/>
      <c r="J958" s="4"/>
      <c r="K958" s="4">
        <v>202</v>
      </c>
      <c r="L958" s="4">
        <v>2</v>
      </c>
      <c r="M958" s="4">
        <v>3</v>
      </c>
      <c r="N958" s="4" t="s">
        <v>3</v>
      </c>
      <c r="O958" s="4">
        <v>2</v>
      </c>
      <c r="P958" s="4"/>
      <c r="Q958" s="4"/>
      <c r="R958" s="4"/>
      <c r="S958" s="4"/>
      <c r="T958" s="4"/>
      <c r="U958" s="4"/>
      <c r="V958" s="4"/>
      <c r="W958" s="4"/>
    </row>
    <row r="959" spans="1:245" x14ac:dyDescent="0.2">
      <c r="A959" s="4">
        <v>50</v>
      </c>
      <c r="B959" s="4">
        <v>0</v>
      </c>
      <c r="C959" s="4">
        <v>0</v>
      </c>
      <c r="D959" s="4">
        <v>1</v>
      </c>
      <c r="E959" s="4">
        <v>222</v>
      </c>
      <c r="F959" s="4">
        <f>ROUND(Source!AO955,O959)</f>
        <v>0</v>
      </c>
      <c r="G959" s="4" t="s">
        <v>60</v>
      </c>
      <c r="H959" s="4" t="s">
        <v>61</v>
      </c>
      <c r="I959" s="4"/>
      <c r="J959" s="4"/>
      <c r="K959" s="4">
        <v>222</v>
      </c>
      <c r="L959" s="4">
        <v>3</v>
      </c>
      <c r="M959" s="4">
        <v>3</v>
      </c>
      <c r="N959" s="4" t="s">
        <v>3</v>
      </c>
      <c r="O959" s="4">
        <v>2</v>
      </c>
      <c r="P959" s="4"/>
      <c r="Q959" s="4"/>
      <c r="R959" s="4"/>
      <c r="S959" s="4"/>
      <c r="T959" s="4"/>
      <c r="U959" s="4"/>
      <c r="V959" s="4"/>
      <c r="W959" s="4"/>
    </row>
    <row r="960" spans="1:245" x14ac:dyDescent="0.2">
      <c r="A960" s="4">
        <v>50</v>
      </c>
      <c r="B960" s="4">
        <v>0</v>
      </c>
      <c r="C960" s="4">
        <v>0</v>
      </c>
      <c r="D960" s="4">
        <v>1</v>
      </c>
      <c r="E960" s="4">
        <v>225</v>
      </c>
      <c r="F960" s="4">
        <f>ROUND(Source!AV955,O960)</f>
        <v>4539637.55</v>
      </c>
      <c r="G960" s="4" t="s">
        <v>62</v>
      </c>
      <c r="H960" s="4" t="s">
        <v>63</v>
      </c>
      <c r="I960" s="4"/>
      <c r="J960" s="4"/>
      <c r="K960" s="4">
        <v>225</v>
      </c>
      <c r="L960" s="4">
        <v>4</v>
      </c>
      <c r="M960" s="4">
        <v>3</v>
      </c>
      <c r="N960" s="4" t="s">
        <v>3</v>
      </c>
      <c r="O960" s="4">
        <v>2</v>
      </c>
      <c r="P960" s="4"/>
      <c r="Q960" s="4"/>
      <c r="R960" s="4"/>
      <c r="S960" s="4"/>
      <c r="T960" s="4"/>
      <c r="U960" s="4"/>
      <c r="V960" s="4"/>
      <c r="W960" s="4"/>
    </row>
    <row r="961" spans="1:23" x14ac:dyDescent="0.2">
      <c r="A961" s="4">
        <v>50</v>
      </c>
      <c r="B961" s="4">
        <v>0</v>
      </c>
      <c r="C961" s="4">
        <v>0</v>
      </c>
      <c r="D961" s="4">
        <v>1</v>
      </c>
      <c r="E961" s="4">
        <v>226</v>
      </c>
      <c r="F961" s="4">
        <f>ROUND(Source!AW955,O961)</f>
        <v>4539637.55</v>
      </c>
      <c r="G961" s="4" t="s">
        <v>64</v>
      </c>
      <c r="H961" s="4" t="s">
        <v>65</v>
      </c>
      <c r="I961" s="4"/>
      <c r="J961" s="4"/>
      <c r="K961" s="4">
        <v>226</v>
      </c>
      <c r="L961" s="4">
        <v>5</v>
      </c>
      <c r="M961" s="4">
        <v>3</v>
      </c>
      <c r="N961" s="4" t="s">
        <v>3</v>
      </c>
      <c r="O961" s="4">
        <v>2</v>
      </c>
      <c r="P961" s="4"/>
      <c r="Q961" s="4"/>
      <c r="R961" s="4"/>
      <c r="S961" s="4"/>
      <c r="T961" s="4"/>
      <c r="U961" s="4"/>
      <c r="V961" s="4"/>
      <c r="W961" s="4"/>
    </row>
    <row r="962" spans="1:23" x14ac:dyDescent="0.2">
      <c r="A962" s="4">
        <v>50</v>
      </c>
      <c r="B962" s="4">
        <v>0</v>
      </c>
      <c r="C962" s="4">
        <v>0</v>
      </c>
      <c r="D962" s="4">
        <v>1</v>
      </c>
      <c r="E962" s="4">
        <v>227</v>
      </c>
      <c r="F962" s="4">
        <f>ROUND(Source!AX955,O962)</f>
        <v>0</v>
      </c>
      <c r="G962" s="4" t="s">
        <v>66</v>
      </c>
      <c r="H962" s="4" t="s">
        <v>67</v>
      </c>
      <c r="I962" s="4"/>
      <c r="J962" s="4"/>
      <c r="K962" s="4">
        <v>227</v>
      </c>
      <c r="L962" s="4">
        <v>6</v>
      </c>
      <c r="M962" s="4">
        <v>3</v>
      </c>
      <c r="N962" s="4" t="s">
        <v>3</v>
      </c>
      <c r="O962" s="4">
        <v>2</v>
      </c>
      <c r="P962" s="4"/>
      <c r="Q962" s="4"/>
      <c r="R962" s="4"/>
      <c r="S962" s="4"/>
      <c r="T962" s="4"/>
      <c r="U962" s="4"/>
      <c r="V962" s="4"/>
      <c r="W962" s="4"/>
    </row>
    <row r="963" spans="1:23" x14ac:dyDescent="0.2">
      <c r="A963" s="4">
        <v>50</v>
      </c>
      <c r="B963" s="4">
        <v>0</v>
      </c>
      <c r="C963" s="4">
        <v>0</v>
      </c>
      <c r="D963" s="4">
        <v>1</v>
      </c>
      <c r="E963" s="4">
        <v>228</v>
      </c>
      <c r="F963" s="4">
        <f>ROUND(Source!AY955,O963)</f>
        <v>4539637.55</v>
      </c>
      <c r="G963" s="4" t="s">
        <v>68</v>
      </c>
      <c r="H963" s="4" t="s">
        <v>69</v>
      </c>
      <c r="I963" s="4"/>
      <c r="J963" s="4"/>
      <c r="K963" s="4">
        <v>228</v>
      </c>
      <c r="L963" s="4">
        <v>7</v>
      </c>
      <c r="M963" s="4">
        <v>3</v>
      </c>
      <c r="N963" s="4" t="s">
        <v>3</v>
      </c>
      <c r="O963" s="4">
        <v>2</v>
      </c>
      <c r="P963" s="4"/>
      <c r="Q963" s="4"/>
      <c r="R963" s="4"/>
      <c r="S963" s="4"/>
      <c r="T963" s="4"/>
      <c r="U963" s="4"/>
      <c r="V963" s="4"/>
      <c r="W963" s="4"/>
    </row>
    <row r="964" spans="1:23" x14ac:dyDescent="0.2">
      <c r="A964" s="4">
        <v>50</v>
      </c>
      <c r="B964" s="4">
        <v>0</v>
      </c>
      <c r="C964" s="4">
        <v>0</v>
      </c>
      <c r="D964" s="4">
        <v>1</v>
      </c>
      <c r="E964" s="4">
        <v>216</v>
      </c>
      <c r="F964" s="4">
        <f>ROUND(Source!AP955,O964)</f>
        <v>0</v>
      </c>
      <c r="G964" s="4" t="s">
        <v>70</v>
      </c>
      <c r="H964" s="4" t="s">
        <v>71</v>
      </c>
      <c r="I964" s="4"/>
      <c r="J964" s="4"/>
      <c r="K964" s="4">
        <v>216</v>
      </c>
      <c r="L964" s="4">
        <v>8</v>
      </c>
      <c r="M964" s="4">
        <v>3</v>
      </c>
      <c r="N964" s="4" t="s">
        <v>3</v>
      </c>
      <c r="O964" s="4">
        <v>2</v>
      </c>
      <c r="P964" s="4"/>
      <c r="Q964" s="4"/>
      <c r="R964" s="4"/>
      <c r="S964" s="4"/>
      <c r="T964" s="4"/>
      <c r="U964" s="4"/>
      <c r="V964" s="4"/>
      <c r="W964" s="4"/>
    </row>
    <row r="965" spans="1:23" x14ac:dyDescent="0.2">
      <c r="A965" s="4">
        <v>50</v>
      </c>
      <c r="B965" s="4">
        <v>0</v>
      </c>
      <c r="C965" s="4">
        <v>0</v>
      </c>
      <c r="D965" s="4">
        <v>1</v>
      </c>
      <c r="E965" s="4">
        <v>223</v>
      </c>
      <c r="F965" s="4">
        <f>ROUND(Source!AQ955,O965)</f>
        <v>0</v>
      </c>
      <c r="G965" s="4" t="s">
        <v>72</v>
      </c>
      <c r="H965" s="4" t="s">
        <v>73</v>
      </c>
      <c r="I965" s="4"/>
      <c r="J965" s="4"/>
      <c r="K965" s="4">
        <v>223</v>
      </c>
      <c r="L965" s="4">
        <v>9</v>
      </c>
      <c r="M965" s="4">
        <v>3</v>
      </c>
      <c r="N965" s="4" t="s">
        <v>3</v>
      </c>
      <c r="O965" s="4">
        <v>2</v>
      </c>
      <c r="P965" s="4"/>
      <c r="Q965" s="4"/>
      <c r="R965" s="4"/>
      <c r="S965" s="4"/>
      <c r="T965" s="4"/>
      <c r="U965" s="4"/>
      <c r="V965" s="4"/>
      <c r="W965" s="4"/>
    </row>
    <row r="966" spans="1:23" x14ac:dyDescent="0.2">
      <c r="A966" s="4">
        <v>50</v>
      </c>
      <c r="B966" s="4">
        <v>0</v>
      </c>
      <c r="C966" s="4">
        <v>0</v>
      </c>
      <c r="D966" s="4">
        <v>1</v>
      </c>
      <c r="E966" s="4">
        <v>229</v>
      </c>
      <c r="F966" s="4">
        <f>ROUND(Source!AZ955,O966)</f>
        <v>0</v>
      </c>
      <c r="G966" s="4" t="s">
        <v>74</v>
      </c>
      <c r="H966" s="4" t="s">
        <v>75</v>
      </c>
      <c r="I966" s="4"/>
      <c r="J966" s="4"/>
      <c r="K966" s="4">
        <v>229</v>
      </c>
      <c r="L966" s="4">
        <v>10</v>
      </c>
      <c r="M966" s="4">
        <v>3</v>
      </c>
      <c r="N966" s="4" t="s">
        <v>3</v>
      </c>
      <c r="O966" s="4">
        <v>2</v>
      </c>
      <c r="P966" s="4"/>
      <c r="Q966" s="4"/>
      <c r="R966" s="4"/>
      <c r="S966" s="4"/>
      <c r="T966" s="4"/>
      <c r="U966" s="4"/>
      <c r="V966" s="4"/>
      <c r="W966" s="4"/>
    </row>
    <row r="967" spans="1:23" x14ac:dyDescent="0.2">
      <c r="A967" s="4">
        <v>50</v>
      </c>
      <c r="B967" s="4">
        <v>0</v>
      </c>
      <c r="C967" s="4">
        <v>0</v>
      </c>
      <c r="D967" s="4">
        <v>1</v>
      </c>
      <c r="E967" s="4">
        <v>203</v>
      </c>
      <c r="F967" s="4">
        <f>ROUND(Source!Q955,O967)</f>
        <v>434.4</v>
      </c>
      <c r="G967" s="4" t="s">
        <v>76</v>
      </c>
      <c r="H967" s="4" t="s">
        <v>77</v>
      </c>
      <c r="I967" s="4"/>
      <c r="J967" s="4"/>
      <c r="K967" s="4">
        <v>203</v>
      </c>
      <c r="L967" s="4">
        <v>11</v>
      </c>
      <c r="M967" s="4">
        <v>3</v>
      </c>
      <c r="N967" s="4" t="s">
        <v>3</v>
      </c>
      <c r="O967" s="4">
        <v>2</v>
      </c>
      <c r="P967" s="4"/>
      <c r="Q967" s="4"/>
      <c r="R967" s="4"/>
      <c r="S967" s="4"/>
      <c r="T967" s="4"/>
      <c r="U967" s="4"/>
      <c r="V967" s="4"/>
      <c r="W967" s="4"/>
    </row>
    <row r="968" spans="1:23" x14ac:dyDescent="0.2">
      <c r="A968" s="4">
        <v>50</v>
      </c>
      <c r="B968" s="4">
        <v>0</v>
      </c>
      <c r="C968" s="4">
        <v>0</v>
      </c>
      <c r="D968" s="4">
        <v>1</v>
      </c>
      <c r="E968" s="4">
        <v>231</v>
      </c>
      <c r="F968" s="4">
        <f>ROUND(Source!BB955,O968)</f>
        <v>0</v>
      </c>
      <c r="G968" s="4" t="s">
        <v>78</v>
      </c>
      <c r="H968" s="4" t="s">
        <v>79</v>
      </c>
      <c r="I968" s="4"/>
      <c r="J968" s="4"/>
      <c r="K968" s="4">
        <v>231</v>
      </c>
      <c r="L968" s="4">
        <v>12</v>
      </c>
      <c r="M968" s="4">
        <v>3</v>
      </c>
      <c r="N968" s="4" t="s">
        <v>3</v>
      </c>
      <c r="O968" s="4">
        <v>2</v>
      </c>
      <c r="P968" s="4"/>
      <c r="Q968" s="4"/>
      <c r="R968" s="4"/>
      <c r="S968" s="4"/>
      <c r="T968" s="4"/>
      <c r="U968" s="4"/>
      <c r="V968" s="4"/>
      <c r="W968" s="4"/>
    </row>
    <row r="969" spans="1:23" x14ac:dyDescent="0.2">
      <c r="A969" s="4">
        <v>50</v>
      </c>
      <c r="B969" s="4">
        <v>0</v>
      </c>
      <c r="C969" s="4">
        <v>0</v>
      </c>
      <c r="D969" s="4">
        <v>1</v>
      </c>
      <c r="E969" s="4">
        <v>204</v>
      </c>
      <c r="F969" s="4">
        <f>ROUND(Source!R955,O969)</f>
        <v>22.16</v>
      </c>
      <c r="G969" s="4" t="s">
        <v>80</v>
      </c>
      <c r="H969" s="4" t="s">
        <v>81</v>
      </c>
      <c r="I969" s="4"/>
      <c r="J969" s="4"/>
      <c r="K969" s="4">
        <v>204</v>
      </c>
      <c r="L969" s="4">
        <v>13</v>
      </c>
      <c r="M969" s="4">
        <v>3</v>
      </c>
      <c r="N969" s="4" t="s">
        <v>3</v>
      </c>
      <c r="O969" s="4">
        <v>2</v>
      </c>
      <c r="P969" s="4"/>
      <c r="Q969" s="4"/>
      <c r="R969" s="4"/>
      <c r="S969" s="4"/>
      <c r="T969" s="4"/>
      <c r="U969" s="4"/>
      <c r="V969" s="4"/>
      <c r="W969" s="4"/>
    </row>
    <row r="970" spans="1:23" x14ac:dyDescent="0.2">
      <c r="A970" s="4">
        <v>50</v>
      </c>
      <c r="B970" s="4">
        <v>0</v>
      </c>
      <c r="C970" s="4">
        <v>0</v>
      </c>
      <c r="D970" s="4">
        <v>1</v>
      </c>
      <c r="E970" s="4">
        <v>205</v>
      </c>
      <c r="F970" s="4">
        <f>ROUND(Source!S955,O970)</f>
        <v>280012.15000000002</v>
      </c>
      <c r="G970" s="4" t="s">
        <v>82</v>
      </c>
      <c r="H970" s="4" t="s">
        <v>83</v>
      </c>
      <c r="I970" s="4"/>
      <c r="J970" s="4"/>
      <c r="K970" s="4">
        <v>205</v>
      </c>
      <c r="L970" s="4">
        <v>14</v>
      </c>
      <c r="M970" s="4">
        <v>3</v>
      </c>
      <c r="N970" s="4" t="s">
        <v>3</v>
      </c>
      <c r="O970" s="4">
        <v>2</v>
      </c>
      <c r="P970" s="4"/>
      <c r="Q970" s="4"/>
      <c r="R970" s="4"/>
      <c r="S970" s="4"/>
      <c r="T970" s="4"/>
      <c r="U970" s="4"/>
      <c r="V970" s="4"/>
      <c r="W970" s="4"/>
    </row>
    <row r="971" spans="1:23" x14ac:dyDescent="0.2">
      <c r="A971" s="4">
        <v>50</v>
      </c>
      <c r="B971" s="4">
        <v>0</v>
      </c>
      <c r="C971" s="4">
        <v>0</v>
      </c>
      <c r="D971" s="4">
        <v>1</v>
      </c>
      <c r="E971" s="4">
        <v>232</v>
      </c>
      <c r="F971" s="4">
        <f>ROUND(Source!BC955,O971)</f>
        <v>0</v>
      </c>
      <c r="G971" s="4" t="s">
        <v>84</v>
      </c>
      <c r="H971" s="4" t="s">
        <v>85</v>
      </c>
      <c r="I971" s="4"/>
      <c r="J971" s="4"/>
      <c r="K971" s="4">
        <v>232</v>
      </c>
      <c r="L971" s="4">
        <v>15</v>
      </c>
      <c r="M971" s="4">
        <v>3</v>
      </c>
      <c r="N971" s="4" t="s">
        <v>3</v>
      </c>
      <c r="O971" s="4">
        <v>2</v>
      </c>
      <c r="P971" s="4"/>
      <c r="Q971" s="4"/>
      <c r="R971" s="4"/>
      <c r="S971" s="4"/>
      <c r="T971" s="4"/>
      <c r="U971" s="4"/>
      <c r="V971" s="4"/>
      <c r="W971" s="4"/>
    </row>
    <row r="972" spans="1:23" x14ac:dyDescent="0.2">
      <c r="A972" s="4">
        <v>50</v>
      </c>
      <c r="B972" s="4">
        <v>0</v>
      </c>
      <c r="C972" s="4">
        <v>0</v>
      </c>
      <c r="D972" s="4">
        <v>1</v>
      </c>
      <c r="E972" s="4">
        <v>214</v>
      </c>
      <c r="F972" s="4">
        <f>ROUND(Source!AS955,O972)</f>
        <v>3120740.46</v>
      </c>
      <c r="G972" s="4" t="s">
        <v>86</v>
      </c>
      <c r="H972" s="4" t="s">
        <v>87</v>
      </c>
      <c r="I972" s="4"/>
      <c r="J972" s="4"/>
      <c r="K972" s="4">
        <v>214</v>
      </c>
      <c r="L972" s="4">
        <v>16</v>
      </c>
      <c r="M972" s="4">
        <v>3</v>
      </c>
      <c r="N972" s="4" t="s">
        <v>3</v>
      </c>
      <c r="O972" s="4">
        <v>2</v>
      </c>
      <c r="P972" s="4"/>
      <c r="Q972" s="4"/>
      <c r="R972" s="4"/>
      <c r="S972" s="4"/>
      <c r="T972" s="4"/>
      <c r="U972" s="4"/>
      <c r="V972" s="4"/>
      <c r="W972" s="4"/>
    </row>
    <row r="973" spans="1:23" x14ac:dyDescent="0.2">
      <c r="A973" s="4">
        <v>50</v>
      </c>
      <c r="B973" s="4">
        <v>0</v>
      </c>
      <c r="C973" s="4">
        <v>0</v>
      </c>
      <c r="D973" s="4">
        <v>1</v>
      </c>
      <c r="E973" s="4">
        <v>215</v>
      </c>
      <c r="F973" s="4">
        <f>ROUND(Source!AT955,O973)</f>
        <v>0</v>
      </c>
      <c r="G973" s="4" t="s">
        <v>88</v>
      </c>
      <c r="H973" s="4" t="s">
        <v>89</v>
      </c>
      <c r="I973" s="4"/>
      <c r="J973" s="4"/>
      <c r="K973" s="4">
        <v>215</v>
      </c>
      <c r="L973" s="4">
        <v>17</v>
      </c>
      <c r="M973" s="4">
        <v>3</v>
      </c>
      <c r="N973" s="4" t="s">
        <v>3</v>
      </c>
      <c r="O973" s="4">
        <v>2</v>
      </c>
      <c r="P973" s="4"/>
      <c r="Q973" s="4"/>
      <c r="R973" s="4"/>
      <c r="S973" s="4"/>
      <c r="T973" s="4"/>
      <c r="U973" s="4"/>
      <c r="V973" s="4"/>
      <c r="W973" s="4"/>
    </row>
    <row r="974" spans="1:23" x14ac:dyDescent="0.2">
      <c r="A974" s="4">
        <v>50</v>
      </c>
      <c r="B974" s="4">
        <v>0</v>
      </c>
      <c r="C974" s="4">
        <v>0</v>
      </c>
      <c r="D974" s="4">
        <v>1</v>
      </c>
      <c r="E974" s="4">
        <v>217</v>
      </c>
      <c r="F974" s="4">
        <f>ROUND(Source!AU955,O974)</f>
        <v>1923377.31</v>
      </c>
      <c r="G974" s="4" t="s">
        <v>90</v>
      </c>
      <c r="H974" s="4" t="s">
        <v>91</v>
      </c>
      <c r="I974" s="4"/>
      <c r="J974" s="4"/>
      <c r="K974" s="4">
        <v>217</v>
      </c>
      <c r="L974" s="4">
        <v>18</v>
      </c>
      <c r="M974" s="4">
        <v>3</v>
      </c>
      <c r="N974" s="4" t="s">
        <v>3</v>
      </c>
      <c r="O974" s="4">
        <v>2</v>
      </c>
      <c r="P974" s="4"/>
      <c r="Q974" s="4"/>
      <c r="R974" s="4"/>
      <c r="S974" s="4"/>
      <c r="T974" s="4"/>
      <c r="U974" s="4"/>
      <c r="V974" s="4"/>
      <c r="W974" s="4"/>
    </row>
    <row r="975" spans="1:23" x14ac:dyDescent="0.2">
      <c r="A975" s="4">
        <v>50</v>
      </c>
      <c r="B975" s="4">
        <v>0</v>
      </c>
      <c r="C975" s="4">
        <v>0</v>
      </c>
      <c r="D975" s="4">
        <v>1</v>
      </c>
      <c r="E975" s="4">
        <v>230</v>
      </c>
      <c r="F975" s="4">
        <f>ROUND(Source!BA955,O975)</f>
        <v>0</v>
      </c>
      <c r="G975" s="4" t="s">
        <v>92</v>
      </c>
      <c r="H975" s="4" t="s">
        <v>93</v>
      </c>
      <c r="I975" s="4"/>
      <c r="J975" s="4"/>
      <c r="K975" s="4">
        <v>230</v>
      </c>
      <c r="L975" s="4">
        <v>19</v>
      </c>
      <c r="M975" s="4">
        <v>3</v>
      </c>
      <c r="N975" s="4" t="s">
        <v>3</v>
      </c>
      <c r="O975" s="4">
        <v>2</v>
      </c>
      <c r="P975" s="4"/>
      <c r="Q975" s="4"/>
      <c r="R975" s="4"/>
      <c r="S975" s="4"/>
      <c r="T975" s="4"/>
      <c r="U975" s="4"/>
      <c r="V975" s="4"/>
      <c r="W975" s="4"/>
    </row>
    <row r="976" spans="1:23" x14ac:dyDescent="0.2">
      <c r="A976" s="4">
        <v>50</v>
      </c>
      <c r="B976" s="4">
        <v>0</v>
      </c>
      <c r="C976" s="4">
        <v>0</v>
      </c>
      <c r="D976" s="4">
        <v>1</v>
      </c>
      <c r="E976" s="4">
        <v>206</v>
      </c>
      <c r="F976" s="4">
        <f>ROUND(Source!T955,O976)</f>
        <v>0</v>
      </c>
      <c r="G976" s="4" t="s">
        <v>94</v>
      </c>
      <c r="H976" s="4" t="s">
        <v>95</v>
      </c>
      <c r="I976" s="4"/>
      <c r="J976" s="4"/>
      <c r="K976" s="4">
        <v>206</v>
      </c>
      <c r="L976" s="4">
        <v>20</v>
      </c>
      <c r="M976" s="4">
        <v>3</v>
      </c>
      <c r="N976" s="4" t="s">
        <v>3</v>
      </c>
      <c r="O976" s="4">
        <v>2</v>
      </c>
      <c r="P976" s="4"/>
      <c r="Q976" s="4"/>
      <c r="R976" s="4"/>
      <c r="S976" s="4"/>
      <c r="T976" s="4"/>
      <c r="U976" s="4"/>
      <c r="V976" s="4"/>
      <c r="W976" s="4"/>
    </row>
    <row r="977" spans="1:206" x14ac:dyDescent="0.2">
      <c r="A977" s="4">
        <v>50</v>
      </c>
      <c r="B977" s="4">
        <v>0</v>
      </c>
      <c r="C977" s="4">
        <v>0</v>
      </c>
      <c r="D977" s="4">
        <v>1</v>
      </c>
      <c r="E977" s="4">
        <v>207</v>
      </c>
      <c r="F977" s="4">
        <f>Source!U955</f>
        <v>1558.39137708</v>
      </c>
      <c r="G977" s="4" t="s">
        <v>96</v>
      </c>
      <c r="H977" s="4" t="s">
        <v>97</v>
      </c>
      <c r="I977" s="4"/>
      <c r="J977" s="4"/>
      <c r="K977" s="4">
        <v>207</v>
      </c>
      <c r="L977" s="4">
        <v>21</v>
      </c>
      <c r="M977" s="4">
        <v>3</v>
      </c>
      <c r="N977" s="4" t="s">
        <v>3</v>
      </c>
      <c r="O977" s="4">
        <v>-1</v>
      </c>
      <c r="P977" s="4"/>
      <c r="Q977" s="4"/>
      <c r="R977" s="4"/>
      <c r="S977" s="4"/>
      <c r="T977" s="4"/>
      <c r="U977" s="4"/>
      <c r="V977" s="4"/>
      <c r="W977" s="4"/>
    </row>
    <row r="978" spans="1:206" x14ac:dyDescent="0.2">
      <c r="A978" s="4">
        <v>50</v>
      </c>
      <c r="B978" s="4">
        <v>0</v>
      </c>
      <c r="C978" s="4">
        <v>0</v>
      </c>
      <c r="D978" s="4">
        <v>1</v>
      </c>
      <c r="E978" s="4">
        <v>208</v>
      </c>
      <c r="F978" s="4">
        <f>Source!V955</f>
        <v>0</v>
      </c>
      <c r="G978" s="4" t="s">
        <v>98</v>
      </c>
      <c r="H978" s="4" t="s">
        <v>99</v>
      </c>
      <c r="I978" s="4"/>
      <c r="J978" s="4"/>
      <c r="K978" s="4">
        <v>208</v>
      </c>
      <c r="L978" s="4">
        <v>22</v>
      </c>
      <c r="M978" s="4">
        <v>3</v>
      </c>
      <c r="N978" s="4" t="s">
        <v>3</v>
      </c>
      <c r="O978" s="4">
        <v>-1</v>
      </c>
      <c r="P978" s="4"/>
      <c r="Q978" s="4"/>
      <c r="R978" s="4"/>
      <c r="S978" s="4"/>
      <c r="T978" s="4"/>
      <c r="U978" s="4"/>
      <c r="V978" s="4"/>
      <c r="W978" s="4"/>
    </row>
    <row r="979" spans="1:206" x14ac:dyDescent="0.2">
      <c r="A979" s="4">
        <v>50</v>
      </c>
      <c r="B979" s="4">
        <v>0</v>
      </c>
      <c r="C979" s="4">
        <v>0</v>
      </c>
      <c r="D979" s="4">
        <v>1</v>
      </c>
      <c r="E979" s="4">
        <v>209</v>
      </c>
      <c r="F979" s="4">
        <f>ROUND(Source!W955,O979)</f>
        <v>0</v>
      </c>
      <c r="G979" s="4" t="s">
        <v>100</v>
      </c>
      <c r="H979" s="4" t="s">
        <v>101</v>
      </c>
      <c r="I979" s="4"/>
      <c r="J979" s="4"/>
      <c r="K979" s="4">
        <v>209</v>
      </c>
      <c r="L979" s="4">
        <v>23</v>
      </c>
      <c r="M979" s="4">
        <v>3</v>
      </c>
      <c r="N979" s="4" t="s">
        <v>3</v>
      </c>
      <c r="O979" s="4">
        <v>2</v>
      </c>
      <c r="P979" s="4"/>
      <c r="Q979" s="4"/>
      <c r="R979" s="4"/>
      <c r="S979" s="4"/>
      <c r="T979" s="4"/>
      <c r="U979" s="4"/>
      <c r="V979" s="4"/>
      <c r="W979" s="4"/>
    </row>
    <row r="980" spans="1:206" x14ac:dyDescent="0.2">
      <c r="A980" s="4">
        <v>50</v>
      </c>
      <c r="B980" s="4">
        <v>0</v>
      </c>
      <c r="C980" s="4">
        <v>0</v>
      </c>
      <c r="D980" s="4">
        <v>1</v>
      </c>
      <c r="E980" s="4">
        <v>233</v>
      </c>
      <c r="F980" s="4">
        <f>ROUND(Source!BD955,O980)</f>
        <v>0</v>
      </c>
      <c r="G980" s="4" t="s">
        <v>102</v>
      </c>
      <c r="H980" s="4" t="s">
        <v>103</v>
      </c>
      <c r="I980" s="4"/>
      <c r="J980" s="4"/>
      <c r="K980" s="4">
        <v>233</v>
      </c>
      <c r="L980" s="4">
        <v>24</v>
      </c>
      <c r="M980" s="4">
        <v>3</v>
      </c>
      <c r="N980" s="4" t="s">
        <v>3</v>
      </c>
      <c r="O980" s="4">
        <v>2</v>
      </c>
      <c r="P980" s="4"/>
      <c r="Q980" s="4"/>
      <c r="R980" s="4"/>
      <c r="S980" s="4"/>
      <c r="T980" s="4"/>
      <c r="U980" s="4"/>
      <c r="V980" s="4"/>
      <c r="W980" s="4"/>
    </row>
    <row r="981" spans="1:206" x14ac:dyDescent="0.2">
      <c r="A981" s="4">
        <v>50</v>
      </c>
      <c r="B981" s="4">
        <v>0</v>
      </c>
      <c r="C981" s="4">
        <v>0</v>
      </c>
      <c r="D981" s="4">
        <v>1</v>
      </c>
      <c r="E981" s="4">
        <v>210</v>
      </c>
      <c r="F981" s="4">
        <f>ROUND(Source!X955,O981)</f>
        <v>196008.51</v>
      </c>
      <c r="G981" s="4" t="s">
        <v>104</v>
      </c>
      <c r="H981" s="4" t="s">
        <v>105</v>
      </c>
      <c r="I981" s="4"/>
      <c r="J981" s="4"/>
      <c r="K981" s="4">
        <v>210</v>
      </c>
      <c r="L981" s="4">
        <v>25</v>
      </c>
      <c r="M981" s="4">
        <v>3</v>
      </c>
      <c r="N981" s="4" t="s">
        <v>3</v>
      </c>
      <c r="O981" s="4">
        <v>2</v>
      </c>
      <c r="P981" s="4"/>
      <c r="Q981" s="4"/>
      <c r="R981" s="4"/>
      <c r="S981" s="4"/>
      <c r="T981" s="4"/>
      <c r="U981" s="4"/>
      <c r="V981" s="4"/>
      <c r="W981" s="4"/>
    </row>
    <row r="982" spans="1:206" x14ac:dyDescent="0.2">
      <c r="A982" s="4">
        <v>50</v>
      </c>
      <c r="B982" s="4">
        <v>0</v>
      </c>
      <c r="C982" s="4">
        <v>0</v>
      </c>
      <c r="D982" s="4">
        <v>1</v>
      </c>
      <c r="E982" s="4">
        <v>211</v>
      </c>
      <c r="F982" s="4">
        <f>ROUND(Source!Y955,O982)</f>
        <v>28001.23</v>
      </c>
      <c r="G982" s="4" t="s">
        <v>106</v>
      </c>
      <c r="H982" s="4" t="s">
        <v>107</v>
      </c>
      <c r="I982" s="4"/>
      <c r="J982" s="4"/>
      <c r="K982" s="4">
        <v>211</v>
      </c>
      <c r="L982" s="4">
        <v>26</v>
      </c>
      <c r="M982" s="4">
        <v>3</v>
      </c>
      <c r="N982" s="4" t="s">
        <v>3</v>
      </c>
      <c r="O982" s="4">
        <v>2</v>
      </c>
      <c r="P982" s="4"/>
      <c r="Q982" s="4"/>
      <c r="R982" s="4"/>
      <c r="S982" s="4"/>
      <c r="T982" s="4"/>
      <c r="U982" s="4"/>
      <c r="V982" s="4"/>
      <c r="W982" s="4"/>
    </row>
    <row r="983" spans="1:206" x14ac:dyDescent="0.2">
      <c r="A983" s="4">
        <v>50</v>
      </c>
      <c r="B983" s="4">
        <v>0</v>
      </c>
      <c r="C983" s="4">
        <v>0</v>
      </c>
      <c r="D983" s="4">
        <v>1</v>
      </c>
      <c r="E983" s="4">
        <v>224</v>
      </c>
      <c r="F983" s="4">
        <f>ROUND(Source!AR955,O983)</f>
        <v>5044117.7699999996</v>
      </c>
      <c r="G983" s="4" t="s">
        <v>108</v>
      </c>
      <c r="H983" s="4" t="s">
        <v>109</v>
      </c>
      <c r="I983" s="4"/>
      <c r="J983" s="4"/>
      <c r="K983" s="4">
        <v>224</v>
      </c>
      <c r="L983" s="4">
        <v>27</v>
      </c>
      <c r="M983" s="4">
        <v>3</v>
      </c>
      <c r="N983" s="4" t="s">
        <v>3</v>
      </c>
      <c r="O983" s="4">
        <v>2</v>
      </c>
      <c r="P983" s="4"/>
      <c r="Q983" s="4"/>
      <c r="R983" s="4"/>
      <c r="S983" s="4"/>
      <c r="T983" s="4"/>
      <c r="U983" s="4"/>
      <c r="V983" s="4"/>
      <c r="W983" s="4"/>
    </row>
    <row r="985" spans="1:206" x14ac:dyDescent="0.2">
      <c r="A985" s="2">
        <v>51</v>
      </c>
      <c r="B985" s="2">
        <f>B881</f>
        <v>1</v>
      </c>
      <c r="C985" s="2">
        <f>A881</f>
        <v>4</v>
      </c>
      <c r="D985" s="2">
        <f>ROW(A881)</f>
        <v>881</v>
      </c>
      <c r="E985" s="2"/>
      <c r="F985" s="2" t="str">
        <f>IF(F881&lt;&gt;"",F881,"")</f>
        <v>Новый раздел</v>
      </c>
      <c r="G985" s="2" t="str">
        <f>IF(G881&lt;&gt;"",G881,"")</f>
        <v>Деревянный настил</v>
      </c>
      <c r="H985" s="2">
        <v>0</v>
      </c>
      <c r="I985" s="2"/>
      <c r="J985" s="2"/>
      <c r="K985" s="2"/>
      <c r="L985" s="2"/>
      <c r="M985" s="2"/>
      <c r="N985" s="2"/>
      <c r="O985" s="2">
        <f t="shared" ref="O985:T985" si="692">ROUND(O900+O955+AB985,2)</f>
        <v>4946256.5</v>
      </c>
      <c r="P985" s="2">
        <f t="shared" si="692"/>
        <v>4555211.0199999996</v>
      </c>
      <c r="Q985" s="2">
        <f t="shared" si="692"/>
        <v>67640.149999999994</v>
      </c>
      <c r="R985" s="2">
        <f t="shared" si="692"/>
        <v>38336.620000000003</v>
      </c>
      <c r="S985" s="2">
        <f t="shared" si="692"/>
        <v>323405.33</v>
      </c>
      <c r="T985" s="2">
        <f t="shared" si="692"/>
        <v>0</v>
      </c>
      <c r="U985" s="2">
        <f>U900+U955+AH985</f>
        <v>1822.09353676</v>
      </c>
      <c r="V985" s="2">
        <f>V900+V955+AI985</f>
        <v>0</v>
      </c>
      <c r="W985" s="2">
        <f>ROUND(W900+W955+AJ985,2)</f>
        <v>0</v>
      </c>
      <c r="X985" s="2">
        <f>ROUND(X900+X955+AK985,2)</f>
        <v>226383.74</v>
      </c>
      <c r="Y985" s="2">
        <f>ROUND(Y900+Y955+AL985,2)</f>
        <v>32340.55</v>
      </c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>
        <f t="shared" ref="AO985:BD985" si="693">ROUND(AO900+AO955+BX985,2)</f>
        <v>0</v>
      </c>
      <c r="AP985" s="2">
        <f t="shared" si="693"/>
        <v>0</v>
      </c>
      <c r="AQ985" s="2">
        <f t="shared" si="693"/>
        <v>0</v>
      </c>
      <c r="AR985" s="2">
        <f t="shared" si="693"/>
        <v>5206885.04</v>
      </c>
      <c r="AS985" s="2">
        <f t="shared" si="693"/>
        <v>3120740.46</v>
      </c>
      <c r="AT985" s="2">
        <f t="shared" si="693"/>
        <v>0</v>
      </c>
      <c r="AU985" s="2">
        <f t="shared" si="693"/>
        <v>2086144.58</v>
      </c>
      <c r="AV985" s="2">
        <f t="shared" si="693"/>
        <v>4555211.0199999996</v>
      </c>
      <c r="AW985" s="2">
        <f t="shared" si="693"/>
        <v>4555211.0199999996</v>
      </c>
      <c r="AX985" s="2">
        <f t="shared" si="693"/>
        <v>0</v>
      </c>
      <c r="AY985" s="2">
        <f t="shared" si="693"/>
        <v>4555211.0199999996</v>
      </c>
      <c r="AZ985" s="2">
        <f t="shared" si="693"/>
        <v>0</v>
      </c>
      <c r="BA985" s="2">
        <f t="shared" si="693"/>
        <v>0</v>
      </c>
      <c r="BB985" s="2">
        <f t="shared" si="693"/>
        <v>0</v>
      </c>
      <c r="BC985" s="2">
        <f t="shared" si="693"/>
        <v>0</v>
      </c>
      <c r="BD985" s="2">
        <f t="shared" si="693"/>
        <v>0</v>
      </c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  <c r="CR985" s="2"/>
      <c r="CS985" s="2"/>
      <c r="CT985" s="2"/>
      <c r="CU985" s="2"/>
      <c r="CV985" s="2"/>
      <c r="CW985" s="2"/>
      <c r="CX985" s="2"/>
      <c r="CY985" s="2"/>
      <c r="CZ985" s="2"/>
      <c r="DA985" s="2"/>
      <c r="DB985" s="2"/>
      <c r="DC985" s="2"/>
      <c r="DD985" s="2"/>
      <c r="DE985" s="2"/>
      <c r="DF985" s="2"/>
      <c r="DG985" s="3"/>
      <c r="DH985" s="3"/>
      <c r="DI985" s="3"/>
      <c r="DJ985" s="3"/>
      <c r="DK985" s="3"/>
      <c r="DL985" s="3"/>
      <c r="DM985" s="3"/>
      <c r="DN985" s="3"/>
      <c r="DO985" s="3"/>
      <c r="DP985" s="3"/>
      <c r="DQ985" s="3"/>
      <c r="DR985" s="3"/>
      <c r="DS985" s="3"/>
      <c r="DT985" s="3"/>
      <c r="DU985" s="3"/>
      <c r="DV985" s="3"/>
      <c r="DW985" s="3"/>
      <c r="DX985" s="3"/>
      <c r="DY985" s="3"/>
      <c r="DZ985" s="3"/>
      <c r="EA985" s="3"/>
      <c r="EB985" s="3"/>
      <c r="EC985" s="3"/>
      <c r="ED985" s="3"/>
      <c r="EE985" s="3"/>
      <c r="EF985" s="3"/>
      <c r="EG985" s="3"/>
      <c r="EH985" s="3"/>
      <c r="EI985" s="3"/>
      <c r="EJ985" s="3"/>
      <c r="EK985" s="3"/>
      <c r="EL985" s="3"/>
      <c r="EM985" s="3"/>
      <c r="EN985" s="3"/>
      <c r="EO985" s="3"/>
      <c r="EP985" s="3"/>
      <c r="EQ985" s="3"/>
      <c r="ER985" s="3"/>
      <c r="ES985" s="3"/>
      <c r="ET985" s="3"/>
      <c r="EU985" s="3"/>
      <c r="EV985" s="3"/>
      <c r="EW985" s="3"/>
      <c r="EX985" s="3"/>
      <c r="EY985" s="3"/>
      <c r="EZ985" s="3"/>
      <c r="FA985" s="3"/>
      <c r="FB985" s="3"/>
      <c r="FC985" s="3"/>
      <c r="FD985" s="3"/>
      <c r="FE985" s="3"/>
      <c r="FF985" s="3"/>
      <c r="FG985" s="3"/>
      <c r="FH985" s="3"/>
      <c r="FI985" s="3"/>
      <c r="FJ985" s="3"/>
      <c r="FK985" s="3"/>
      <c r="FL985" s="3"/>
      <c r="FM985" s="3"/>
      <c r="FN985" s="3"/>
      <c r="FO985" s="3"/>
      <c r="FP985" s="3"/>
      <c r="FQ985" s="3"/>
      <c r="FR985" s="3"/>
      <c r="FS985" s="3"/>
      <c r="FT985" s="3"/>
      <c r="FU985" s="3"/>
      <c r="FV985" s="3"/>
      <c r="FW985" s="3"/>
      <c r="FX985" s="3"/>
      <c r="FY985" s="3"/>
      <c r="FZ985" s="3"/>
      <c r="GA985" s="3"/>
      <c r="GB985" s="3"/>
      <c r="GC985" s="3"/>
      <c r="GD985" s="3"/>
      <c r="GE985" s="3"/>
      <c r="GF985" s="3"/>
      <c r="GG985" s="3"/>
      <c r="GH985" s="3"/>
      <c r="GI985" s="3"/>
      <c r="GJ985" s="3"/>
      <c r="GK985" s="3"/>
      <c r="GL985" s="3"/>
      <c r="GM985" s="3"/>
      <c r="GN985" s="3"/>
      <c r="GO985" s="3"/>
      <c r="GP985" s="3"/>
      <c r="GQ985" s="3"/>
      <c r="GR985" s="3"/>
      <c r="GS985" s="3"/>
      <c r="GT985" s="3"/>
      <c r="GU985" s="3"/>
      <c r="GV985" s="3"/>
      <c r="GW985" s="3"/>
      <c r="GX985" s="3">
        <v>0</v>
      </c>
    </row>
    <row r="987" spans="1:206" x14ac:dyDescent="0.2">
      <c r="A987" s="4">
        <v>50</v>
      </c>
      <c r="B987" s="4">
        <v>0</v>
      </c>
      <c r="C987" s="4">
        <v>0</v>
      </c>
      <c r="D987" s="4">
        <v>1</v>
      </c>
      <c r="E987" s="4">
        <v>201</v>
      </c>
      <c r="F987" s="4">
        <f>ROUND(Source!O985,O987)</f>
        <v>4946256.5</v>
      </c>
      <c r="G987" s="4" t="s">
        <v>56</v>
      </c>
      <c r="H987" s="4" t="s">
        <v>57</v>
      </c>
      <c r="I987" s="4"/>
      <c r="J987" s="4"/>
      <c r="K987" s="4">
        <v>201</v>
      </c>
      <c r="L987" s="4">
        <v>1</v>
      </c>
      <c r="M987" s="4">
        <v>3</v>
      </c>
      <c r="N987" s="4" t="s">
        <v>3</v>
      </c>
      <c r="O987" s="4">
        <v>2</v>
      </c>
      <c r="P987" s="4"/>
      <c r="Q987" s="4"/>
      <c r="R987" s="4"/>
      <c r="S987" s="4"/>
      <c r="T987" s="4"/>
      <c r="U987" s="4"/>
      <c r="V987" s="4"/>
      <c r="W987" s="4"/>
    </row>
    <row r="988" spans="1:206" x14ac:dyDescent="0.2">
      <c r="A988" s="4">
        <v>50</v>
      </c>
      <c r="B988" s="4">
        <v>0</v>
      </c>
      <c r="C988" s="4">
        <v>0</v>
      </c>
      <c r="D988" s="4">
        <v>1</v>
      </c>
      <c r="E988" s="4">
        <v>202</v>
      </c>
      <c r="F988" s="4">
        <f>ROUND(Source!P985,O988)</f>
        <v>4555211.0199999996</v>
      </c>
      <c r="G988" s="4" t="s">
        <v>58</v>
      </c>
      <c r="H988" s="4" t="s">
        <v>59</v>
      </c>
      <c r="I988" s="4"/>
      <c r="J988" s="4"/>
      <c r="K988" s="4">
        <v>202</v>
      </c>
      <c r="L988" s="4">
        <v>2</v>
      </c>
      <c r="M988" s="4">
        <v>3</v>
      </c>
      <c r="N988" s="4" t="s">
        <v>3</v>
      </c>
      <c r="O988" s="4">
        <v>2</v>
      </c>
      <c r="P988" s="4"/>
      <c r="Q988" s="4"/>
      <c r="R988" s="4"/>
      <c r="S988" s="4"/>
      <c r="T988" s="4"/>
      <c r="U988" s="4"/>
      <c r="V988" s="4"/>
      <c r="W988" s="4"/>
    </row>
    <row r="989" spans="1:206" x14ac:dyDescent="0.2">
      <c r="A989" s="4">
        <v>50</v>
      </c>
      <c r="B989" s="4">
        <v>0</v>
      </c>
      <c r="C989" s="4">
        <v>0</v>
      </c>
      <c r="D989" s="4">
        <v>1</v>
      </c>
      <c r="E989" s="4">
        <v>222</v>
      </c>
      <c r="F989" s="4">
        <f>ROUND(Source!AO985,O989)</f>
        <v>0</v>
      </c>
      <c r="G989" s="4" t="s">
        <v>60</v>
      </c>
      <c r="H989" s="4" t="s">
        <v>61</v>
      </c>
      <c r="I989" s="4"/>
      <c r="J989" s="4"/>
      <c r="K989" s="4">
        <v>222</v>
      </c>
      <c r="L989" s="4">
        <v>3</v>
      </c>
      <c r="M989" s="4">
        <v>3</v>
      </c>
      <c r="N989" s="4" t="s">
        <v>3</v>
      </c>
      <c r="O989" s="4">
        <v>2</v>
      </c>
      <c r="P989" s="4"/>
      <c r="Q989" s="4"/>
      <c r="R989" s="4"/>
      <c r="S989" s="4"/>
      <c r="T989" s="4"/>
      <c r="U989" s="4"/>
      <c r="V989" s="4"/>
      <c r="W989" s="4"/>
    </row>
    <row r="990" spans="1:206" x14ac:dyDescent="0.2">
      <c r="A990" s="4">
        <v>50</v>
      </c>
      <c r="B990" s="4">
        <v>0</v>
      </c>
      <c r="C990" s="4">
        <v>0</v>
      </c>
      <c r="D990" s="4">
        <v>1</v>
      </c>
      <c r="E990" s="4">
        <v>225</v>
      </c>
      <c r="F990" s="4">
        <f>ROUND(Source!AV985,O990)</f>
        <v>4555211.0199999996</v>
      </c>
      <c r="G990" s="4" t="s">
        <v>62</v>
      </c>
      <c r="H990" s="4" t="s">
        <v>63</v>
      </c>
      <c r="I990" s="4"/>
      <c r="J990" s="4"/>
      <c r="K990" s="4">
        <v>225</v>
      </c>
      <c r="L990" s="4">
        <v>4</v>
      </c>
      <c r="M990" s="4">
        <v>3</v>
      </c>
      <c r="N990" s="4" t="s">
        <v>3</v>
      </c>
      <c r="O990" s="4">
        <v>2</v>
      </c>
      <c r="P990" s="4"/>
      <c r="Q990" s="4"/>
      <c r="R990" s="4"/>
      <c r="S990" s="4"/>
      <c r="T990" s="4"/>
      <c r="U990" s="4"/>
      <c r="V990" s="4"/>
      <c r="W990" s="4"/>
    </row>
    <row r="991" spans="1:206" x14ac:dyDescent="0.2">
      <c r="A991" s="4">
        <v>50</v>
      </c>
      <c r="B991" s="4">
        <v>0</v>
      </c>
      <c r="C991" s="4">
        <v>0</v>
      </c>
      <c r="D991" s="4">
        <v>1</v>
      </c>
      <c r="E991" s="4">
        <v>226</v>
      </c>
      <c r="F991" s="4">
        <f>ROUND(Source!AW985,O991)</f>
        <v>4555211.0199999996</v>
      </c>
      <c r="G991" s="4" t="s">
        <v>64</v>
      </c>
      <c r="H991" s="4" t="s">
        <v>65</v>
      </c>
      <c r="I991" s="4"/>
      <c r="J991" s="4"/>
      <c r="K991" s="4">
        <v>226</v>
      </c>
      <c r="L991" s="4">
        <v>5</v>
      </c>
      <c r="M991" s="4">
        <v>3</v>
      </c>
      <c r="N991" s="4" t="s">
        <v>3</v>
      </c>
      <c r="O991" s="4">
        <v>2</v>
      </c>
      <c r="P991" s="4"/>
      <c r="Q991" s="4"/>
      <c r="R991" s="4"/>
      <c r="S991" s="4"/>
      <c r="T991" s="4"/>
      <c r="U991" s="4"/>
      <c r="V991" s="4"/>
      <c r="W991" s="4"/>
    </row>
    <row r="992" spans="1:206" x14ac:dyDescent="0.2">
      <c r="A992" s="4">
        <v>50</v>
      </c>
      <c r="B992" s="4">
        <v>0</v>
      </c>
      <c r="C992" s="4">
        <v>0</v>
      </c>
      <c r="D992" s="4">
        <v>1</v>
      </c>
      <c r="E992" s="4">
        <v>227</v>
      </c>
      <c r="F992" s="4">
        <f>ROUND(Source!AX985,O992)</f>
        <v>0</v>
      </c>
      <c r="G992" s="4" t="s">
        <v>66</v>
      </c>
      <c r="H992" s="4" t="s">
        <v>67</v>
      </c>
      <c r="I992" s="4"/>
      <c r="J992" s="4"/>
      <c r="K992" s="4">
        <v>227</v>
      </c>
      <c r="L992" s="4">
        <v>6</v>
      </c>
      <c r="M992" s="4">
        <v>3</v>
      </c>
      <c r="N992" s="4" t="s">
        <v>3</v>
      </c>
      <c r="O992" s="4">
        <v>2</v>
      </c>
      <c r="P992" s="4"/>
      <c r="Q992" s="4"/>
      <c r="R992" s="4"/>
      <c r="S992" s="4"/>
      <c r="T992" s="4"/>
      <c r="U992" s="4"/>
      <c r="V992" s="4"/>
      <c r="W992" s="4"/>
    </row>
    <row r="993" spans="1:23" x14ac:dyDescent="0.2">
      <c r="A993" s="4">
        <v>50</v>
      </c>
      <c r="B993" s="4">
        <v>0</v>
      </c>
      <c r="C993" s="4">
        <v>0</v>
      </c>
      <c r="D993" s="4">
        <v>1</v>
      </c>
      <c r="E993" s="4">
        <v>228</v>
      </c>
      <c r="F993" s="4">
        <f>ROUND(Source!AY985,O993)</f>
        <v>4555211.0199999996</v>
      </c>
      <c r="G993" s="4" t="s">
        <v>68</v>
      </c>
      <c r="H993" s="4" t="s">
        <v>69</v>
      </c>
      <c r="I993" s="4"/>
      <c r="J993" s="4"/>
      <c r="K993" s="4">
        <v>228</v>
      </c>
      <c r="L993" s="4">
        <v>7</v>
      </c>
      <c r="M993" s="4">
        <v>3</v>
      </c>
      <c r="N993" s="4" t="s">
        <v>3</v>
      </c>
      <c r="O993" s="4">
        <v>2</v>
      </c>
      <c r="P993" s="4"/>
      <c r="Q993" s="4"/>
      <c r="R993" s="4"/>
      <c r="S993" s="4"/>
      <c r="T993" s="4"/>
      <c r="U993" s="4"/>
      <c r="V993" s="4"/>
      <c r="W993" s="4"/>
    </row>
    <row r="994" spans="1:23" x14ac:dyDescent="0.2">
      <c r="A994" s="4">
        <v>50</v>
      </c>
      <c r="B994" s="4">
        <v>0</v>
      </c>
      <c r="C994" s="4">
        <v>0</v>
      </c>
      <c r="D994" s="4">
        <v>1</v>
      </c>
      <c r="E994" s="4">
        <v>216</v>
      </c>
      <c r="F994" s="4">
        <f>ROUND(Source!AP985,O994)</f>
        <v>0</v>
      </c>
      <c r="G994" s="4" t="s">
        <v>70</v>
      </c>
      <c r="H994" s="4" t="s">
        <v>71</v>
      </c>
      <c r="I994" s="4"/>
      <c r="J994" s="4"/>
      <c r="K994" s="4">
        <v>216</v>
      </c>
      <c r="L994" s="4">
        <v>8</v>
      </c>
      <c r="M994" s="4">
        <v>3</v>
      </c>
      <c r="N994" s="4" t="s">
        <v>3</v>
      </c>
      <c r="O994" s="4">
        <v>2</v>
      </c>
      <c r="P994" s="4"/>
      <c r="Q994" s="4"/>
      <c r="R994" s="4"/>
      <c r="S994" s="4"/>
      <c r="T994" s="4"/>
      <c r="U994" s="4"/>
      <c r="V994" s="4"/>
      <c r="W994" s="4"/>
    </row>
    <row r="995" spans="1:23" x14ac:dyDescent="0.2">
      <c r="A995" s="4">
        <v>50</v>
      </c>
      <c r="B995" s="4">
        <v>0</v>
      </c>
      <c r="C995" s="4">
        <v>0</v>
      </c>
      <c r="D995" s="4">
        <v>1</v>
      </c>
      <c r="E995" s="4">
        <v>223</v>
      </c>
      <c r="F995" s="4">
        <f>ROUND(Source!AQ985,O995)</f>
        <v>0</v>
      </c>
      <c r="G995" s="4" t="s">
        <v>72</v>
      </c>
      <c r="H995" s="4" t="s">
        <v>73</v>
      </c>
      <c r="I995" s="4"/>
      <c r="J995" s="4"/>
      <c r="K995" s="4">
        <v>223</v>
      </c>
      <c r="L995" s="4">
        <v>9</v>
      </c>
      <c r="M995" s="4">
        <v>3</v>
      </c>
      <c r="N995" s="4" t="s">
        <v>3</v>
      </c>
      <c r="O995" s="4">
        <v>2</v>
      </c>
      <c r="P995" s="4"/>
      <c r="Q995" s="4"/>
      <c r="R995" s="4"/>
      <c r="S995" s="4"/>
      <c r="T995" s="4"/>
      <c r="U995" s="4"/>
      <c r="V995" s="4"/>
      <c r="W995" s="4"/>
    </row>
    <row r="996" spans="1:23" x14ac:dyDescent="0.2">
      <c r="A996" s="4">
        <v>50</v>
      </c>
      <c r="B996" s="4">
        <v>0</v>
      </c>
      <c r="C996" s="4">
        <v>0</v>
      </c>
      <c r="D996" s="4">
        <v>1</v>
      </c>
      <c r="E996" s="4">
        <v>229</v>
      </c>
      <c r="F996" s="4">
        <f>ROUND(Source!AZ985,O996)</f>
        <v>0</v>
      </c>
      <c r="G996" s="4" t="s">
        <v>74</v>
      </c>
      <c r="H996" s="4" t="s">
        <v>75</v>
      </c>
      <c r="I996" s="4"/>
      <c r="J996" s="4"/>
      <c r="K996" s="4">
        <v>229</v>
      </c>
      <c r="L996" s="4">
        <v>10</v>
      </c>
      <c r="M996" s="4">
        <v>3</v>
      </c>
      <c r="N996" s="4" t="s">
        <v>3</v>
      </c>
      <c r="O996" s="4">
        <v>2</v>
      </c>
      <c r="P996" s="4"/>
      <c r="Q996" s="4"/>
      <c r="R996" s="4"/>
      <c r="S996" s="4"/>
      <c r="T996" s="4"/>
      <c r="U996" s="4"/>
      <c r="V996" s="4"/>
      <c r="W996" s="4"/>
    </row>
    <row r="997" spans="1:23" x14ac:dyDescent="0.2">
      <c r="A997" s="4">
        <v>50</v>
      </c>
      <c r="B997" s="4">
        <v>0</v>
      </c>
      <c r="C997" s="4">
        <v>0</v>
      </c>
      <c r="D997" s="4">
        <v>1</v>
      </c>
      <c r="E997" s="4">
        <v>203</v>
      </c>
      <c r="F997" s="4">
        <f>ROUND(Source!Q985,O997)</f>
        <v>67640.149999999994</v>
      </c>
      <c r="G997" s="4" t="s">
        <v>76</v>
      </c>
      <c r="H997" s="4" t="s">
        <v>77</v>
      </c>
      <c r="I997" s="4"/>
      <c r="J997" s="4"/>
      <c r="K997" s="4">
        <v>203</v>
      </c>
      <c r="L997" s="4">
        <v>11</v>
      </c>
      <c r="M997" s="4">
        <v>3</v>
      </c>
      <c r="N997" s="4" t="s">
        <v>3</v>
      </c>
      <c r="O997" s="4">
        <v>2</v>
      </c>
      <c r="P997" s="4"/>
      <c r="Q997" s="4"/>
      <c r="R997" s="4"/>
      <c r="S997" s="4"/>
      <c r="T997" s="4"/>
      <c r="U997" s="4"/>
      <c r="V997" s="4"/>
      <c r="W997" s="4"/>
    </row>
    <row r="998" spans="1:23" x14ac:dyDescent="0.2">
      <c r="A998" s="4">
        <v>50</v>
      </c>
      <c r="B998" s="4">
        <v>0</v>
      </c>
      <c r="C998" s="4">
        <v>0</v>
      </c>
      <c r="D998" s="4">
        <v>1</v>
      </c>
      <c r="E998" s="4">
        <v>231</v>
      </c>
      <c r="F998" s="4">
        <f>ROUND(Source!BB985,O998)</f>
        <v>0</v>
      </c>
      <c r="G998" s="4" t="s">
        <v>78</v>
      </c>
      <c r="H998" s="4" t="s">
        <v>79</v>
      </c>
      <c r="I998" s="4"/>
      <c r="J998" s="4"/>
      <c r="K998" s="4">
        <v>231</v>
      </c>
      <c r="L998" s="4">
        <v>12</v>
      </c>
      <c r="M998" s="4">
        <v>3</v>
      </c>
      <c r="N998" s="4" t="s">
        <v>3</v>
      </c>
      <c r="O998" s="4">
        <v>2</v>
      </c>
      <c r="P998" s="4"/>
      <c r="Q998" s="4"/>
      <c r="R998" s="4"/>
      <c r="S998" s="4"/>
      <c r="T998" s="4"/>
      <c r="U998" s="4"/>
      <c r="V998" s="4"/>
      <c r="W998" s="4"/>
    </row>
    <row r="999" spans="1:23" x14ac:dyDescent="0.2">
      <c r="A999" s="4">
        <v>50</v>
      </c>
      <c r="B999" s="4">
        <v>0</v>
      </c>
      <c r="C999" s="4">
        <v>0</v>
      </c>
      <c r="D999" s="4">
        <v>1</v>
      </c>
      <c r="E999" s="4">
        <v>204</v>
      </c>
      <c r="F999" s="4">
        <f>ROUND(Source!R985,O999)</f>
        <v>38336.620000000003</v>
      </c>
      <c r="G999" s="4" t="s">
        <v>80</v>
      </c>
      <c r="H999" s="4" t="s">
        <v>81</v>
      </c>
      <c r="I999" s="4"/>
      <c r="J999" s="4"/>
      <c r="K999" s="4">
        <v>204</v>
      </c>
      <c r="L999" s="4">
        <v>13</v>
      </c>
      <c r="M999" s="4">
        <v>3</v>
      </c>
      <c r="N999" s="4" t="s">
        <v>3</v>
      </c>
      <c r="O999" s="4">
        <v>2</v>
      </c>
      <c r="P999" s="4"/>
      <c r="Q999" s="4"/>
      <c r="R999" s="4"/>
      <c r="S999" s="4"/>
      <c r="T999" s="4"/>
      <c r="U999" s="4"/>
      <c r="V999" s="4"/>
      <c r="W999" s="4"/>
    </row>
    <row r="1000" spans="1:23" x14ac:dyDescent="0.2">
      <c r="A1000" s="4">
        <v>50</v>
      </c>
      <c r="B1000" s="4">
        <v>0</v>
      </c>
      <c r="C1000" s="4">
        <v>0</v>
      </c>
      <c r="D1000" s="4">
        <v>1</v>
      </c>
      <c r="E1000" s="4">
        <v>205</v>
      </c>
      <c r="F1000" s="4">
        <f>ROUND(Source!S985,O1000)</f>
        <v>323405.33</v>
      </c>
      <c r="G1000" s="4" t="s">
        <v>82</v>
      </c>
      <c r="H1000" s="4" t="s">
        <v>83</v>
      </c>
      <c r="I1000" s="4"/>
      <c r="J1000" s="4"/>
      <c r="K1000" s="4">
        <v>205</v>
      </c>
      <c r="L1000" s="4">
        <v>14</v>
      </c>
      <c r="M1000" s="4">
        <v>3</v>
      </c>
      <c r="N1000" s="4" t="s">
        <v>3</v>
      </c>
      <c r="O1000" s="4">
        <v>2</v>
      </c>
      <c r="P1000" s="4"/>
      <c r="Q1000" s="4"/>
      <c r="R1000" s="4"/>
      <c r="S1000" s="4"/>
      <c r="T1000" s="4"/>
      <c r="U1000" s="4"/>
      <c r="V1000" s="4"/>
      <c r="W1000" s="4"/>
    </row>
    <row r="1001" spans="1:23" x14ac:dyDescent="0.2">
      <c r="A1001" s="4">
        <v>50</v>
      </c>
      <c r="B1001" s="4">
        <v>0</v>
      </c>
      <c r="C1001" s="4">
        <v>0</v>
      </c>
      <c r="D1001" s="4">
        <v>1</v>
      </c>
      <c r="E1001" s="4">
        <v>232</v>
      </c>
      <c r="F1001" s="4">
        <f>ROUND(Source!BC985,O1001)</f>
        <v>0</v>
      </c>
      <c r="G1001" s="4" t="s">
        <v>84</v>
      </c>
      <c r="H1001" s="4" t="s">
        <v>85</v>
      </c>
      <c r="I1001" s="4"/>
      <c r="J1001" s="4"/>
      <c r="K1001" s="4">
        <v>232</v>
      </c>
      <c r="L1001" s="4">
        <v>15</v>
      </c>
      <c r="M1001" s="4">
        <v>3</v>
      </c>
      <c r="N1001" s="4" t="s">
        <v>3</v>
      </c>
      <c r="O1001" s="4">
        <v>2</v>
      </c>
      <c r="P1001" s="4"/>
      <c r="Q1001" s="4"/>
      <c r="R1001" s="4"/>
      <c r="S1001" s="4"/>
      <c r="T1001" s="4"/>
      <c r="U1001" s="4"/>
      <c r="V1001" s="4"/>
      <c r="W1001" s="4"/>
    </row>
    <row r="1002" spans="1:23" x14ac:dyDescent="0.2">
      <c r="A1002" s="4">
        <v>50</v>
      </c>
      <c r="B1002" s="4">
        <v>0</v>
      </c>
      <c r="C1002" s="4">
        <v>0</v>
      </c>
      <c r="D1002" s="4">
        <v>1</v>
      </c>
      <c r="E1002" s="4">
        <v>214</v>
      </c>
      <c r="F1002" s="4">
        <f>ROUND(Source!AS985,O1002)</f>
        <v>3120740.46</v>
      </c>
      <c r="G1002" s="4" t="s">
        <v>86</v>
      </c>
      <c r="H1002" s="4" t="s">
        <v>87</v>
      </c>
      <c r="I1002" s="4"/>
      <c r="J1002" s="4"/>
      <c r="K1002" s="4">
        <v>214</v>
      </c>
      <c r="L1002" s="4">
        <v>16</v>
      </c>
      <c r="M1002" s="4">
        <v>3</v>
      </c>
      <c r="N1002" s="4" t="s">
        <v>3</v>
      </c>
      <c r="O1002" s="4">
        <v>2</v>
      </c>
      <c r="P1002" s="4"/>
      <c r="Q1002" s="4"/>
      <c r="R1002" s="4"/>
      <c r="S1002" s="4"/>
      <c r="T1002" s="4"/>
      <c r="U1002" s="4"/>
      <c r="V1002" s="4"/>
      <c r="W1002" s="4"/>
    </row>
    <row r="1003" spans="1:23" x14ac:dyDescent="0.2">
      <c r="A1003" s="4">
        <v>50</v>
      </c>
      <c r="B1003" s="4">
        <v>0</v>
      </c>
      <c r="C1003" s="4">
        <v>0</v>
      </c>
      <c r="D1003" s="4">
        <v>1</v>
      </c>
      <c r="E1003" s="4">
        <v>215</v>
      </c>
      <c r="F1003" s="4">
        <f>ROUND(Source!AT985,O1003)</f>
        <v>0</v>
      </c>
      <c r="G1003" s="4" t="s">
        <v>88</v>
      </c>
      <c r="H1003" s="4" t="s">
        <v>89</v>
      </c>
      <c r="I1003" s="4"/>
      <c r="J1003" s="4"/>
      <c r="K1003" s="4">
        <v>215</v>
      </c>
      <c r="L1003" s="4">
        <v>17</v>
      </c>
      <c r="M1003" s="4">
        <v>3</v>
      </c>
      <c r="N1003" s="4" t="s">
        <v>3</v>
      </c>
      <c r="O1003" s="4">
        <v>2</v>
      </c>
      <c r="P1003" s="4"/>
      <c r="Q1003" s="4"/>
      <c r="R1003" s="4"/>
      <c r="S1003" s="4"/>
      <c r="T1003" s="4"/>
      <c r="U1003" s="4"/>
      <c r="V1003" s="4"/>
      <c r="W1003" s="4"/>
    </row>
    <row r="1004" spans="1:23" x14ac:dyDescent="0.2">
      <c r="A1004" s="4">
        <v>50</v>
      </c>
      <c r="B1004" s="4">
        <v>0</v>
      </c>
      <c r="C1004" s="4">
        <v>0</v>
      </c>
      <c r="D1004" s="4">
        <v>1</v>
      </c>
      <c r="E1004" s="4">
        <v>217</v>
      </c>
      <c r="F1004" s="4">
        <f>ROUND(Source!AU985,O1004)</f>
        <v>2086144.58</v>
      </c>
      <c r="G1004" s="4" t="s">
        <v>90</v>
      </c>
      <c r="H1004" s="4" t="s">
        <v>91</v>
      </c>
      <c r="I1004" s="4"/>
      <c r="J1004" s="4"/>
      <c r="K1004" s="4">
        <v>217</v>
      </c>
      <c r="L1004" s="4">
        <v>18</v>
      </c>
      <c r="M1004" s="4">
        <v>3</v>
      </c>
      <c r="N1004" s="4" t="s">
        <v>3</v>
      </c>
      <c r="O1004" s="4">
        <v>2</v>
      </c>
      <c r="P1004" s="4"/>
      <c r="Q1004" s="4"/>
      <c r="R1004" s="4"/>
      <c r="S1004" s="4"/>
      <c r="T1004" s="4"/>
      <c r="U1004" s="4"/>
      <c r="V1004" s="4"/>
      <c r="W1004" s="4"/>
    </row>
    <row r="1005" spans="1:23" x14ac:dyDescent="0.2">
      <c r="A1005" s="4">
        <v>50</v>
      </c>
      <c r="B1005" s="4">
        <v>0</v>
      </c>
      <c r="C1005" s="4">
        <v>0</v>
      </c>
      <c r="D1005" s="4">
        <v>1</v>
      </c>
      <c r="E1005" s="4">
        <v>230</v>
      </c>
      <c r="F1005" s="4">
        <f>ROUND(Source!BA985,O1005)</f>
        <v>0</v>
      </c>
      <c r="G1005" s="4" t="s">
        <v>92</v>
      </c>
      <c r="H1005" s="4" t="s">
        <v>93</v>
      </c>
      <c r="I1005" s="4"/>
      <c r="J1005" s="4"/>
      <c r="K1005" s="4">
        <v>230</v>
      </c>
      <c r="L1005" s="4">
        <v>19</v>
      </c>
      <c r="M1005" s="4">
        <v>3</v>
      </c>
      <c r="N1005" s="4" t="s">
        <v>3</v>
      </c>
      <c r="O1005" s="4">
        <v>2</v>
      </c>
      <c r="P1005" s="4"/>
      <c r="Q1005" s="4"/>
      <c r="R1005" s="4"/>
      <c r="S1005" s="4"/>
      <c r="T1005" s="4"/>
      <c r="U1005" s="4"/>
      <c r="V1005" s="4"/>
      <c r="W1005" s="4"/>
    </row>
    <row r="1006" spans="1:23" x14ac:dyDescent="0.2">
      <c r="A1006" s="4">
        <v>50</v>
      </c>
      <c r="B1006" s="4">
        <v>0</v>
      </c>
      <c r="C1006" s="4">
        <v>0</v>
      </c>
      <c r="D1006" s="4">
        <v>1</v>
      </c>
      <c r="E1006" s="4">
        <v>206</v>
      </c>
      <c r="F1006" s="4">
        <f>ROUND(Source!T985,O1006)</f>
        <v>0</v>
      </c>
      <c r="G1006" s="4" t="s">
        <v>94</v>
      </c>
      <c r="H1006" s="4" t="s">
        <v>95</v>
      </c>
      <c r="I1006" s="4"/>
      <c r="J1006" s="4"/>
      <c r="K1006" s="4">
        <v>206</v>
      </c>
      <c r="L1006" s="4">
        <v>20</v>
      </c>
      <c r="M1006" s="4">
        <v>3</v>
      </c>
      <c r="N1006" s="4" t="s">
        <v>3</v>
      </c>
      <c r="O1006" s="4">
        <v>2</v>
      </c>
      <c r="P1006" s="4"/>
      <c r="Q1006" s="4"/>
      <c r="R1006" s="4"/>
      <c r="S1006" s="4"/>
      <c r="T1006" s="4"/>
      <c r="U1006" s="4"/>
      <c r="V1006" s="4"/>
      <c r="W1006" s="4"/>
    </row>
    <row r="1007" spans="1:23" x14ac:dyDescent="0.2">
      <c r="A1007" s="4">
        <v>50</v>
      </c>
      <c r="B1007" s="4">
        <v>0</v>
      </c>
      <c r="C1007" s="4">
        <v>0</v>
      </c>
      <c r="D1007" s="4">
        <v>1</v>
      </c>
      <c r="E1007" s="4">
        <v>207</v>
      </c>
      <c r="F1007" s="4">
        <f>Source!U985</f>
        <v>1822.09353676</v>
      </c>
      <c r="G1007" s="4" t="s">
        <v>96</v>
      </c>
      <c r="H1007" s="4" t="s">
        <v>97</v>
      </c>
      <c r="I1007" s="4"/>
      <c r="J1007" s="4"/>
      <c r="K1007" s="4">
        <v>207</v>
      </c>
      <c r="L1007" s="4">
        <v>21</v>
      </c>
      <c r="M1007" s="4">
        <v>3</v>
      </c>
      <c r="N1007" s="4" t="s">
        <v>3</v>
      </c>
      <c r="O1007" s="4">
        <v>-1</v>
      </c>
      <c r="P1007" s="4"/>
      <c r="Q1007" s="4"/>
      <c r="R1007" s="4"/>
      <c r="S1007" s="4"/>
      <c r="T1007" s="4"/>
      <c r="U1007" s="4"/>
      <c r="V1007" s="4"/>
      <c r="W1007" s="4"/>
    </row>
    <row r="1008" spans="1:23" x14ac:dyDescent="0.2">
      <c r="A1008" s="4">
        <v>50</v>
      </c>
      <c r="B1008" s="4">
        <v>0</v>
      </c>
      <c r="C1008" s="4">
        <v>0</v>
      </c>
      <c r="D1008" s="4">
        <v>1</v>
      </c>
      <c r="E1008" s="4">
        <v>208</v>
      </c>
      <c r="F1008" s="4">
        <f>Source!V985</f>
        <v>0</v>
      </c>
      <c r="G1008" s="4" t="s">
        <v>98</v>
      </c>
      <c r="H1008" s="4" t="s">
        <v>99</v>
      </c>
      <c r="I1008" s="4"/>
      <c r="J1008" s="4"/>
      <c r="K1008" s="4">
        <v>208</v>
      </c>
      <c r="L1008" s="4">
        <v>22</v>
      </c>
      <c r="M1008" s="4">
        <v>3</v>
      </c>
      <c r="N1008" s="4" t="s">
        <v>3</v>
      </c>
      <c r="O1008" s="4">
        <v>-1</v>
      </c>
      <c r="P1008" s="4"/>
      <c r="Q1008" s="4"/>
      <c r="R1008" s="4"/>
      <c r="S1008" s="4"/>
      <c r="T1008" s="4"/>
      <c r="U1008" s="4"/>
      <c r="V1008" s="4"/>
      <c r="W1008" s="4"/>
    </row>
    <row r="1009" spans="1:206" x14ac:dyDescent="0.2">
      <c r="A1009" s="4">
        <v>50</v>
      </c>
      <c r="B1009" s="4">
        <v>0</v>
      </c>
      <c r="C1009" s="4">
        <v>0</v>
      </c>
      <c r="D1009" s="4">
        <v>1</v>
      </c>
      <c r="E1009" s="4">
        <v>209</v>
      </c>
      <c r="F1009" s="4">
        <f>ROUND(Source!W985,O1009)</f>
        <v>0</v>
      </c>
      <c r="G1009" s="4" t="s">
        <v>100</v>
      </c>
      <c r="H1009" s="4" t="s">
        <v>101</v>
      </c>
      <c r="I1009" s="4"/>
      <c r="J1009" s="4"/>
      <c r="K1009" s="4">
        <v>209</v>
      </c>
      <c r="L1009" s="4">
        <v>23</v>
      </c>
      <c r="M1009" s="4">
        <v>3</v>
      </c>
      <c r="N1009" s="4" t="s">
        <v>3</v>
      </c>
      <c r="O1009" s="4">
        <v>2</v>
      </c>
      <c r="P1009" s="4"/>
      <c r="Q1009" s="4"/>
      <c r="R1009" s="4"/>
      <c r="S1009" s="4"/>
      <c r="T1009" s="4"/>
      <c r="U1009" s="4"/>
      <c r="V1009" s="4"/>
      <c r="W1009" s="4"/>
    </row>
    <row r="1010" spans="1:206" x14ac:dyDescent="0.2">
      <c r="A1010" s="4">
        <v>50</v>
      </c>
      <c r="B1010" s="4">
        <v>0</v>
      </c>
      <c r="C1010" s="4">
        <v>0</v>
      </c>
      <c r="D1010" s="4">
        <v>1</v>
      </c>
      <c r="E1010" s="4">
        <v>233</v>
      </c>
      <c r="F1010" s="4">
        <f>ROUND(Source!BD985,O1010)</f>
        <v>0</v>
      </c>
      <c r="G1010" s="4" t="s">
        <v>102</v>
      </c>
      <c r="H1010" s="4" t="s">
        <v>103</v>
      </c>
      <c r="I1010" s="4"/>
      <c r="J1010" s="4"/>
      <c r="K1010" s="4">
        <v>233</v>
      </c>
      <c r="L1010" s="4">
        <v>24</v>
      </c>
      <c r="M1010" s="4">
        <v>3</v>
      </c>
      <c r="N1010" s="4" t="s">
        <v>3</v>
      </c>
      <c r="O1010" s="4">
        <v>2</v>
      </c>
      <c r="P1010" s="4"/>
      <c r="Q1010" s="4"/>
      <c r="R1010" s="4"/>
      <c r="S1010" s="4"/>
      <c r="T1010" s="4"/>
      <c r="U1010" s="4"/>
      <c r="V1010" s="4"/>
      <c r="W1010" s="4"/>
    </row>
    <row r="1011" spans="1:206" x14ac:dyDescent="0.2">
      <c r="A1011" s="4">
        <v>50</v>
      </c>
      <c r="B1011" s="4">
        <v>0</v>
      </c>
      <c r="C1011" s="4">
        <v>0</v>
      </c>
      <c r="D1011" s="4">
        <v>1</v>
      </c>
      <c r="E1011" s="4">
        <v>210</v>
      </c>
      <c r="F1011" s="4">
        <f>ROUND(Source!X985,O1011)</f>
        <v>226383.74</v>
      </c>
      <c r="G1011" s="4" t="s">
        <v>104</v>
      </c>
      <c r="H1011" s="4" t="s">
        <v>105</v>
      </c>
      <c r="I1011" s="4"/>
      <c r="J1011" s="4"/>
      <c r="K1011" s="4">
        <v>210</v>
      </c>
      <c r="L1011" s="4">
        <v>25</v>
      </c>
      <c r="M1011" s="4">
        <v>3</v>
      </c>
      <c r="N1011" s="4" t="s">
        <v>3</v>
      </c>
      <c r="O1011" s="4">
        <v>2</v>
      </c>
      <c r="P1011" s="4"/>
      <c r="Q1011" s="4"/>
      <c r="R1011" s="4"/>
      <c r="S1011" s="4"/>
      <c r="T1011" s="4"/>
      <c r="U1011" s="4"/>
      <c r="V1011" s="4"/>
      <c r="W1011" s="4"/>
    </row>
    <row r="1012" spans="1:206" x14ac:dyDescent="0.2">
      <c r="A1012" s="4">
        <v>50</v>
      </c>
      <c r="B1012" s="4">
        <v>0</v>
      </c>
      <c r="C1012" s="4">
        <v>0</v>
      </c>
      <c r="D1012" s="4">
        <v>1</v>
      </c>
      <c r="E1012" s="4">
        <v>211</v>
      </c>
      <c r="F1012" s="4">
        <f>ROUND(Source!Y985,O1012)</f>
        <v>32340.55</v>
      </c>
      <c r="G1012" s="4" t="s">
        <v>106</v>
      </c>
      <c r="H1012" s="4" t="s">
        <v>107</v>
      </c>
      <c r="I1012" s="4"/>
      <c r="J1012" s="4"/>
      <c r="K1012" s="4">
        <v>211</v>
      </c>
      <c r="L1012" s="4">
        <v>26</v>
      </c>
      <c r="M1012" s="4">
        <v>3</v>
      </c>
      <c r="N1012" s="4" t="s">
        <v>3</v>
      </c>
      <c r="O1012" s="4">
        <v>2</v>
      </c>
      <c r="P1012" s="4"/>
      <c r="Q1012" s="4"/>
      <c r="R1012" s="4"/>
      <c r="S1012" s="4"/>
      <c r="T1012" s="4"/>
      <c r="U1012" s="4"/>
      <c r="V1012" s="4"/>
      <c r="W1012" s="4"/>
    </row>
    <row r="1013" spans="1:206" x14ac:dyDescent="0.2">
      <c r="A1013" s="4">
        <v>50</v>
      </c>
      <c r="B1013" s="4">
        <v>0</v>
      </c>
      <c r="C1013" s="4">
        <v>0</v>
      </c>
      <c r="D1013" s="4">
        <v>1</v>
      </c>
      <c r="E1013" s="4">
        <v>224</v>
      </c>
      <c r="F1013" s="4">
        <f>ROUND(Source!AR985,O1013)</f>
        <v>5206885.04</v>
      </c>
      <c r="G1013" s="4" t="s">
        <v>108</v>
      </c>
      <c r="H1013" s="4" t="s">
        <v>109</v>
      </c>
      <c r="I1013" s="4"/>
      <c r="J1013" s="4"/>
      <c r="K1013" s="4">
        <v>224</v>
      </c>
      <c r="L1013" s="4">
        <v>27</v>
      </c>
      <c r="M1013" s="4">
        <v>3</v>
      </c>
      <c r="N1013" s="4" t="s">
        <v>3</v>
      </c>
      <c r="O1013" s="4">
        <v>2</v>
      </c>
      <c r="P1013" s="4"/>
      <c r="Q1013" s="4"/>
      <c r="R1013" s="4"/>
      <c r="S1013" s="4"/>
      <c r="T1013" s="4"/>
      <c r="U1013" s="4"/>
      <c r="V1013" s="4"/>
      <c r="W1013" s="4"/>
    </row>
    <row r="1015" spans="1:206" x14ac:dyDescent="0.2">
      <c r="A1015" s="2">
        <v>51</v>
      </c>
      <c r="B1015" s="2">
        <f>B877</f>
        <v>1</v>
      </c>
      <c r="C1015" s="2">
        <f>A877</f>
        <v>3</v>
      </c>
      <c r="D1015" s="2">
        <f>ROW(A877)</f>
        <v>877</v>
      </c>
      <c r="E1015" s="2"/>
      <c r="F1015" s="2" t="str">
        <f>IF(F877&lt;&gt;"",F877,"")</f>
        <v>Новая локальная смета</v>
      </c>
      <c r="G1015" s="2" t="str">
        <f>IF(G877&lt;&gt;"",G877,"")</f>
        <v>Ремонт экотроп (ЛЗ "Тропаревский" - 2,77 км (деревянные настилы - 4080 кв.м,деревянные перила - 315 кв.м, деревянная лестница - 208 кв.м) с демонтажем и монтажем МАФ</v>
      </c>
      <c r="H1015" s="2">
        <v>0</v>
      </c>
      <c r="I1015" s="2"/>
      <c r="J1015" s="2"/>
      <c r="K1015" s="2"/>
      <c r="L1015" s="2"/>
      <c r="M1015" s="2"/>
      <c r="N1015" s="2"/>
      <c r="O1015" s="2">
        <f t="shared" ref="O1015:T1015" si="694">ROUND(O985+AB1015,2)</f>
        <v>4946256.5</v>
      </c>
      <c r="P1015" s="2">
        <f t="shared" si="694"/>
        <v>4555211.0199999996</v>
      </c>
      <c r="Q1015" s="2">
        <f t="shared" si="694"/>
        <v>67640.149999999994</v>
      </c>
      <c r="R1015" s="2">
        <f t="shared" si="694"/>
        <v>38336.620000000003</v>
      </c>
      <c r="S1015" s="2">
        <f t="shared" si="694"/>
        <v>323405.33</v>
      </c>
      <c r="T1015" s="2">
        <f t="shared" si="694"/>
        <v>0</v>
      </c>
      <c r="U1015" s="2">
        <f>U985+AH1015</f>
        <v>1822.09353676</v>
      </c>
      <c r="V1015" s="2">
        <f>V985+AI1015</f>
        <v>0</v>
      </c>
      <c r="W1015" s="2">
        <f>ROUND(W985+AJ1015,2)</f>
        <v>0</v>
      </c>
      <c r="X1015" s="2">
        <f>ROUND(X985+AK1015,2)</f>
        <v>226383.74</v>
      </c>
      <c r="Y1015" s="2">
        <f>ROUND(Y985+AL1015,2)</f>
        <v>32340.55</v>
      </c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>
        <f t="shared" ref="AO1015:BD1015" si="695">ROUND(AO985+BX1015,2)</f>
        <v>0</v>
      </c>
      <c r="AP1015" s="2">
        <f t="shared" si="695"/>
        <v>0</v>
      </c>
      <c r="AQ1015" s="2">
        <f t="shared" si="695"/>
        <v>0</v>
      </c>
      <c r="AR1015" s="2">
        <f t="shared" si="695"/>
        <v>5206885.04</v>
      </c>
      <c r="AS1015" s="2">
        <f t="shared" si="695"/>
        <v>3120740.46</v>
      </c>
      <c r="AT1015" s="2">
        <f t="shared" si="695"/>
        <v>0</v>
      </c>
      <c r="AU1015" s="2">
        <f t="shared" si="695"/>
        <v>2086144.58</v>
      </c>
      <c r="AV1015" s="2">
        <f t="shared" si="695"/>
        <v>4555211.0199999996</v>
      </c>
      <c r="AW1015" s="2">
        <f t="shared" si="695"/>
        <v>4555211.0199999996</v>
      </c>
      <c r="AX1015" s="2">
        <f t="shared" si="695"/>
        <v>0</v>
      </c>
      <c r="AY1015" s="2">
        <f t="shared" si="695"/>
        <v>4555211.0199999996</v>
      </c>
      <c r="AZ1015" s="2">
        <f t="shared" si="695"/>
        <v>0</v>
      </c>
      <c r="BA1015" s="2">
        <f t="shared" si="695"/>
        <v>0</v>
      </c>
      <c r="BB1015" s="2">
        <f t="shared" si="695"/>
        <v>0</v>
      </c>
      <c r="BC1015" s="2">
        <f t="shared" si="695"/>
        <v>0</v>
      </c>
      <c r="BD1015" s="2">
        <f t="shared" si="695"/>
        <v>0</v>
      </c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3"/>
      <c r="DH1015" s="3"/>
      <c r="DI1015" s="3"/>
      <c r="DJ1015" s="3"/>
      <c r="DK1015" s="3"/>
      <c r="DL1015" s="3"/>
      <c r="DM1015" s="3"/>
      <c r="DN1015" s="3"/>
      <c r="DO1015" s="3"/>
      <c r="DP1015" s="3"/>
      <c r="DQ1015" s="3"/>
      <c r="DR1015" s="3"/>
      <c r="DS1015" s="3"/>
      <c r="DT1015" s="3"/>
      <c r="DU1015" s="3"/>
      <c r="DV1015" s="3"/>
      <c r="DW1015" s="3"/>
      <c r="DX1015" s="3"/>
      <c r="DY1015" s="3"/>
      <c r="DZ1015" s="3"/>
      <c r="EA1015" s="3"/>
      <c r="EB1015" s="3"/>
      <c r="EC1015" s="3"/>
      <c r="ED1015" s="3"/>
      <c r="EE1015" s="3"/>
      <c r="EF1015" s="3"/>
      <c r="EG1015" s="3"/>
      <c r="EH1015" s="3"/>
      <c r="EI1015" s="3"/>
      <c r="EJ1015" s="3"/>
      <c r="EK1015" s="3"/>
      <c r="EL1015" s="3"/>
      <c r="EM1015" s="3"/>
      <c r="EN1015" s="3"/>
      <c r="EO1015" s="3"/>
      <c r="EP1015" s="3"/>
      <c r="EQ1015" s="3"/>
      <c r="ER1015" s="3"/>
      <c r="ES1015" s="3"/>
      <c r="ET1015" s="3"/>
      <c r="EU1015" s="3"/>
      <c r="EV1015" s="3"/>
      <c r="EW1015" s="3"/>
      <c r="EX1015" s="3"/>
      <c r="EY1015" s="3"/>
      <c r="EZ1015" s="3"/>
      <c r="FA1015" s="3"/>
      <c r="FB1015" s="3"/>
      <c r="FC1015" s="3"/>
      <c r="FD1015" s="3"/>
      <c r="FE1015" s="3"/>
      <c r="FF1015" s="3"/>
      <c r="FG1015" s="3"/>
      <c r="FH1015" s="3"/>
      <c r="FI1015" s="3"/>
      <c r="FJ1015" s="3"/>
      <c r="FK1015" s="3"/>
      <c r="FL1015" s="3"/>
      <c r="FM1015" s="3"/>
      <c r="FN1015" s="3"/>
      <c r="FO1015" s="3"/>
      <c r="FP1015" s="3"/>
      <c r="FQ1015" s="3"/>
      <c r="FR1015" s="3"/>
      <c r="FS1015" s="3"/>
      <c r="FT1015" s="3"/>
      <c r="FU1015" s="3"/>
      <c r="FV1015" s="3"/>
      <c r="FW1015" s="3"/>
      <c r="FX1015" s="3"/>
      <c r="FY1015" s="3"/>
      <c r="FZ1015" s="3"/>
      <c r="GA1015" s="3"/>
      <c r="GB1015" s="3"/>
      <c r="GC1015" s="3"/>
      <c r="GD1015" s="3"/>
      <c r="GE1015" s="3"/>
      <c r="GF1015" s="3"/>
      <c r="GG1015" s="3"/>
      <c r="GH1015" s="3"/>
      <c r="GI1015" s="3"/>
      <c r="GJ1015" s="3"/>
      <c r="GK1015" s="3"/>
      <c r="GL1015" s="3"/>
      <c r="GM1015" s="3"/>
      <c r="GN1015" s="3"/>
      <c r="GO1015" s="3"/>
      <c r="GP1015" s="3"/>
      <c r="GQ1015" s="3"/>
      <c r="GR1015" s="3"/>
      <c r="GS1015" s="3"/>
      <c r="GT1015" s="3"/>
      <c r="GU1015" s="3"/>
      <c r="GV1015" s="3"/>
      <c r="GW1015" s="3"/>
      <c r="GX1015" s="3">
        <v>0</v>
      </c>
    </row>
    <row r="1017" spans="1:206" x14ac:dyDescent="0.2">
      <c r="A1017" s="4">
        <v>50</v>
      </c>
      <c r="B1017" s="4">
        <v>0</v>
      </c>
      <c r="C1017" s="4">
        <v>0</v>
      </c>
      <c r="D1017" s="4">
        <v>1</v>
      </c>
      <c r="E1017" s="4">
        <v>201</v>
      </c>
      <c r="F1017" s="4">
        <f>ROUND(Source!O1015,O1017)</f>
        <v>4946256.5</v>
      </c>
      <c r="G1017" s="4" t="s">
        <v>56</v>
      </c>
      <c r="H1017" s="4" t="s">
        <v>57</v>
      </c>
      <c r="I1017" s="4"/>
      <c r="J1017" s="4"/>
      <c r="K1017" s="4">
        <v>201</v>
      </c>
      <c r="L1017" s="4">
        <v>1</v>
      </c>
      <c r="M1017" s="4">
        <v>3</v>
      </c>
      <c r="N1017" s="4" t="s">
        <v>3</v>
      </c>
      <c r="O1017" s="4">
        <v>2</v>
      </c>
      <c r="P1017" s="4"/>
      <c r="Q1017" s="4"/>
      <c r="R1017" s="4"/>
      <c r="S1017" s="4"/>
      <c r="T1017" s="4"/>
      <c r="U1017" s="4"/>
      <c r="V1017" s="4"/>
      <c r="W1017" s="4"/>
    </row>
    <row r="1018" spans="1:206" x14ac:dyDescent="0.2">
      <c r="A1018" s="4">
        <v>50</v>
      </c>
      <c r="B1018" s="4">
        <v>0</v>
      </c>
      <c r="C1018" s="4">
        <v>0</v>
      </c>
      <c r="D1018" s="4">
        <v>1</v>
      </c>
      <c r="E1018" s="4">
        <v>202</v>
      </c>
      <c r="F1018" s="4">
        <f>ROUND(Source!P1015,O1018)</f>
        <v>4555211.0199999996</v>
      </c>
      <c r="G1018" s="4" t="s">
        <v>58</v>
      </c>
      <c r="H1018" s="4" t="s">
        <v>59</v>
      </c>
      <c r="I1018" s="4"/>
      <c r="J1018" s="4"/>
      <c r="K1018" s="4">
        <v>202</v>
      </c>
      <c r="L1018" s="4">
        <v>2</v>
      </c>
      <c r="M1018" s="4">
        <v>3</v>
      </c>
      <c r="N1018" s="4" t="s">
        <v>3</v>
      </c>
      <c r="O1018" s="4">
        <v>2</v>
      </c>
      <c r="P1018" s="4"/>
      <c r="Q1018" s="4"/>
      <c r="R1018" s="4"/>
      <c r="S1018" s="4"/>
      <c r="T1018" s="4"/>
      <c r="U1018" s="4"/>
      <c r="V1018" s="4"/>
      <c r="W1018" s="4"/>
    </row>
    <row r="1019" spans="1:206" x14ac:dyDescent="0.2">
      <c r="A1019" s="4">
        <v>50</v>
      </c>
      <c r="B1019" s="4">
        <v>0</v>
      </c>
      <c r="C1019" s="4">
        <v>0</v>
      </c>
      <c r="D1019" s="4">
        <v>1</v>
      </c>
      <c r="E1019" s="4">
        <v>222</v>
      </c>
      <c r="F1019" s="4">
        <f>ROUND(Source!AO1015,O1019)</f>
        <v>0</v>
      </c>
      <c r="G1019" s="4" t="s">
        <v>60</v>
      </c>
      <c r="H1019" s="4" t="s">
        <v>61</v>
      </c>
      <c r="I1019" s="4"/>
      <c r="J1019" s="4"/>
      <c r="K1019" s="4">
        <v>222</v>
      </c>
      <c r="L1019" s="4">
        <v>3</v>
      </c>
      <c r="M1019" s="4">
        <v>3</v>
      </c>
      <c r="N1019" s="4" t="s">
        <v>3</v>
      </c>
      <c r="O1019" s="4">
        <v>2</v>
      </c>
      <c r="P1019" s="4"/>
      <c r="Q1019" s="4"/>
      <c r="R1019" s="4"/>
      <c r="S1019" s="4"/>
      <c r="T1019" s="4"/>
      <c r="U1019" s="4"/>
      <c r="V1019" s="4"/>
      <c r="W1019" s="4"/>
    </row>
    <row r="1020" spans="1:206" x14ac:dyDescent="0.2">
      <c r="A1020" s="4">
        <v>50</v>
      </c>
      <c r="B1020" s="4">
        <v>0</v>
      </c>
      <c r="C1020" s="4">
        <v>0</v>
      </c>
      <c r="D1020" s="4">
        <v>1</v>
      </c>
      <c r="E1020" s="4">
        <v>225</v>
      </c>
      <c r="F1020" s="4">
        <f>ROUND(Source!AV1015,O1020)</f>
        <v>4555211.0199999996</v>
      </c>
      <c r="G1020" s="4" t="s">
        <v>62</v>
      </c>
      <c r="H1020" s="4" t="s">
        <v>63</v>
      </c>
      <c r="I1020" s="4"/>
      <c r="J1020" s="4"/>
      <c r="K1020" s="4">
        <v>225</v>
      </c>
      <c r="L1020" s="4">
        <v>4</v>
      </c>
      <c r="M1020" s="4">
        <v>3</v>
      </c>
      <c r="N1020" s="4" t="s">
        <v>3</v>
      </c>
      <c r="O1020" s="4">
        <v>2</v>
      </c>
      <c r="P1020" s="4"/>
      <c r="Q1020" s="4"/>
      <c r="R1020" s="4"/>
      <c r="S1020" s="4"/>
      <c r="T1020" s="4"/>
      <c r="U1020" s="4"/>
      <c r="V1020" s="4"/>
      <c r="W1020" s="4"/>
    </row>
    <row r="1021" spans="1:206" x14ac:dyDescent="0.2">
      <c r="A1021" s="4">
        <v>50</v>
      </c>
      <c r="B1021" s="4">
        <v>0</v>
      </c>
      <c r="C1021" s="4">
        <v>0</v>
      </c>
      <c r="D1021" s="4">
        <v>1</v>
      </c>
      <c r="E1021" s="4">
        <v>226</v>
      </c>
      <c r="F1021" s="4">
        <f>ROUND(Source!AW1015,O1021)</f>
        <v>4555211.0199999996</v>
      </c>
      <c r="G1021" s="4" t="s">
        <v>64</v>
      </c>
      <c r="H1021" s="4" t="s">
        <v>65</v>
      </c>
      <c r="I1021" s="4"/>
      <c r="J1021" s="4"/>
      <c r="K1021" s="4">
        <v>226</v>
      </c>
      <c r="L1021" s="4">
        <v>5</v>
      </c>
      <c r="M1021" s="4">
        <v>3</v>
      </c>
      <c r="N1021" s="4" t="s">
        <v>3</v>
      </c>
      <c r="O1021" s="4">
        <v>2</v>
      </c>
      <c r="P1021" s="4"/>
      <c r="Q1021" s="4"/>
      <c r="R1021" s="4"/>
      <c r="S1021" s="4"/>
      <c r="T1021" s="4"/>
      <c r="U1021" s="4"/>
      <c r="V1021" s="4"/>
      <c r="W1021" s="4"/>
    </row>
    <row r="1022" spans="1:206" x14ac:dyDescent="0.2">
      <c r="A1022" s="4">
        <v>50</v>
      </c>
      <c r="B1022" s="4">
        <v>0</v>
      </c>
      <c r="C1022" s="4">
        <v>0</v>
      </c>
      <c r="D1022" s="4">
        <v>1</v>
      </c>
      <c r="E1022" s="4">
        <v>227</v>
      </c>
      <c r="F1022" s="4">
        <f>ROUND(Source!AX1015,O1022)</f>
        <v>0</v>
      </c>
      <c r="G1022" s="4" t="s">
        <v>66</v>
      </c>
      <c r="H1022" s="4" t="s">
        <v>67</v>
      </c>
      <c r="I1022" s="4"/>
      <c r="J1022" s="4"/>
      <c r="K1022" s="4">
        <v>227</v>
      </c>
      <c r="L1022" s="4">
        <v>6</v>
      </c>
      <c r="M1022" s="4">
        <v>3</v>
      </c>
      <c r="N1022" s="4" t="s">
        <v>3</v>
      </c>
      <c r="O1022" s="4">
        <v>2</v>
      </c>
      <c r="P1022" s="4"/>
      <c r="Q1022" s="4"/>
      <c r="R1022" s="4"/>
      <c r="S1022" s="4"/>
      <c r="T1022" s="4"/>
      <c r="U1022" s="4"/>
      <c r="V1022" s="4"/>
      <c r="W1022" s="4"/>
    </row>
    <row r="1023" spans="1:206" x14ac:dyDescent="0.2">
      <c r="A1023" s="4">
        <v>50</v>
      </c>
      <c r="B1023" s="4">
        <v>0</v>
      </c>
      <c r="C1023" s="4">
        <v>0</v>
      </c>
      <c r="D1023" s="4">
        <v>1</v>
      </c>
      <c r="E1023" s="4">
        <v>228</v>
      </c>
      <c r="F1023" s="4">
        <f>ROUND(Source!AY1015,O1023)</f>
        <v>4555211.0199999996</v>
      </c>
      <c r="G1023" s="4" t="s">
        <v>68</v>
      </c>
      <c r="H1023" s="4" t="s">
        <v>69</v>
      </c>
      <c r="I1023" s="4"/>
      <c r="J1023" s="4"/>
      <c r="K1023" s="4">
        <v>228</v>
      </c>
      <c r="L1023" s="4">
        <v>7</v>
      </c>
      <c r="M1023" s="4">
        <v>3</v>
      </c>
      <c r="N1023" s="4" t="s">
        <v>3</v>
      </c>
      <c r="O1023" s="4">
        <v>2</v>
      </c>
      <c r="P1023" s="4"/>
      <c r="Q1023" s="4"/>
      <c r="R1023" s="4"/>
      <c r="S1023" s="4"/>
      <c r="T1023" s="4"/>
      <c r="U1023" s="4"/>
      <c r="V1023" s="4"/>
      <c r="W1023" s="4"/>
    </row>
    <row r="1024" spans="1:206" x14ac:dyDescent="0.2">
      <c r="A1024" s="4">
        <v>50</v>
      </c>
      <c r="B1024" s="4">
        <v>0</v>
      </c>
      <c r="C1024" s="4">
        <v>0</v>
      </c>
      <c r="D1024" s="4">
        <v>1</v>
      </c>
      <c r="E1024" s="4">
        <v>216</v>
      </c>
      <c r="F1024" s="4">
        <f>ROUND(Source!AP1015,O1024)</f>
        <v>0</v>
      </c>
      <c r="G1024" s="4" t="s">
        <v>70</v>
      </c>
      <c r="H1024" s="4" t="s">
        <v>71</v>
      </c>
      <c r="I1024" s="4"/>
      <c r="J1024" s="4"/>
      <c r="K1024" s="4">
        <v>216</v>
      </c>
      <c r="L1024" s="4">
        <v>8</v>
      </c>
      <c r="M1024" s="4">
        <v>3</v>
      </c>
      <c r="N1024" s="4" t="s">
        <v>3</v>
      </c>
      <c r="O1024" s="4">
        <v>2</v>
      </c>
      <c r="P1024" s="4"/>
      <c r="Q1024" s="4"/>
      <c r="R1024" s="4"/>
      <c r="S1024" s="4"/>
      <c r="T1024" s="4"/>
      <c r="U1024" s="4"/>
      <c r="V1024" s="4"/>
      <c r="W1024" s="4"/>
    </row>
    <row r="1025" spans="1:23" x14ac:dyDescent="0.2">
      <c r="A1025" s="4">
        <v>50</v>
      </c>
      <c r="B1025" s="4">
        <v>0</v>
      </c>
      <c r="C1025" s="4">
        <v>0</v>
      </c>
      <c r="D1025" s="4">
        <v>1</v>
      </c>
      <c r="E1025" s="4">
        <v>223</v>
      </c>
      <c r="F1025" s="4">
        <f>ROUND(Source!AQ1015,O1025)</f>
        <v>0</v>
      </c>
      <c r="G1025" s="4" t="s">
        <v>72</v>
      </c>
      <c r="H1025" s="4" t="s">
        <v>73</v>
      </c>
      <c r="I1025" s="4"/>
      <c r="J1025" s="4"/>
      <c r="K1025" s="4">
        <v>223</v>
      </c>
      <c r="L1025" s="4">
        <v>9</v>
      </c>
      <c r="M1025" s="4">
        <v>3</v>
      </c>
      <c r="N1025" s="4" t="s">
        <v>3</v>
      </c>
      <c r="O1025" s="4">
        <v>2</v>
      </c>
      <c r="P1025" s="4"/>
      <c r="Q1025" s="4"/>
      <c r="R1025" s="4"/>
      <c r="S1025" s="4"/>
      <c r="T1025" s="4"/>
      <c r="U1025" s="4"/>
      <c r="V1025" s="4"/>
      <c r="W1025" s="4"/>
    </row>
    <row r="1026" spans="1:23" x14ac:dyDescent="0.2">
      <c r="A1026" s="4">
        <v>50</v>
      </c>
      <c r="B1026" s="4">
        <v>0</v>
      </c>
      <c r="C1026" s="4">
        <v>0</v>
      </c>
      <c r="D1026" s="4">
        <v>1</v>
      </c>
      <c r="E1026" s="4">
        <v>229</v>
      </c>
      <c r="F1026" s="4">
        <f>ROUND(Source!AZ1015,O1026)</f>
        <v>0</v>
      </c>
      <c r="G1026" s="4" t="s">
        <v>74</v>
      </c>
      <c r="H1026" s="4" t="s">
        <v>75</v>
      </c>
      <c r="I1026" s="4"/>
      <c r="J1026" s="4"/>
      <c r="K1026" s="4">
        <v>229</v>
      </c>
      <c r="L1026" s="4">
        <v>10</v>
      </c>
      <c r="M1026" s="4">
        <v>3</v>
      </c>
      <c r="N1026" s="4" t="s">
        <v>3</v>
      </c>
      <c r="O1026" s="4">
        <v>2</v>
      </c>
      <c r="P1026" s="4"/>
      <c r="Q1026" s="4"/>
      <c r="R1026" s="4"/>
      <c r="S1026" s="4"/>
      <c r="T1026" s="4"/>
      <c r="U1026" s="4"/>
      <c r="V1026" s="4"/>
      <c r="W1026" s="4"/>
    </row>
    <row r="1027" spans="1:23" x14ac:dyDescent="0.2">
      <c r="A1027" s="4">
        <v>50</v>
      </c>
      <c r="B1027" s="4">
        <v>0</v>
      </c>
      <c r="C1027" s="4">
        <v>0</v>
      </c>
      <c r="D1027" s="4">
        <v>1</v>
      </c>
      <c r="E1027" s="4">
        <v>203</v>
      </c>
      <c r="F1027" s="4">
        <f>ROUND(Source!Q1015,O1027)</f>
        <v>67640.149999999994</v>
      </c>
      <c r="G1027" s="4" t="s">
        <v>76</v>
      </c>
      <c r="H1027" s="4" t="s">
        <v>77</v>
      </c>
      <c r="I1027" s="4"/>
      <c r="J1027" s="4"/>
      <c r="K1027" s="4">
        <v>203</v>
      </c>
      <c r="L1027" s="4">
        <v>11</v>
      </c>
      <c r="M1027" s="4">
        <v>3</v>
      </c>
      <c r="N1027" s="4" t="s">
        <v>3</v>
      </c>
      <c r="O1027" s="4">
        <v>2</v>
      </c>
      <c r="P1027" s="4"/>
      <c r="Q1027" s="4"/>
      <c r="R1027" s="4"/>
      <c r="S1027" s="4"/>
      <c r="T1027" s="4"/>
      <c r="U1027" s="4"/>
      <c r="V1027" s="4"/>
      <c r="W1027" s="4"/>
    </row>
    <row r="1028" spans="1:23" x14ac:dyDescent="0.2">
      <c r="A1028" s="4">
        <v>50</v>
      </c>
      <c r="B1028" s="4">
        <v>0</v>
      </c>
      <c r="C1028" s="4">
        <v>0</v>
      </c>
      <c r="D1028" s="4">
        <v>1</v>
      </c>
      <c r="E1028" s="4">
        <v>231</v>
      </c>
      <c r="F1028" s="4">
        <f>ROUND(Source!BB1015,O1028)</f>
        <v>0</v>
      </c>
      <c r="G1028" s="4" t="s">
        <v>78</v>
      </c>
      <c r="H1028" s="4" t="s">
        <v>79</v>
      </c>
      <c r="I1028" s="4"/>
      <c r="J1028" s="4"/>
      <c r="K1028" s="4">
        <v>231</v>
      </c>
      <c r="L1028" s="4">
        <v>12</v>
      </c>
      <c r="M1028" s="4">
        <v>3</v>
      </c>
      <c r="N1028" s="4" t="s">
        <v>3</v>
      </c>
      <c r="O1028" s="4">
        <v>2</v>
      </c>
      <c r="P1028" s="4"/>
      <c r="Q1028" s="4"/>
      <c r="R1028" s="4"/>
      <c r="S1028" s="4"/>
      <c r="T1028" s="4"/>
      <c r="U1028" s="4"/>
      <c r="V1028" s="4"/>
      <c r="W1028" s="4"/>
    </row>
    <row r="1029" spans="1:23" x14ac:dyDescent="0.2">
      <c r="A1029" s="4">
        <v>50</v>
      </c>
      <c r="B1029" s="4">
        <v>0</v>
      </c>
      <c r="C1029" s="4">
        <v>0</v>
      </c>
      <c r="D1029" s="4">
        <v>1</v>
      </c>
      <c r="E1029" s="4">
        <v>204</v>
      </c>
      <c r="F1029" s="4">
        <f>ROUND(Source!R1015,O1029)</f>
        <v>38336.620000000003</v>
      </c>
      <c r="G1029" s="4" t="s">
        <v>80</v>
      </c>
      <c r="H1029" s="4" t="s">
        <v>81</v>
      </c>
      <c r="I1029" s="4"/>
      <c r="J1029" s="4"/>
      <c r="K1029" s="4">
        <v>204</v>
      </c>
      <c r="L1029" s="4">
        <v>13</v>
      </c>
      <c r="M1029" s="4">
        <v>3</v>
      </c>
      <c r="N1029" s="4" t="s">
        <v>3</v>
      </c>
      <c r="O1029" s="4">
        <v>2</v>
      </c>
      <c r="P1029" s="4"/>
      <c r="Q1029" s="4"/>
      <c r="R1029" s="4"/>
      <c r="S1029" s="4"/>
      <c r="T1029" s="4"/>
      <c r="U1029" s="4"/>
      <c r="V1029" s="4"/>
      <c r="W1029" s="4"/>
    </row>
    <row r="1030" spans="1:23" x14ac:dyDescent="0.2">
      <c r="A1030" s="4">
        <v>50</v>
      </c>
      <c r="B1030" s="4">
        <v>0</v>
      </c>
      <c r="C1030" s="4">
        <v>0</v>
      </c>
      <c r="D1030" s="4">
        <v>1</v>
      </c>
      <c r="E1030" s="4">
        <v>205</v>
      </c>
      <c r="F1030" s="4">
        <f>ROUND(Source!S1015,O1030)</f>
        <v>323405.33</v>
      </c>
      <c r="G1030" s="4" t="s">
        <v>82</v>
      </c>
      <c r="H1030" s="4" t="s">
        <v>83</v>
      </c>
      <c r="I1030" s="4"/>
      <c r="J1030" s="4"/>
      <c r="K1030" s="4">
        <v>205</v>
      </c>
      <c r="L1030" s="4">
        <v>14</v>
      </c>
      <c r="M1030" s="4">
        <v>3</v>
      </c>
      <c r="N1030" s="4" t="s">
        <v>3</v>
      </c>
      <c r="O1030" s="4">
        <v>2</v>
      </c>
      <c r="P1030" s="4"/>
      <c r="Q1030" s="4"/>
      <c r="R1030" s="4"/>
      <c r="S1030" s="4"/>
      <c r="T1030" s="4"/>
      <c r="U1030" s="4"/>
      <c r="V1030" s="4"/>
      <c r="W1030" s="4"/>
    </row>
    <row r="1031" spans="1:23" x14ac:dyDescent="0.2">
      <c r="A1031" s="4">
        <v>50</v>
      </c>
      <c r="B1031" s="4">
        <v>0</v>
      </c>
      <c r="C1031" s="4">
        <v>0</v>
      </c>
      <c r="D1031" s="4">
        <v>1</v>
      </c>
      <c r="E1031" s="4">
        <v>232</v>
      </c>
      <c r="F1031" s="4">
        <f>ROUND(Source!BC1015,O1031)</f>
        <v>0</v>
      </c>
      <c r="G1031" s="4" t="s">
        <v>84</v>
      </c>
      <c r="H1031" s="4" t="s">
        <v>85</v>
      </c>
      <c r="I1031" s="4"/>
      <c r="J1031" s="4"/>
      <c r="K1031" s="4">
        <v>232</v>
      </c>
      <c r="L1031" s="4">
        <v>15</v>
      </c>
      <c r="M1031" s="4">
        <v>3</v>
      </c>
      <c r="N1031" s="4" t="s">
        <v>3</v>
      </c>
      <c r="O1031" s="4">
        <v>2</v>
      </c>
      <c r="P1031" s="4"/>
      <c r="Q1031" s="4"/>
      <c r="R1031" s="4"/>
      <c r="S1031" s="4"/>
      <c r="T1031" s="4"/>
      <c r="U1031" s="4"/>
      <c r="V1031" s="4"/>
      <c r="W1031" s="4"/>
    </row>
    <row r="1032" spans="1:23" x14ac:dyDescent="0.2">
      <c r="A1032" s="4">
        <v>50</v>
      </c>
      <c r="B1032" s="4">
        <v>0</v>
      </c>
      <c r="C1032" s="4">
        <v>0</v>
      </c>
      <c r="D1032" s="4">
        <v>1</v>
      </c>
      <c r="E1032" s="4">
        <v>214</v>
      </c>
      <c r="F1032" s="4">
        <f>ROUND(Source!AS1015,O1032)</f>
        <v>3120740.46</v>
      </c>
      <c r="G1032" s="4" t="s">
        <v>86</v>
      </c>
      <c r="H1032" s="4" t="s">
        <v>87</v>
      </c>
      <c r="I1032" s="4"/>
      <c r="J1032" s="4"/>
      <c r="K1032" s="4">
        <v>214</v>
      </c>
      <c r="L1032" s="4">
        <v>16</v>
      </c>
      <c r="M1032" s="4">
        <v>3</v>
      </c>
      <c r="N1032" s="4" t="s">
        <v>3</v>
      </c>
      <c r="O1032" s="4">
        <v>2</v>
      </c>
      <c r="P1032" s="4"/>
      <c r="Q1032" s="4"/>
      <c r="R1032" s="4"/>
      <c r="S1032" s="4"/>
      <c r="T1032" s="4"/>
      <c r="U1032" s="4"/>
      <c r="V1032" s="4"/>
      <c r="W1032" s="4"/>
    </row>
    <row r="1033" spans="1:23" x14ac:dyDescent="0.2">
      <c r="A1033" s="4">
        <v>50</v>
      </c>
      <c r="B1033" s="4">
        <v>0</v>
      </c>
      <c r="C1033" s="4">
        <v>0</v>
      </c>
      <c r="D1033" s="4">
        <v>1</v>
      </c>
      <c r="E1033" s="4">
        <v>215</v>
      </c>
      <c r="F1033" s="4">
        <f>ROUND(Source!AT1015,O1033)</f>
        <v>0</v>
      </c>
      <c r="G1033" s="4" t="s">
        <v>88</v>
      </c>
      <c r="H1033" s="4" t="s">
        <v>89</v>
      </c>
      <c r="I1033" s="4"/>
      <c r="J1033" s="4"/>
      <c r="K1033" s="4">
        <v>215</v>
      </c>
      <c r="L1033" s="4">
        <v>17</v>
      </c>
      <c r="M1033" s="4">
        <v>3</v>
      </c>
      <c r="N1033" s="4" t="s">
        <v>3</v>
      </c>
      <c r="O1033" s="4">
        <v>2</v>
      </c>
      <c r="P1033" s="4"/>
      <c r="Q1033" s="4"/>
      <c r="R1033" s="4"/>
      <c r="S1033" s="4"/>
      <c r="T1033" s="4"/>
      <c r="U1033" s="4"/>
      <c r="V1033" s="4"/>
      <c r="W1033" s="4"/>
    </row>
    <row r="1034" spans="1:23" x14ac:dyDescent="0.2">
      <c r="A1034" s="4">
        <v>50</v>
      </c>
      <c r="B1034" s="4">
        <v>0</v>
      </c>
      <c r="C1034" s="4">
        <v>0</v>
      </c>
      <c r="D1034" s="4">
        <v>1</v>
      </c>
      <c r="E1034" s="4">
        <v>217</v>
      </c>
      <c r="F1034" s="4">
        <f>ROUND(Source!AU1015,O1034)</f>
        <v>2086144.58</v>
      </c>
      <c r="G1034" s="4" t="s">
        <v>90</v>
      </c>
      <c r="H1034" s="4" t="s">
        <v>91</v>
      </c>
      <c r="I1034" s="4"/>
      <c r="J1034" s="4"/>
      <c r="K1034" s="4">
        <v>217</v>
      </c>
      <c r="L1034" s="4">
        <v>18</v>
      </c>
      <c r="M1034" s="4">
        <v>3</v>
      </c>
      <c r="N1034" s="4" t="s">
        <v>3</v>
      </c>
      <c r="O1034" s="4">
        <v>2</v>
      </c>
      <c r="P1034" s="4"/>
      <c r="Q1034" s="4"/>
      <c r="R1034" s="4"/>
      <c r="S1034" s="4"/>
      <c r="T1034" s="4"/>
      <c r="U1034" s="4"/>
      <c r="V1034" s="4"/>
      <c r="W1034" s="4"/>
    </row>
    <row r="1035" spans="1:23" x14ac:dyDescent="0.2">
      <c r="A1035" s="4">
        <v>50</v>
      </c>
      <c r="B1035" s="4">
        <v>0</v>
      </c>
      <c r="C1035" s="4">
        <v>0</v>
      </c>
      <c r="D1035" s="4">
        <v>1</v>
      </c>
      <c r="E1035" s="4">
        <v>230</v>
      </c>
      <c r="F1035" s="4">
        <f>ROUND(Source!BA1015,O1035)</f>
        <v>0</v>
      </c>
      <c r="G1035" s="4" t="s">
        <v>92</v>
      </c>
      <c r="H1035" s="4" t="s">
        <v>93</v>
      </c>
      <c r="I1035" s="4"/>
      <c r="J1035" s="4"/>
      <c r="K1035" s="4">
        <v>230</v>
      </c>
      <c r="L1035" s="4">
        <v>19</v>
      </c>
      <c r="M1035" s="4">
        <v>3</v>
      </c>
      <c r="N1035" s="4" t="s">
        <v>3</v>
      </c>
      <c r="O1035" s="4">
        <v>2</v>
      </c>
      <c r="P1035" s="4"/>
      <c r="Q1035" s="4"/>
      <c r="R1035" s="4"/>
      <c r="S1035" s="4"/>
      <c r="T1035" s="4"/>
      <c r="U1035" s="4"/>
      <c r="V1035" s="4"/>
      <c r="W1035" s="4"/>
    </row>
    <row r="1036" spans="1:23" x14ac:dyDescent="0.2">
      <c r="A1036" s="4">
        <v>50</v>
      </c>
      <c r="B1036" s="4">
        <v>0</v>
      </c>
      <c r="C1036" s="4">
        <v>0</v>
      </c>
      <c r="D1036" s="4">
        <v>1</v>
      </c>
      <c r="E1036" s="4">
        <v>206</v>
      </c>
      <c r="F1036" s="4">
        <f>ROUND(Source!T1015,O1036)</f>
        <v>0</v>
      </c>
      <c r="G1036" s="4" t="s">
        <v>94</v>
      </c>
      <c r="H1036" s="4" t="s">
        <v>95</v>
      </c>
      <c r="I1036" s="4"/>
      <c r="J1036" s="4"/>
      <c r="K1036" s="4">
        <v>206</v>
      </c>
      <c r="L1036" s="4">
        <v>20</v>
      </c>
      <c r="M1036" s="4">
        <v>3</v>
      </c>
      <c r="N1036" s="4" t="s">
        <v>3</v>
      </c>
      <c r="O1036" s="4">
        <v>2</v>
      </c>
      <c r="P1036" s="4"/>
      <c r="Q1036" s="4"/>
      <c r="R1036" s="4"/>
      <c r="S1036" s="4"/>
      <c r="T1036" s="4"/>
      <c r="U1036" s="4"/>
      <c r="V1036" s="4"/>
      <c r="W1036" s="4"/>
    </row>
    <row r="1037" spans="1:23" x14ac:dyDescent="0.2">
      <c r="A1037" s="4">
        <v>50</v>
      </c>
      <c r="B1037" s="4">
        <v>0</v>
      </c>
      <c r="C1037" s="4">
        <v>0</v>
      </c>
      <c r="D1037" s="4">
        <v>1</v>
      </c>
      <c r="E1037" s="4">
        <v>207</v>
      </c>
      <c r="F1037" s="4">
        <f>Source!U1015</f>
        <v>1822.09353676</v>
      </c>
      <c r="G1037" s="4" t="s">
        <v>96</v>
      </c>
      <c r="H1037" s="4" t="s">
        <v>97</v>
      </c>
      <c r="I1037" s="4"/>
      <c r="J1037" s="4"/>
      <c r="K1037" s="4">
        <v>207</v>
      </c>
      <c r="L1037" s="4">
        <v>21</v>
      </c>
      <c r="M1037" s="4">
        <v>3</v>
      </c>
      <c r="N1037" s="4" t="s">
        <v>3</v>
      </c>
      <c r="O1037" s="4">
        <v>-1</v>
      </c>
      <c r="P1037" s="4"/>
      <c r="Q1037" s="4"/>
      <c r="R1037" s="4"/>
      <c r="S1037" s="4"/>
      <c r="T1037" s="4"/>
      <c r="U1037" s="4"/>
      <c r="V1037" s="4"/>
      <c r="W1037" s="4"/>
    </row>
    <row r="1038" spans="1:23" x14ac:dyDescent="0.2">
      <c r="A1038" s="4">
        <v>50</v>
      </c>
      <c r="B1038" s="4">
        <v>0</v>
      </c>
      <c r="C1038" s="4">
        <v>0</v>
      </c>
      <c r="D1038" s="4">
        <v>1</v>
      </c>
      <c r="E1038" s="4">
        <v>208</v>
      </c>
      <c r="F1038" s="4">
        <f>Source!V1015</f>
        <v>0</v>
      </c>
      <c r="G1038" s="4" t="s">
        <v>98</v>
      </c>
      <c r="H1038" s="4" t="s">
        <v>99</v>
      </c>
      <c r="I1038" s="4"/>
      <c r="J1038" s="4"/>
      <c r="K1038" s="4">
        <v>208</v>
      </c>
      <c r="L1038" s="4">
        <v>22</v>
      </c>
      <c r="M1038" s="4">
        <v>3</v>
      </c>
      <c r="N1038" s="4" t="s">
        <v>3</v>
      </c>
      <c r="O1038" s="4">
        <v>-1</v>
      </c>
      <c r="P1038" s="4"/>
      <c r="Q1038" s="4"/>
      <c r="R1038" s="4"/>
      <c r="S1038" s="4"/>
      <c r="T1038" s="4"/>
      <c r="U1038" s="4"/>
      <c r="V1038" s="4"/>
      <c r="W1038" s="4"/>
    </row>
    <row r="1039" spans="1:23" x14ac:dyDescent="0.2">
      <c r="A1039" s="4">
        <v>50</v>
      </c>
      <c r="B1039" s="4">
        <v>0</v>
      </c>
      <c r="C1039" s="4">
        <v>0</v>
      </c>
      <c r="D1039" s="4">
        <v>1</v>
      </c>
      <c r="E1039" s="4">
        <v>209</v>
      </c>
      <c r="F1039" s="4">
        <f>ROUND(Source!W1015,O1039)</f>
        <v>0</v>
      </c>
      <c r="G1039" s="4" t="s">
        <v>100</v>
      </c>
      <c r="H1039" s="4" t="s">
        <v>101</v>
      </c>
      <c r="I1039" s="4"/>
      <c r="J1039" s="4"/>
      <c r="K1039" s="4">
        <v>209</v>
      </c>
      <c r="L1039" s="4">
        <v>23</v>
      </c>
      <c r="M1039" s="4">
        <v>3</v>
      </c>
      <c r="N1039" s="4" t="s">
        <v>3</v>
      </c>
      <c r="O1039" s="4">
        <v>2</v>
      </c>
      <c r="P1039" s="4"/>
      <c r="Q1039" s="4"/>
      <c r="R1039" s="4"/>
      <c r="S1039" s="4"/>
      <c r="T1039" s="4"/>
      <c r="U1039" s="4"/>
      <c r="V1039" s="4"/>
      <c r="W1039" s="4"/>
    </row>
    <row r="1040" spans="1:23" x14ac:dyDescent="0.2">
      <c r="A1040" s="4">
        <v>50</v>
      </c>
      <c r="B1040" s="4">
        <v>0</v>
      </c>
      <c r="C1040" s="4">
        <v>0</v>
      </c>
      <c r="D1040" s="4">
        <v>1</v>
      </c>
      <c r="E1040" s="4">
        <v>233</v>
      </c>
      <c r="F1040" s="4">
        <f>ROUND(Source!BD1015,O1040)</f>
        <v>0</v>
      </c>
      <c r="G1040" s="4" t="s">
        <v>102</v>
      </c>
      <c r="H1040" s="4" t="s">
        <v>103</v>
      </c>
      <c r="I1040" s="4"/>
      <c r="J1040" s="4"/>
      <c r="K1040" s="4">
        <v>233</v>
      </c>
      <c r="L1040" s="4">
        <v>24</v>
      </c>
      <c r="M1040" s="4">
        <v>3</v>
      </c>
      <c r="N1040" s="4" t="s">
        <v>3</v>
      </c>
      <c r="O1040" s="4">
        <v>2</v>
      </c>
      <c r="P1040" s="4"/>
      <c r="Q1040" s="4"/>
      <c r="R1040" s="4"/>
      <c r="S1040" s="4"/>
      <c r="T1040" s="4"/>
      <c r="U1040" s="4"/>
      <c r="V1040" s="4"/>
      <c r="W1040" s="4"/>
    </row>
    <row r="1041" spans="1:206" x14ac:dyDescent="0.2">
      <c r="A1041" s="4">
        <v>50</v>
      </c>
      <c r="B1041" s="4">
        <v>0</v>
      </c>
      <c r="C1041" s="4">
        <v>0</v>
      </c>
      <c r="D1041" s="4">
        <v>1</v>
      </c>
      <c r="E1041" s="4">
        <v>210</v>
      </c>
      <c r="F1041" s="4">
        <f>ROUND(Source!X1015,O1041)</f>
        <v>226383.74</v>
      </c>
      <c r="G1041" s="4" t="s">
        <v>104</v>
      </c>
      <c r="H1041" s="4" t="s">
        <v>105</v>
      </c>
      <c r="I1041" s="4"/>
      <c r="J1041" s="4"/>
      <c r="K1041" s="4">
        <v>210</v>
      </c>
      <c r="L1041" s="4">
        <v>25</v>
      </c>
      <c r="M1041" s="4">
        <v>3</v>
      </c>
      <c r="N1041" s="4" t="s">
        <v>3</v>
      </c>
      <c r="O1041" s="4">
        <v>2</v>
      </c>
      <c r="P1041" s="4"/>
      <c r="Q1041" s="4"/>
      <c r="R1041" s="4"/>
      <c r="S1041" s="4"/>
      <c r="T1041" s="4"/>
      <c r="U1041" s="4"/>
      <c r="V1041" s="4"/>
      <c r="W1041" s="4"/>
    </row>
    <row r="1042" spans="1:206" x14ac:dyDescent="0.2">
      <c r="A1042" s="4">
        <v>50</v>
      </c>
      <c r="B1042" s="4">
        <v>0</v>
      </c>
      <c r="C1042" s="4">
        <v>0</v>
      </c>
      <c r="D1042" s="4">
        <v>1</v>
      </c>
      <c r="E1042" s="4">
        <v>211</v>
      </c>
      <c r="F1042" s="4">
        <f>ROUND(Source!Y1015,O1042)</f>
        <v>32340.55</v>
      </c>
      <c r="G1042" s="4" t="s">
        <v>106</v>
      </c>
      <c r="H1042" s="4" t="s">
        <v>107</v>
      </c>
      <c r="I1042" s="4"/>
      <c r="J1042" s="4"/>
      <c r="K1042" s="4">
        <v>211</v>
      </c>
      <c r="L1042" s="4">
        <v>26</v>
      </c>
      <c r="M1042" s="4">
        <v>3</v>
      </c>
      <c r="N1042" s="4" t="s">
        <v>3</v>
      </c>
      <c r="O1042" s="4">
        <v>2</v>
      </c>
      <c r="P1042" s="4"/>
      <c r="Q1042" s="4"/>
      <c r="R1042" s="4"/>
      <c r="S1042" s="4"/>
      <c r="T1042" s="4"/>
      <c r="U1042" s="4"/>
      <c r="V1042" s="4"/>
      <c r="W1042" s="4"/>
    </row>
    <row r="1043" spans="1:206" x14ac:dyDescent="0.2">
      <c r="A1043" s="4">
        <v>50</v>
      </c>
      <c r="B1043" s="4">
        <v>0</v>
      </c>
      <c r="C1043" s="4">
        <v>0</v>
      </c>
      <c r="D1043" s="4">
        <v>1</v>
      </c>
      <c r="E1043" s="4">
        <v>224</v>
      </c>
      <c r="F1043" s="4">
        <f>ROUND(Source!AR1015,O1043)</f>
        <v>5206885.04</v>
      </c>
      <c r="G1043" s="4" t="s">
        <v>108</v>
      </c>
      <c r="H1043" s="4" t="s">
        <v>109</v>
      </c>
      <c r="I1043" s="4"/>
      <c r="J1043" s="4"/>
      <c r="K1043" s="4">
        <v>224</v>
      </c>
      <c r="L1043" s="4">
        <v>27</v>
      </c>
      <c r="M1043" s="4">
        <v>3</v>
      </c>
      <c r="N1043" s="4" t="s">
        <v>3</v>
      </c>
      <c r="O1043" s="4">
        <v>2</v>
      </c>
      <c r="P1043" s="4"/>
      <c r="Q1043" s="4"/>
      <c r="R1043" s="4"/>
      <c r="S1043" s="4"/>
      <c r="T1043" s="4"/>
      <c r="U1043" s="4"/>
      <c r="V1043" s="4"/>
      <c r="W1043" s="4"/>
    </row>
    <row r="1044" spans="1:206" x14ac:dyDescent="0.2">
      <c r="A1044" s="4">
        <v>50</v>
      </c>
      <c r="B1044" s="4">
        <v>1</v>
      </c>
      <c r="C1044" s="4">
        <v>0</v>
      </c>
      <c r="D1044" s="4">
        <v>2</v>
      </c>
      <c r="E1044" s="4">
        <v>0</v>
      </c>
      <c r="F1044" s="4">
        <f>ROUND(F1043*0.2,O1044)</f>
        <v>1041377.01</v>
      </c>
      <c r="G1044" s="4" t="s">
        <v>227</v>
      </c>
      <c r="H1044" s="4" t="s">
        <v>228</v>
      </c>
      <c r="I1044" s="4"/>
      <c r="J1044" s="4"/>
      <c r="K1044" s="4">
        <v>212</v>
      </c>
      <c r="L1044" s="4">
        <v>28</v>
      </c>
      <c r="M1044" s="4">
        <v>0</v>
      </c>
      <c r="N1044" s="4" t="s">
        <v>3</v>
      </c>
      <c r="O1044" s="4">
        <v>2</v>
      </c>
      <c r="P1044" s="4"/>
      <c r="Q1044" s="4"/>
      <c r="R1044" s="4"/>
      <c r="S1044" s="4"/>
      <c r="T1044" s="4"/>
      <c r="U1044" s="4"/>
      <c r="V1044" s="4"/>
      <c r="W1044" s="4"/>
    </row>
    <row r="1045" spans="1:206" x14ac:dyDescent="0.2">
      <c r="A1045" s="4">
        <v>50</v>
      </c>
      <c r="B1045" s="4">
        <v>1</v>
      </c>
      <c r="C1045" s="4">
        <v>0</v>
      </c>
      <c r="D1045" s="4">
        <v>2</v>
      </c>
      <c r="E1045" s="4">
        <v>213</v>
      </c>
      <c r="F1045" s="4">
        <f>ROUND(F1043+F1044,O1045)</f>
        <v>6248262.0499999998</v>
      </c>
      <c r="G1045" s="4" t="s">
        <v>229</v>
      </c>
      <c r="H1045" s="4" t="s">
        <v>230</v>
      </c>
      <c r="I1045" s="4"/>
      <c r="J1045" s="4"/>
      <c r="K1045" s="4">
        <v>212</v>
      </c>
      <c r="L1045" s="4">
        <v>29</v>
      </c>
      <c r="M1045" s="4">
        <v>0</v>
      </c>
      <c r="N1045" s="4" t="s">
        <v>3</v>
      </c>
      <c r="O1045" s="4">
        <v>2</v>
      </c>
      <c r="P1045" s="4"/>
      <c r="Q1045" s="4"/>
      <c r="R1045" s="4"/>
      <c r="S1045" s="4"/>
      <c r="T1045" s="4"/>
      <c r="U1045" s="4"/>
      <c r="V1045" s="4"/>
      <c r="W1045" s="4"/>
    </row>
    <row r="1047" spans="1:206" x14ac:dyDescent="0.2">
      <c r="A1047" s="2">
        <v>51</v>
      </c>
      <c r="B1047" s="2">
        <f>B12</f>
        <v>1082</v>
      </c>
      <c r="C1047" s="2">
        <f>A12</f>
        <v>1</v>
      </c>
      <c r="D1047" s="2">
        <f>ROW(A12)</f>
        <v>12</v>
      </c>
      <c r="E1047" s="2"/>
      <c r="F1047" s="2" t="str">
        <f>IF(F12&lt;&gt;"",F12,"")</f>
        <v>Новый объединенный объект</v>
      </c>
      <c r="G1047" s="2" t="str">
        <f>IF(G12&lt;&gt;"",G12,"")</f>
        <v>Новый объединенный объект</v>
      </c>
      <c r="H1047" s="2">
        <v>0</v>
      </c>
      <c r="I1047" s="2"/>
      <c r="J1047" s="2"/>
      <c r="K1047" s="2"/>
      <c r="L1047" s="2"/>
      <c r="M1047" s="2"/>
      <c r="N1047" s="2"/>
      <c r="O1047" s="2">
        <f t="shared" ref="O1047:T1047" si="696">ROUND(O845+O1015,2)</f>
        <v>7755987.5</v>
      </c>
      <c r="P1047" s="2">
        <f t="shared" si="696"/>
        <v>6970216.4800000004</v>
      </c>
      <c r="Q1047" s="2">
        <f t="shared" si="696"/>
        <v>178709.04</v>
      </c>
      <c r="R1047" s="2">
        <f t="shared" si="696"/>
        <v>72837.460000000006</v>
      </c>
      <c r="S1047" s="2">
        <f t="shared" si="696"/>
        <v>607061.98</v>
      </c>
      <c r="T1047" s="2">
        <f t="shared" si="696"/>
        <v>0</v>
      </c>
      <c r="U1047" s="2">
        <f>U845+U1015</f>
        <v>3177.0282167599999</v>
      </c>
      <c r="V1047" s="2">
        <f>V845+V1015</f>
        <v>0</v>
      </c>
      <c r="W1047" s="2">
        <f>ROUND(W845+W1015,2)</f>
        <v>0</v>
      </c>
      <c r="X1047" s="2">
        <f>ROUND(X845+X1015,2)</f>
        <v>424943.42</v>
      </c>
      <c r="Y1047" s="2">
        <f>ROUND(Y845+Y1015,2)</f>
        <v>60706.23</v>
      </c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>
        <f t="shared" ref="AO1047:BD1047" si="697">ROUND(AO845+AO1015,2)</f>
        <v>0</v>
      </c>
      <c r="AP1047" s="2">
        <f t="shared" si="697"/>
        <v>0</v>
      </c>
      <c r="AQ1047" s="2">
        <f t="shared" si="697"/>
        <v>0</v>
      </c>
      <c r="AR1047" s="2">
        <f t="shared" si="697"/>
        <v>8269169.9500000002</v>
      </c>
      <c r="AS1047" s="2">
        <f t="shared" si="697"/>
        <v>3455692.2</v>
      </c>
      <c r="AT1047" s="2">
        <f t="shared" si="697"/>
        <v>0</v>
      </c>
      <c r="AU1047" s="2">
        <f t="shared" si="697"/>
        <v>4813477.75</v>
      </c>
      <c r="AV1047" s="2">
        <f t="shared" si="697"/>
        <v>6970216.4800000004</v>
      </c>
      <c r="AW1047" s="2">
        <f t="shared" si="697"/>
        <v>6970216.4800000004</v>
      </c>
      <c r="AX1047" s="2">
        <f t="shared" si="697"/>
        <v>0</v>
      </c>
      <c r="AY1047" s="2">
        <f t="shared" si="697"/>
        <v>6970216.4800000004</v>
      </c>
      <c r="AZ1047" s="2">
        <f t="shared" si="697"/>
        <v>0</v>
      </c>
      <c r="BA1047" s="2">
        <f t="shared" si="697"/>
        <v>0</v>
      </c>
      <c r="BB1047" s="2">
        <f t="shared" si="697"/>
        <v>0</v>
      </c>
      <c r="BC1047" s="2">
        <f t="shared" si="697"/>
        <v>0</v>
      </c>
      <c r="BD1047" s="2">
        <f t="shared" si="697"/>
        <v>0</v>
      </c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3"/>
      <c r="DH1047" s="3"/>
      <c r="DI1047" s="3"/>
      <c r="DJ1047" s="3"/>
      <c r="DK1047" s="3"/>
      <c r="DL1047" s="3"/>
      <c r="DM1047" s="3"/>
      <c r="DN1047" s="3"/>
      <c r="DO1047" s="3"/>
      <c r="DP1047" s="3"/>
      <c r="DQ1047" s="3"/>
      <c r="DR1047" s="3"/>
      <c r="DS1047" s="3"/>
      <c r="DT1047" s="3"/>
      <c r="DU1047" s="3"/>
      <c r="DV1047" s="3"/>
      <c r="DW1047" s="3"/>
      <c r="DX1047" s="3"/>
      <c r="DY1047" s="3"/>
      <c r="DZ1047" s="3"/>
      <c r="EA1047" s="3"/>
      <c r="EB1047" s="3"/>
      <c r="EC1047" s="3"/>
      <c r="ED1047" s="3"/>
      <c r="EE1047" s="3"/>
      <c r="EF1047" s="3"/>
      <c r="EG1047" s="3"/>
      <c r="EH1047" s="3"/>
      <c r="EI1047" s="3"/>
      <c r="EJ1047" s="3"/>
      <c r="EK1047" s="3"/>
      <c r="EL1047" s="3"/>
      <c r="EM1047" s="3"/>
      <c r="EN1047" s="3"/>
      <c r="EO1047" s="3"/>
      <c r="EP1047" s="3"/>
      <c r="EQ1047" s="3"/>
      <c r="ER1047" s="3"/>
      <c r="ES1047" s="3"/>
      <c r="ET1047" s="3"/>
      <c r="EU1047" s="3"/>
      <c r="EV1047" s="3"/>
      <c r="EW1047" s="3"/>
      <c r="EX1047" s="3"/>
      <c r="EY1047" s="3"/>
      <c r="EZ1047" s="3"/>
      <c r="FA1047" s="3"/>
      <c r="FB1047" s="3"/>
      <c r="FC1047" s="3"/>
      <c r="FD1047" s="3"/>
      <c r="FE1047" s="3"/>
      <c r="FF1047" s="3"/>
      <c r="FG1047" s="3"/>
      <c r="FH1047" s="3"/>
      <c r="FI1047" s="3"/>
      <c r="FJ1047" s="3"/>
      <c r="FK1047" s="3"/>
      <c r="FL1047" s="3"/>
      <c r="FM1047" s="3"/>
      <c r="FN1047" s="3"/>
      <c r="FO1047" s="3"/>
      <c r="FP1047" s="3"/>
      <c r="FQ1047" s="3"/>
      <c r="FR1047" s="3"/>
      <c r="FS1047" s="3"/>
      <c r="FT1047" s="3"/>
      <c r="FU1047" s="3"/>
      <c r="FV1047" s="3"/>
      <c r="FW1047" s="3"/>
      <c r="FX1047" s="3"/>
      <c r="FY1047" s="3"/>
      <c r="FZ1047" s="3"/>
      <c r="GA1047" s="3"/>
      <c r="GB1047" s="3"/>
      <c r="GC1047" s="3"/>
      <c r="GD1047" s="3"/>
      <c r="GE1047" s="3"/>
      <c r="GF1047" s="3"/>
      <c r="GG1047" s="3"/>
      <c r="GH1047" s="3"/>
      <c r="GI1047" s="3"/>
      <c r="GJ1047" s="3"/>
      <c r="GK1047" s="3"/>
      <c r="GL1047" s="3"/>
      <c r="GM1047" s="3"/>
      <c r="GN1047" s="3"/>
      <c r="GO1047" s="3"/>
      <c r="GP1047" s="3"/>
      <c r="GQ1047" s="3"/>
      <c r="GR1047" s="3"/>
      <c r="GS1047" s="3"/>
      <c r="GT1047" s="3"/>
      <c r="GU1047" s="3"/>
      <c r="GV1047" s="3"/>
      <c r="GW1047" s="3"/>
      <c r="GX1047" s="3">
        <v>0</v>
      </c>
    </row>
    <row r="1049" spans="1:206" x14ac:dyDescent="0.2">
      <c r="A1049" s="4">
        <v>50</v>
      </c>
      <c r="B1049" s="4">
        <v>0</v>
      </c>
      <c r="C1049" s="4">
        <v>0</v>
      </c>
      <c r="D1049" s="4">
        <v>1</v>
      </c>
      <c r="E1049" s="4">
        <v>201</v>
      </c>
      <c r="F1049" s="4">
        <f>ROUND(Source!O1047,O1049)</f>
        <v>7755987.5</v>
      </c>
      <c r="G1049" s="4" t="s">
        <v>56</v>
      </c>
      <c r="H1049" s="4" t="s">
        <v>57</v>
      </c>
      <c r="I1049" s="4"/>
      <c r="J1049" s="4"/>
      <c r="K1049" s="4">
        <v>201</v>
      </c>
      <c r="L1049" s="4">
        <v>1</v>
      </c>
      <c r="M1049" s="4">
        <v>3</v>
      </c>
      <c r="N1049" s="4" t="s">
        <v>3</v>
      </c>
      <c r="O1049" s="4">
        <v>2</v>
      </c>
      <c r="P1049" s="4"/>
      <c r="Q1049" s="4"/>
      <c r="R1049" s="4"/>
      <c r="S1049" s="4"/>
      <c r="T1049" s="4"/>
      <c r="U1049" s="4"/>
      <c r="V1049" s="4"/>
      <c r="W1049" s="4"/>
    </row>
    <row r="1050" spans="1:206" x14ac:dyDescent="0.2">
      <c r="A1050" s="4">
        <v>50</v>
      </c>
      <c r="B1050" s="4">
        <v>0</v>
      </c>
      <c r="C1050" s="4">
        <v>0</v>
      </c>
      <c r="D1050" s="4">
        <v>1</v>
      </c>
      <c r="E1050" s="4">
        <v>202</v>
      </c>
      <c r="F1050" s="4">
        <f>ROUND(Source!P1047,O1050)</f>
        <v>6970216.4800000004</v>
      </c>
      <c r="G1050" s="4" t="s">
        <v>58</v>
      </c>
      <c r="H1050" s="4" t="s">
        <v>59</v>
      </c>
      <c r="I1050" s="4"/>
      <c r="J1050" s="4"/>
      <c r="K1050" s="4">
        <v>202</v>
      </c>
      <c r="L1050" s="4">
        <v>2</v>
      </c>
      <c r="M1050" s="4">
        <v>3</v>
      </c>
      <c r="N1050" s="4" t="s">
        <v>3</v>
      </c>
      <c r="O1050" s="4">
        <v>2</v>
      </c>
      <c r="P1050" s="4"/>
      <c r="Q1050" s="4"/>
      <c r="R1050" s="4"/>
      <c r="S1050" s="4"/>
      <c r="T1050" s="4"/>
      <c r="U1050" s="4"/>
      <c r="V1050" s="4"/>
      <c r="W1050" s="4"/>
    </row>
    <row r="1051" spans="1:206" x14ac:dyDescent="0.2">
      <c r="A1051" s="4">
        <v>50</v>
      </c>
      <c r="B1051" s="4">
        <v>0</v>
      </c>
      <c r="C1051" s="4">
        <v>0</v>
      </c>
      <c r="D1051" s="4">
        <v>1</v>
      </c>
      <c r="E1051" s="4">
        <v>222</v>
      </c>
      <c r="F1051" s="4">
        <f>ROUND(Source!AO1047,O1051)</f>
        <v>0</v>
      </c>
      <c r="G1051" s="4" t="s">
        <v>60</v>
      </c>
      <c r="H1051" s="4" t="s">
        <v>61</v>
      </c>
      <c r="I1051" s="4"/>
      <c r="J1051" s="4"/>
      <c r="K1051" s="4">
        <v>222</v>
      </c>
      <c r="L1051" s="4">
        <v>3</v>
      </c>
      <c r="M1051" s="4">
        <v>3</v>
      </c>
      <c r="N1051" s="4" t="s">
        <v>3</v>
      </c>
      <c r="O1051" s="4">
        <v>2</v>
      </c>
      <c r="P1051" s="4"/>
      <c r="Q1051" s="4"/>
      <c r="R1051" s="4"/>
      <c r="S1051" s="4"/>
      <c r="T1051" s="4"/>
      <c r="U1051" s="4"/>
      <c r="V1051" s="4"/>
      <c r="W1051" s="4"/>
    </row>
    <row r="1052" spans="1:206" x14ac:dyDescent="0.2">
      <c r="A1052" s="4">
        <v>50</v>
      </c>
      <c r="B1052" s="4">
        <v>0</v>
      </c>
      <c r="C1052" s="4">
        <v>0</v>
      </c>
      <c r="D1052" s="4">
        <v>1</v>
      </c>
      <c r="E1052" s="4">
        <v>225</v>
      </c>
      <c r="F1052" s="4">
        <f>ROUND(Source!AV1047,O1052)</f>
        <v>6970216.4800000004</v>
      </c>
      <c r="G1052" s="4" t="s">
        <v>62</v>
      </c>
      <c r="H1052" s="4" t="s">
        <v>63</v>
      </c>
      <c r="I1052" s="4"/>
      <c r="J1052" s="4"/>
      <c r="K1052" s="4">
        <v>225</v>
      </c>
      <c r="L1052" s="4">
        <v>4</v>
      </c>
      <c r="M1052" s="4">
        <v>3</v>
      </c>
      <c r="N1052" s="4" t="s">
        <v>3</v>
      </c>
      <c r="O1052" s="4">
        <v>2</v>
      </c>
      <c r="P1052" s="4"/>
      <c r="Q1052" s="4"/>
      <c r="R1052" s="4"/>
      <c r="S1052" s="4"/>
      <c r="T1052" s="4"/>
      <c r="U1052" s="4"/>
      <c r="V1052" s="4"/>
      <c r="W1052" s="4"/>
    </row>
    <row r="1053" spans="1:206" x14ac:dyDescent="0.2">
      <c r="A1053" s="4">
        <v>50</v>
      </c>
      <c r="B1053" s="4">
        <v>0</v>
      </c>
      <c r="C1053" s="4">
        <v>0</v>
      </c>
      <c r="D1053" s="4">
        <v>1</v>
      </c>
      <c r="E1053" s="4">
        <v>226</v>
      </c>
      <c r="F1053" s="4">
        <f>ROUND(Source!AW1047,O1053)</f>
        <v>6970216.4800000004</v>
      </c>
      <c r="G1053" s="4" t="s">
        <v>64</v>
      </c>
      <c r="H1053" s="4" t="s">
        <v>65</v>
      </c>
      <c r="I1053" s="4"/>
      <c r="J1053" s="4"/>
      <c r="K1053" s="4">
        <v>226</v>
      </c>
      <c r="L1053" s="4">
        <v>5</v>
      </c>
      <c r="M1053" s="4">
        <v>3</v>
      </c>
      <c r="N1053" s="4" t="s">
        <v>3</v>
      </c>
      <c r="O1053" s="4">
        <v>2</v>
      </c>
      <c r="P1053" s="4"/>
      <c r="Q1053" s="4"/>
      <c r="R1053" s="4"/>
      <c r="S1053" s="4"/>
      <c r="T1053" s="4"/>
      <c r="U1053" s="4"/>
      <c r="V1053" s="4"/>
      <c r="W1053" s="4"/>
    </row>
    <row r="1054" spans="1:206" x14ac:dyDescent="0.2">
      <c r="A1054" s="4">
        <v>50</v>
      </c>
      <c r="B1054" s="4">
        <v>0</v>
      </c>
      <c r="C1054" s="4">
        <v>0</v>
      </c>
      <c r="D1054" s="4">
        <v>1</v>
      </c>
      <c r="E1054" s="4">
        <v>227</v>
      </c>
      <c r="F1054" s="4">
        <f>ROUND(Source!AX1047,O1054)</f>
        <v>0</v>
      </c>
      <c r="G1054" s="4" t="s">
        <v>66</v>
      </c>
      <c r="H1054" s="4" t="s">
        <v>67</v>
      </c>
      <c r="I1054" s="4"/>
      <c r="J1054" s="4"/>
      <c r="K1054" s="4">
        <v>227</v>
      </c>
      <c r="L1054" s="4">
        <v>6</v>
      </c>
      <c r="M1054" s="4">
        <v>3</v>
      </c>
      <c r="N1054" s="4" t="s">
        <v>3</v>
      </c>
      <c r="O1054" s="4">
        <v>2</v>
      </c>
      <c r="P1054" s="4"/>
      <c r="Q1054" s="4"/>
      <c r="R1054" s="4"/>
      <c r="S1054" s="4"/>
      <c r="T1054" s="4"/>
      <c r="U1054" s="4"/>
      <c r="V1054" s="4"/>
      <c r="W1054" s="4"/>
    </row>
    <row r="1055" spans="1:206" x14ac:dyDescent="0.2">
      <c r="A1055" s="4">
        <v>50</v>
      </c>
      <c r="B1055" s="4">
        <v>0</v>
      </c>
      <c r="C1055" s="4">
        <v>0</v>
      </c>
      <c r="D1055" s="4">
        <v>1</v>
      </c>
      <c r="E1055" s="4">
        <v>228</v>
      </c>
      <c r="F1055" s="4">
        <f>ROUND(Source!AY1047,O1055)</f>
        <v>6970216.4800000004</v>
      </c>
      <c r="G1055" s="4" t="s">
        <v>68</v>
      </c>
      <c r="H1055" s="4" t="s">
        <v>69</v>
      </c>
      <c r="I1055" s="4"/>
      <c r="J1055" s="4"/>
      <c r="K1055" s="4">
        <v>228</v>
      </c>
      <c r="L1055" s="4">
        <v>7</v>
      </c>
      <c r="M1055" s="4">
        <v>3</v>
      </c>
      <c r="N1055" s="4" t="s">
        <v>3</v>
      </c>
      <c r="O1055" s="4">
        <v>2</v>
      </c>
      <c r="P1055" s="4"/>
      <c r="Q1055" s="4"/>
      <c r="R1055" s="4"/>
      <c r="S1055" s="4"/>
      <c r="T1055" s="4"/>
      <c r="U1055" s="4"/>
      <c r="V1055" s="4"/>
      <c r="W1055" s="4"/>
    </row>
    <row r="1056" spans="1:206" x14ac:dyDescent="0.2">
      <c r="A1056" s="4">
        <v>50</v>
      </c>
      <c r="B1056" s="4">
        <v>0</v>
      </c>
      <c r="C1056" s="4">
        <v>0</v>
      </c>
      <c r="D1056" s="4">
        <v>1</v>
      </c>
      <c r="E1056" s="4">
        <v>216</v>
      </c>
      <c r="F1056" s="4">
        <f>ROUND(Source!AP1047,O1056)</f>
        <v>0</v>
      </c>
      <c r="G1056" s="4" t="s">
        <v>70</v>
      </c>
      <c r="H1056" s="4" t="s">
        <v>71</v>
      </c>
      <c r="I1056" s="4"/>
      <c r="J1056" s="4"/>
      <c r="K1056" s="4">
        <v>216</v>
      </c>
      <c r="L1056" s="4">
        <v>8</v>
      </c>
      <c r="M1056" s="4">
        <v>3</v>
      </c>
      <c r="N1056" s="4" t="s">
        <v>3</v>
      </c>
      <c r="O1056" s="4">
        <v>2</v>
      </c>
      <c r="P1056" s="4"/>
      <c r="Q1056" s="4"/>
      <c r="R1056" s="4"/>
      <c r="S1056" s="4"/>
      <c r="T1056" s="4"/>
      <c r="U1056" s="4"/>
      <c r="V1056" s="4"/>
      <c r="W1056" s="4"/>
    </row>
    <row r="1057" spans="1:23" x14ac:dyDescent="0.2">
      <c r="A1057" s="4">
        <v>50</v>
      </c>
      <c r="B1057" s="4">
        <v>0</v>
      </c>
      <c r="C1057" s="4">
        <v>0</v>
      </c>
      <c r="D1057" s="4">
        <v>1</v>
      </c>
      <c r="E1057" s="4">
        <v>223</v>
      </c>
      <c r="F1057" s="4">
        <f>ROUND(Source!AQ1047,O1057)</f>
        <v>0</v>
      </c>
      <c r="G1057" s="4" t="s">
        <v>72</v>
      </c>
      <c r="H1057" s="4" t="s">
        <v>73</v>
      </c>
      <c r="I1057" s="4"/>
      <c r="J1057" s="4"/>
      <c r="K1057" s="4">
        <v>223</v>
      </c>
      <c r="L1057" s="4">
        <v>9</v>
      </c>
      <c r="M1057" s="4">
        <v>3</v>
      </c>
      <c r="N1057" s="4" t="s">
        <v>3</v>
      </c>
      <c r="O1057" s="4">
        <v>2</v>
      </c>
      <c r="P1057" s="4"/>
      <c r="Q1057" s="4"/>
      <c r="R1057" s="4"/>
      <c r="S1057" s="4"/>
      <c r="T1057" s="4"/>
      <c r="U1057" s="4"/>
      <c r="V1057" s="4"/>
      <c r="W1057" s="4"/>
    </row>
    <row r="1058" spans="1:23" x14ac:dyDescent="0.2">
      <c r="A1058" s="4">
        <v>50</v>
      </c>
      <c r="B1058" s="4">
        <v>0</v>
      </c>
      <c r="C1058" s="4">
        <v>0</v>
      </c>
      <c r="D1058" s="4">
        <v>1</v>
      </c>
      <c r="E1058" s="4">
        <v>229</v>
      </c>
      <c r="F1058" s="4">
        <f>ROUND(Source!AZ1047,O1058)</f>
        <v>0</v>
      </c>
      <c r="G1058" s="4" t="s">
        <v>74</v>
      </c>
      <c r="H1058" s="4" t="s">
        <v>75</v>
      </c>
      <c r="I1058" s="4"/>
      <c r="J1058" s="4"/>
      <c r="K1058" s="4">
        <v>229</v>
      </c>
      <c r="L1058" s="4">
        <v>10</v>
      </c>
      <c r="M1058" s="4">
        <v>3</v>
      </c>
      <c r="N1058" s="4" t="s">
        <v>3</v>
      </c>
      <c r="O1058" s="4">
        <v>2</v>
      </c>
      <c r="P1058" s="4"/>
      <c r="Q1058" s="4"/>
      <c r="R1058" s="4"/>
      <c r="S1058" s="4"/>
      <c r="T1058" s="4"/>
      <c r="U1058" s="4"/>
      <c r="V1058" s="4"/>
      <c r="W1058" s="4"/>
    </row>
    <row r="1059" spans="1:23" x14ac:dyDescent="0.2">
      <c r="A1059" s="4">
        <v>50</v>
      </c>
      <c r="B1059" s="4">
        <v>0</v>
      </c>
      <c r="C1059" s="4">
        <v>0</v>
      </c>
      <c r="D1059" s="4">
        <v>1</v>
      </c>
      <c r="E1059" s="4">
        <v>203</v>
      </c>
      <c r="F1059" s="4">
        <f>ROUND(Source!Q1047,O1059)</f>
        <v>178709.04</v>
      </c>
      <c r="G1059" s="4" t="s">
        <v>76</v>
      </c>
      <c r="H1059" s="4" t="s">
        <v>77</v>
      </c>
      <c r="I1059" s="4"/>
      <c r="J1059" s="4"/>
      <c r="K1059" s="4">
        <v>203</v>
      </c>
      <c r="L1059" s="4">
        <v>11</v>
      </c>
      <c r="M1059" s="4">
        <v>3</v>
      </c>
      <c r="N1059" s="4" t="s">
        <v>3</v>
      </c>
      <c r="O1059" s="4">
        <v>2</v>
      </c>
      <c r="P1059" s="4"/>
      <c r="Q1059" s="4"/>
      <c r="R1059" s="4"/>
      <c r="S1059" s="4"/>
      <c r="T1059" s="4"/>
      <c r="U1059" s="4"/>
      <c r="V1059" s="4"/>
      <c r="W1059" s="4"/>
    </row>
    <row r="1060" spans="1:23" x14ac:dyDescent="0.2">
      <c r="A1060" s="4">
        <v>50</v>
      </c>
      <c r="B1060" s="4">
        <v>0</v>
      </c>
      <c r="C1060" s="4">
        <v>0</v>
      </c>
      <c r="D1060" s="4">
        <v>1</v>
      </c>
      <c r="E1060" s="4">
        <v>231</v>
      </c>
      <c r="F1060" s="4">
        <f>ROUND(Source!BB1047,O1060)</f>
        <v>0</v>
      </c>
      <c r="G1060" s="4" t="s">
        <v>78</v>
      </c>
      <c r="H1060" s="4" t="s">
        <v>79</v>
      </c>
      <c r="I1060" s="4"/>
      <c r="J1060" s="4"/>
      <c r="K1060" s="4">
        <v>231</v>
      </c>
      <c r="L1060" s="4">
        <v>12</v>
      </c>
      <c r="M1060" s="4">
        <v>3</v>
      </c>
      <c r="N1060" s="4" t="s">
        <v>3</v>
      </c>
      <c r="O1060" s="4">
        <v>2</v>
      </c>
      <c r="P1060" s="4"/>
      <c r="Q1060" s="4"/>
      <c r="R1060" s="4"/>
      <c r="S1060" s="4"/>
      <c r="T1060" s="4"/>
      <c r="U1060" s="4"/>
      <c r="V1060" s="4"/>
      <c r="W1060" s="4"/>
    </row>
    <row r="1061" spans="1:23" x14ac:dyDescent="0.2">
      <c r="A1061" s="4">
        <v>50</v>
      </c>
      <c r="B1061" s="4">
        <v>0</v>
      </c>
      <c r="C1061" s="4">
        <v>0</v>
      </c>
      <c r="D1061" s="4">
        <v>1</v>
      </c>
      <c r="E1061" s="4">
        <v>204</v>
      </c>
      <c r="F1061" s="4">
        <f>ROUND(Source!R1047,O1061)</f>
        <v>72837.460000000006</v>
      </c>
      <c r="G1061" s="4" t="s">
        <v>80</v>
      </c>
      <c r="H1061" s="4" t="s">
        <v>81</v>
      </c>
      <c r="I1061" s="4"/>
      <c r="J1061" s="4"/>
      <c r="K1061" s="4">
        <v>204</v>
      </c>
      <c r="L1061" s="4">
        <v>13</v>
      </c>
      <c r="M1061" s="4">
        <v>3</v>
      </c>
      <c r="N1061" s="4" t="s">
        <v>3</v>
      </c>
      <c r="O1061" s="4">
        <v>2</v>
      </c>
      <c r="P1061" s="4"/>
      <c r="Q1061" s="4"/>
      <c r="R1061" s="4"/>
      <c r="S1061" s="4"/>
      <c r="T1061" s="4"/>
      <c r="U1061" s="4"/>
      <c r="V1061" s="4"/>
      <c r="W1061" s="4"/>
    </row>
    <row r="1062" spans="1:23" x14ac:dyDescent="0.2">
      <c r="A1062" s="4">
        <v>50</v>
      </c>
      <c r="B1062" s="4">
        <v>0</v>
      </c>
      <c r="C1062" s="4">
        <v>0</v>
      </c>
      <c r="D1062" s="4">
        <v>1</v>
      </c>
      <c r="E1062" s="4">
        <v>205</v>
      </c>
      <c r="F1062" s="4">
        <f>ROUND(Source!S1047,O1062)</f>
        <v>607061.98</v>
      </c>
      <c r="G1062" s="4" t="s">
        <v>82</v>
      </c>
      <c r="H1062" s="4" t="s">
        <v>83</v>
      </c>
      <c r="I1062" s="4"/>
      <c r="J1062" s="4"/>
      <c r="K1062" s="4">
        <v>205</v>
      </c>
      <c r="L1062" s="4">
        <v>14</v>
      </c>
      <c r="M1062" s="4">
        <v>3</v>
      </c>
      <c r="N1062" s="4" t="s">
        <v>3</v>
      </c>
      <c r="O1062" s="4">
        <v>2</v>
      </c>
      <c r="P1062" s="4"/>
      <c r="Q1062" s="4"/>
      <c r="R1062" s="4"/>
      <c r="S1062" s="4"/>
      <c r="T1062" s="4"/>
      <c r="U1062" s="4"/>
      <c r="V1062" s="4"/>
      <c r="W1062" s="4"/>
    </row>
    <row r="1063" spans="1:23" x14ac:dyDescent="0.2">
      <c r="A1063" s="4">
        <v>50</v>
      </c>
      <c r="B1063" s="4">
        <v>0</v>
      </c>
      <c r="C1063" s="4">
        <v>0</v>
      </c>
      <c r="D1063" s="4">
        <v>1</v>
      </c>
      <c r="E1063" s="4">
        <v>232</v>
      </c>
      <c r="F1063" s="4">
        <f>ROUND(Source!BC1047,O1063)</f>
        <v>0</v>
      </c>
      <c r="G1063" s="4" t="s">
        <v>84</v>
      </c>
      <c r="H1063" s="4" t="s">
        <v>85</v>
      </c>
      <c r="I1063" s="4"/>
      <c r="J1063" s="4"/>
      <c r="K1063" s="4">
        <v>232</v>
      </c>
      <c r="L1063" s="4">
        <v>15</v>
      </c>
      <c r="M1063" s="4">
        <v>3</v>
      </c>
      <c r="N1063" s="4" t="s">
        <v>3</v>
      </c>
      <c r="O1063" s="4">
        <v>2</v>
      </c>
      <c r="P1063" s="4"/>
      <c r="Q1063" s="4"/>
      <c r="R1063" s="4"/>
      <c r="S1063" s="4"/>
      <c r="T1063" s="4"/>
      <c r="U1063" s="4"/>
      <c r="V1063" s="4"/>
      <c r="W1063" s="4"/>
    </row>
    <row r="1064" spans="1:23" x14ac:dyDescent="0.2">
      <c r="A1064" s="4">
        <v>50</v>
      </c>
      <c r="B1064" s="4">
        <v>0</v>
      </c>
      <c r="C1064" s="4">
        <v>0</v>
      </c>
      <c r="D1064" s="4">
        <v>1</v>
      </c>
      <c r="E1064" s="4">
        <v>214</v>
      </c>
      <c r="F1064" s="4">
        <f>ROUND(Source!AS1047,O1064)</f>
        <v>3455692.2</v>
      </c>
      <c r="G1064" s="4" t="s">
        <v>86</v>
      </c>
      <c r="H1064" s="4" t="s">
        <v>87</v>
      </c>
      <c r="I1064" s="4"/>
      <c r="J1064" s="4"/>
      <c r="K1064" s="4">
        <v>214</v>
      </c>
      <c r="L1064" s="4">
        <v>16</v>
      </c>
      <c r="M1064" s="4">
        <v>3</v>
      </c>
      <c r="N1064" s="4" t="s">
        <v>3</v>
      </c>
      <c r="O1064" s="4">
        <v>2</v>
      </c>
      <c r="P1064" s="4"/>
      <c r="Q1064" s="4"/>
      <c r="R1064" s="4"/>
      <c r="S1064" s="4"/>
      <c r="T1064" s="4"/>
      <c r="U1064" s="4"/>
      <c r="V1064" s="4"/>
      <c r="W1064" s="4"/>
    </row>
    <row r="1065" spans="1:23" x14ac:dyDescent="0.2">
      <c r="A1065" s="4">
        <v>50</v>
      </c>
      <c r="B1065" s="4">
        <v>0</v>
      </c>
      <c r="C1065" s="4">
        <v>0</v>
      </c>
      <c r="D1065" s="4">
        <v>1</v>
      </c>
      <c r="E1065" s="4">
        <v>215</v>
      </c>
      <c r="F1065" s="4">
        <f>ROUND(Source!AT1047,O1065)</f>
        <v>0</v>
      </c>
      <c r="G1065" s="4" t="s">
        <v>88</v>
      </c>
      <c r="H1065" s="4" t="s">
        <v>89</v>
      </c>
      <c r="I1065" s="4"/>
      <c r="J1065" s="4"/>
      <c r="K1065" s="4">
        <v>215</v>
      </c>
      <c r="L1065" s="4">
        <v>17</v>
      </c>
      <c r="M1065" s="4">
        <v>3</v>
      </c>
      <c r="N1065" s="4" t="s">
        <v>3</v>
      </c>
      <c r="O1065" s="4">
        <v>2</v>
      </c>
      <c r="P1065" s="4"/>
      <c r="Q1065" s="4"/>
      <c r="R1065" s="4"/>
      <c r="S1065" s="4"/>
      <c r="T1065" s="4"/>
      <c r="U1065" s="4"/>
      <c r="V1065" s="4"/>
      <c r="W1065" s="4"/>
    </row>
    <row r="1066" spans="1:23" x14ac:dyDescent="0.2">
      <c r="A1066" s="4">
        <v>50</v>
      </c>
      <c r="B1066" s="4">
        <v>0</v>
      </c>
      <c r="C1066" s="4">
        <v>0</v>
      </c>
      <c r="D1066" s="4">
        <v>1</v>
      </c>
      <c r="E1066" s="4">
        <v>217</v>
      </c>
      <c r="F1066" s="4">
        <f>ROUND(Source!AU1047,O1066)</f>
        <v>4813477.75</v>
      </c>
      <c r="G1066" s="4" t="s">
        <v>90</v>
      </c>
      <c r="H1066" s="4" t="s">
        <v>91</v>
      </c>
      <c r="I1066" s="4"/>
      <c r="J1066" s="4"/>
      <c r="K1066" s="4">
        <v>217</v>
      </c>
      <c r="L1066" s="4">
        <v>18</v>
      </c>
      <c r="M1066" s="4">
        <v>3</v>
      </c>
      <c r="N1066" s="4" t="s">
        <v>3</v>
      </c>
      <c r="O1066" s="4">
        <v>2</v>
      </c>
      <c r="P1066" s="4"/>
      <c r="Q1066" s="4"/>
      <c r="R1066" s="4"/>
      <c r="S1066" s="4"/>
      <c r="T1066" s="4"/>
      <c r="U1066" s="4"/>
      <c r="V1066" s="4"/>
      <c r="W1066" s="4"/>
    </row>
    <row r="1067" spans="1:23" x14ac:dyDescent="0.2">
      <c r="A1067" s="4">
        <v>50</v>
      </c>
      <c r="B1067" s="4">
        <v>0</v>
      </c>
      <c r="C1067" s="4">
        <v>0</v>
      </c>
      <c r="D1067" s="4">
        <v>1</v>
      </c>
      <c r="E1067" s="4">
        <v>230</v>
      </c>
      <c r="F1067" s="4">
        <f>ROUND(Source!BA1047,O1067)</f>
        <v>0</v>
      </c>
      <c r="G1067" s="4" t="s">
        <v>92</v>
      </c>
      <c r="H1067" s="4" t="s">
        <v>93</v>
      </c>
      <c r="I1067" s="4"/>
      <c r="J1067" s="4"/>
      <c r="K1067" s="4">
        <v>230</v>
      </c>
      <c r="L1067" s="4">
        <v>19</v>
      </c>
      <c r="M1067" s="4">
        <v>3</v>
      </c>
      <c r="N1067" s="4" t="s">
        <v>3</v>
      </c>
      <c r="O1067" s="4">
        <v>2</v>
      </c>
      <c r="P1067" s="4"/>
      <c r="Q1067" s="4"/>
      <c r="R1067" s="4"/>
      <c r="S1067" s="4"/>
      <c r="T1067" s="4"/>
      <c r="U1067" s="4"/>
      <c r="V1067" s="4"/>
      <c r="W1067" s="4"/>
    </row>
    <row r="1068" spans="1:23" x14ac:dyDescent="0.2">
      <c r="A1068" s="4">
        <v>50</v>
      </c>
      <c r="B1068" s="4">
        <v>0</v>
      </c>
      <c r="C1068" s="4">
        <v>0</v>
      </c>
      <c r="D1068" s="4">
        <v>1</v>
      </c>
      <c r="E1068" s="4">
        <v>206</v>
      </c>
      <c r="F1068" s="4">
        <f>ROUND(Source!T1047,O1068)</f>
        <v>0</v>
      </c>
      <c r="G1068" s="4" t="s">
        <v>94</v>
      </c>
      <c r="H1068" s="4" t="s">
        <v>95</v>
      </c>
      <c r="I1068" s="4"/>
      <c r="J1068" s="4"/>
      <c r="K1068" s="4">
        <v>206</v>
      </c>
      <c r="L1068" s="4">
        <v>20</v>
      </c>
      <c r="M1068" s="4">
        <v>3</v>
      </c>
      <c r="N1068" s="4" t="s">
        <v>3</v>
      </c>
      <c r="O1068" s="4">
        <v>2</v>
      </c>
      <c r="P1068" s="4"/>
      <c r="Q1068" s="4"/>
      <c r="R1068" s="4"/>
      <c r="S1068" s="4"/>
      <c r="T1068" s="4"/>
      <c r="U1068" s="4"/>
      <c r="V1068" s="4"/>
      <c r="W1068" s="4"/>
    </row>
    <row r="1069" spans="1:23" x14ac:dyDescent="0.2">
      <c r="A1069" s="4">
        <v>50</v>
      </c>
      <c r="B1069" s="4">
        <v>0</v>
      </c>
      <c r="C1069" s="4">
        <v>0</v>
      </c>
      <c r="D1069" s="4">
        <v>1</v>
      </c>
      <c r="E1069" s="4">
        <v>207</v>
      </c>
      <c r="F1069" s="4">
        <f>Source!U1047</f>
        <v>3177.0282167599999</v>
      </c>
      <c r="G1069" s="4" t="s">
        <v>96</v>
      </c>
      <c r="H1069" s="4" t="s">
        <v>97</v>
      </c>
      <c r="I1069" s="4"/>
      <c r="J1069" s="4"/>
      <c r="K1069" s="4">
        <v>207</v>
      </c>
      <c r="L1069" s="4">
        <v>21</v>
      </c>
      <c r="M1069" s="4">
        <v>3</v>
      </c>
      <c r="N1069" s="4" t="s">
        <v>3</v>
      </c>
      <c r="O1069" s="4">
        <v>-1</v>
      </c>
      <c r="P1069" s="4"/>
      <c r="Q1069" s="4"/>
      <c r="R1069" s="4"/>
      <c r="S1069" s="4"/>
      <c r="T1069" s="4"/>
      <c r="U1069" s="4"/>
      <c r="V1069" s="4"/>
      <c r="W1069" s="4"/>
    </row>
    <row r="1070" spans="1:23" x14ac:dyDescent="0.2">
      <c r="A1070" s="4">
        <v>50</v>
      </c>
      <c r="B1070" s="4">
        <v>0</v>
      </c>
      <c r="C1070" s="4">
        <v>0</v>
      </c>
      <c r="D1070" s="4">
        <v>1</v>
      </c>
      <c r="E1070" s="4">
        <v>208</v>
      </c>
      <c r="F1070" s="4">
        <f>Source!V1047</f>
        <v>0</v>
      </c>
      <c r="G1070" s="4" t="s">
        <v>98</v>
      </c>
      <c r="H1070" s="4" t="s">
        <v>99</v>
      </c>
      <c r="I1070" s="4"/>
      <c r="J1070" s="4"/>
      <c r="K1070" s="4">
        <v>208</v>
      </c>
      <c r="L1070" s="4">
        <v>22</v>
      </c>
      <c r="M1070" s="4">
        <v>3</v>
      </c>
      <c r="N1070" s="4" t="s">
        <v>3</v>
      </c>
      <c r="O1070" s="4">
        <v>-1</v>
      </c>
      <c r="P1070" s="4"/>
      <c r="Q1070" s="4"/>
      <c r="R1070" s="4"/>
      <c r="S1070" s="4"/>
      <c r="T1070" s="4"/>
      <c r="U1070" s="4"/>
      <c r="V1070" s="4"/>
      <c r="W1070" s="4"/>
    </row>
    <row r="1071" spans="1:23" x14ac:dyDescent="0.2">
      <c r="A1071" s="4">
        <v>50</v>
      </c>
      <c r="B1071" s="4">
        <v>0</v>
      </c>
      <c r="C1071" s="4">
        <v>0</v>
      </c>
      <c r="D1071" s="4">
        <v>1</v>
      </c>
      <c r="E1071" s="4">
        <v>209</v>
      </c>
      <c r="F1071" s="4">
        <f>ROUND(Source!W1047,O1071)</f>
        <v>0</v>
      </c>
      <c r="G1071" s="4" t="s">
        <v>100</v>
      </c>
      <c r="H1071" s="4" t="s">
        <v>101</v>
      </c>
      <c r="I1071" s="4"/>
      <c r="J1071" s="4"/>
      <c r="K1071" s="4">
        <v>209</v>
      </c>
      <c r="L1071" s="4">
        <v>23</v>
      </c>
      <c r="M1071" s="4">
        <v>3</v>
      </c>
      <c r="N1071" s="4" t="s">
        <v>3</v>
      </c>
      <c r="O1071" s="4">
        <v>2</v>
      </c>
      <c r="P1071" s="4"/>
      <c r="Q1071" s="4"/>
      <c r="R1071" s="4"/>
      <c r="S1071" s="4"/>
      <c r="T1071" s="4"/>
      <c r="U1071" s="4"/>
      <c r="V1071" s="4"/>
      <c r="W1071" s="4"/>
    </row>
    <row r="1072" spans="1:23" x14ac:dyDescent="0.2">
      <c r="A1072" s="4">
        <v>50</v>
      </c>
      <c r="B1072" s="4">
        <v>0</v>
      </c>
      <c r="C1072" s="4">
        <v>0</v>
      </c>
      <c r="D1072" s="4">
        <v>1</v>
      </c>
      <c r="E1072" s="4">
        <v>233</v>
      </c>
      <c r="F1072" s="4">
        <f>ROUND(Source!BD1047,O1072)</f>
        <v>0</v>
      </c>
      <c r="G1072" s="4" t="s">
        <v>102</v>
      </c>
      <c r="H1072" s="4" t="s">
        <v>103</v>
      </c>
      <c r="I1072" s="4"/>
      <c r="J1072" s="4"/>
      <c r="K1072" s="4">
        <v>233</v>
      </c>
      <c r="L1072" s="4">
        <v>24</v>
      </c>
      <c r="M1072" s="4">
        <v>3</v>
      </c>
      <c r="N1072" s="4" t="s">
        <v>3</v>
      </c>
      <c r="O1072" s="4">
        <v>2</v>
      </c>
      <c r="P1072" s="4"/>
      <c r="Q1072" s="4"/>
      <c r="R1072" s="4"/>
      <c r="S1072" s="4"/>
      <c r="T1072" s="4"/>
      <c r="U1072" s="4"/>
      <c r="V1072" s="4"/>
      <c r="W1072" s="4"/>
    </row>
    <row r="1073" spans="1:23" x14ac:dyDescent="0.2">
      <c r="A1073" s="4">
        <v>50</v>
      </c>
      <c r="B1073" s="4">
        <v>0</v>
      </c>
      <c r="C1073" s="4">
        <v>0</v>
      </c>
      <c r="D1073" s="4">
        <v>1</v>
      </c>
      <c r="E1073" s="4">
        <v>210</v>
      </c>
      <c r="F1073" s="4">
        <f>ROUND(Source!X1047,O1073)</f>
        <v>424943.42</v>
      </c>
      <c r="G1073" s="4" t="s">
        <v>104</v>
      </c>
      <c r="H1073" s="4" t="s">
        <v>105</v>
      </c>
      <c r="I1073" s="4"/>
      <c r="J1073" s="4"/>
      <c r="K1073" s="4">
        <v>210</v>
      </c>
      <c r="L1073" s="4">
        <v>25</v>
      </c>
      <c r="M1073" s="4">
        <v>3</v>
      </c>
      <c r="N1073" s="4" t="s">
        <v>3</v>
      </c>
      <c r="O1073" s="4">
        <v>2</v>
      </c>
      <c r="P1073" s="4"/>
      <c r="Q1073" s="4"/>
      <c r="R1073" s="4"/>
      <c r="S1073" s="4"/>
      <c r="T1073" s="4"/>
      <c r="U1073" s="4"/>
      <c r="V1073" s="4"/>
      <c r="W1073" s="4"/>
    </row>
    <row r="1074" spans="1:23" x14ac:dyDescent="0.2">
      <c r="A1074" s="4">
        <v>50</v>
      </c>
      <c r="B1074" s="4">
        <v>0</v>
      </c>
      <c r="C1074" s="4">
        <v>0</v>
      </c>
      <c r="D1074" s="4">
        <v>1</v>
      </c>
      <c r="E1074" s="4">
        <v>211</v>
      </c>
      <c r="F1074" s="4">
        <f>ROUND(Source!Y1047,O1074)</f>
        <v>60706.23</v>
      </c>
      <c r="G1074" s="4" t="s">
        <v>106</v>
      </c>
      <c r="H1074" s="4" t="s">
        <v>107</v>
      </c>
      <c r="I1074" s="4"/>
      <c r="J1074" s="4"/>
      <c r="K1074" s="4">
        <v>211</v>
      </c>
      <c r="L1074" s="4">
        <v>26</v>
      </c>
      <c r="M1074" s="4">
        <v>3</v>
      </c>
      <c r="N1074" s="4" t="s">
        <v>3</v>
      </c>
      <c r="O1074" s="4">
        <v>2</v>
      </c>
      <c r="P1074" s="4"/>
      <c r="Q1074" s="4"/>
      <c r="R1074" s="4"/>
      <c r="S1074" s="4"/>
      <c r="T1074" s="4"/>
      <c r="U1074" s="4"/>
      <c r="V1074" s="4"/>
      <c r="W1074" s="4"/>
    </row>
    <row r="1075" spans="1:23" x14ac:dyDescent="0.2">
      <c r="A1075" s="4">
        <v>50</v>
      </c>
      <c r="B1075" s="4">
        <v>0</v>
      </c>
      <c r="C1075" s="4">
        <v>0</v>
      </c>
      <c r="D1075" s="4">
        <v>1</v>
      </c>
      <c r="E1075" s="4">
        <v>224</v>
      </c>
      <c r="F1075" s="4">
        <f>ROUND(Source!AR1047,O1075)</f>
        <v>8269169.9500000002</v>
      </c>
      <c r="G1075" s="4" t="s">
        <v>108</v>
      </c>
      <c r="H1075" s="4" t="s">
        <v>109</v>
      </c>
      <c r="I1075" s="4"/>
      <c r="J1075" s="4"/>
      <c r="K1075" s="4">
        <v>224</v>
      </c>
      <c r="L1075" s="4">
        <v>27</v>
      </c>
      <c r="M1075" s="4">
        <v>3</v>
      </c>
      <c r="N1075" s="4" t="s">
        <v>3</v>
      </c>
      <c r="O1075" s="4">
        <v>2</v>
      </c>
      <c r="P1075" s="4"/>
      <c r="Q1075" s="4"/>
      <c r="R1075" s="4"/>
      <c r="S1075" s="4"/>
      <c r="T1075" s="4"/>
      <c r="U1075" s="4"/>
      <c r="V1075" s="4"/>
      <c r="W1075" s="4"/>
    </row>
    <row r="1076" spans="1:23" x14ac:dyDescent="0.2">
      <c r="A1076" s="4">
        <v>50</v>
      </c>
      <c r="B1076" s="4">
        <v>1</v>
      </c>
      <c r="C1076" s="4">
        <v>0</v>
      </c>
      <c r="D1076" s="4">
        <v>2</v>
      </c>
      <c r="E1076" s="4">
        <v>0</v>
      </c>
      <c r="F1076" s="4">
        <f>ROUND(F1075*0.2,O1076)</f>
        <v>1653833.99</v>
      </c>
      <c r="G1076" s="4" t="s">
        <v>227</v>
      </c>
      <c r="H1076" s="4" t="s">
        <v>228</v>
      </c>
      <c r="I1076" s="4"/>
      <c r="J1076" s="4"/>
      <c r="K1076" s="4">
        <v>212</v>
      </c>
      <c r="L1076" s="4">
        <v>28</v>
      </c>
      <c r="M1076" s="4">
        <v>0</v>
      </c>
      <c r="N1076" s="4" t="s">
        <v>3</v>
      </c>
      <c r="O1076" s="4">
        <v>2</v>
      </c>
      <c r="P1076" s="4"/>
      <c r="Q1076" s="4"/>
      <c r="R1076" s="4"/>
      <c r="S1076" s="4"/>
      <c r="T1076" s="4"/>
      <c r="U1076" s="4"/>
      <c r="V1076" s="4"/>
      <c r="W1076" s="4"/>
    </row>
    <row r="1077" spans="1:23" x14ac:dyDescent="0.2">
      <c r="A1077" s="4">
        <v>50</v>
      </c>
      <c r="B1077" s="4">
        <v>1</v>
      </c>
      <c r="C1077" s="4">
        <v>0</v>
      </c>
      <c r="D1077" s="4">
        <v>2</v>
      </c>
      <c r="E1077" s="4">
        <v>213</v>
      </c>
      <c r="F1077" s="4">
        <f>ROUND(F1075+F1076,O1077)</f>
        <v>9923003.9399999995</v>
      </c>
      <c r="G1077" s="4" t="s">
        <v>229</v>
      </c>
      <c r="H1077" s="4" t="s">
        <v>230</v>
      </c>
      <c r="I1077" s="4"/>
      <c r="J1077" s="4"/>
      <c r="K1077" s="4">
        <v>212</v>
      </c>
      <c r="L1077" s="4">
        <v>29</v>
      </c>
      <c r="M1077" s="4">
        <v>0</v>
      </c>
      <c r="N1077" s="4" t="s">
        <v>3</v>
      </c>
      <c r="O1077" s="4">
        <v>2</v>
      </c>
      <c r="P1077" s="4"/>
      <c r="Q1077" s="4"/>
      <c r="R1077" s="4"/>
      <c r="S1077" s="4"/>
      <c r="T1077" s="4"/>
      <c r="U1077" s="4"/>
      <c r="V1077" s="4"/>
      <c r="W1077" s="4"/>
    </row>
    <row r="1080" spans="1:23" x14ac:dyDescent="0.2">
      <c r="A1080">
        <v>-1</v>
      </c>
    </row>
    <row r="1082" spans="1:23" x14ac:dyDescent="0.2">
      <c r="A1082" s="3">
        <v>75</v>
      </c>
      <c r="B1082" s="3" t="s">
        <v>389</v>
      </c>
      <c r="C1082" s="3">
        <v>2019</v>
      </c>
      <c r="D1082" s="3">
        <v>0</v>
      </c>
      <c r="E1082" s="3">
        <v>10</v>
      </c>
      <c r="F1082" s="3">
        <v>0</v>
      </c>
      <c r="G1082" s="3">
        <v>0</v>
      </c>
      <c r="H1082" s="3">
        <v>1</v>
      </c>
      <c r="I1082" s="3">
        <v>0</v>
      </c>
      <c r="J1082" s="3">
        <v>1</v>
      </c>
      <c r="K1082" s="3">
        <v>78</v>
      </c>
      <c r="L1082" s="3">
        <v>30</v>
      </c>
      <c r="M1082" s="3">
        <v>0</v>
      </c>
      <c r="N1082" s="3">
        <v>38214492</v>
      </c>
      <c r="O1082" s="3">
        <v>1</v>
      </c>
    </row>
    <row r="1086" spans="1:23" x14ac:dyDescent="0.2">
      <c r="A1086">
        <v>65</v>
      </c>
      <c r="C1086">
        <v>1</v>
      </c>
      <c r="D1086">
        <v>0</v>
      </c>
      <c r="E1086">
        <v>245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54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133" x14ac:dyDescent="0.2">
      <c r="A1">
        <v>0</v>
      </c>
      <c r="B1" t="s">
        <v>0</v>
      </c>
      <c r="D1" t="s">
        <v>390</v>
      </c>
      <c r="F1">
        <v>0</v>
      </c>
      <c r="G1">
        <v>0</v>
      </c>
      <c r="H1">
        <v>0</v>
      </c>
      <c r="I1" t="s">
        <v>2</v>
      </c>
      <c r="J1" t="s">
        <v>3</v>
      </c>
      <c r="K1">
        <v>0</v>
      </c>
      <c r="L1">
        <v>30192</v>
      </c>
      <c r="M1">
        <v>10</v>
      </c>
      <c r="N1">
        <v>11</v>
      </c>
      <c r="O1">
        <v>1</v>
      </c>
      <c r="P1">
        <v>0</v>
      </c>
      <c r="Q1">
        <v>1</v>
      </c>
    </row>
    <row r="12" spans="1:133" x14ac:dyDescent="0.2">
      <c r="A12" s="1">
        <v>1</v>
      </c>
      <c r="B12" s="1">
        <v>54</v>
      </c>
      <c r="C12" s="1">
        <v>0</v>
      </c>
      <c r="D12" s="1"/>
      <c r="E12" s="1">
        <v>0</v>
      </c>
      <c r="F12" s="1" t="s">
        <v>4</v>
      </c>
      <c r="G12" s="1" t="s">
        <v>4</v>
      </c>
      <c r="H12" s="1" t="s">
        <v>3</v>
      </c>
      <c r="I12" s="1">
        <v>0</v>
      </c>
      <c r="J12" s="1" t="s">
        <v>3</v>
      </c>
      <c r="K12" s="1">
        <v>0</v>
      </c>
      <c r="L12" s="1"/>
      <c r="M12" s="1"/>
      <c r="N12" s="1"/>
      <c r="O12" s="1">
        <v>0</v>
      </c>
      <c r="P12" s="1">
        <v>0</v>
      </c>
      <c r="Q12" s="1">
        <v>0</v>
      </c>
      <c r="R12" s="1">
        <v>108</v>
      </c>
      <c r="S12" s="1"/>
      <c r="T12" s="1"/>
      <c r="U12" s="1" t="s">
        <v>3</v>
      </c>
      <c r="V12" s="1">
        <v>0</v>
      </c>
      <c r="W12" s="1" t="s">
        <v>3</v>
      </c>
      <c r="X12" s="1" t="s">
        <v>3</v>
      </c>
      <c r="Y12" s="1" t="s">
        <v>3</v>
      </c>
      <c r="Z12" s="1" t="s">
        <v>3</v>
      </c>
      <c r="AA12" s="1" t="s">
        <v>3</v>
      </c>
      <c r="AB12" s="1" t="s">
        <v>3</v>
      </c>
      <c r="AC12" s="1" t="s">
        <v>3</v>
      </c>
      <c r="AD12" s="1" t="s">
        <v>3</v>
      </c>
      <c r="AE12" s="1" t="s">
        <v>3</v>
      </c>
      <c r="AF12" s="1" t="s">
        <v>3</v>
      </c>
      <c r="AG12" s="1" t="s">
        <v>3</v>
      </c>
      <c r="AH12" s="1" t="s">
        <v>3</v>
      </c>
      <c r="AI12" s="1" t="s">
        <v>3</v>
      </c>
      <c r="AJ12" s="1" t="s">
        <v>3</v>
      </c>
      <c r="AK12" s="1"/>
      <c r="AL12" s="1" t="s">
        <v>3</v>
      </c>
      <c r="AM12" s="1" t="s">
        <v>3</v>
      </c>
      <c r="AN12" s="1" t="s">
        <v>3</v>
      </c>
      <c r="AO12" s="1"/>
      <c r="AP12" s="1" t="s">
        <v>3</v>
      </c>
      <c r="AQ12" s="1" t="s">
        <v>3</v>
      </c>
      <c r="AR12" s="1" t="s">
        <v>3</v>
      </c>
      <c r="AS12" s="1"/>
      <c r="AT12" s="1"/>
      <c r="AU12" s="1"/>
      <c r="AV12" s="1"/>
      <c r="AW12" s="1"/>
      <c r="AX12" s="1" t="s">
        <v>3</v>
      </c>
      <c r="AY12" s="1" t="s">
        <v>3</v>
      </c>
      <c r="AZ12" s="1" t="s">
        <v>3</v>
      </c>
      <c r="BA12" s="1"/>
      <c r="BB12" s="1"/>
      <c r="BC12" s="1"/>
      <c r="BD12" s="1"/>
      <c r="BE12" s="1"/>
      <c r="BF12" s="1"/>
      <c r="BG12" s="1"/>
      <c r="BH12" s="1" t="s">
        <v>5</v>
      </c>
      <c r="BI12" s="1" t="s">
        <v>6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0</v>
      </c>
      <c r="BP12" s="1">
        <v>6</v>
      </c>
      <c r="BQ12" s="1">
        <v>2</v>
      </c>
      <c r="BR12" s="1">
        <v>1</v>
      </c>
      <c r="BS12" s="1">
        <v>1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 t="s">
        <v>7</v>
      </c>
      <c r="BZ12" s="1" t="s">
        <v>8</v>
      </c>
      <c r="CA12" s="1" t="s">
        <v>9</v>
      </c>
      <c r="CB12" s="1" t="s">
        <v>9</v>
      </c>
      <c r="CC12" s="1" t="s">
        <v>9</v>
      </c>
      <c r="CD12" s="1" t="s">
        <v>9</v>
      </c>
      <c r="CE12" s="1" t="s">
        <v>10</v>
      </c>
      <c r="CF12" s="1">
        <v>0</v>
      </c>
      <c r="CG12" s="1">
        <v>0</v>
      </c>
      <c r="CH12" s="1">
        <v>8</v>
      </c>
      <c r="CI12" s="1" t="s">
        <v>3</v>
      </c>
      <c r="CJ12" s="1" t="s">
        <v>3</v>
      </c>
      <c r="CK12" s="1">
        <v>3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>
        <v>0</v>
      </c>
    </row>
    <row r="14" spans="1:133" x14ac:dyDescent="0.2">
      <c r="A14" s="1">
        <v>22</v>
      </c>
      <c r="B14" s="1">
        <v>0</v>
      </c>
      <c r="C14" s="1">
        <v>0</v>
      </c>
      <c r="D14" s="1">
        <v>38214492</v>
      </c>
      <c r="E14" s="1">
        <v>0</v>
      </c>
      <c r="F14" s="1">
        <v>3</v>
      </c>
      <c r="G14" s="1"/>
      <c r="H14" s="1"/>
      <c r="I14" s="1"/>
      <c r="J14" s="1"/>
      <c r="K14" s="1"/>
      <c r="L14" s="1"/>
      <c r="M14" s="1"/>
      <c r="N14" s="1"/>
      <c r="O14" s="1"/>
    </row>
    <row r="16" spans="1:133" x14ac:dyDescent="0.2">
      <c r="A16" s="5">
        <v>3</v>
      </c>
      <c r="B16" s="5">
        <v>1</v>
      </c>
      <c r="C16" s="5" t="s">
        <v>11</v>
      </c>
      <c r="D16" s="5" t="s">
        <v>12</v>
      </c>
      <c r="E16" s="6">
        <f>(Source!F862)/1000</f>
        <v>334.95173999999997</v>
      </c>
      <c r="F16" s="6">
        <f>(Source!F863)/1000</f>
        <v>0</v>
      </c>
      <c r="G16" s="6">
        <f>(Source!F854)/1000</f>
        <v>0</v>
      </c>
      <c r="H16" s="6">
        <f>(Source!F864)/1000+(Source!F865)/1000</f>
        <v>2727.3331699999999</v>
      </c>
      <c r="I16" s="6">
        <f>E16+F16+G16+H16</f>
        <v>3062.2849099999999</v>
      </c>
      <c r="J16" s="6">
        <f>(Source!F860)/1000</f>
        <v>283.65665000000001</v>
      </c>
      <c r="AI16" s="5">
        <v>0</v>
      </c>
      <c r="AJ16" s="5">
        <v>-1</v>
      </c>
      <c r="AK16" s="5" t="s">
        <v>3</v>
      </c>
      <c r="AL16" s="5" t="s">
        <v>3</v>
      </c>
      <c r="AM16" s="5" t="s">
        <v>3</v>
      </c>
      <c r="AN16" s="5">
        <v>0</v>
      </c>
      <c r="AO16" s="5" t="s">
        <v>3</v>
      </c>
      <c r="AP16" s="5" t="s">
        <v>3</v>
      </c>
      <c r="AT16" s="6">
        <v>2809731</v>
      </c>
      <c r="AU16" s="6">
        <v>2415005.46</v>
      </c>
      <c r="AV16" s="6">
        <v>0</v>
      </c>
      <c r="AW16" s="6">
        <v>0</v>
      </c>
      <c r="AX16" s="6">
        <v>0</v>
      </c>
      <c r="AY16" s="6">
        <v>111068.89</v>
      </c>
      <c r="AZ16" s="6">
        <v>34500.839999999997</v>
      </c>
      <c r="BA16" s="6">
        <v>283656.65000000002</v>
      </c>
      <c r="BB16" s="6">
        <v>334951.74</v>
      </c>
      <c r="BC16" s="6">
        <v>0</v>
      </c>
      <c r="BD16" s="6">
        <v>2727333.17</v>
      </c>
      <c r="BE16" s="6">
        <v>0</v>
      </c>
      <c r="BF16" s="6">
        <v>1354.9346799999996</v>
      </c>
      <c r="BG16" s="6">
        <v>0</v>
      </c>
      <c r="BH16" s="6">
        <v>0</v>
      </c>
      <c r="BI16" s="6">
        <v>198559.68</v>
      </c>
      <c r="BJ16" s="6">
        <v>28365.68</v>
      </c>
      <c r="BK16" s="6">
        <v>3062284.91</v>
      </c>
    </row>
    <row r="17" spans="1:63" x14ac:dyDescent="0.2">
      <c r="A17" s="5">
        <v>3</v>
      </c>
      <c r="B17" s="5">
        <v>2</v>
      </c>
      <c r="C17" s="5" t="s">
        <v>11</v>
      </c>
      <c r="D17" s="5" t="s">
        <v>318</v>
      </c>
      <c r="E17" s="6">
        <f>(Source!F1032)/1000</f>
        <v>3120.74046</v>
      </c>
      <c r="F17" s="6">
        <f>(Source!F1033)/1000</f>
        <v>0</v>
      </c>
      <c r="G17" s="6">
        <f>(Source!F1024)/1000</f>
        <v>0</v>
      </c>
      <c r="H17" s="6">
        <f>(Source!F1034)/1000+(Source!F1035)/1000</f>
        <v>2086.1445800000001</v>
      </c>
      <c r="I17" s="6">
        <f>E17+F17+G17+H17</f>
        <v>5206.8850400000001</v>
      </c>
      <c r="J17" s="6">
        <f>(Source!F1030)/1000</f>
        <v>323.40532999999999</v>
      </c>
      <c r="AI17" s="5">
        <v>0</v>
      </c>
      <c r="AJ17" s="5">
        <v>0</v>
      </c>
      <c r="AK17" s="5" t="s">
        <v>3</v>
      </c>
      <c r="AL17" s="5" t="s">
        <v>3</v>
      </c>
      <c r="AM17" s="5" t="s">
        <v>3</v>
      </c>
      <c r="AN17" s="5">
        <v>0</v>
      </c>
      <c r="AO17" s="5" t="s">
        <v>3</v>
      </c>
      <c r="AP17" s="5" t="s">
        <v>3</v>
      </c>
      <c r="AT17" s="6">
        <v>5054191.91</v>
      </c>
      <c r="AU17" s="6">
        <v>4666415.72</v>
      </c>
      <c r="AV17" s="6">
        <v>0</v>
      </c>
      <c r="AW17" s="6">
        <v>0</v>
      </c>
      <c r="AX17" s="6">
        <v>0</v>
      </c>
      <c r="AY17" s="6">
        <v>67639.55</v>
      </c>
      <c r="AZ17" s="6">
        <v>38336.620000000003</v>
      </c>
      <c r="BA17" s="6">
        <v>320136.64</v>
      </c>
      <c r="BB17" s="6">
        <v>3082212.8</v>
      </c>
      <c r="BC17" s="6">
        <v>0</v>
      </c>
      <c r="BD17" s="6">
        <v>2229992.71</v>
      </c>
      <c r="BE17" s="6">
        <v>0</v>
      </c>
      <c r="BF17" s="6">
        <v>1805.11486756</v>
      </c>
      <c r="BG17" s="6">
        <v>0</v>
      </c>
      <c r="BH17" s="6">
        <v>0</v>
      </c>
      <c r="BI17" s="6">
        <v>224095.67</v>
      </c>
      <c r="BJ17" s="6">
        <v>32013.68</v>
      </c>
      <c r="BK17" s="6">
        <v>5312205.51</v>
      </c>
    </row>
    <row r="19" spans="1:63" x14ac:dyDescent="0.2">
      <c r="A19">
        <v>51</v>
      </c>
      <c r="E19" s="7">
        <f>SUMIF(A16:A18,3,E16:E18)</f>
        <v>3455.6922</v>
      </c>
      <c r="F19" s="7">
        <f>SUMIF(A16:A18,3,F16:F18)</f>
        <v>0</v>
      </c>
      <c r="G19" s="7">
        <f>SUMIF(A16:A18,3,G16:G18)</f>
        <v>0</v>
      </c>
      <c r="H19" s="7">
        <f>SUMIF(A16:A18,3,H16:H18)</f>
        <v>4813.47775</v>
      </c>
      <c r="I19" s="7">
        <f>SUMIF(A16:A18,3,I16:I18)</f>
        <v>8269.1699499999995</v>
      </c>
      <c r="J19" s="7">
        <f>SUMIF(A16:A18,3,J16:J18)</f>
        <v>607.06197999999995</v>
      </c>
      <c r="K19" s="7"/>
      <c r="L19" s="7"/>
      <c r="M19" s="7"/>
      <c r="N19" s="7"/>
      <c r="O19" s="7"/>
      <c r="P19" s="7"/>
      <c r="Q19" s="7"/>
      <c r="R19" s="7"/>
      <c r="S19" s="7"/>
    </row>
    <row r="21" spans="1:63" x14ac:dyDescent="0.2">
      <c r="A21" s="4">
        <v>50</v>
      </c>
      <c r="B21" s="4">
        <v>0</v>
      </c>
      <c r="C21" s="4">
        <v>0</v>
      </c>
      <c r="D21" s="4">
        <v>1</v>
      </c>
      <c r="E21" s="4">
        <v>201</v>
      </c>
      <c r="F21" s="4">
        <v>7863922.9100000001</v>
      </c>
      <c r="G21" s="4" t="s">
        <v>56</v>
      </c>
      <c r="H21" s="4" t="s">
        <v>57</v>
      </c>
      <c r="I21" s="4"/>
      <c r="J21" s="4"/>
      <c r="K21" s="4">
        <v>201</v>
      </c>
      <c r="L21" s="4">
        <v>1</v>
      </c>
      <c r="M21" s="4">
        <v>3</v>
      </c>
      <c r="N21" s="4" t="s">
        <v>3</v>
      </c>
      <c r="O21" s="4">
        <v>2</v>
      </c>
      <c r="P21" s="4"/>
    </row>
    <row r="22" spans="1:63" x14ac:dyDescent="0.2">
      <c r="A22" s="4">
        <v>50</v>
      </c>
      <c r="B22" s="4">
        <v>0</v>
      </c>
      <c r="C22" s="4">
        <v>0</v>
      </c>
      <c r="D22" s="4">
        <v>1</v>
      </c>
      <c r="E22" s="4">
        <v>202</v>
      </c>
      <c r="F22" s="4">
        <v>7081421.1799999997</v>
      </c>
      <c r="G22" s="4" t="s">
        <v>58</v>
      </c>
      <c r="H22" s="4" t="s">
        <v>59</v>
      </c>
      <c r="I22" s="4"/>
      <c r="J22" s="4"/>
      <c r="K22" s="4">
        <v>202</v>
      </c>
      <c r="L22" s="4">
        <v>2</v>
      </c>
      <c r="M22" s="4">
        <v>3</v>
      </c>
      <c r="N22" s="4" t="s">
        <v>3</v>
      </c>
      <c r="O22" s="4">
        <v>2</v>
      </c>
      <c r="P22" s="4"/>
    </row>
    <row r="23" spans="1:63" x14ac:dyDescent="0.2">
      <c r="A23" s="4">
        <v>50</v>
      </c>
      <c r="B23" s="4">
        <v>0</v>
      </c>
      <c r="C23" s="4">
        <v>0</v>
      </c>
      <c r="D23" s="4">
        <v>1</v>
      </c>
      <c r="E23" s="4">
        <v>222</v>
      </c>
      <c r="F23" s="4">
        <v>0</v>
      </c>
      <c r="G23" s="4" t="s">
        <v>60</v>
      </c>
      <c r="H23" s="4" t="s">
        <v>61</v>
      </c>
      <c r="I23" s="4"/>
      <c r="J23" s="4"/>
      <c r="K23" s="4">
        <v>222</v>
      </c>
      <c r="L23" s="4">
        <v>3</v>
      </c>
      <c r="M23" s="4">
        <v>3</v>
      </c>
      <c r="N23" s="4" t="s">
        <v>3</v>
      </c>
      <c r="O23" s="4">
        <v>2</v>
      </c>
      <c r="P23" s="4"/>
    </row>
    <row r="24" spans="1:63" x14ac:dyDescent="0.2">
      <c r="A24" s="4">
        <v>50</v>
      </c>
      <c r="B24" s="4">
        <v>0</v>
      </c>
      <c r="C24" s="4">
        <v>0</v>
      </c>
      <c r="D24" s="4">
        <v>1</v>
      </c>
      <c r="E24" s="4">
        <v>225</v>
      </c>
      <c r="F24" s="4">
        <v>7081421.1799999997</v>
      </c>
      <c r="G24" s="4" t="s">
        <v>62</v>
      </c>
      <c r="H24" s="4" t="s">
        <v>63</v>
      </c>
      <c r="I24" s="4"/>
      <c r="J24" s="4"/>
      <c r="K24" s="4">
        <v>225</v>
      </c>
      <c r="L24" s="4">
        <v>4</v>
      </c>
      <c r="M24" s="4">
        <v>3</v>
      </c>
      <c r="N24" s="4" t="s">
        <v>3</v>
      </c>
      <c r="O24" s="4">
        <v>2</v>
      </c>
      <c r="P24" s="4"/>
    </row>
    <row r="25" spans="1:63" x14ac:dyDescent="0.2">
      <c r="A25" s="4">
        <v>50</v>
      </c>
      <c r="B25" s="4">
        <v>0</v>
      </c>
      <c r="C25" s="4">
        <v>0</v>
      </c>
      <c r="D25" s="4">
        <v>1</v>
      </c>
      <c r="E25" s="4">
        <v>226</v>
      </c>
      <c r="F25" s="4">
        <v>7081421.1799999997</v>
      </c>
      <c r="G25" s="4" t="s">
        <v>64</v>
      </c>
      <c r="H25" s="4" t="s">
        <v>65</v>
      </c>
      <c r="I25" s="4"/>
      <c r="J25" s="4"/>
      <c r="K25" s="4">
        <v>226</v>
      </c>
      <c r="L25" s="4">
        <v>5</v>
      </c>
      <c r="M25" s="4">
        <v>3</v>
      </c>
      <c r="N25" s="4" t="s">
        <v>3</v>
      </c>
      <c r="O25" s="4">
        <v>2</v>
      </c>
      <c r="P25" s="4"/>
    </row>
    <row r="26" spans="1:63" x14ac:dyDescent="0.2">
      <c r="A26" s="4">
        <v>50</v>
      </c>
      <c r="B26" s="4">
        <v>0</v>
      </c>
      <c r="C26" s="4">
        <v>0</v>
      </c>
      <c r="D26" s="4">
        <v>1</v>
      </c>
      <c r="E26" s="4">
        <v>227</v>
      </c>
      <c r="F26" s="4">
        <v>0</v>
      </c>
      <c r="G26" s="4" t="s">
        <v>66</v>
      </c>
      <c r="H26" s="4" t="s">
        <v>67</v>
      </c>
      <c r="I26" s="4"/>
      <c r="J26" s="4"/>
      <c r="K26" s="4">
        <v>227</v>
      </c>
      <c r="L26" s="4">
        <v>6</v>
      </c>
      <c r="M26" s="4">
        <v>3</v>
      </c>
      <c r="N26" s="4" t="s">
        <v>3</v>
      </c>
      <c r="O26" s="4">
        <v>2</v>
      </c>
      <c r="P26" s="4"/>
    </row>
    <row r="27" spans="1:63" x14ac:dyDescent="0.2">
      <c r="A27" s="4">
        <v>50</v>
      </c>
      <c r="B27" s="4">
        <v>0</v>
      </c>
      <c r="C27" s="4">
        <v>0</v>
      </c>
      <c r="D27" s="4">
        <v>1</v>
      </c>
      <c r="E27" s="4">
        <v>228</v>
      </c>
      <c r="F27" s="4">
        <v>7081421.1799999997</v>
      </c>
      <c r="G27" s="4" t="s">
        <v>68</v>
      </c>
      <c r="H27" s="4" t="s">
        <v>69</v>
      </c>
      <c r="I27" s="4"/>
      <c r="J27" s="4"/>
      <c r="K27" s="4">
        <v>228</v>
      </c>
      <c r="L27" s="4">
        <v>7</v>
      </c>
      <c r="M27" s="4">
        <v>3</v>
      </c>
      <c r="N27" s="4" t="s">
        <v>3</v>
      </c>
      <c r="O27" s="4">
        <v>2</v>
      </c>
      <c r="P27" s="4"/>
    </row>
    <row r="28" spans="1:63" x14ac:dyDescent="0.2">
      <c r="A28" s="4">
        <v>50</v>
      </c>
      <c r="B28" s="4">
        <v>0</v>
      </c>
      <c r="C28" s="4">
        <v>0</v>
      </c>
      <c r="D28" s="4">
        <v>1</v>
      </c>
      <c r="E28" s="4">
        <v>216</v>
      </c>
      <c r="F28" s="4">
        <v>0</v>
      </c>
      <c r="G28" s="4" t="s">
        <v>70</v>
      </c>
      <c r="H28" s="4" t="s">
        <v>71</v>
      </c>
      <c r="I28" s="4"/>
      <c r="J28" s="4"/>
      <c r="K28" s="4">
        <v>216</v>
      </c>
      <c r="L28" s="4">
        <v>8</v>
      </c>
      <c r="M28" s="4">
        <v>3</v>
      </c>
      <c r="N28" s="4" t="s">
        <v>3</v>
      </c>
      <c r="O28" s="4">
        <v>2</v>
      </c>
      <c r="P28" s="4"/>
    </row>
    <row r="29" spans="1:63" x14ac:dyDescent="0.2">
      <c r="A29" s="4">
        <v>50</v>
      </c>
      <c r="B29" s="4">
        <v>0</v>
      </c>
      <c r="C29" s="4">
        <v>0</v>
      </c>
      <c r="D29" s="4">
        <v>1</v>
      </c>
      <c r="E29" s="4">
        <v>223</v>
      </c>
      <c r="F29" s="4">
        <v>0</v>
      </c>
      <c r="G29" s="4" t="s">
        <v>72</v>
      </c>
      <c r="H29" s="4" t="s">
        <v>73</v>
      </c>
      <c r="I29" s="4"/>
      <c r="J29" s="4"/>
      <c r="K29" s="4">
        <v>223</v>
      </c>
      <c r="L29" s="4">
        <v>9</v>
      </c>
      <c r="M29" s="4">
        <v>3</v>
      </c>
      <c r="N29" s="4" t="s">
        <v>3</v>
      </c>
      <c r="O29" s="4">
        <v>2</v>
      </c>
      <c r="P29" s="4"/>
    </row>
    <row r="30" spans="1:63" x14ac:dyDescent="0.2">
      <c r="A30" s="4">
        <v>50</v>
      </c>
      <c r="B30" s="4">
        <v>0</v>
      </c>
      <c r="C30" s="4">
        <v>0</v>
      </c>
      <c r="D30" s="4">
        <v>1</v>
      </c>
      <c r="E30" s="4">
        <v>229</v>
      </c>
      <c r="F30" s="4">
        <v>0</v>
      </c>
      <c r="G30" s="4" t="s">
        <v>74</v>
      </c>
      <c r="H30" s="4" t="s">
        <v>75</v>
      </c>
      <c r="I30" s="4"/>
      <c r="J30" s="4"/>
      <c r="K30" s="4">
        <v>229</v>
      </c>
      <c r="L30" s="4">
        <v>10</v>
      </c>
      <c r="M30" s="4">
        <v>3</v>
      </c>
      <c r="N30" s="4" t="s">
        <v>3</v>
      </c>
      <c r="O30" s="4">
        <v>2</v>
      </c>
      <c r="P30" s="4"/>
    </row>
    <row r="31" spans="1:63" x14ac:dyDescent="0.2">
      <c r="A31" s="4">
        <v>50</v>
      </c>
      <c r="B31" s="4">
        <v>0</v>
      </c>
      <c r="C31" s="4">
        <v>0</v>
      </c>
      <c r="D31" s="4">
        <v>1</v>
      </c>
      <c r="E31" s="4">
        <v>203</v>
      </c>
      <c r="F31" s="4">
        <v>178708.44</v>
      </c>
      <c r="G31" s="4" t="s">
        <v>76</v>
      </c>
      <c r="H31" s="4" t="s">
        <v>77</v>
      </c>
      <c r="I31" s="4"/>
      <c r="J31" s="4"/>
      <c r="K31" s="4">
        <v>203</v>
      </c>
      <c r="L31" s="4">
        <v>11</v>
      </c>
      <c r="M31" s="4">
        <v>3</v>
      </c>
      <c r="N31" s="4" t="s">
        <v>3</v>
      </c>
      <c r="O31" s="4">
        <v>2</v>
      </c>
      <c r="P31" s="4"/>
    </row>
    <row r="32" spans="1:63" x14ac:dyDescent="0.2">
      <c r="A32" s="4">
        <v>50</v>
      </c>
      <c r="B32" s="4">
        <v>0</v>
      </c>
      <c r="C32" s="4">
        <v>0</v>
      </c>
      <c r="D32" s="4">
        <v>1</v>
      </c>
      <c r="E32" s="4">
        <v>231</v>
      </c>
      <c r="F32" s="4">
        <v>0</v>
      </c>
      <c r="G32" s="4" t="s">
        <v>78</v>
      </c>
      <c r="H32" s="4" t="s">
        <v>79</v>
      </c>
      <c r="I32" s="4"/>
      <c r="J32" s="4"/>
      <c r="K32" s="4">
        <v>231</v>
      </c>
      <c r="L32" s="4">
        <v>12</v>
      </c>
      <c r="M32" s="4">
        <v>3</v>
      </c>
      <c r="N32" s="4" t="s">
        <v>3</v>
      </c>
      <c r="O32" s="4">
        <v>2</v>
      </c>
      <c r="P32" s="4"/>
    </row>
    <row r="33" spans="1:16" x14ac:dyDescent="0.2">
      <c r="A33" s="4">
        <v>50</v>
      </c>
      <c r="B33" s="4">
        <v>0</v>
      </c>
      <c r="C33" s="4">
        <v>0</v>
      </c>
      <c r="D33" s="4">
        <v>1</v>
      </c>
      <c r="E33" s="4">
        <v>204</v>
      </c>
      <c r="F33" s="4">
        <v>72837.460000000006</v>
      </c>
      <c r="G33" s="4" t="s">
        <v>80</v>
      </c>
      <c r="H33" s="4" t="s">
        <v>81</v>
      </c>
      <c r="I33" s="4"/>
      <c r="J33" s="4"/>
      <c r="K33" s="4">
        <v>204</v>
      </c>
      <c r="L33" s="4">
        <v>13</v>
      </c>
      <c r="M33" s="4">
        <v>3</v>
      </c>
      <c r="N33" s="4" t="s">
        <v>3</v>
      </c>
      <c r="O33" s="4">
        <v>2</v>
      </c>
      <c r="P33" s="4"/>
    </row>
    <row r="34" spans="1:16" x14ac:dyDescent="0.2">
      <c r="A34" s="4">
        <v>50</v>
      </c>
      <c r="B34" s="4">
        <v>0</v>
      </c>
      <c r="C34" s="4">
        <v>0</v>
      </c>
      <c r="D34" s="4">
        <v>1</v>
      </c>
      <c r="E34" s="4">
        <v>205</v>
      </c>
      <c r="F34" s="4">
        <v>603793.29</v>
      </c>
      <c r="G34" s="4" t="s">
        <v>82</v>
      </c>
      <c r="H34" s="4" t="s">
        <v>83</v>
      </c>
      <c r="I34" s="4"/>
      <c r="J34" s="4"/>
      <c r="K34" s="4">
        <v>205</v>
      </c>
      <c r="L34" s="4">
        <v>14</v>
      </c>
      <c r="M34" s="4">
        <v>3</v>
      </c>
      <c r="N34" s="4" t="s">
        <v>3</v>
      </c>
      <c r="O34" s="4">
        <v>2</v>
      </c>
      <c r="P34" s="4"/>
    </row>
    <row r="35" spans="1:16" x14ac:dyDescent="0.2">
      <c r="A35" s="4">
        <v>50</v>
      </c>
      <c r="B35" s="4">
        <v>0</v>
      </c>
      <c r="C35" s="4">
        <v>0</v>
      </c>
      <c r="D35" s="4">
        <v>1</v>
      </c>
      <c r="E35" s="4">
        <v>232</v>
      </c>
      <c r="F35" s="4">
        <v>0</v>
      </c>
      <c r="G35" s="4" t="s">
        <v>84</v>
      </c>
      <c r="H35" s="4" t="s">
        <v>85</v>
      </c>
      <c r="I35" s="4"/>
      <c r="J35" s="4"/>
      <c r="K35" s="4">
        <v>232</v>
      </c>
      <c r="L35" s="4">
        <v>15</v>
      </c>
      <c r="M35" s="4">
        <v>3</v>
      </c>
      <c r="N35" s="4" t="s">
        <v>3</v>
      </c>
      <c r="O35" s="4">
        <v>2</v>
      </c>
      <c r="P35" s="4"/>
    </row>
    <row r="36" spans="1:16" x14ac:dyDescent="0.2">
      <c r="A36" s="4">
        <v>50</v>
      </c>
      <c r="B36" s="4">
        <v>0</v>
      </c>
      <c r="C36" s="4">
        <v>0</v>
      </c>
      <c r="D36" s="4">
        <v>1</v>
      </c>
      <c r="E36" s="4">
        <v>214</v>
      </c>
      <c r="F36" s="4">
        <v>3417164.54</v>
      </c>
      <c r="G36" s="4" t="s">
        <v>86</v>
      </c>
      <c r="H36" s="4" t="s">
        <v>87</v>
      </c>
      <c r="I36" s="4"/>
      <c r="J36" s="4"/>
      <c r="K36" s="4">
        <v>214</v>
      </c>
      <c r="L36" s="4">
        <v>16</v>
      </c>
      <c r="M36" s="4">
        <v>3</v>
      </c>
      <c r="N36" s="4" t="s">
        <v>3</v>
      </c>
      <c r="O36" s="4">
        <v>2</v>
      </c>
      <c r="P36" s="4"/>
    </row>
    <row r="37" spans="1:16" x14ac:dyDescent="0.2">
      <c r="A37" s="4">
        <v>50</v>
      </c>
      <c r="B37" s="4">
        <v>0</v>
      </c>
      <c r="C37" s="4">
        <v>0</v>
      </c>
      <c r="D37" s="4">
        <v>1</v>
      </c>
      <c r="E37" s="4">
        <v>215</v>
      </c>
      <c r="F37" s="4">
        <v>0</v>
      </c>
      <c r="G37" s="4" t="s">
        <v>88</v>
      </c>
      <c r="H37" s="4" t="s">
        <v>89</v>
      </c>
      <c r="I37" s="4"/>
      <c r="J37" s="4"/>
      <c r="K37" s="4">
        <v>215</v>
      </c>
      <c r="L37" s="4">
        <v>17</v>
      </c>
      <c r="M37" s="4">
        <v>3</v>
      </c>
      <c r="N37" s="4" t="s">
        <v>3</v>
      </c>
      <c r="O37" s="4">
        <v>2</v>
      </c>
      <c r="P37" s="4"/>
    </row>
    <row r="38" spans="1:16" x14ac:dyDescent="0.2">
      <c r="A38" s="4">
        <v>50</v>
      </c>
      <c r="B38" s="4">
        <v>0</v>
      </c>
      <c r="C38" s="4">
        <v>0</v>
      </c>
      <c r="D38" s="4">
        <v>1</v>
      </c>
      <c r="E38" s="4">
        <v>217</v>
      </c>
      <c r="F38" s="4">
        <v>4957325.88</v>
      </c>
      <c r="G38" s="4" t="s">
        <v>90</v>
      </c>
      <c r="H38" s="4" t="s">
        <v>91</v>
      </c>
      <c r="I38" s="4"/>
      <c r="J38" s="4"/>
      <c r="K38" s="4">
        <v>217</v>
      </c>
      <c r="L38" s="4">
        <v>18</v>
      </c>
      <c r="M38" s="4">
        <v>3</v>
      </c>
      <c r="N38" s="4" t="s">
        <v>3</v>
      </c>
      <c r="O38" s="4">
        <v>2</v>
      </c>
      <c r="P38" s="4"/>
    </row>
    <row r="39" spans="1:16" x14ac:dyDescent="0.2">
      <c r="A39" s="4">
        <v>50</v>
      </c>
      <c r="B39" s="4">
        <v>0</v>
      </c>
      <c r="C39" s="4">
        <v>0</v>
      </c>
      <c r="D39" s="4">
        <v>1</v>
      </c>
      <c r="E39" s="4">
        <v>230</v>
      </c>
      <c r="F39" s="4">
        <v>0</v>
      </c>
      <c r="G39" s="4" t="s">
        <v>92</v>
      </c>
      <c r="H39" s="4" t="s">
        <v>93</v>
      </c>
      <c r="I39" s="4"/>
      <c r="J39" s="4"/>
      <c r="K39" s="4">
        <v>230</v>
      </c>
      <c r="L39" s="4">
        <v>19</v>
      </c>
      <c r="M39" s="4">
        <v>3</v>
      </c>
      <c r="N39" s="4" t="s">
        <v>3</v>
      </c>
      <c r="O39" s="4">
        <v>2</v>
      </c>
      <c r="P39" s="4"/>
    </row>
    <row r="40" spans="1:16" x14ac:dyDescent="0.2">
      <c r="A40" s="4">
        <v>50</v>
      </c>
      <c r="B40" s="4">
        <v>0</v>
      </c>
      <c r="C40" s="4">
        <v>0</v>
      </c>
      <c r="D40" s="4">
        <v>1</v>
      </c>
      <c r="E40" s="4">
        <v>206</v>
      </c>
      <c r="F40" s="4">
        <v>0</v>
      </c>
      <c r="G40" s="4" t="s">
        <v>94</v>
      </c>
      <c r="H40" s="4" t="s">
        <v>95</v>
      </c>
      <c r="I40" s="4"/>
      <c r="J40" s="4"/>
      <c r="K40" s="4">
        <v>206</v>
      </c>
      <c r="L40" s="4">
        <v>20</v>
      </c>
      <c r="M40" s="4">
        <v>3</v>
      </c>
      <c r="N40" s="4" t="s">
        <v>3</v>
      </c>
      <c r="O40" s="4">
        <v>2</v>
      </c>
      <c r="P40" s="4"/>
    </row>
    <row r="41" spans="1:16" x14ac:dyDescent="0.2">
      <c r="A41" s="4">
        <v>50</v>
      </c>
      <c r="B41" s="4">
        <v>0</v>
      </c>
      <c r="C41" s="4">
        <v>0</v>
      </c>
      <c r="D41" s="4">
        <v>1</v>
      </c>
      <c r="E41" s="4">
        <v>207</v>
      </c>
      <c r="F41" s="4">
        <v>3160.0495475600005</v>
      </c>
      <c r="G41" s="4" t="s">
        <v>96</v>
      </c>
      <c r="H41" s="4" t="s">
        <v>97</v>
      </c>
      <c r="I41" s="4"/>
      <c r="J41" s="4"/>
      <c r="K41" s="4">
        <v>207</v>
      </c>
      <c r="L41" s="4">
        <v>21</v>
      </c>
      <c r="M41" s="4">
        <v>3</v>
      </c>
      <c r="N41" s="4" t="s">
        <v>3</v>
      </c>
      <c r="O41" s="4">
        <v>-1</v>
      </c>
      <c r="P41" s="4"/>
    </row>
    <row r="42" spans="1:16" x14ac:dyDescent="0.2">
      <c r="A42" s="4">
        <v>50</v>
      </c>
      <c r="B42" s="4">
        <v>0</v>
      </c>
      <c r="C42" s="4">
        <v>0</v>
      </c>
      <c r="D42" s="4">
        <v>1</v>
      </c>
      <c r="E42" s="4">
        <v>208</v>
      </c>
      <c r="F42" s="4">
        <v>0</v>
      </c>
      <c r="G42" s="4" t="s">
        <v>98</v>
      </c>
      <c r="H42" s="4" t="s">
        <v>99</v>
      </c>
      <c r="I42" s="4"/>
      <c r="J42" s="4"/>
      <c r="K42" s="4">
        <v>208</v>
      </c>
      <c r="L42" s="4">
        <v>22</v>
      </c>
      <c r="M42" s="4">
        <v>3</v>
      </c>
      <c r="N42" s="4" t="s">
        <v>3</v>
      </c>
      <c r="O42" s="4">
        <v>-1</v>
      </c>
      <c r="P42" s="4"/>
    </row>
    <row r="43" spans="1:16" x14ac:dyDescent="0.2">
      <c r="A43" s="4">
        <v>50</v>
      </c>
      <c r="B43" s="4">
        <v>0</v>
      </c>
      <c r="C43" s="4">
        <v>0</v>
      </c>
      <c r="D43" s="4">
        <v>1</v>
      </c>
      <c r="E43" s="4">
        <v>209</v>
      </c>
      <c r="F43" s="4">
        <v>0</v>
      </c>
      <c r="G43" s="4" t="s">
        <v>100</v>
      </c>
      <c r="H43" s="4" t="s">
        <v>101</v>
      </c>
      <c r="I43" s="4"/>
      <c r="J43" s="4"/>
      <c r="K43" s="4">
        <v>209</v>
      </c>
      <c r="L43" s="4">
        <v>23</v>
      </c>
      <c r="M43" s="4">
        <v>3</v>
      </c>
      <c r="N43" s="4" t="s">
        <v>3</v>
      </c>
      <c r="O43" s="4">
        <v>2</v>
      </c>
      <c r="P43" s="4"/>
    </row>
    <row r="44" spans="1:16" x14ac:dyDescent="0.2">
      <c r="A44" s="4">
        <v>50</v>
      </c>
      <c r="B44" s="4">
        <v>0</v>
      </c>
      <c r="C44" s="4">
        <v>0</v>
      </c>
      <c r="D44" s="4">
        <v>1</v>
      </c>
      <c r="E44" s="4">
        <v>233</v>
      </c>
      <c r="F44" s="4">
        <v>0</v>
      </c>
      <c r="G44" s="4" t="s">
        <v>102</v>
      </c>
      <c r="H44" s="4" t="s">
        <v>103</v>
      </c>
      <c r="I44" s="4"/>
      <c r="J44" s="4"/>
      <c r="K44" s="4">
        <v>233</v>
      </c>
      <c r="L44" s="4">
        <v>24</v>
      </c>
      <c r="M44" s="4">
        <v>3</v>
      </c>
      <c r="N44" s="4" t="s">
        <v>3</v>
      </c>
      <c r="O44" s="4">
        <v>2</v>
      </c>
      <c r="P44" s="4"/>
    </row>
    <row r="45" spans="1:16" x14ac:dyDescent="0.2">
      <c r="A45" s="4">
        <v>50</v>
      </c>
      <c r="B45" s="4">
        <v>0</v>
      </c>
      <c r="C45" s="4">
        <v>0</v>
      </c>
      <c r="D45" s="4">
        <v>1</v>
      </c>
      <c r="E45" s="4">
        <v>210</v>
      </c>
      <c r="F45" s="4">
        <v>422655.35</v>
      </c>
      <c r="G45" s="4" t="s">
        <v>104</v>
      </c>
      <c r="H45" s="4" t="s">
        <v>105</v>
      </c>
      <c r="I45" s="4"/>
      <c r="J45" s="4"/>
      <c r="K45" s="4">
        <v>210</v>
      </c>
      <c r="L45" s="4">
        <v>25</v>
      </c>
      <c r="M45" s="4">
        <v>3</v>
      </c>
      <c r="N45" s="4" t="s">
        <v>3</v>
      </c>
      <c r="O45" s="4">
        <v>2</v>
      </c>
      <c r="P45" s="4"/>
    </row>
    <row r="46" spans="1:16" x14ac:dyDescent="0.2">
      <c r="A46" s="4">
        <v>50</v>
      </c>
      <c r="B46" s="4">
        <v>0</v>
      </c>
      <c r="C46" s="4">
        <v>0</v>
      </c>
      <c r="D46" s="4">
        <v>1</v>
      </c>
      <c r="E46" s="4">
        <v>211</v>
      </c>
      <c r="F46" s="4">
        <v>60379.360000000001</v>
      </c>
      <c r="G46" s="4" t="s">
        <v>106</v>
      </c>
      <c r="H46" s="4" t="s">
        <v>107</v>
      </c>
      <c r="I46" s="4"/>
      <c r="J46" s="4"/>
      <c r="K46" s="4">
        <v>211</v>
      </c>
      <c r="L46" s="4">
        <v>26</v>
      </c>
      <c r="M46" s="4">
        <v>3</v>
      </c>
      <c r="N46" s="4" t="s">
        <v>3</v>
      </c>
      <c r="O46" s="4">
        <v>2</v>
      </c>
      <c r="P46" s="4"/>
    </row>
    <row r="47" spans="1:16" x14ac:dyDescent="0.2">
      <c r="A47" s="4">
        <v>50</v>
      </c>
      <c r="B47" s="4">
        <v>0</v>
      </c>
      <c r="C47" s="4">
        <v>0</v>
      </c>
      <c r="D47" s="4">
        <v>1</v>
      </c>
      <c r="E47" s="4">
        <v>224</v>
      </c>
      <c r="F47" s="4">
        <v>8374490.4199999999</v>
      </c>
      <c r="G47" s="4" t="s">
        <v>108</v>
      </c>
      <c r="H47" s="4" t="s">
        <v>109</v>
      </c>
      <c r="I47" s="4"/>
      <c r="J47" s="4"/>
      <c r="K47" s="4">
        <v>224</v>
      </c>
      <c r="L47" s="4">
        <v>27</v>
      </c>
      <c r="M47" s="4">
        <v>3</v>
      </c>
      <c r="N47" s="4" t="s">
        <v>3</v>
      </c>
      <c r="O47" s="4">
        <v>2</v>
      </c>
      <c r="P47" s="4"/>
    </row>
    <row r="48" spans="1:16" x14ac:dyDescent="0.2">
      <c r="A48" s="4">
        <v>50</v>
      </c>
      <c r="B48" s="4">
        <v>1</v>
      </c>
      <c r="C48" s="4">
        <v>0</v>
      </c>
      <c r="D48" s="4">
        <v>2</v>
      </c>
      <c r="E48" s="4">
        <v>0</v>
      </c>
      <c r="F48" s="4">
        <v>1674898.08</v>
      </c>
      <c r="G48" s="4" t="s">
        <v>227</v>
      </c>
      <c r="H48" s="4" t="s">
        <v>228</v>
      </c>
      <c r="I48" s="4"/>
      <c r="J48" s="4"/>
      <c r="K48" s="4">
        <v>212</v>
      </c>
      <c r="L48" s="4">
        <v>28</v>
      </c>
      <c r="M48" s="4">
        <v>0</v>
      </c>
      <c r="N48" s="4" t="s">
        <v>3</v>
      </c>
      <c r="O48" s="4">
        <v>2</v>
      </c>
      <c r="P48" s="4"/>
    </row>
    <row r="49" spans="1:16" x14ac:dyDescent="0.2">
      <c r="A49" s="4">
        <v>50</v>
      </c>
      <c r="B49" s="4">
        <v>1</v>
      </c>
      <c r="C49" s="4">
        <v>0</v>
      </c>
      <c r="D49" s="4">
        <v>2</v>
      </c>
      <c r="E49" s="4">
        <v>213</v>
      </c>
      <c r="F49" s="4">
        <v>10049388.5</v>
      </c>
      <c r="G49" s="4" t="s">
        <v>229</v>
      </c>
      <c r="H49" s="4" t="s">
        <v>230</v>
      </c>
      <c r="I49" s="4"/>
      <c r="J49" s="4"/>
      <c r="K49" s="4">
        <v>212</v>
      </c>
      <c r="L49" s="4">
        <v>29</v>
      </c>
      <c r="M49" s="4">
        <v>0</v>
      </c>
      <c r="N49" s="4" t="s">
        <v>3</v>
      </c>
      <c r="O49" s="4">
        <v>2</v>
      </c>
      <c r="P49" s="4"/>
    </row>
    <row r="51" spans="1:16" x14ac:dyDescent="0.2">
      <c r="A51">
        <v>-1</v>
      </c>
    </row>
    <row r="54" spans="1:16" x14ac:dyDescent="0.2">
      <c r="A54" s="3">
        <v>75</v>
      </c>
      <c r="B54" s="3" t="s">
        <v>389</v>
      </c>
      <c r="C54" s="3">
        <v>2019</v>
      </c>
      <c r="D54" s="3">
        <v>0</v>
      </c>
      <c r="E54" s="3">
        <v>10</v>
      </c>
      <c r="F54" s="3">
        <v>0</v>
      </c>
      <c r="G54" s="3">
        <v>0</v>
      </c>
      <c r="H54" s="3">
        <v>1</v>
      </c>
      <c r="I54" s="3">
        <v>0</v>
      </c>
      <c r="J54" s="3">
        <v>1</v>
      </c>
      <c r="K54" s="3">
        <v>78</v>
      </c>
      <c r="L54" s="3">
        <v>30</v>
      </c>
      <c r="M54" s="3">
        <v>0</v>
      </c>
      <c r="N54" s="3">
        <v>38214492</v>
      </c>
      <c r="O54" s="3">
        <v>1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68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107" x14ac:dyDescent="0.2">
      <c r="A1">
        <f>ROW(Source!A32)</f>
        <v>32</v>
      </c>
      <c r="B1">
        <v>38214492</v>
      </c>
      <c r="C1">
        <v>38214661</v>
      </c>
      <c r="D1">
        <v>34867259</v>
      </c>
      <c r="E1">
        <v>25</v>
      </c>
      <c r="F1">
        <v>1</v>
      </c>
      <c r="G1">
        <v>25</v>
      </c>
      <c r="H1">
        <v>1</v>
      </c>
      <c r="I1" t="s">
        <v>391</v>
      </c>
      <c r="J1" t="s">
        <v>3</v>
      </c>
      <c r="K1" t="s">
        <v>392</v>
      </c>
      <c r="L1">
        <v>1191</v>
      </c>
      <c r="N1">
        <v>1013</v>
      </c>
      <c r="O1" t="s">
        <v>393</v>
      </c>
      <c r="P1" t="s">
        <v>393</v>
      </c>
      <c r="Q1">
        <v>1</v>
      </c>
      <c r="W1">
        <v>0</v>
      </c>
      <c r="X1">
        <v>476480486</v>
      </c>
      <c r="Y1">
        <v>15.15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1</v>
      </c>
      <c r="AJ1">
        <v>1</v>
      </c>
      <c r="AK1">
        <v>1</v>
      </c>
      <c r="AL1">
        <v>1</v>
      </c>
      <c r="AN1">
        <v>0</v>
      </c>
      <c r="AO1">
        <v>1</v>
      </c>
      <c r="AP1">
        <v>0</v>
      </c>
      <c r="AQ1">
        <v>0</v>
      </c>
      <c r="AR1">
        <v>0</v>
      </c>
      <c r="AS1" t="s">
        <v>3</v>
      </c>
      <c r="AT1">
        <v>15.15</v>
      </c>
      <c r="AU1" t="s">
        <v>3</v>
      </c>
      <c r="AV1">
        <v>1</v>
      </c>
      <c r="AW1">
        <v>2</v>
      </c>
      <c r="AX1">
        <v>38214665</v>
      </c>
      <c r="AY1">
        <v>1</v>
      </c>
      <c r="AZ1">
        <v>0</v>
      </c>
      <c r="BA1">
        <v>1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CX1">
        <f>Y1*Source!I32</f>
        <v>1.5907499999999999</v>
      </c>
      <c r="CY1">
        <f>AD1</f>
        <v>0</v>
      </c>
      <c r="CZ1">
        <f>AH1</f>
        <v>0</v>
      </c>
      <c r="DA1">
        <f>AL1</f>
        <v>1</v>
      </c>
      <c r="DB1">
        <f t="shared" ref="DB1:DB8" si="0">ROUND(ROUND(AT1*CZ1,2),6)</f>
        <v>0</v>
      </c>
      <c r="DC1">
        <f t="shared" ref="DC1:DC8" si="1">ROUND(ROUND(AT1*AG1,2),6)</f>
        <v>0</v>
      </c>
    </row>
    <row r="2" spans="1:107" x14ac:dyDescent="0.2">
      <c r="A2">
        <f>ROW(Source!A32)</f>
        <v>32</v>
      </c>
      <c r="B2">
        <v>38214492</v>
      </c>
      <c r="C2">
        <v>38214661</v>
      </c>
      <c r="D2">
        <v>34880230</v>
      </c>
      <c r="E2">
        <v>1</v>
      </c>
      <c r="F2">
        <v>1</v>
      </c>
      <c r="G2">
        <v>25</v>
      </c>
      <c r="H2">
        <v>2</v>
      </c>
      <c r="I2" t="s">
        <v>394</v>
      </c>
      <c r="J2" t="s">
        <v>395</v>
      </c>
      <c r="K2" t="s">
        <v>396</v>
      </c>
      <c r="L2">
        <v>1368</v>
      </c>
      <c r="N2">
        <v>1011</v>
      </c>
      <c r="O2" t="s">
        <v>397</v>
      </c>
      <c r="P2" t="s">
        <v>397</v>
      </c>
      <c r="Q2">
        <v>1</v>
      </c>
      <c r="W2">
        <v>0</v>
      </c>
      <c r="X2">
        <v>1675990774</v>
      </c>
      <c r="Y2">
        <v>0.01</v>
      </c>
      <c r="AA2">
        <v>0</v>
      </c>
      <c r="AB2">
        <v>6.28</v>
      </c>
      <c r="AC2">
        <v>0.01</v>
      </c>
      <c r="AD2">
        <v>0</v>
      </c>
      <c r="AE2">
        <v>0</v>
      </c>
      <c r="AF2">
        <v>6.28</v>
      </c>
      <c r="AG2">
        <v>0.01</v>
      </c>
      <c r="AH2">
        <v>0</v>
      </c>
      <c r="AI2">
        <v>1</v>
      </c>
      <c r="AJ2">
        <v>1</v>
      </c>
      <c r="AK2">
        <v>1</v>
      </c>
      <c r="AL2">
        <v>1</v>
      </c>
      <c r="AN2">
        <v>0</v>
      </c>
      <c r="AO2">
        <v>1</v>
      </c>
      <c r="AP2">
        <v>0</v>
      </c>
      <c r="AQ2">
        <v>0</v>
      </c>
      <c r="AR2">
        <v>0</v>
      </c>
      <c r="AS2" t="s">
        <v>3</v>
      </c>
      <c r="AT2">
        <v>0.01</v>
      </c>
      <c r="AU2" t="s">
        <v>3</v>
      </c>
      <c r="AV2">
        <v>0</v>
      </c>
      <c r="AW2">
        <v>2</v>
      </c>
      <c r="AX2">
        <v>38214666</v>
      </c>
      <c r="AY2">
        <v>2</v>
      </c>
      <c r="AZ2">
        <v>98304</v>
      </c>
      <c r="BA2">
        <v>2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CX2">
        <f>Y2*Source!I32</f>
        <v>1.0499999999999999E-3</v>
      </c>
      <c r="CY2">
        <f>AB2</f>
        <v>6.28</v>
      </c>
      <c r="CZ2">
        <f>AF2</f>
        <v>6.28</v>
      </c>
      <c r="DA2">
        <f>AJ2</f>
        <v>1</v>
      </c>
      <c r="DB2">
        <f t="shared" si="0"/>
        <v>0.06</v>
      </c>
      <c r="DC2">
        <f t="shared" si="1"/>
        <v>0</v>
      </c>
    </row>
    <row r="3" spans="1:107" x14ac:dyDescent="0.2">
      <c r="A3">
        <f>ROW(Source!A32)</f>
        <v>32</v>
      </c>
      <c r="B3">
        <v>38214492</v>
      </c>
      <c r="C3">
        <v>38214661</v>
      </c>
      <c r="D3">
        <v>34869071</v>
      </c>
      <c r="E3">
        <v>25</v>
      </c>
      <c r="F3">
        <v>1</v>
      </c>
      <c r="G3">
        <v>25</v>
      </c>
      <c r="H3">
        <v>3</v>
      </c>
      <c r="I3" t="s">
        <v>398</v>
      </c>
      <c r="J3" t="s">
        <v>3</v>
      </c>
      <c r="K3" t="s">
        <v>399</v>
      </c>
      <c r="L3">
        <v>1348</v>
      </c>
      <c r="N3">
        <v>1009</v>
      </c>
      <c r="O3" t="s">
        <v>30</v>
      </c>
      <c r="P3" t="s">
        <v>30</v>
      </c>
      <c r="Q3">
        <v>1000</v>
      </c>
      <c r="W3">
        <v>0</v>
      </c>
      <c r="X3">
        <v>1489638031</v>
      </c>
      <c r="Y3">
        <v>0.65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1</v>
      </c>
      <c r="AK3">
        <v>1</v>
      </c>
      <c r="AL3">
        <v>1</v>
      </c>
      <c r="AN3">
        <v>0</v>
      </c>
      <c r="AO3">
        <v>1</v>
      </c>
      <c r="AP3">
        <v>0</v>
      </c>
      <c r="AQ3">
        <v>0</v>
      </c>
      <c r="AR3">
        <v>0</v>
      </c>
      <c r="AS3" t="s">
        <v>3</v>
      </c>
      <c r="AT3">
        <v>0.65</v>
      </c>
      <c r="AU3" t="s">
        <v>3</v>
      </c>
      <c r="AV3">
        <v>0</v>
      </c>
      <c r="AW3">
        <v>2</v>
      </c>
      <c r="AX3">
        <v>38214667</v>
      </c>
      <c r="AY3">
        <v>1</v>
      </c>
      <c r="AZ3">
        <v>0</v>
      </c>
      <c r="BA3">
        <v>3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CX3">
        <f>Y3*Source!I32</f>
        <v>6.8250000000000005E-2</v>
      </c>
      <c r="CY3">
        <f>AA3</f>
        <v>0</v>
      </c>
      <c r="CZ3">
        <f>AE3</f>
        <v>0</v>
      </c>
      <c r="DA3">
        <f>AI3</f>
        <v>1</v>
      </c>
      <c r="DB3">
        <f t="shared" si="0"/>
        <v>0</v>
      </c>
      <c r="DC3">
        <f t="shared" si="1"/>
        <v>0</v>
      </c>
    </row>
    <row r="4" spans="1:107" x14ac:dyDescent="0.2">
      <c r="A4">
        <f>ROW(Source!A34)</f>
        <v>34</v>
      </c>
      <c r="B4">
        <v>38214492</v>
      </c>
      <c r="C4">
        <v>38214669</v>
      </c>
      <c r="D4">
        <v>34867259</v>
      </c>
      <c r="E4">
        <v>25</v>
      </c>
      <c r="F4">
        <v>1</v>
      </c>
      <c r="G4">
        <v>25</v>
      </c>
      <c r="H4">
        <v>1</v>
      </c>
      <c r="I4" t="s">
        <v>391</v>
      </c>
      <c r="J4" t="s">
        <v>3</v>
      </c>
      <c r="K4" t="s">
        <v>392</v>
      </c>
      <c r="L4">
        <v>1191</v>
      </c>
      <c r="N4">
        <v>1013</v>
      </c>
      <c r="O4" t="s">
        <v>393</v>
      </c>
      <c r="P4" t="s">
        <v>393</v>
      </c>
      <c r="Q4">
        <v>1</v>
      </c>
      <c r="W4">
        <v>0</v>
      </c>
      <c r="X4">
        <v>476480486</v>
      </c>
      <c r="Y4">
        <v>1.02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1</v>
      </c>
      <c r="AK4">
        <v>1</v>
      </c>
      <c r="AL4">
        <v>1</v>
      </c>
      <c r="AN4">
        <v>0</v>
      </c>
      <c r="AO4">
        <v>1</v>
      </c>
      <c r="AP4">
        <v>0</v>
      </c>
      <c r="AQ4">
        <v>0</v>
      </c>
      <c r="AR4">
        <v>0</v>
      </c>
      <c r="AS4" t="s">
        <v>3</v>
      </c>
      <c r="AT4">
        <v>1.02</v>
      </c>
      <c r="AU4" t="s">
        <v>3</v>
      </c>
      <c r="AV4">
        <v>1</v>
      </c>
      <c r="AW4">
        <v>2</v>
      </c>
      <c r="AX4">
        <v>38214671</v>
      </c>
      <c r="AY4">
        <v>1</v>
      </c>
      <c r="AZ4">
        <v>0</v>
      </c>
      <c r="BA4">
        <v>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CX4">
        <f>Y4*Source!I34</f>
        <v>6.961500000000001E-2</v>
      </c>
      <c r="CY4">
        <f>AD4</f>
        <v>0</v>
      </c>
      <c r="CZ4">
        <f>AH4</f>
        <v>0</v>
      </c>
      <c r="DA4">
        <f>AL4</f>
        <v>1</v>
      </c>
      <c r="DB4">
        <f t="shared" si="0"/>
        <v>0</v>
      </c>
      <c r="DC4">
        <f t="shared" si="1"/>
        <v>0</v>
      </c>
    </row>
    <row r="5" spans="1:107" x14ac:dyDescent="0.2">
      <c r="A5">
        <f>ROW(Source!A35)</f>
        <v>35</v>
      </c>
      <c r="B5">
        <v>38214492</v>
      </c>
      <c r="C5">
        <v>38214672</v>
      </c>
      <c r="D5">
        <v>34880178</v>
      </c>
      <c r="E5">
        <v>1</v>
      </c>
      <c r="F5">
        <v>1</v>
      </c>
      <c r="G5">
        <v>25</v>
      </c>
      <c r="H5">
        <v>2</v>
      </c>
      <c r="I5" t="s">
        <v>400</v>
      </c>
      <c r="J5" t="s">
        <v>401</v>
      </c>
      <c r="K5" t="s">
        <v>402</v>
      </c>
      <c r="L5">
        <v>1368</v>
      </c>
      <c r="N5">
        <v>1011</v>
      </c>
      <c r="O5" t="s">
        <v>397</v>
      </c>
      <c r="P5" t="s">
        <v>397</v>
      </c>
      <c r="Q5">
        <v>1</v>
      </c>
      <c r="W5">
        <v>0</v>
      </c>
      <c r="X5">
        <v>468658695</v>
      </c>
      <c r="Y5">
        <v>0.02</v>
      </c>
      <c r="AA5">
        <v>0</v>
      </c>
      <c r="AB5">
        <v>952.49</v>
      </c>
      <c r="AC5">
        <v>301.5</v>
      </c>
      <c r="AD5">
        <v>0</v>
      </c>
      <c r="AE5">
        <v>0</v>
      </c>
      <c r="AF5">
        <v>952.49</v>
      </c>
      <c r="AG5">
        <v>301.5</v>
      </c>
      <c r="AH5">
        <v>0</v>
      </c>
      <c r="AI5">
        <v>1</v>
      </c>
      <c r="AJ5">
        <v>1</v>
      </c>
      <c r="AK5">
        <v>1</v>
      </c>
      <c r="AL5">
        <v>1</v>
      </c>
      <c r="AN5">
        <v>0</v>
      </c>
      <c r="AO5">
        <v>1</v>
      </c>
      <c r="AP5">
        <v>0</v>
      </c>
      <c r="AQ5">
        <v>0</v>
      </c>
      <c r="AR5">
        <v>0</v>
      </c>
      <c r="AS5" t="s">
        <v>3</v>
      </c>
      <c r="AT5">
        <v>0.02</v>
      </c>
      <c r="AU5" t="s">
        <v>3</v>
      </c>
      <c r="AV5">
        <v>0</v>
      </c>
      <c r="AW5">
        <v>2</v>
      </c>
      <c r="AX5">
        <v>38214675</v>
      </c>
      <c r="AY5">
        <v>2</v>
      </c>
      <c r="AZ5">
        <v>98304</v>
      </c>
      <c r="BA5">
        <v>5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CX5">
        <f>Y5*Source!I35</f>
        <v>0</v>
      </c>
      <c r="CY5">
        <f t="shared" ref="CY5:CY10" si="2">AB5</f>
        <v>952.49</v>
      </c>
      <c r="CZ5">
        <f t="shared" ref="CZ5:CZ10" si="3">AF5</f>
        <v>952.49</v>
      </c>
      <c r="DA5">
        <f t="shared" ref="DA5:DA10" si="4">AJ5</f>
        <v>1</v>
      </c>
      <c r="DB5">
        <f t="shared" si="0"/>
        <v>19.05</v>
      </c>
      <c r="DC5">
        <f t="shared" si="1"/>
        <v>6.03</v>
      </c>
    </row>
    <row r="6" spans="1:107" x14ac:dyDescent="0.2">
      <c r="A6">
        <f>ROW(Source!A35)</f>
        <v>35</v>
      </c>
      <c r="B6">
        <v>38214492</v>
      </c>
      <c r="C6">
        <v>38214672</v>
      </c>
      <c r="D6">
        <v>34880179</v>
      </c>
      <c r="E6">
        <v>1</v>
      </c>
      <c r="F6">
        <v>1</v>
      </c>
      <c r="G6">
        <v>25</v>
      </c>
      <c r="H6">
        <v>2</v>
      </c>
      <c r="I6" t="s">
        <v>403</v>
      </c>
      <c r="J6" t="s">
        <v>404</v>
      </c>
      <c r="K6" t="s">
        <v>405</v>
      </c>
      <c r="L6">
        <v>1368</v>
      </c>
      <c r="N6">
        <v>1011</v>
      </c>
      <c r="O6" t="s">
        <v>397</v>
      </c>
      <c r="P6" t="s">
        <v>397</v>
      </c>
      <c r="Q6">
        <v>1</v>
      </c>
      <c r="W6">
        <v>0</v>
      </c>
      <c r="X6">
        <v>-1546163025</v>
      </c>
      <c r="Y6">
        <v>1.7999999999999999E-2</v>
      </c>
      <c r="AA6">
        <v>0</v>
      </c>
      <c r="AB6">
        <v>993.6</v>
      </c>
      <c r="AC6">
        <v>301.8</v>
      </c>
      <c r="AD6">
        <v>0</v>
      </c>
      <c r="AE6">
        <v>0</v>
      </c>
      <c r="AF6">
        <v>993.6</v>
      </c>
      <c r="AG6">
        <v>301.8</v>
      </c>
      <c r="AH6">
        <v>0</v>
      </c>
      <c r="AI6">
        <v>1</v>
      </c>
      <c r="AJ6">
        <v>1</v>
      </c>
      <c r="AK6">
        <v>1</v>
      </c>
      <c r="AL6">
        <v>1</v>
      </c>
      <c r="AN6">
        <v>0</v>
      </c>
      <c r="AO6">
        <v>1</v>
      </c>
      <c r="AP6">
        <v>0</v>
      </c>
      <c r="AQ6">
        <v>0</v>
      </c>
      <c r="AR6">
        <v>0</v>
      </c>
      <c r="AS6" t="s">
        <v>3</v>
      </c>
      <c r="AT6">
        <v>1.7999999999999999E-2</v>
      </c>
      <c r="AU6" t="s">
        <v>3</v>
      </c>
      <c r="AV6">
        <v>0</v>
      </c>
      <c r="AW6">
        <v>2</v>
      </c>
      <c r="AX6">
        <v>38214676</v>
      </c>
      <c r="AY6">
        <v>2</v>
      </c>
      <c r="AZ6">
        <v>98304</v>
      </c>
      <c r="BA6">
        <v>6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CX6">
        <f>Y6*Source!I35</f>
        <v>0</v>
      </c>
      <c r="CY6">
        <f t="shared" si="2"/>
        <v>993.6</v>
      </c>
      <c r="CZ6">
        <f t="shared" si="3"/>
        <v>993.6</v>
      </c>
      <c r="DA6">
        <f t="shared" si="4"/>
        <v>1</v>
      </c>
      <c r="DB6">
        <f t="shared" si="0"/>
        <v>17.88</v>
      </c>
      <c r="DC6">
        <f t="shared" si="1"/>
        <v>5.43</v>
      </c>
    </row>
    <row r="7" spans="1:107" x14ac:dyDescent="0.2">
      <c r="A7">
        <f>ROW(Source!A36)</f>
        <v>36</v>
      </c>
      <c r="B7">
        <v>38214492</v>
      </c>
      <c r="C7">
        <v>38214677</v>
      </c>
      <c r="D7">
        <v>34880178</v>
      </c>
      <c r="E7">
        <v>1</v>
      </c>
      <c r="F7">
        <v>1</v>
      </c>
      <c r="G7">
        <v>25</v>
      </c>
      <c r="H7">
        <v>2</v>
      </c>
      <c r="I7" t="s">
        <v>400</v>
      </c>
      <c r="J7" t="s">
        <v>401</v>
      </c>
      <c r="K7" t="s">
        <v>402</v>
      </c>
      <c r="L7">
        <v>1368</v>
      </c>
      <c r="N7">
        <v>1011</v>
      </c>
      <c r="O7" t="s">
        <v>397</v>
      </c>
      <c r="P7" t="s">
        <v>397</v>
      </c>
      <c r="Q7">
        <v>1</v>
      </c>
      <c r="W7">
        <v>0</v>
      </c>
      <c r="X7">
        <v>468658695</v>
      </c>
      <c r="Y7">
        <v>5.3999999999999999E-2</v>
      </c>
      <c r="AA7">
        <v>0</v>
      </c>
      <c r="AB7">
        <v>952.49</v>
      </c>
      <c r="AC7">
        <v>301.5</v>
      </c>
      <c r="AD7">
        <v>0</v>
      </c>
      <c r="AE7">
        <v>0</v>
      </c>
      <c r="AF7">
        <v>952.49</v>
      </c>
      <c r="AG7">
        <v>301.5</v>
      </c>
      <c r="AH7">
        <v>0</v>
      </c>
      <c r="AI7">
        <v>1</v>
      </c>
      <c r="AJ7">
        <v>1</v>
      </c>
      <c r="AK7">
        <v>1</v>
      </c>
      <c r="AL7">
        <v>1</v>
      </c>
      <c r="AN7">
        <v>0</v>
      </c>
      <c r="AO7">
        <v>1</v>
      </c>
      <c r="AP7">
        <v>0</v>
      </c>
      <c r="AQ7">
        <v>0</v>
      </c>
      <c r="AR7">
        <v>0</v>
      </c>
      <c r="AS7" t="s">
        <v>3</v>
      </c>
      <c r="AT7">
        <v>5.3999999999999999E-2</v>
      </c>
      <c r="AU7" t="s">
        <v>3</v>
      </c>
      <c r="AV7">
        <v>0</v>
      </c>
      <c r="AW7">
        <v>2</v>
      </c>
      <c r="AX7">
        <v>38214680</v>
      </c>
      <c r="AY7">
        <v>2</v>
      </c>
      <c r="AZ7">
        <v>98304</v>
      </c>
      <c r="BA7">
        <v>7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CX7">
        <f>Y7*Source!I36</f>
        <v>3.6855000000000004E-3</v>
      </c>
      <c r="CY7">
        <f t="shared" si="2"/>
        <v>952.49</v>
      </c>
      <c r="CZ7">
        <f t="shared" si="3"/>
        <v>952.49</v>
      </c>
      <c r="DA7">
        <f t="shared" si="4"/>
        <v>1</v>
      </c>
      <c r="DB7">
        <f t="shared" si="0"/>
        <v>51.43</v>
      </c>
      <c r="DC7">
        <f t="shared" si="1"/>
        <v>16.28</v>
      </c>
    </row>
    <row r="8" spans="1:107" x14ac:dyDescent="0.2">
      <c r="A8">
        <f>ROW(Source!A36)</f>
        <v>36</v>
      </c>
      <c r="B8">
        <v>38214492</v>
      </c>
      <c r="C8">
        <v>38214677</v>
      </c>
      <c r="D8">
        <v>34880179</v>
      </c>
      <c r="E8">
        <v>1</v>
      </c>
      <c r="F8">
        <v>1</v>
      </c>
      <c r="G8">
        <v>25</v>
      </c>
      <c r="H8">
        <v>2</v>
      </c>
      <c r="I8" t="s">
        <v>403</v>
      </c>
      <c r="J8" t="s">
        <v>404</v>
      </c>
      <c r="K8" t="s">
        <v>405</v>
      </c>
      <c r="L8">
        <v>1368</v>
      </c>
      <c r="N8">
        <v>1011</v>
      </c>
      <c r="O8" t="s">
        <v>397</v>
      </c>
      <c r="P8" t="s">
        <v>397</v>
      </c>
      <c r="Q8">
        <v>1</v>
      </c>
      <c r="W8">
        <v>0</v>
      </c>
      <c r="X8">
        <v>-1546163025</v>
      </c>
      <c r="Y8">
        <v>5.5E-2</v>
      </c>
      <c r="AA8">
        <v>0</v>
      </c>
      <c r="AB8">
        <v>993.6</v>
      </c>
      <c r="AC8">
        <v>301.8</v>
      </c>
      <c r="AD8">
        <v>0</v>
      </c>
      <c r="AE8">
        <v>0</v>
      </c>
      <c r="AF8">
        <v>993.6</v>
      </c>
      <c r="AG8">
        <v>301.8</v>
      </c>
      <c r="AH8">
        <v>0</v>
      </c>
      <c r="AI8">
        <v>1</v>
      </c>
      <c r="AJ8">
        <v>1</v>
      </c>
      <c r="AK8">
        <v>1</v>
      </c>
      <c r="AL8">
        <v>1</v>
      </c>
      <c r="AN8">
        <v>0</v>
      </c>
      <c r="AO8">
        <v>1</v>
      </c>
      <c r="AP8">
        <v>0</v>
      </c>
      <c r="AQ8">
        <v>0</v>
      </c>
      <c r="AR8">
        <v>0</v>
      </c>
      <c r="AS8" t="s">
        <v>3</v>
      </c>
      <c r="AT8">
        <v>5.5E-2</v>
      </c>
      <c r="AU8" t="s">
        <v>3</v>
      </c>
      <c r="AV8">
        <v>0</v>
      </c>
      <c r="AW8">
        <v>2</v>
      </c>
      <c r="AX8">
        <v>38214681</v>
      </c>
      <c r="AY8">
        <v>2</v>
      </c>
      <c r="AZ8">
        <v>98304</v>
      </c>
      <c r="BA8">
        <v>8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CX8">
        <f>Y8*Source!I36</f>
        <v>3.7537500000000001E-3</v>
      </c>
      <c r="CY8">
        <f t="shared" si="2"/>
        <v>993.6</v>
      </c>
      <c r="CZ8">
        <f t="shared" si="3"/>
        <v>993.6</v>
      </c>
      <c r="DA8">
        <f t="shared" si="4"/>
        <v>1</v>
      </c>
      <c r="DB8">
        <f t="shared" si="0"/>
        <v>54.65</v>
      </c>
      <c r="DC8">
        <f t="shared" si="1"/>
        <v>16.600000000000001</v>
      </c>
    </row>
    <row r="9" spans="1:107" x14ac:dyDescent="0.2">
      <c r="A9">
        <f>ROW(Source!A37)</f>
        <v>37</v>
      </c>
      <c r="B9">
        <v>38214492</v>
      </c>
      <c r="C9">
        <v>38214682</v>
      </c>
      <c r="D9">
        <v>34880178</v>
      </c>
      <c r="E9">
        <v>1</v>
      </c>
      <c r="F9">
        <v>1</v>
      </c>
      <c r="G9">
        <v>25</v>
      </c>
      <c r="H9">
        <v>2</v>
      </c>
      <c r="I9" t="s">
        <v>400</v>
      </c>
      <c r="J9" t="s">
        <v>401</v>
      </c>
      <c r="K9" t="s">
        <v>402</v>
      </c>
      <c r="L9">
        <v>1368</v>
      </c>
      <c r="N9">
        <v>1011</v>
      </c>
      <c r="O9" t="s">
        <v>397</v>
      </c>
      <c r="P9" t="s">
        <v>397</v>
      </c>
      <c r="Q9">
        <v>1</v>
      </c>
      <c r="W9">
        <v>0</v>
      </c>
      <c r="X9">
        <v>468658695</v>
      </c>
      <c r="Y9">
        <v>0.25</v>
      </c>
      <c r="AA9">
        <v>0</v>
      </c>
      <c r="AB9">
        <v>952.49</v>
      </c>
      <c r="AC9">
        <v>301.5</v>
      </c>
      <c r="AD9">
        <v>0</v>
      </c>
      <c r="AE9">
        <v>0</v>
      </c>
      <c r="AF9">
        <v>952.49</v>
      </c>
      <c r="AG9">
        <v>301.5</v>
      </c>
      <c r="AH9">
        <v>0</v>
      </c>
      <c r="AI9">
        <v>1</v>
      </c>
      <c r="AJ9">
        <v>1</v>
      </c>
      <c r="AK9">
        <v>1</v>
      </c>
      <c r="AL9">
        <v>1</v>
      </c>
      <c r="AN9">
        <v>0</v>
      </c>
      <c r="AO9">
        <v>1</v>
      </c>
      <c r="AP9">
        <v>1</v>
      </c>
      <c r="AQ9">
        <v>0</v>
      </c>
      <c r="AR9">
        <v>0</v>
      </c>
      <c r="AS9" t="s">
        <v>3</v>
      </c>
      <c r="AT9">
        <v>0.01</v>
      </c>
      <c r="AU9" t="s">
        <v>51</v>
      </c>
      <c r="AV9">
        <v>0</v>
      </c>
      <c r="AW9">
        <v>2</v>
      </c>
      <c r="AX9">
        <v>38214685</v>
      </c>
      <c r="AY9">
        <v>2</v>
      </c>
      <c r="AZ9">
        <v>98304</v>
      </c>
      <c r="BA9">
        <v>9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CX9">
        <f>Y9*Source!I37</f>
        <v>1.7062500000000001E-2</v>
      </c>
      <c r="CY9">
        <f t="shared" si="2"/>
        <v>952.49</v>
      </c>
      <c r="CZ9">
        <f t="shared" si="3"/>
        <v>952.49</v>
      </c>
      <c r="DA9">
        <f t="shared" si="4"/>
        <v>1</v>
      </c>
      <c r="DB9">
        <f>ROUND((ROUND(AT9*CZ9,2)*25),6)</f>
        <v>238</v>
      </c>
      <c r="DC9">
        <f>ROUND((ROUND(AT9*AG9,2)*25),6)</f>
        <v>75.5</v>
      </c>
    </row>
    <row r="10" spans="1:107" x14ac:dyDescent="0.2">
      <c r="A10">
        <f>ROW(Source!A37)</f>
        <v>37</v>
      </c>
      <c r="B10">
        <v>38214492</v>
      </c>
      <c r="C10">
        <v>38214682</v>
      </c>
      <c r="D10">
        <v>34880179</v>
      </c>
      <c r="E10">
        <v>1</v>
      </c>
      <c r="F10">
        <v>1</v>
      </c>
      <c r="G10">
        <v>25</v>
      </c>
      <c r="H10">
        <v>2</v>
      </c>
      <c r="I10" t="s">
        <v>403</v>
      </c>
      <c r="J10" t="s">
        <v>404</v>
      </c>
      <c r="K10" t="s">
        <v>405</v>
      </c>
      <c r="L10">
        <v>1368</v>
      </c>
      <c r="N10">
        <v>1011</v>
      </c>
      <c r="O10" t="s">
        <v>397</v>
      </c>
      <c r="P10" t="s">
        <v>397</v>
      </c>
      <c r="Q10">
        <v>1</v>
      </c>
      <c r="W10">
        <v>0</v>
      </c>
      <c r="X10">
        <v>-1546163025</v>
      </c>
      <c r="Y10">
        <v>0.2</v>
      </c>
      <c r="AA10">
        <v>0</v>
      </c>
      <c r="AB10">
        <v>993.6</v>
      </c>
      <c r="AC10">
        <v>301.8</v>
      </c>
      <c r="AD10">
        <v>0</v>
      </c>
      <c r="AE10">
        <v>0</v>
      </c>
      <c r="AF10">
        <v>993.6</v>
      </c>
      <c r="AG10">
        <v>301.8</v>
      </c>
      <c r="AH10">
        <v>0</v>
      </c>
      <c r="AI10">
        <v>1</v>
      </c>
      <c r="AJ10">
        <v>1</v>
      </c>
      <c r="AK10">
        <v>1</v>
      </c>
      <c r="AL10">
        <v>1</v>
      </c>
      <c r="AN10">
        <v>0</v>
      </c>
      <c r="AO10">
        <v>1</v>
      </c>
      <c r="AP10">
        <v>1</v>
      </c>
      <c r="AQ10">
        <v>0</v>
      </c>
      <c r="AR10">
        <v>0</v>
      </c>
      <c r="AS10" t="s">
        <v>3</v>
      </c>
      <c r="AT10">
        <v>8.0000000000000002E-3</v>
      </c>
      <c r="AU10" t="s">
        <v>51</v>
      </c>
      <c r="AV10">
        <v>0</v>
      </c>
      <c r="AW10">
        <v>2</v>
      </c>
      <c r="AX10">
        <v>38214686</v>
      </c>
      <c r="AY10">
        <v>2</v>
      </c>
      <c r="AZ10">
        <v>98304</v>
      </c>
      <c r="BA10">
        <v>10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CX10">
        <f>Y10*Source!I37</f>
        <v>1.3650000000000002E-2</v>
      </c>
      <c r="CY10">
        <f t="shared" si="2"/>
        <v>993.6</v>
      </c>
      <c r="CZ10">
        <f t="shared" si="3"/>
        <v>993.6</v>
      </c>
      <c r="DA10">
        <f t="shared" si="4"/>
        <v>1</v>
      </c>
      <c r="DB10">
        <f>ROUND((ROUND(AT10*CZ10,2)*25),6)</f>
        <v>198.75</v>
      </c>
      <c r="DC10">
        <f>ROUND((ROUND(AT10*AG10,2)*25),6)</f>
        <v>60.25</v>
      </c>
    </row>
    <row r="11" spans="1:107" x14ac:dyDescent="0.2">
      <c r="A11">
        <f>ROW(Source!A74)</f>
        <v>74</v>
      </c>
      <c r="B11">
        <v>38214492</v>
      </c>
      <c r="C11">
        <v>38214744</v>
      </c>
      <c r="D11">
        <v>34867259</v>
      </c>
      <c r="E11">
        <v>25</v>
      </c>
      <c r="F11">
        <v>1</v>
      </c>
      <c r="G11">
        <v>25</v>
      </c>
      <c r="H11">
        <v>1</v>
      </c>
      <c r="I11" t="s">
        <v>391</v>
      </c>
      <c r="J11" t="s">
        <v>3</v>
      </c>
      <c r="K11" t="s">
        <v>392</v>
      </c>
      <c r="L11">
        <v>1191</v>
      </c>
      <c r="N11">
        <v>1013</v>
      </c>
      <c r="O11" t="s">
        <v>393</v>
      </c>
      <c r="P11" t="s">
        <v>393</v>
      </c>
      <c r="Q11">
        <v>1</v>
      </c>
      <c r="W11">
        <v>0</v>
      </c>
      <c r="X11">
        <v>476480486</v>
      </c>
      <c r="Y11">
        <v>87.4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1</v>
      </c>
      <c r="AK11">
        <v>1</v>
      </c>
      <c r="AL11">
        <v>1</v>
      </c>
      <c r="AN11">
        <v>0</v>
      </c>
      <c r="AO11">
        <v>1</v>
      </c>
      <c r="AP11">
        <v>0</v>
      </c>
      <c r="AQ11">
        <v>0</v>
      </c>
      <c r="AR11">
        <v>0</v>
      </c>
      <c r="AS11" t="s">
        <v>3</v>
      </c>
      <c r="AT11">
        <v>87.4</v>
      </c>
      <c r="AU11" t="s">
        <v>3</v>
      </c>
      <c r="AV11">
        <v>1</v>
      </c>
      <c r="AW11">
        <v>2</v>
      </c>
      <c r="AX11">
        <v>38214750</v>
      </c>
      <c r="AY11">
        <v>1</v>
      </c>
      <c r="AZ11">
        <v>0</v>
      </c>
      <c r="BA11">
        <v>11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CX11">
        <f>Y11*Source!I74</f>
        <v>17.48</v>
      </c>
      <c r="CY11">
        <f>AD11</f>
        <v>0</v>
      </c>
      <c r="CZ11">
        <f>AH11</f>
        <v>0</v>
      </c>
      <c r="DA11">
        <f>AL11</f>
        <v>1</v>
      </c>
      <c r="DB11">
        <f>ROUND(ROUND(AT11*CZ11,2),6)</f>
        <v>0</v>
      </c>
      <c r="DC11">
        <f>ROUND(ROUND(AT11*AG11,2),6)</f>
        <v>0</v>
      </c>
    </row>
    <row r="12" spans="1:107" x14ac:dyDescent="0.2">
      <c r="A12">
        <f>ROW(Source!A74)</f>
        <v>74</v>
      </c>
      <c r="B12">
        <v>38214492</v>
      </c>
      <c r="C12">
        <v>38214744</v>
      </c>
      <c r="D12">
        <v>34879517</v>
      </c>
      <c r="E12">
        <v>1</v>
      </c>
      <c r="F12">
        <v>1</v>
      </c>
      <c r="G12">
        <v>25</v>
      </c>
      <c r="H12">
        <v>2</v>
      </c>
      <c r="I12" t="s">
        <v>406</v>
      </c>
      <c r="J12" t="s">
        <v>407</v>
      </c>
      <c r="K12" t="s">
        <v>408</v>
      </c>
      <c r="L12">
        <v>1368</v>
      </c>
      <c r="N12">
        <v>1011</v>
      </c>
      <c r="O12" t="s">
        <v>397</v>
      </c>
      <c r="P12" t="s">
        <v>397</v>
      </c>
      <c r="Q12">
        <v>1</v>
      </c>
      <c r="W12">
        <v>0</v>
      </c>
      <c r="X12">
        <v>-1063871118</v>
      </c>
      <c r="Y12">
        <v>19</v>
      </c>
      <c r="AA12">
        <v>0</v>
      </c>
      <c r="AB12">
        <v>31.01</v>
      </c>
      <c r="AC12">
        <v>1.29</v>
      </c>
      <c r="AD12">
        <v>0</v>
      </c>
      <c r="AE12">
        <v>0</v>
      </c>
      <c r="AF12">
        <v>31.01</v>
      </c>
      <c r="AG12">
        <v>1.29</v>
      </c>
      <c r="AH12">
        <v>0</v>
      </c>
      <c r="AI12">
        <v>1</v>
      </c>
      <c r="AJ12">
        <v>1</v>
      </c>
      <c r="AK12">
        <v>1</v>
      </c>
      <c r="AL12">
        <v>1</v>
      </c>
      <c r="AN12">
        <v>0</v>
      </c>
      <c r="AO12">
        <v>1</v>
      </c>
      <c r="AP12">
        <v>0</v>
      </c>
      <c r="AQ12">
        <v>0</v>
      </c>
      <c r="AR12">
        <v>0</v>
      </c>
      <c r="AS12" t="s">
        <v>3</v>
      </c>
      <c r="AT12">
        <v>19</v>
      </c>
      <c r="AU12" t="s">
        <v>3</v>
      </c>
      <c r="AV12">
        <v>0</v>
      </c>
      <c r="AW12">
        <v>2</v>
      </c>
      <c r="AX12">
        <v>38214751</v>
      </c>
      <c r="AY12">
        <v>1</v>
      </c>
      <c r="AZ12">
        <v>0</v>
      </c>
      <c r="BA12">
        <v>12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CX12">
        <f>Y12*Source!I74</f>
        <v>3.8000000000000003</v>
      </c>
      <c r="CY12">
        <f>AB12</f>
        <v>31.01</v>
      </c>
      <c r="CZ12">
        <f>AF12</f>
        <v>31.01</v>
      </c>
      <c r="DA12">
        <f>AJ12</f>
        <v>1</v>
      </c>
      <c r="DB12">
        <f>ROUND(ROUND(AT12*CZ12,2),6)</f>
        <v>589.19000000000005</v>
      </c>
      <c r="DC12">
        <f>ROUND(ROUND(AT12*AG12,2),6)</f>
        <v>24.51</v>
      </c>
    </row>
    <row r="13" spans="1:107" x14ac:dyDescent="0.2">
      <c r="A13">
        <f>ROW(Source!A74)</f>
        <v>74</v>
      </c>
      <c r="B13">
        <v>38214492</v>
      </c>
      <c r="C13">
        <v>38214744</v>
      </c>
      <c r="D13">
        <v>34881323</v>
      </c>
      <c r="E13">
        <v>1</v>
      </c>
      <c r="F13">
        <v>1</v>
      </c>
      <c r="G13">
        <v>25</v>
      </c>
      <c r="H13">
        <v>3</v>
      </c>
      <c r="I13" t="s">
        <v>409</v>
      </c>
      <c r="J13" t="s">
        <v>410</v>
      </c>
      <c r="K13" t="s">
        <v>411</v>
      </c>
      <c r="L13">
        <v>1348</v>
      </c>
      <c r="N13">
        <v>1009</v>
      </c>
      <c r="O13" t="s">
        <v>30</v>
      </c>
      <c r="P13" t="s">
        <v>30</v>
      </c>
      <c r="Q13">
        <v>1000</v>
      </c>
      <c r="W13">
        <v>0</v>
      </c>
      <c r="X13">
        <v>-220406470</v>
      </c>
      <c r="Y13">
        <v>0</v>
      </c>
      <c r="AA13">
        <v>103472.53</v>
      </c>
      <c r="AB13">
        <v>0</v>
      </c>
      <c r="AC13">
        <v>0</v>
      </c>
      <c r="AD13">
        <v>0</v>
      </c>
      <c r="AE13">
        <v>103472.53</v>
      </c>
      <c r="AF13">
        <v>0</v>
      </c>
      <c r="AG13">
        <v>0</v>
      </c>
      <c r="AH13">
        <v>0</v>
      </c>
      <c r="AI13">
        <v>1</v>
      </c>
      <c r="AJ13">
        <v>1</v>
      </c>
      <c r="AK13">
        <v>1</v>
      </c>
      <c r="AL13">
        <v>1</v>
      </c>
      <c r="AN13">
        <v>0</v>
      </c>
      <c r="AO13">
        <v>1</v>
      </c>
      <c r="AP13">
        <v>1</v>
      </c>
      <c r="AQ13">
        <v>0</v>
      </c>
      <c r="AR13">
        <v>0</v>
      </c>
      <c r="AS13" t="s">
        <v>3</v>
      </c>
      <c r="AT13">
        <v>3.3E-3</v>
      </c>
      <c r="AU13" t="s">
        <v>32</v>
      </c>
      <c r="AV13">
        <v>0</v>
      </c>
      <c r="AW13">
        <v>2</v>
      </c>
      <c r="AX13">
        <v>38214752</v>
      </c>
      <c r="AY13">
        <v>1</v>
      </c>
      <c r="AZ13">
        <v>0</v>
      </c>
      <c r="BA13">
        <v>13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CX13">
        <f>Y13*Source!I74</f>
        <v>0</v>
      </c>
      <c r="CY13">
        <f>AA13</f>
        <v>103472.53</v>
      </c>
      <c r="CZ13">
        <f>AE13</f>
        <v>103472.53</v>
      </c>
      <c r="DA13">
        <f>AI13</f>
        <v>1</v>
      </c>
      <c r="DB13">
        <f>ROUND((ROUND(AT13*CZ13,2)*0),6)</f>
        <v>0</v>
      </c>
      <c r="DC13">
        <f>ROUND((ROUND(AT13*AG13,2)*0),6)</f>
        <v>0</v>
      </c>
    </row>
    <row r="14" spans="1:107" x14ac:dyDescent="0.2">
      <c r="A14">
        <f>ROW(Source!A74)</f>
        <v>74</v>
      </c>
      <c r="B14">
        <v>38214492</v>
      </c>
      <c r="C14">
        <v>38214744</v>
      </c>
      <c r="D14">
        <v>34882179</v>
      </c>
      <c r="E14">
        <v>1</v>
      </c>
      <c r="F14">
        <v>1</v>
      </c>
      <c r="G14">
        <v>25</v>
      </c>
      <c r="H14">
        <v>3</v>
      </c>
      <c r="I14" t="s">
        <v>412</v>
      </c>
      <c r="J14" t="s">
        <v>413</v>
      </c>
      <c r="K14" t="s">
        <v>414</v>
      </c>
      <c r="L14">
        <v>1348</v>
      </c>
      <c r="N14">
        <v>1009</v>
      </c>
      <c r="O14" t="s">
        <v>30</v>
      </c>
      <c r="P14" t="s">
        <v>30</v>
      </c>
      <c r="Q14">
        <v>1000</v>
      </c>
      <c r="W14">
        <v>0</v>
      </c>
      <c r="X14">
        <v>-475338610</v>
      </c>
      <c r="Y14">
        <v>0</v>
      </c>
      <c r="AA14">
        <v>110728.72</v>
      </c>
      <c r="AB14">
        <v>0</v>
      </c>
      <c r="AC14">
        <v>0</v>
      </c>
      <c r="AD14">
        <v>0</v>
      </c>
      <c r="AE14">
        <v>110728.72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N14">
        <v>0</v>
      </c>
      <c r="AO14">
        <v>1</v>
      </c>
      <c r="AP14">
        <v>1</v>
      </c>
      <c r="AQ14">
        <v>0</v>
      </c>
      <c r="AR14">
        <v>0</v>
      </c>
      <c r="AS14" t="s">
        <v>3</v>
      </c>
      <c r="AT14">
        <v>1.4E-3</v>
      </c>
      <c r="AU14" t="s">
        <v>32</v>
      </c>
      <c r="AV14">
        <v>0</v>
      </c>
      <c r="AW14">
        <v>2</v>
      </c>
      <c r="AX14">
        <v>38214753</v>
      </c>
      <c r="AY14">
        <v>1</v>
      </c>
      <c r="AZ14">
        <v>0</v>
      </c>
      <c r="BA14">
        <v>14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CX14">
        <f>Y14*Source!I74</f>
        <v>0</v>
      </c>
      <c r="CY14">
        <f>AA14</f>
        <v>110728.72</v>
      </c>
      <c r="CZ14">
        <f>AE14</f>
        <v>110728.72</v>
      </c>
      <c r="DA14">
        <f>AI14</f>
        <v>1</v>
      </c>
      <c r="DB14">
        <f>ROUND((ROUND(AT14*CZ14,2)*0),6)</f>
        <v>0</v>
      </c>
      <c r="DC14">
        <f>ROUND((ROUND(AT14*AG14,2)*0),6)</f>
        <v>0</v>
      </c>
    </row>
    <row r="15" spans="1:107" x14ac:dyDescent="0.2">
      <c r="A15">
        <f>ROW(Source!A74)</f>
        <v>74</v>
      </c>
      <c r="B15">
        <v>38214492</v>
      </c>
      <c r="C15">
        <v>38214744</v>
      </c>
      <c r="D15">
        <v>34884265</v>
      </c>
      <c r="E15">
        <v>1</v>
      </c>
      <c r="F15">
        <v>1</v>
      </c>
      <c r="G15">
        <v>25</v>
      </c>
      <c r="H15">
        <v>3</v>
      </c>
      <c r="I15" t="s">
        <v>415</v>
      </c>
      <c r="J15" t="s">
        <v>416</v>
      </c>
      <c r="K15" t="s">
        <v>417</v>
      </c>
      <c r="L15">
        <v>1348</v>
      </c>
      <c r="N15">
        <v>1009</v>
      </c>
      <c r="O15" t="s">
        <v>30</v>
      </c>
      <c r="P15" t="s">
        <v>30</v>
      </c>
      <c r="Q15">
        <v>1000</v>
      </c>
      <c r="W15">
        <v>0</v>
      </c>
      <c r="X15">
        <v>927048313</v>
      </c>
      <c r="Y15">
        <v>0</v>
      </c>
      <c r="AA15">
        <v>74995.210000000006</v>
      </c>
      <c r="AB15">
        <v>0</v>
      </c>
      <c r="AC15">
        <v>0</v>
      </c>
      <c r="AD15">
        <v>0</v>
      </c>
      <c r="AE15">
        <v>74995.210000000006</v>
      </c>
      <c r="AF15">
        <v>0</v>
      </c>
      <c r="AG15">
        <v>0</v>
      </c>
      <c r="AH15">
        <v>0</v>
      </c>
      <c r="AI15">
        <v>1</v>
      </c>
      <c r="AJ15">
        <v>1</v>
      </c>
      <c r="AK15">
        <v>1</v>
      </c>
      <c r="AL15">
        <v>1</v>
      </c>
      <c r="AN15">
        <v>0</v>
      </c>
      <c r="AO15">
        <v>1</v>
      </c>
      <c r="AP15">
        <v>1</v>
      </c>
      <c r="AQ15">
        <v>0</v>
      </c>
      <c r="AR15">
        <v>0</v>
      </c>
      <c r="AS15" t="s">
        <v>3</v>
      </c>
      <c r="AT15">
        <v>1</v>
      </c>
      <c r="AU15" t="s">
        <v>32</v>
      </c>
      <c r="AV15">
        <v>0</v>
      </c>
      <c r="AW15">
        <v>2</v>
      </c>
      <c r="AX15">
        <v>38214754</v>
      </c>
      <c r="AY15">
        <v>1</v>
      </c>
      <c r="AZ15">
        <v>0</v>
      </c>
      <c r="BA15">
        <v>15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CX15">
        <f>Y15*Source!I74</f>
        <v>0</v>
      </c>
      <c r="CY15">
        <f>AA15</f>
        <v>74995.210000000006</v>
      </c>
      <c r="CZ15">
        <f>AE15</f>
        <v>74995.210000000006</v>
      </c>
      <c r="DA15">
        <f>AI15</f>
        <v>1</v>
      </c>
      <c r="DB15">
        <f>ROUND((ROUND(AT15*CZ15,2)*0),6)</f>
        <v>0</v>
      </c>
      <c r="DC15">
        <f>ROUND((ROUND(AT15*AG15,2)*0),6)</f>
        <v>0</v>
      </c>
    </row>
    <row r="16" spans="1:107" x14ac:dyDescent="0.2">
      <c r="A16">
        <f>ROW(Source!A75)</f>
        <v>75</v>
      </c>
      <c r="B16">
        <v>38214492</v>
      </c>
      <c r="C16">
        <v>38214755</v>
      </c>
      <c r="D16">
        <v>34867259</v>
      </c>
      <c r="E16">
        <v>25</v>
      </c>
      <c r="F16">
        <v>1</v>
      </c>
      <c r="G16">
        <v>25</v>
      </c>
      <c r="H16">
        <v>1</v>
      </c>
      <c r="I16" t="s">
        <v>391</v>
      </c>
      <c r="J16" t="s">
        <v>3</v>
      </c>
      <c r="K16" t="s">
        <v>392</v>
      </c>
      <c r="L16">
        <v>1191</v>
      </c>
      <c r="N16">
        <v>1013</v>
      </c>
      <c r="O16" t="s">
        <v>393</v>
      </c>
      <c r="P16" t="s">
        <v>393</v>
      </c>
      <c r="Q16">
        <v>1</v>
      </c>
      <c r="W16">
        <v>0</v>
      </c>
      <c r="X16">
        <v>476480486</v>
      </c>
      <c r="Y16">
        <v>342.54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1</v>
      </c>
      <c r="AK16">
        <v>1</v>
      </c>
      <c r="AL16">
        <v>1</v>
      </c>
      <c r="AN16">
        <v>0</v>
      </c>
      <c r="AO16">
        <v>1</v>
      </c>
      <c r="AP16">
        <v>0</v>
      </c>
      <c r="AQ16">
        <v>0</v>
      </c>
      <c r="AR16">
        <v>0</v>
      </c>
      <c r="AS16" t="s">
        <v>3</v>
      </c>
      <c r="AT16">
        <v>342.54</v>
      </c>
      <c r="AU16" t="s">
        <v>3</v>
      </c>
      <c r="AV16">
        <v>1</v>
      </c>
      <c r="AW16">
        <v>2</v>
      </c>
      <c r="AX16">
        <v>38214759</v>
      </c>
      <c r="AY16">
        <v>1</v>
      </c>
      <c r="AZ16">
        <v>0</v>
      </c>
      <c r="BA16">
        <v>16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CX16">
        <f>Y16*Source!I75</f>
        <v>0</v>
      </c>
      <c r="CY16">
        <f>AD16</f>
        <v>0</v>
      </c>
      <c r="CZ16">
        <f>AH16</f>
        <v>0</v>
      </c>
      <c r="DA16">
        <f>AL16</f>
        <v>1</v>
      </c>
      <c r="DB16">
        <f t="shared" ref="DB16:DB54" si="5">ROUND(ROUND(AT16*CZ16,2),6)</f>
        <v>0</v>
      </c>
      <c r="DC16">
        <f t="shared" ref="DC16:DC54" si="6">ROUND(ROUND(AT16*AG16,2),6)</f>
        <v>0</v>
      </c>
    </row>
    <row r="17" spans="1:107" x14ac:dyDescent="0.2">
      <c r="A17">
        <f>ROW(Source!A75)</f>
        <v>75</v>
      </c>
      <c r="B17">
        <v>38214492</v>
      </c>
      <c r="C17">
        <v>38214755</v>
      </c>
      <c r="D17">
        <v>34879709</v>
      </c>
      <c r="E17">
        <v>1</v>
      </c>
      <c r="F17">
        <v>1</v>
      </c>
      <c r="G17">
        <v>25</v>
      </c>
      <c r="H17">
        <v>2</v>
      </c>
      <c r="I17" t="s">
        <v>418</v>
      </c>
      <c r="J17" t="s">
        <v>419</v>
      </c>
      <c r="K17" t="s">
        <v>420</v>
      </c>
      <c r="L17">
        <v>1368</v>
      </c>
      <c r="N17">
        <v>1011</v>
      </c>
      <c r="O17" t="s">
        <v>397</v>
      </c>
      <c r="P17" t="s">
        <v>397</v>
      </c>
      <c r="Q17">
        <v>1</v>
      </c>
      <c r="W17">
        <v>0</v>
      </c>
      <c r="X17">
        <v>-1704952566</v>
      </c>
      <c r="Y17">
        <v>13.75</v>
      </c>
      <c r="AA17">
        <v>0</v>
      </c>
      <c r="AB17">
        <v>1238.46</v>
      </c>
      <c r="AC17">
        <v>606.38</v>
      </c>
      <c r="AD17">
        <v>0</v>
      </c>
      <c r="AE17">
        <v>0</v>
      </c>
      <c r="AF17">
        <v>1238.46</v>
      </c>
      <c r="AG17">
        <v>606.38</v>
      </c>
      <c r="AH17">
        <v>0</v>
      </c>
      <c r="AI17">
        <v>1</v>
      </c>
      <c r="AJ17">
        <v>1</v>
      </c>
      <c r="AK17">
        <v>1</v>
      </c>
      <c r="AL17">
        <v>1</v>
      </c>
      <c r="AN17">
        <v>0</v>
      </c>
      <c r="AO17">
        <v>1</v>
      </c>
      <c r="AP17">
        <v>0</v>
      </c>
      <c r="AQ17">
        <v>0</v>
      </c>
      <c r="AR17">
        <v>0</v>
      </c>
      <c r="AS17" t="s">
        <v>3</v>
      </c>
      <c r="AT17">
        <v>13.75</v>
      </c>
      <c r="AU17" t="s">
        <v>3</v>
      </c>
      <c r="AV17">
        <v>0</v>
      </c>
      <c r="AW17">
        <v>2</v>
      </c>
      <c r="AX17">
        <v>38214760</v>
      </c>
      <c r="AY17">
        <v>2</v>
      </c>
      <c r="AZ17">
        <v>98304</v>
      </c>
      <c r="BA17">
        <v>17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CX17">
        <f>Y17*Source!I75</f>
        <v>0</v>
      </c>
      <c r="CY17">
        <f>AB17</f>
        <v>1238.46</v>
      </c>
      <c r="CZ17">
        <f>AF17</f>
        <v>1238.46</v>
      </c>
      <c r="DA17">
        <f>AJ17</f>
        <v>1</v>
      </c>
      <c r="DB17">
        <f t="shared" si="5"/>
        <v>17028.830000000002</v>
      </c>
      <c r="DC17">
        <f t="shared" si="6"/>
        <v>8337.73</v>
      </c>
    </row>
    <row r="18" spans="1:107" x14ac:dyDescent="0.2">
      <c r="A18">
        <f>ROW(Source!A75)</f>
        <v>75</v>
      </c>
      <c r="B18">
        <v>38214492</v>
      </c>
      <c r="C18">
        <v>38214755</v>
      </c>
      <c r="D18">
        <v>34881316</v>
      </c>
      <c r="E18">
        <v>1</v>
      </c>
      <c r="F18">
        <v>1</v>
      </c>
      <c r="G18">
        <v>25</v>
      </c>
      <c r="H18">
        <v>3</v>
      </c>
      <c r="I18" t="s">
        <v>138</v>
      </c>
      <c r="J18" t="s">
        <v>421</v>
      </c>
      <c r="K18" t="s">
        <v>139</v>
      </c>
      <c r="L18">
        <v>1348</v>
      </c>
      <c r="N18">
        <v>1009</v>
      </c>
      <c r="O18" t="s">
        <v>30</v>
      </c>
      <c r="P18" t="s">
        <v>30</v>
      </c>
      <c r="Q18">
        <v>1000</v>
      </c>
      <c r="W18">
        <v>0</v>
      </c>
      <c r="X18">
        <v>462924174</v>
      </c>
      <c r="Y18">
        <v>4.8000000000000001E-2</v>
      </c>
      <c r="AA18">
        <v>131633.01999999999</v>
      </c>
      <c r="AB18">
        <v>0</v>
      </c>
      <c r="AC18">
        <v>0</v>
      </c>
      <c r="AD18">
        <v>0</v>
      </c>
      <c r="AE18">
        <v>131633.01999999999</v>
      </c>
      <c r="AF18">
        <v>0</v>
      </c>
      <c r="AG18">
        <v>0</v>
      </c>
      <c r="AH18">
        <v>0</v>
      </c>
      <c r="AI18">
        <v>1</v>
      </c>
      <c r="AJ18">
        <v>1</v>
      </c>
      <c r="AK18">
        <v>1</v>
      </c>
      <c r="AL18">
        <v>1</v>
      </c>
      <c r="AN18">
        <v>0</v>
      </c>
      <c r="AO18">
        <v>1</v>
      </c>
      <c r="AP18">
        <v>0</v>
      </c>
      <c r="AQ18">
        <v>0</v>
      </c>
      <c r="AR18">
        <v>0</v>
      </c>
      <c r="AS18" t="s">
        <v>3</v>
      </c>
      <c r="AT18">
        <v>4.8000000000000001E-2</v>
      </c>
      <c r="AU18" t="s">
        <v>3</v>
      </c>
      <c r="AV18">
        <v>0</v>
      </c>
      <c r="AW18">
        <v>2</v>
      </c>
      <c r="AX18">
        <v>38214761</v>
      </c>
      <c r="AY18">
        <v>2</v>
      </c>
      <c r="AZ18">
        <v>16384</v>
      </c>
      <c r="BA18">
        <v>18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CX18">
        <f>Y18*Source!I75</f>
        <v>0</v>
      </c>
      <c r="CY18">
        <f t="shared" ref="CY18:CY23" si="7">AA18</f>
        <v>131633.01999999999</v>
      </c>
      <c r="CZ18">
        <f t="shared" ref="CZ18:CZ23" si="8">AE18</f>
        <v>131633.01999999999</v>
      </c>
      <c r="DA18">
        <f t="shared" ref="DA18:DA23" si="9">AI18</f>
        <v>1</v>
      </c>
      <c r="DB18">
        <f t="shared" si="5"/>
        <v>6318.38</v>
      </c>
      <c r="DC18">
        <f t="shared" si="6"/>
        <v>0</v>
      </c>
    </row>
    <row r="19" spans="1:107" x14ac:dyDescent="0.2">
      <c r="A19">
        <f>ROW(Source!A75)</f>
        <v>75</v>
      </c>
      <c r="B19">
        <v>38214492</v>
      </c>
      <c r="C19">
        <v>38214755</v>
      </c>
      <c r="D19">
        <v>34885016</v>
      </c>
      <c r="E19">
        <v>1</v>
      </c>
      <c r="F19">
        <v>1</v>
      </c>
      <c r="G19">
        <v>25</v>
      </c>
      <c r="H19">
        <v>3</v>
      </c>
      <c r="I19" t="s">
        <v>125</v>
      </c>
      <c r="J19" t="s">
        <v>127</v>
      </c>
      <c r="K19" t="s">
        <v>126</v>
      </c>
      <c r="L19">
        <v>1354</v>
      </c>
      <c r="N19">
        <v>1010</v>
      </c>
      <c r="O19" t="s">
        <v>123</v>
      </c>
      <c r="P19" t="s">
        <v>123</v>
      </c>
      <c r="Q19">
        <v>1</v>
      </c>
      <c r="W19">
        <v>1</v>
      </c>
      <c r="X19">
        <v>-941032314</v>
      </c>
      <c r="Y19">
        <v>-100</v>
      </c>
      <c r="AA19">
        <v>1799.61</v>
      </c>
      <c r="AB19">
        <v>0</v>
      </c>
      <c r="AC19">
        <v>0</v>
      </c>
      <c r="AD19">
        <v>0</v>
      </c>
      <c r="AE19">
        <v>1799.61</v>
      </c>
      <c r="AF19">
        <v>0</v>
      </c>
      <c r="AG19">
        <v>0</v>
      </c>
      <c r="AH19">
        <v>0</v>
      </c>
      <c r="AI19">
        <v>1</v>
      </c>
      <c r="AJ19">
        <v>1</v>
      </c>
      <c r="AK19">
        <v>1</v>
      </c>
      <c r="AL19">
        <v>1</v>
      </c>
      <c r="AN19">
        <v>0</v>
      </c>
      <c r="AO19">
        <v>1</v>
      </c>
      <c r="AP19">
        <v>0</v>
      </c>
      <c r="AQ19">
        <v>0</v>
      </c>
      <c r="AR19">
        <v>0</v>
      </c>
      <c r="AS19" t="s">
        <v>3</v>
      </c>
      <c r="AT19">
        <v>-100</v>
      </c>
      <c r="AU19" t="s">
        <v>3</v>
      </c>
      <c r="AV19">
        <v>0</v>
      </c>
      <c r="AW19">
        <v>2</v>
      </c>
      <c r="AX19">
        <v>38214762</v>
      </c>
      <c r="AY19">
        <v>2</v>
      </c>
      <c r="AZ19">
        <v>22528</v>
      </c>
      <c r="BA19">
        <v>19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CX19">
        <f>Y19*Source!I75</f>
        <v>0</v>
      </c>
      <c r="CY19">
        <f t="shared" si="7"/>
        <v>1799.61</v>
      </c>
      <c r="CZ19">
        <f t="shared" si="8"/>
        <v>1799.61</v>
      </c>
      <c r="DA19">
        <f t="shared" si="9"/>
        <v>1</v>
      </c>
      <c r="DB19">
        <f t="shared" si="5"/>
        <v>-179961</v>
      </c>
      <c r="DC19">
        <f t="shared" si="6"/>
        <v>0</v>
      </c>
    </row>
    <row r="20" spans="1:107" x14ac:dyDescent="0.2">
      <c r="A20">
        <f>ROW(Source!A75)</f>
        <v>75</v>
      </c>
      <c r="B20">
        <v>38214492</v>
      </c>
      <c r="C20">
        <v>38214755</v>
      </c>
      <c r="D20">
        <v>34868092</v>
      </c>
      <c r="E20">
        <v>25</v>
      </c>
      <c r="F20">
        <v>1</v>
      </c>
      <c r="G20">
        <v>25</v>
      </c>
      <c r="H20">
        <v>3</v>
      </c>
      <c r="I20" t="s">
        <v>121</v>
      </c>
      <c r="J20" t="s">
        <v>3</v>
      </c>
      <c r="K20" t="s">
        <v>122</v>
      </c>
      <c r="L20">
        <v>1354</v>
      </c>
      <c r="N20">
        <v>1010</v>
      </c>
      <c r="O20" t="s">
        <v>123</v>
      </c>
      <c r="P20" t="s">
        <v>123</v>
      </c>
      <c r="Q20">
        <v>1</v>
      </c>
      <c r="W20">
        <v>0</v>
      </c>
      <c r="X20">
        <v>-384883469</v>
      </c>
      <c r="Y20">
        <v>100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1</v>
      </c>
      <c r="AK20">
        <v>1</v>
      </c>
      <c r="AL20">
        <v>1</v>
      </c>
      <c r="AN20">
        <v>0</v>
      </c>
      <c r="AO20">
        <v>0</v>
      </c>
      <c r="AP20">
        <v>0</v>
      </c>
      <c r="AQ20">
        <v>0</v>
      </c>
      <c r="AR20">
        <v>0</v>
      </c>
      <c r="AS20" t="s">
        <v>3</v>
      </c>
      <c r="AT20">
        <v>100</v>
      </c>
      <c r="AU20" t="s">
        <v>3</v>
      </c>
      <c r="AV20">
        <v>0</v>
      </c>
      <c r="AW20">
        <v>2</v>
      </c>
      <c r="AX20">
        <v>38214763</v>
      </c>
      <c r="AY20">
        <v>1</v>
      </c>
      <c r="AZ20">
        <v>0</v>
      </c>
      <c r="BA20">
        <v>20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CX20">
        <f>Y20*Source!I75</f>
        <v>0</v>
      </c>
      <c r="CY20">
        <f t="shared" si="7"/>
        <v>0</v>
      </c>
      <c r="CZ20">
        <f t="shared" si="8"/>
        <v>0</v>
      </c>
      <c r="DA20">
        <f t="shared" si="9"/>
        <v>1</v>
      </c>
      <c r="DB20">
        <f t="shared" si="5"/>
        <v>0</v>
      </c>
      <c r="DC20">
        <f t="shared" si="6"/>
        <v>0</v>
      </c>
    </row>
    <row r="21" spans="1:107" x14ac:dyDescent="0.2">
      <c r="A21">
        <f>ROW(Source!A79)</f>
        <v>79</v>
      </c>
      <c r="B21">
        <v>38214492</v>
      </c>
      <c r="C21">
        <v>38214769</v>
      </c>
      <c r="D21">
        <v>28284395</v>
      </c>
      <c r="E21">
        <v>1</v>
      </c>
      <c r="F21">
        <v>1</v>
      </c>
      <c r="G21">
        <v>25</v>
      </c>
      <c r="H21">
        <v>3</v>
      </c>
      <c r="I21" t="s">
        <v>138</v>
      </c>
      <c r="J21" t="s">
        <v>140</v>
      </c>
      <c r="K21" t="s">
        <v>139</v>
      </c>
      <c r="L21">
        <v>1348</v>
      </c>
      <c r="N21">
        <v>1009</v>
      </c>
      <c r="O21" t="s">
        <v>30</v>
      </c>
      <c r="P21" t="s">
        <v>30</v>
      </c>
      <c r="Q21">
        <v>1000</v>
      </c>
      <c r="W21">
        <v>0</v>
      </c>
      <c r="X21">
        <v>1660198755</v>
      </c>
      <c r="Y21">
        <v>0</v>
      </c>
      <c r="AA21">
        <v>137107.03</v>
      </c>
      <c r="AB21">
        <v>0</v>
      </c>
      <c r="AC21">
        <v>0</v>
      </c>
      <c r="AD21">
        <v>0</v>
      </c>
      <c r="AE21">
        <v>137107.03</v>
      </c>
      <c r="AF21">
        <v>0</v>
      </c>
      <c r="AG21">
        <v>0</v>
      </c>
      <c r="AH21">
        <v>0</v>
      </c>
      <c r="AI21">
        <v>1</v>
      </c>
      <c r="AJ21">
        <v>1</v>
      </c>
      <c r="AK21">
        <v>1</v>
      </c>
      <c r="AL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 t="s">
        <v>3</v>
      </c>
      <c r="AT21">
        <v>0</v>
      </c>
      <c r="AU21" t="s">
        <v>3</v>
      </c>
      <c r="AV21">
        <v>0</v>
      </c>
      <c r="AW21">
        <v>1</v>
      </c>
      <c r="AX21">
        <v>-1</v>
      </c>
      <c r="AY21">
        <v>0</v>
      </c>
      <c r="AZ21">
        <v>0</v>
      </c>
      <c r="BA21" t="s">
        <v>3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CX21">
        <f>Y21*Source!I79</f>
        <v>0</v>
      </c>
      <c r="CY21">
        <f t="shared" si="7"/>
        <v>137107.03</v>
      </c>
      <c r="CZ21">
        <f t="shared" si="8"/>
        <v>137107.03</v>
      </c>
      <c r="DA21">
        <f t="shared" si="9"/>
        <v>1</v>
      </c>
      <c r="DB21">
        <f t="shared" si="5"/>
        <v>0</v>
      </c>
      <c r="DC21">
        <f t="shared" si="6"/>
        <v>0</v>
      </c>
    </row>
    <row r="22" spans="1:107" x14ac:dyDescent="0.2">
      <c r="A22">
        <f>ROW(Source!A79)</f>
        <v>79</v>
      </c>
      <c r="B22">
        <v>38214492</v>
      </c>
      <c r="C22">
        <v>38214769</v>
      </c>
      <c r="D22">
        <v>28288020</v>
      </c>
      <c r="E22">
        <v>1</v>
      </c>
      <c r="F22">
        <v>1</v>
      </c>
      <c r="G22">
        <v>25</v>
      </c>
      <c r="H22">
        <v>3</v>
      </c>
      <c r="I22" t="s">
        <v>125</v>
      </c>
      <c r="J22" t="s">
        <v>142</v>
      </c>
      <c r="K22" t="s">
        <v>126</v>
      </c>
      <c r="L22">
        <v>1354</v>
      </c>
      <c r="N22">
        <v>1010</v>
      </c>
      <c r="O22" t="s">
        <v>123</v>
      </c>
      <c r="P22" t="s">
        <v>123</v>
      </c>
      <c r="Q22">
        <v>1</v>
      </c>
      <c r="W22">
        <v>0</v>
      </c>
      <c r="X22">
        <v>1401279794</v>
      </c>
      <c r="Y22">
        <v>0</v>
      </c>
      <c r="AA22">
        <v>1587.07</v>
      </c>
      <c r="AB22">
        <v>0</v>
      </c>
      <c r="AC22">
        <v>0</v>
      </c>
      <c r="AD22">
        <v>0</v>
      </c>
      <c r="AE22">
        <v>1587.07</v>
      </c>
      <c r="AF22">
        <v>0</v>
      </c>
      <c r="AG22">
        <v>0</v>
      </c>
      <c r="AH22">
        <v>0</v>
      </c>
      <c r="AI22">
        <v>1</v>
      </c>
      <c r="AJ22">
        <v>1</v>
      </c>
      <c r="AK22">
        <v>1</v>
      </c>
      <c r="AL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 t="s">
        <v>3</v>
      </c>
      <c r="AT22">
        <v>0</v>
      </c>
      <c r="AU22" t="s">
        <v>3</v>
      </c>
      <c r="AV22">
        <v>0</v>
      </c>
      <c r="AW22">
        <v>1</v>
      </c>
      <c r="AX22">
        <v>-1</v>
      </c>
      <c r="AY22">
        <v>0</v>
      </c>
      <c r="AZ22">
        <v>0</v>
      </c>
      <c r="BA22" t="s">
        <v>3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CX22">
        <f>Y22*Source!I79</f>
        <v>0</v>
      </c>
      <c r="CY22">
        <f t="shared" si="7"/>
        <v>1587.07</v>
      </c>
      <c r="CZ22">
        <f t="shared" si="8"/>
        <v>1587.07</v>
      </c>
      <c r="DA22">
        <f t="shared" si="9"/>
        <v>1</v>
      </c>
      <c r="DB22">
        <f t="shared" si="5"/>
        <v>0</v>
      </c>
      <c r="DC22">
        <f t="shared" si="6"/>
        <v>0</v>
      </c>
    </row>
    <row r="23" spans="1:107" x14ac:dyDescent="0.2">
      <c r="A23">
        <f>ROW(Source!A79)</f>
        <v>79</v>
      </c>
      <c r="B23">
        <v>38214492</v>
      </c>
      <c r="C23">
        <v>38214769</v>
      </c>
      <c r="D23">
        <v>0</v>
      </c>
      <c r="E23">
        <v>25</v>
      </c>
      <c r="F23">
        <v>1</v>
      </c>
      <c r="G23">
        <v>25</v>
      </c>
      <c r="H23">
        <v>3</v>
      </c>
      <c r="I23" t="s">
        <v>129</v>
      </c>
      <c r="J23" t="s">
        <v>3</v>
      </c>
      <c r="K23" t="s">
        <v>136</v>
      </c>
      <c r="L23">
        <v>1354</v>
      </c>
      <c r="N23">
        <v>1010</v>
      </c>
      <c r="O23" t="s">
        <v>123</v>
      </c>
      <c r="P23" t="s">
        <v>123</v>
      </c>
      <c r="Q23">
        <v>1</v>
      </c>
      <c r="W23">
        <v>0</v>
      </c>
      <c r="X23">
        <v>-1667881396</v>
      </c>
      <c r="Y23">
        <v>100</v>
      </c>
      <c r="AA23">
        <v>37500</v>
      </c>
      <c r="AB23">
        <v>0</v>
      </c>
      <c r="AC23">
        <v>0</v>
      </c>
      <c r="AD23">
        <v>0</v>
      </c>
      <c r="AE23">
        <v>37500</v>
      </c>
      <c r="AF23">
        <v>0</v>
      </c>
      <c r="AG23">
        <v>0</v>
      </c>
      <c r="AH23">
        <v>0</v>
      </c>
      <c r="AI23">
        <v>1</v>
      </c>
      <c r="AJ23">
        <v>1</v>
      </c>
      <c r="AK23">
        <v>1</v>
      </c>
      <c r="AL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 t="s">
        <v>3</v>
      </c>
      <c r="AT23">
        <v>100</v>
      </c>
      <c r="AU23" t="s">
        <v>3</v>
      </c>
      <c r="AV23">
        <v>0</v>
      </c>
      <c r="AW23">
        <v>1</v>
      </c>
      <c r="AX23">
        <v>-1</v>
      </c>
      <c r="AY23">
        <v>0</v>
      </c>
      <c r="AZ23">
        <v>0</v>
      </c>
      <c r="BA23" t="s">
        <v>3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CX23">
        <f>Y23*Source!I79</f>
        <v>0</v>
      </c>
      <c r="CY23">
        <f t="shared" si="7"/>
        <v>37500</v>
      </c>
      <c r="CZ23">
        <f t="shared" si="8"/>
        <v>37500</v>
      </c>
      <c r="DA23">
        <f t="shared" si="9"/>
        <v>1</v>
      </c>
      <c r="DB23">
        <f t="shared" si="5"/>
        <v>3750000</v>
      </c>
      <c r="DC23">
        <f t="shared" si="6"/>
        <v>0</v>
      </c>
    </row>
    <row r="24" spans="1:107" x14ac:dyDescent="0.2">
      <c r="A24">
        <f>ROW(Source!A83)</f>
        <v>83</v>
      </c>
      <c r="B24">
        <v>38214492</v>
      </c>
      <c r="C24">
        <v>38214776</v>
      </c>
      <c r="D24">
        <v>34867259</v>
      </c>
      <c r="E24">
        <v>25</v>
      </c>
      <c r="F24">
        <v>1</v>
      </c>
      <c r="G24">
        <v>25</v>
      </c>
      <c r="H24">
        <v>1</v>
      </c>
      <c r="I24" t="s">
        <v>391</v>
      </c>
      <c r="J24" t="s">
        <v>3</v>
      </c>
      <c r="K24" t="s">
        <v>392</v>
      </c>
      <c r="L24">
        <v>1191</v>
      </c>
      <c r="N24">
        <v>1013</v>
      </c>
      <c r="O24" t="s">
        <v>393</v>
      </c>
      <c r="P24" t="s">
        <v>393</v>
      </c>
      <c r="Q24">
        <v>1</v>
      </c>
      <c r="W24">
        <v>0</v>
      </c>
      <c r="X24">
        <v>476480486</v>
      </c>
      <c r="Y24">
        <v>342.54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1</v>
      </c>
      <c r="AK24">
        <v>1</v>
      </c>
      <c r="AL24">
        <v>1</v>
      </c>
      <c r="AN24">
        <v>0</v>
      </c>
      <c r="AO24">
        <v>1</v>
      </c>
      <c r="AP24">
        <v>0</v>
      </c>
      <c r="AQ24">
        <v>0</v>
      </c>
      <c r="AR24">
        <v>0</v>
      </c>
      <c r="AS24" t="s">
        <v>3</v>
      </c>
      <c r="AT24">
        <v>342.54</v>
      </c>
      <c r="AU24" t="s">
        <v>3</v>
      </c>
      <c r="AV24">
        <v>1</v>
      </c>
      <c r="AW24">
        <v>2</v>
      </c>
      <c r="AX24">
        <v>38214780</v>
      </c>
      <c r="AY24">
        <v>1</v>
      </c>
      <c r="AZ24">
        <v>0</v>
      </c>
      <c r="BA24">
        <v>21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CX24">
        <f>Y24*Source!I83</f>
        <v>0</v>
      </c>
      <c r="CY24">
        <f>AD24</f>
        <v>0</v>
      </c>
      <c r="CZ24">
        <f>AH24</f>
        <v>0</v>
      </c>
      <c r="DA24">
        <f>AL24</f>
        <v>1</v>
      </c>
      <c r="DB24">
        <f t="shared" si="5"/>
        <v>0</v>
      </c>
      <c r="DC24">
        <f t="shared" si="6"/>
        <v>0</v>
      </c>
    </row>
    <row r="25" spans="1:107" x14ac:dyDescent="0.2">
      <c r="A25">
        <f>ROW(Source!A83)</f>
        <v>83</v>
      </c>
      <c r="B25">
        <v>38214492</v>
      </c>
      <c r="C25">
        <v>38214776</v>
      </c>
      <c r="D25">
        <v>34879709</v>
      </c>
      <c r="E25">
        <v>1</v>
      </c>
      <c r="F25">
        <v>1</v>
      </c>
      <c r="G25">
        <v>25</v>
      </c>
      <c r="H25">
        <v>2</v>
      </c>
      <c r="I25" t="s">
        <v>418</v>
      </c>
      <c r="J25" t="s">
        <v>419</v>
      </c>
      <c r="K25" t="s">
        <v>420</v>
      </c>
      <c r="L25">
        <v>1368</v>
      </c>
      <c r="N25">
        <v>1011</v>
      </c>
      <c r="O25" t="s">
        <v>397</v>
      </c>
      <c r="P25" t="s">
        <v>397</v>
      </c>
      <c r="Q25">
        <v>1</v>
      </c>
      <c r="W25">
        <v>0</v>
      </c>
      <c r="X25">
        <v>-1704952566</v>
      </c>
      <c r="Y25">
        <v>13.75</v>
      </c>
      <c r="AA25">
        <v>0</v>
      </c>
      <c r="AB25">
        <v>1238.46</v>
      </c>
      <c r="AC25">
        <v>606.38</v>
      </c>
      <c r="AD25">
        <v>0</v>
      </c>
      <c r="AE25">
        <v>0</v>
      </c>
      <c r="AF25">
        <v>1238.46</v>
      </c>
      <c r="AG25">
        <v>606.38</v>
      </c>
      <c r="AH25">
        <v>0</v>
      </c>
      <c r="AI25">
        <v>1</v>
      </c>
      <c r="AJ25">
        <v>1</v>
      </c>
      <c r="AK25">
        <v>1</v>
      </c>
      <c r="AL25">
        <v>1</v>
      </c>
      <c r="AN25">
        <v>0</v>
      </c>
      <c r="AO25">
        <v>1</v>
      </c>
      <c r="AP25">
        <v>0</v>
      </c>
      <c r="AQ25">
        <v>0</v>
      </c>
      <c r="AR25">
        <v>0</v>
      </c>
      <c r="AS25" t="s">
        <v>3</v>
      </c>
      <c r="AT25">
        <v>13.75</v>
      </c>
      <c r="AU25" t="s">
        <v>3</v>
      </c>
      <c r="AV25">
        <v>0</v>
      </c>
      <c r="AW25">
        <v>2</v>
      </c>
      <c r="AX25">
        <v>38214781</v>
      </c>
      <c r="AY25">
        <v>2</v>
      </c>
      <c r="AZ25">
        <v>98304</v>
      </c>
      <c r="BA25">
        <v>22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CX25">
        <f>Y25*Source!I83</f>
        <v>0</v>
      </c>
      <c r="CY25">
        <f>AB25</f>
        <v>1238.46</v>
      </c>
      <c r="CZ25">
        <f>AF25</f>
        <v>1238.46</v>
      </c>
      <c r="DA25">
        <f>AJ25</f>
        <v>1</v>
      </c>
      <c r="DB25">
        <f t="shared" si="5"/>
        <v>17028.830000000002</v>
      </c>
      <c r="DC25">
        <f t="shared" si="6"/>
        <v>8337.73</v>
      </c>
    </row>
    <row r="26" spans="1:107" x14ac:dyDescent="0.2">
      <c r="A26">
        <f>ROW(Source!A83)</f>
        <v>83</v>
      </c>
      <c r="B26">
        <v>38214492</v>
      </c>
      <c r="C26">
        <v>38214776</v>
      </c>
      <c r="D26">
        <v>34881316</v>
      </c>
      <c r="E26">
        <v>1</v>
      </c>
      <c r="F26">
        <v>1</v>
      </c>
      <c r="G26">
        <v>25</v>
      </c>
      <c r="H26">
        <v>3</v>
      </c>
      <c r="I26" t="s">
        <v>138</v>
      </c>
      <c r="J26" t="s">
        <v>421</v>
      </c>
      <c r="K26" t="s">
        <v>139</v>
      </c>
      <c r="L26">
        <v>1348</v>
      </c>
      <c r="N26">
        <v>1009</v>
      </c>
      <c r="O26" t="s">
        <v>30</v>
      </c>
      <c r="P26" t="s">
        <v>30</v>
      </c>
      <c r="Q26">
        <v>1000</v>
      </c>
      <c r="W26">
        <v>0</v>
      </c>
      <c r="X26">
        <v>462924174</v>
      </c>
      <c r="Y26">
        <v>4.8000000000000001E-2</v>
      </c>
      <c r="AA26">
        <v>131633.01999999999</v>
      </c>
      <c r="AB26">
        <v>0</v>
      </c>
      <c r="AC26">
        <v>0</v>
      </c>
      <c r="AD26">
        <v>0</v>
      </c>
      <c r="AE26">
        <v>131633.01999999999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1</v>
      </c>
      <c r="AL26">
        <v>1</v>
      </c>
      <c r="AN26">
        <v>0</v>
      </c>
      <c r="AO26">
        <v>1</v>
      </c>
      <c r="AP26">
        <v>0</v>
      </c>
      <c r="AQ26">
        <v>0</v>
      </c>
      <c r="AR26">
        <v>0</v>
      </c>
      <c r="AS26" t="s">
        <v>3</v>
      </c>
      <c r="AT26">
        <v>4.8000000000000001E-2</v>
      </c>
      <c r="AU26" t="s">
        <v>3</v>
      </c>
      <c r="AV26">
        <v>0</v>
      </c>
      <c r="AW26">
        <v>2</v>
      </c>
      <c r="AX26">
        <v>38214782</v>
      </c>
      <c r="AY26">
        <v>2</v>
      </c>
      <c r="AZ26">
        <v>16384</v>
      </c>
      <c r="BA26">
        <v>23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CX26">
        <f>Y26*Source!I83</f>
        <v>0</v>
      </c>
      <c r="CY26">
        <f>AA26</f>
        <v>131633.01999999999</v>
      </c>
      <c r="CZ26">
        <f>AE26</f>
        <v>131633.01999999999</v>
      </c>
      <c r="DA26">
        <f>AI26</f>
        <v>1</v>
      </c>
      <c r="DB26">
        <f t="shared" si="5"/>
        <v>6318.38</v>
      </c>
      <c r="DC26">
        <f t="shared" si="6"/>
        <v>0</v>
      </c>
    </row>
    <row r="27" spans="1:107" x14ac:dyDescent="0.2">
      <c r="A27">
        <f>ROW(Source!A83)</f>
        <v>83</v>
      </c>
      <c r="B27">
        <v>38214492</v>
      </c>
      <c r="C27">
        <v>38214776</v>
      </c>
      <c r="D27">
        <v>34885016</v>
      </c>
      <c r="E27">
        <v>1</v>
      </c>
      <c r="F27">
        <v>1</v>
      </c>
      <c r="G27">
        <v>25</v>
      </c>
      <c r="H27">
        <v>3</v>
      </c>
      <c r="I27" t="s">
        <v>125</v>
      </c>
      <c r="J27" t="s">
        <v>127</v>
      </c>
      <c r="K27" t="s">
        <v>126</v>
      </c>
      <c r="L27">
        <v>1354</v>
      </c>
      <c r="N27">
        <v>1010</v>
      </c>
      <c r="O27" t="s">
        <v>123</v>
      </c>
      <c r="P27" t="s">
        <v>123</v>
      </c>
      <c r="Q27">
        <v>1</v>
      </c>
      <c r="W27">
        <v>1</v>
      </c>
      <c r="X27">
        <v>-941032314</v>
      </c>
      <c r="Y27">
        <v>-100</v>
      </c>
      <c r="AA27">
        <v>1799.61</v>
      </c>
      <c r="AB27">
        <v>0</v>
      </c>
      <c r="AC27">
        <v>0</v>
      </c>
      <c r="AD27">
        <v>0</v>
      </c>
      <c r="AE27">
        <v>1799.61</v>
      </c>
      <c r="AF27">
        <v>0</v>
      </c>
      <c r="AG27">
        <v>0</v>
      </c>
      <c r="AH27">
        <v>0</v>
      </c>
      <c r="AI27">
        <v>1</v>
      </c>
      <c r="AJ27">
        <v>1</v>
      </c>
      <c r="AK27">
        <v>1</v>
      </c>
      <c r="AL27">
        <v>1</v>
      </c>
      <c r="AN27">
        <v>0</v>
      </c>
      <c r="AO27">
        <v>1</v>
      </c>
      <c r="AP27">
        <v>0</v>
      </c>
      <c r="AQ27">
        <v>0</v>
      </c>
      <c r="AR27">
        <v>0</v>
      </c>
      <c r="AS27" t="s">
        <v>3</v>
      </c>
      <c r="AT27">
        <v>-100</v>
      </c>
      <c r="AU27" t="s">
        <v>3</v>
      </c>
      <c r="AV27">
        <v>0</v>
      </c>
      <c r="AW27">
        <v>2</v>
      </c>
      <c r="AX27">
        <v>38214783</v>
      </c>
      <c r="AY27">
        <v>2</v>
      </c>
      <c r="AZ27">
        <v>22528</v>
      </c>
      <c r="BA27">
        <v>24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CX27">
        <f>Y27*Source!I83</f>
        <v>0</v>
      </c>
      <c r="CY27">
        <f>AA27</f>
        <v>1799.61</v>
      </c>
      <c r="CZ27">
        <f>AE27</f>
        <v>1799.61</v>
      </c>
      <c r="DA27">
        <f>AI27</f>
        <v>1</v>
      </c>
      <c r="DB27">
        <f t="shared" si="5"/>
        <v>-179961</v>
      </c>
      <c r="DC27">
        <f t="shared" si="6"/>
        <v>0</v>
      </c>
    </row>
    <row r="28" spans="1:107" x14ac:dyDescent="0.2">
      <c r="A28">
        <f>ROW(Source!A83)</f>
        <v>83</v>
      </c>
      <c r="B28">
        <v>38214492</v>
      </c>
      <c r="C28">
        <v>38214776</v>
      </c>
      <c r="D28">
        <v>34868092</v>
      </c>
      <c r="E28">
        <v>25</v>
      </c>
      <c r="F28">
        <v>1</v>
      </c>
      <c r="G28">
        <v>25</v>
      </c>
      <c r="H28">
        <v>3</v>
      </c>
      <c r="I28" t="s">
        <v>121</v>
      </c>
      <c r="J28" t="s">
        <v>3</v>
      </c>
      <c r="K28" t="s">
        <v>122</v>
      </c>
      <c r="L28">
        <v>1354</v>
      </c>
      <c r="N28">
        <v>1010</v>
      </c>
      <c r="O28" t="s">
        <v>123</v>
      </c>
      <c r="P28" t="s">
        <v>123</v>
      </c>
      <c r="Q28">
        <v>1</v>
      </c>
      <c r="W28">
        <v>0</v>
      </c>
      <c r="X28">
        <v>-384883469</v>
      </c>
      <c r="Y28">
        <v>100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1</v>
      </c>
      <c r="AK28">
        <v>1</v>
      </c>
      <c r="AL28">
        <v>1</v>
      </c>
      <c r="AN28">
        <v>0</v>
      </c>
      <c r="AO28">
        <v>0</v>
      </c>
      <c r="AP28">
        <v>0</v>
      </c>
      <c r="AQ28">
        <v>0</v>
      </c>
      <c r="AR28">
        <v>0</v>
      </c>
      <c r="AS28" t="s">
        <v>3</v>
      </c>
      <c r="AT28">
        <v>100</v>
      </c>
      <c r="AU28" t="s">
        <v>3</v>
      </c>
      <c r="AV28">
        <v>0</v>
      </c>
      <c r="AW28">
        <v>2</v>
      </c>
      <c r="AX28">
        <v>38214784</v>
      </c>
      <c r="AY28">
        <v>1</v>
      </c>
      <c r="AZ28">
        <v>0</v>
      </c>
      <c r="BA28">
        <v>25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CX28">
        <f>Y28*Source!I83</f>
        <v>0</v>
      </c>
      <c r="CY28">
        <f>AA28</f>
        <v>0</v>
      </c>
      <c r="CZ28">
        <f>AE28</f>
        <v>0</v>
      </c>
      <c r="DA28">
        <f>AI28</f>
        <v>1</v>
      </c>
      <c r="DB28">
        <f t="shared" si="5"/>
        <v>0</v>
      </c>
      <c r="DC28">
        <f t="shared" si="6"/>
        <v>0</v>
      </c>
    </row>
    <row r="29" spans="1:107" x14ac:dyDescent="0.2">
      <c r="A29">
        <f>ROW(Source!A128)</f>
        <v>128</v>
      </c>
      <c r="B29">
        <v>38214492</v>
      </c>
      <c r="C29">
        <v>38216490</v>
      </c>
      <c r="D29">
        <v>34867259</v>
      </c>
      <c r="E29">
        <v>25</v>
      </c>
      <c r="F29">
        <v>1</v>
      </c>
      <c r="G29">
        <v>25</v>
      </c>
      <c r="H29">
        <v>1</v>
      </c>
      <c r="I29" t="s">
        <v>391</v>
      </c>
      <c r="J29" t="s">
        <v>3</v>
      </c>
      <c r="K29" t="s">
        <v>392</v>
      </c>
      <c r="L29">
        <v>1191</v>
      </c>
      <c r="N29">
        <v>1013</v>
      </c>
      <c r="O29" t="s">
        <v>393</v>
      </c>
      <c r="P29" t="s">
        <v>393</v>
      </c>
      <c r="Q29">
        <v>1</v>
      </c>
      <c r="W29">
        <v>0</v>
      </c>
      <c r="X29">
        <v>476480486</v>
      </c>
      <c r="Y29">
        <v>340.81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1</v>
      </c>
      <c r="AK29">
        <v>1</v>
      </c>
      <c r="AL29">
        <v>1</v>
      </c>
      <c r="AN29">
        <v>0</v>
      </c>
      <c r="AO29">
        <v>1</v>
      </c>
      <c r="AP29">
        <v>0</v>
      </c>
      <c r="AQ29">
        <v>0</v>
      </c>
      <c r="AR29">
        <v>0</v>
      </c>
      <c r="AS29" t="s">
        <v>3</v>
      </c>
      <c r="AT29">
        <v>340.81</v>
      </c>
      <c r="AU29" t="s">
        <v>3</v>
      </c>
      <c r="AV29">
        <v>1</v>
      </c>
      <c r="AW29">
        <v>2</v>
      </c>
      <c r="AX29">
        <v>38216501</v>
      </c>
      <c r="AY29">
        <v>1</v>
      </c>
      <c r="AZ29">
        <v>0</v>
      </c>
      <c r="BA29">
        <v>26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CX29">
        <f>Y29*Source!I128</f>
        <v>408.97199999999998</v>
      </c>
      <c r="CY29">
        <f>AD29</f>
        <v>0</v>
      </c>
      <c r="CZ29">
        <f>AH29</f>
        <v>0</v>
      </c>
      <c r="DA29">
        <f>AL29</f>
        <v>1</v>
      </c>
      <c r="DB29">
        <f t="shared" si="5"/>
        <v>0</v>
      </c>
      <c r="DC29">
        <f t="shared" si="6"/>
        <v>0</v>
      </c>
    </row>
    <row r="30" spans="1:107" x14ac:dyDescent="0.2">
      <c r="A30">
        <f>ROW(Source!A128)</f>
        <v>128</v>
      </c>
      <c r="B30">
        <v>38214492</v>
      </c>
      <c r="C30">
        <v>38216490</v>
      </c>
      <c r="D30">
        <v>34879840</v>
      </c>
      <c r="E30">
        <v>1</v>
      </c>
      <c r="F30">
        <v>1</v>
      </c>
      <c r="G30">
        <v>25</v>
      </c>
      <c r="H30">
        <v>2</v>
      </c>
      <c r="I30" t="s">
        <v>422</v>
      </c>
      <c r="J30" t="s">
        <v>423</v>
      </c>
      <c r="K30" t="s">
        <v>424</v>
      </c>
      <c r="L30">
        <v>1368</v>
      </c>
      <c r="N30">
        <v>1011</v>
      </c>
      <c r="O30" t="s">
        <v>397</v>
      </c>
      <c r="P30" t="s">
        <v>397</v>
      </c>
      <c r="Q30">
        <v>1</v>
      </c>
      <c r="W30">
        <v>0</v>
      </c>
      <c r="X30">
        <v>-1896621790</v>
      </c>
      <c r="Y30">
        <v>39</v>
      </c>
      <c r="AA30">
        <v>0</v>
      </c>
      <c r="AB30">
        <v>337.61</v>
      </c>
      <c r="AC30">
        <v>6.68</v>
      </c>
      <c r="AD30">
        <v>0</v>
      </c>
      <c r="AE30">
        <v>0</v>
      </c>
      <c r="AF30">
        <v>337.61</v>
      </c>
      <c r="AG30">
        <v>6.68</v>
      </c>
      <c r="AH30">
        <v>0</v>
      </c>
      <c r="AI30">
        <v>1</v>
      </c>
      <c r="AJ30">
        <v>1</v>
      </c>
      <c r="AK30">
        <v>1</v>
      </c>
      <c r="AL30">
        <v>1</v>
      </c>
      <c r="AN30">
        <v>0</v>
      </c>
      <c r="AO30">
        <v>1</v>
      </c>
      <c r="AP30">
        <v>0</v>
      </c>
      <c r="AQ30">
        <v>0</v>
      </c>
      <c r="AR30">
        <v>0</v>
      </c>
      <c r="AS30" t="s">
        <v>3</v>
      </c>
      <c r="AT30">
        <v>39</v>
      </c>
      <c r="AU30" t="s">
        <v>3</v>
      </c>
      <c r="AV30">
        <v>0</v>
      </c>
      <c r="AW30">
        <v>2</v>
      </c>
      <c r="AX30">
        <v>38216502</v>
      </c>
      <c r="AY30">
        <v>1</v>
      </c>
      <c r="AZ30">
        <v>0</v>
      </c>
      <c r="BA30">
        <v>27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CX30">
        <f>Y30*Source!I128</f>
        <v>46.8</v>
      </c>
      <c r="CY30">
        <f>AB30</f>
        <v>337.61</v>
      </c>
      <c r="CZ30">
        <f>AF30</f>
        <v>337.61</v>
      </c>
      <c r="DA30">
        <f>AJ30</f>
        <v>1</v>
      </c>
      <c r="DB30">
        <f t="shared" si="5"/>
        <v>13166.79</v>
      </c>
      <c r="DC30">
        <f t="shared" si="6"/>
        <v>260.52</v>
      </c>
    </row>
    <row r="31" spans="1:107" x14ac:dyDescent="0.2">
      <c r="A31">
        <f>ROW(Source!A128)</f>
        <v>128</v>
      </c>
      <c r="B31">
        <v>38214492</v>
      </c>
      <c r="C31">
        <v>38216490</v>
      </c>
      <c r="D31">
        <v>34880219</v>
      </c>
      <c r="E31">
        <v>1</v>
      </c>
      <c r="F31">
        <v>1</v>
      </c>
      <c r="G31">
        <v>25</v>
      </c>
      <c r="H31">
        <v>2</v>
      </c>
      <c r="I31" t="s">
        <v>425</v>
      </c>
      <c r="J31" t="s">
        <v>426</v>
      </c>
      <c r="K31" t="s">
        <v>427</v>
      </c>
      <c r="L31">
        <v>1368</v>
      </c>
      <c r="N31">
        <v>1011</v>
      </c>
      <c r="O31" t="s">
        <v>397</v>
      </c>
      <c r="P31" t="s">
        <v>397</v>
      </c>
      <c r="Q31">
        <v>1</v>
      </c>
      <c r="W31">
        <v>0</v>
      </c>
      <c r="X31">
        <v>-1995660009</v>
      </c>
      <c r="Y31">
        <v>0.52</v>
      </c>
      <c r="AA31">
        <v>0</v>
      </c>
      <c r="AB31">
        <v>5.82</v>
      </c>
      <c r="AC31">
        <v>0.02</v>
      </c>
      <c r="AD31">
        <v>0</v>
      </c>
      <c r="AE31">
        <v>0</v>
      </c>
      <c r="AF31">
        <v>5.82</v>
      </c>
      <c r="AG31">
        <v>0.02</v>
      </c>
      <c r="AH31">
        <v>0</v>
      </c>
      <c r="AI31">
        <v>1</v>
      </c>
      <c r="AJ31">
        <v>1</v>
      </c>
      <c r="AK31">
        <v>1</v>
      </c>
      <c r="AL31">
        <v>1</v>
      </c>
      <c r="AN31">
        <v>0</v>
      </c>
      <c r="AO31">
        <v>1</v>
      </c>
      <c r="AP31">
        <v>0</v>
      </c>
      <c r="AQ31">
        <v>0</v>
      </c>
      <c r="AR31">
        <v>0</v>
      </c>
      <c r="AS31" t="s">
        <v>3</v>
      </c>
      <c r="AT31">
        <v>0.52</v>
      </c>
      <c r="AU31" t="s">
        <v>3</v>
      </c>
      <c r="AV31">
        <v>0</v>
      </c>
      <c r="AW31">
        <v>2</v>
      </c>
      <c r="AX31">
        <v>38216503</v>
      </c>
      <c r="AY31">
        <v>1</v>
      </c>
      <c r="AZ31">
        <v>0</v>
      </c>
      <c r="BA31">
        <v>28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CX31">
        <f>Y31*Source!I128</f>
        <v>0.624</v>
      </c>
      <c r="CY31">
        <f>AB31</f>
        <v>5.82</v>
      </c>
      <c r="CZ31">
        <f>AF31</f>
        <v>5.82</v>
      </c>
      <c r="DA31">
        <f>AJ31</f>
        <v>1</v>
      </c>
      <c r="DB31">
        <f t="shared" si="5"/>
        <v>3.03</v>
      </c>
      <c r="DC31">
        <f t="shared" si="6"/>
        <v>0.01</v>
      </c>
    </row>
    <row r="32" spans="1:107" x14ac:dyDescent="0.2">
      <c r="A32">
        <f>ROW(Source!A128)</f>
        <v>128</v>
      </c>
      <c r="B32">
        <v>38214492</v>
      </c>
      <c r="C32">
        <v>38216490</v>
      </c>
      <c r="D32">
        <v>34879672</v>
      </c>
      <c r="E32">
        <v>1</v>
      </c>
      <c r="F32">
        <v>1</v>
      </c>
      <c r="G32">
        <v>25</v>
      </c>
      <c r="H32">
        <v>2</v>
      </c>
      <c r="I32" t="s">
        <v>428</v>
      </c>
      <c r="J32" t="s">
        <v>429</v>
      </c>
      <c r="K32" t="s">
        <v>430</v>
      </c>
      <c r="L32">
        <v>1368</v>
      </c>
      <c r="N32">
        <v>1011</v>
      </c>
      <c r="O32" t="s">
        <v>397</v>
      </c>
      <c r="P32" t="s">
        <v>397</v>
      </c>
      <c r="Q32">
        <v>1</v>
      </c>
      <c r="W32">
        <v>0</v>
      </c>
      <c r="X32">
        <v>-1119889759</v>
      </c>
      <c r="Y32">
        <v>32.909999999999997</v>
      </c>
      <c r="AA32">
        <v>0</v>
      </c>
      <c r="AB32">
        <v>10.62</v>
      </c>
      <c r="AC32">
        <v>2.82</v>
      </c>
      <c r="AD32">
        <v>0</v>
      </c>
      <c r="AE32">
        <v>0</v>
      </c>
      <c r="AF32">
        <v>10.62</v>
      </c>
      <c r="AG32">
        <v>2.82</v>
      </c>
      <c r="AH32">
        <v>0</v>
      </c>
      <c r="AI32">
        <v>1</v>
      </c>
      <c r="AJ32">
        <v>1</v>
      </c>
      <c r="AK32">
        <v>1</v>
      </c>
      <c r="AL32">
        <v>1</v>
      </c>
      <c r="AN32">
        <v>0</v>
      </c>
      <c r="AO32">
        <v>1</v>
      </c>
      <c r="AP32">
        <v>0</v>
      </c>
      <c r="AQ32">
        <v>0</v>
      </c>
      <c r="AR32">
        <v>0</v>
      </c>
      <c r="AS32" t="s">
        <v>3</v>
      </c>
      <c r="AT32">
        <v>32.909999999999997</v>
      </c>
      <c r="AU32" t="s">
        <v>3</v>
      </c>
      <c r="AV32">
        <v>0</v>
      </c>
      <c r="AW32">
        <v>2</v>
      </c>
      <c r="AX32">
        <v>38216504</v>
      </c>
      <c r="AY32">
        <v>1</v>
      </c>
      <c r="AZ32">
        <v>0</v>
      </c>
      <c r="BA32">
        <v>29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CX32">
        <f>Y32*Source!I128</f>
        <v>39.491999999999997</v>
      </c>
      <c r="CY32">
        <f>AB32</f>
        <v>10.62</v>
      </c>
      <c r="CZ32">
        <f>AF32</f>
        <v>10.62</v>
      </c>
      <c r="DA32">
        <f>AJ32</f>
        <v>1</v>
      </c>
      <c r="DB32">
        <f t="shared" si="5"/>
        <v>349.5</v>
      </c>
      <c r="DC32">
        <f t="shared" si="6"/>
        <v>92.81</v>
      </c>
    </row>
    <row r="33" spans="1:107" x14ac:dyDescent="0.2">
      <c r="A33">
        <f>ROW(Source!A128)</f>
        <v>128</v>
      </c>
      <c r="B33">
        <v>38214492</v>
      </c>
      <c r="C33">
        <v>38216490</v>
      </c>
      <c r="D33">
        <v>34879710</v>
      </c>
      <c r="E33">
        <v>1</v>
      </c>
      <c r="F33">
        <v>1</v>
      </c>
      <c r="G33">
        <v>25</v>
      </c>
      <c r="H33">
        <v>2</v>
      </c>
      <c r="I33" t="s">
        <v>431</v>
      </c>
      <c r="J33" t="s">
        <v>432</v>
      </c>
      <c r="K33" t="s">
        <v>433</v>
      </c>
      <c r="L33">
        <v>1368</v>
      </c>
      <c r="N33">
        <v>1011</v>
      </c>
      <c r="O33" t="s">
        <v>397</v>
      </c>
      <c r="P33" t="s">
        <v>397</v>
      </c>
      <c r="Q33">
        <v>1</v>
      </c>
      <c r="W33">
        <v>0</v>
      </c>
      <c r="X33">
        <v>58362116</v>
      </c>
      <c r="Y33">
        <v>5.49</v>
      </c>
      <c r="AA33">
        <v>0</v>
      </c>
      <c r="AB33">
        <v>1180.29</v>
      </c>
      <c r="AC33">
        <v>586.89</v>
      </c>
      <c r="AD33">
        <v>0</v>
      </c>
      <c r="AE33">
        <v>0</v>
      </c>
      <c r="AF33">
        <v>1180.29</v>
      </c>
      <c r="AG33">
        <v>586.89</v>
      </c>
      <c r="AH33">
        <v>0</v>
      </c>
      <c r="AI33">
        <v>1</v>
      </c>
      <c r="AJ33">
        <v>1</v>
      </c>
      <c r="AK33">
        <v>1</v>
      </c>
      <c r="AL33">
        <v>1</v>
      </c>
      <c r="AN33">
        <v>0</v>
      </c>
      <c r="AO33">
        <v>1</v>
      </c>
      <c r="AP33">
        <v>0</v>
      </c>
      <c r="AQ33">
        <v>0</v>
      </c>
      <c r="AR33">
        <v>0</v>
      </c>
      <c r="AS33" t="s">
        <v>3</v>
      </c>
      <c r="AT33">
        <v>5.49</v>
      </c>
      <c r="AU33" t="s">
        <v>3</v>
      </c>
      <c r="AV33">
        <v>0</v>
      </c>
      <c r="AW33">
        <v>2</v>
      </c>
      <c r="AX33">
        <v>38216505</v>
      </c>
      <c r="AY33">
        <v>1</v>
      </c>
      <c r="AZ33">
        <v>0</v>
      </c>
      <c r="BA33">
        <v>30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CX33">
        <f>Y33*Source!I128</f>
        <v>6.5880000000000001</v>
      </c>
      <c r="CY33">
        <f>AB33</f>
        <v>1180.29</v>
      </c>
      <c r="CZ33">
        <f>AF33</f>
        <v>1180.29</v>
      </c>
      <c r="DA33">
        <f>AJ33</f>
        <v>1</v>
      </c>
      <c r="DB33">
        <f t="shared" si="5"/>
        <v>6479.79</v>
      </c>
      <c r="DC33">
        <f t="shared" si="6"/>
        <v>3222.03</v>
      </c>
    </row>
    <row r="34" spans="1:107" x14ac:dyDescent="0.2">
      <c r="A34">
        <f>ROW(Source!A128)</f>
        <v>128</v>
      </c>
      <c r="B34">
        <v>38214492</v>
      </c>
      <c r="C34">
        <v>38216490</v>
      </c>
      <c r="D34">
        <v>34881558</v>
      </c>
      <c r="E34">
        <v>1</v>
      </c>
      <c r="F34">
        <v>1</v>
      </c>
      <c r="G34">
        <v>25</v>
      </c>
      <c r="H34">
        <v>3</v>
      </c>
      <c r="I34" t="s">
        <v>434</v>
      </c>
      <c r="J34" t="s">
        <v>435</v>
      </c>
      <c r="K34" t="s">
        <v>436</v>
      </c>
      <c r="L34">
        <v>1339</v>
      </c>
      <c r="N34">
        <v>1007</v>
      </c>
      <c r="O34" t="s">
        <v>206</v>
      </c>
      <c r="P34" t="s">
        <v>206</v>
      </c>
      <c r="Q34">
        <v>1</v>
      </c>
      <c r="W34">
        <v>0</v>
      </c>
      <c r="X34">
        <v>165829421</v>
      </c>
      <c r="Y34">
        <v>0.31</v>
      </c>
      <c r="AA34">
        <v>2248.25</v>
      </c>
      <c r="AB34">
        <v>0</v>
      </c>
      <c r="AC34">
        <v>0</v>
      </c>
      <c r="AD34">
        <v>0</v>
      </c>
      <c r="AE34">
        <v>2248.25</v>
      </c>
      <c r="AF34">
        <v>0</v>
      </c>
      <c r="AG34">
        <v>0</v>
      </c>
      <c r="AH34">
        <v>0</v>
      </c>
      <c r="AI34">
        <v>1</v>
      </c>
      <c r="AJ34">
        <v>1</v>
      </c>
      <c r="AK34">
        <v>1</v>
      </c>
      <c r="AL34">
        <v>1</v>
      </c>
      <c r="AN34">
        <v>0</v>
      </c>
      <c r="AO34">
        <v>1</v>
      </c>
      <c r="AP34">
        <v>0</v>
      </c>
      <c r="AQ34">
        <v>0</v>
      </c>
      <c r="AR34">
        <v>0</v>
      </c>
      <c r="AS34" t="s">
        <v>3</v>
      </c>
      <c r="AT34">
        <v>0.31</v>
      </c>
      <c r="AU34" t="s">
        <v>3</v>
      </c>
      <c r="AV34">
        <v>0</v>
      </c>
      <c r="AW34">
        <v>2</v>
      </c>
      <c r="AX34">
        <v>38216506</v>
      </c>
      <c r="AY34">
        <v>1</v>
      </c>
      <c r="AZ34">
        <v>0</v>
      </c>
      <c r="BA34">
        <v>31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CX34">
        <f>Y34*Source!I128</f>
        <v>0.372</v>
      </c>
      <c r="CY34">
        <f>AA34</f>
        <v>2248.25</v>
      </c>
      <c r="CZ34">
        <f>AE34</f>
        <v>2248.25</v>
      </c>
      <c r="DA34">
        <f>AI34</f>
        <v>1</v>
      </c>
      <c r="DB34">
        <f t="shared" si="5"/>
        <v>696.96</v>
      </c>
      <c r="DC34">
        <f t="shared" si="6"/>
        <v>0</v>
      </c>
    </row>
    <row r="35" spans="1:107" x14ac:dyDescent="0.2">
      <c r="A35">
        <f>ROW(Source!A128)</f>
        <v>128</v>
      </c>
      <c r="B35">
        <v>38214492</v>
      </c>
      <c r="C35">
        <v>38216490</v>
      </c>
      <c r="D35">
        <v>34882179</v>
      </c>
      <c r="E35">
        <v>1</v>
      </c>
      <c r="F35">
        <v>1</v>
      </c>
      <c r="G35">
        <v>25</v>
      </c>
      <c r="H35">
        <v>3</v>
      </c>
      <c r="I35" t="s">
        <v>412</v>
      </c>
      <c r="J35" t="s">
        <v>413</v>
      </c>
      <c r="K35" t="s">
        <v>414</v>
      </c>
      <c r="L35">
        <v>1348</v>
      </c>
      <c r="N35">
        <v>1009</v>
      </c>
      <c r="O35" t="s">
        <v>30</v>
      </c>
      <c r="P35" t="s">
        <v>30</v>
      </c>
      <c r="Q35">
        <v>1000</v>
      </c>
      <c r="W35">
        <v>0</v>
      </c>
      <c r="X35">
        <v>-475338610</v>
      </c>
      <c r="Y35">
        <v>7.0000000000000001E-3</v>
      </c>
      <c r="AA35">
        <v>110728.72</v>
      </c>
      <c r="AB35">
        <v>0</v>
      </c>
      <c r="AC35">
        <v>0</v>
      </c>
      <c r="AD35">
        <v>0</v>
      </c>
      <c r="AE35">
        <v>110728.72</v>
      </c>
      <c r="AF35">
        <v>0</v>
      </c>
      <c r="AG35">
        <v>0</v>
      </c>
      <c r="AH35">
        <v>0</v>
      </c>
      <c r="AI35">
        <v>1</v>
      </c>
      <c r="AJ35">
        <v>1</v>
      </c>
      <c r="AK35">
        <v>1</v>
      </c>
      <c r="AL35">
        <v>1</v>
      </c>
      <c r="AN35">
        <v>0</v>
      </c>
      <c r="AO35">
        <v>1</v>
      </c>
      <c r="AP35">
        <v>0</v>
      </c>
      <c r="AQ35">
        <v>0</v>
      </c>
      <c r="AR35">
        <v>0</v>
      </c>
      <c r="AS35" t="s">
        <v>3</v>
      </c>
      <c r="AT35">
        <v>7.0000000000000001E-3</v>
      </c>
      <c r="AU35" t="s">
        <v>3</v>
      </c>
      <c r="AV35">
        <v>0</v>
      </c>
      <c r="AW35">
        <v>2</v>
      </c>
      <c r="AX35">
        <v>38216507</v>
      </c>
      <c r="AY35">
        <v>1</v>
      </c>
      <c r="AZ35">
        <v>0</v>
      </c>
      <c r="BA35">
        <v>32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CX35">
        <f>Y35*Source!I128</f>
        <v>8.3999999999999995E-3</v>
      </c>
      <c r="CY35">
        <f>AA35</f>
        <v>110728.72</v>
      </c>
      <c r="CZ35">
        <f>AE35</f>
        <v>110728.72</v>
      </c>
      <c r="DA35">
        <f>AI35</f>
        <v>1</v>
      </c>
      <c r="DB35">
        <f t="shared" si="5"/>
        <v>775.1</v>
      </c>
      <c r="DC35">
        <f t="shared" si="6"/>
        <v>0</v>
      </c>
    </row>
    <row r="36" spans="1:107" x14ac:dyDescent="0.2">
      <c r="A36">
        <f>ROW(Source!A128)</f>
        <v>128</v>
      </c>
      <c r="B36">
        <v>38214492</v>
      </c>
      <c r="C36">
        <v>38216490</v>
      </c>
      <c r="D36">
        <v>34883227</v>
      </c>
      <c r="E36">
        <v>1</v>
      </c>
      <c r="F36">
        <v>1</v>
      </c>
      <c r="G36">
        <v>25</v>
      </c>
      <c r="H36">
        <v>3</v>
      </c>
      <c r="I36" t="s">
        <v>437</v>
      </c>
      <c r="J36" t="s">
        <v>438</v>
      </c>
      <c r="K36" t="s">
        <v>439</v>
      </c>
      <c r="L36">
        <v>1339</v>
      </c>
      <c r="N36">
        <v>1007</v>
      </c>
      <c r="O36" t="s">
        <v>206</v>
      </c>
      <c r="P36" t="s">
        <v>206</v>
      </c>
      <c r="Q36">
        <v>1</v>
      </c>
      <c r="W36">
        <v>0</v>
      </c>
      <c r="X36">
        <v>1929983902</v>
      </c>
      <c r="Y36">
        <v>3.25</v>
      </c>
      <c r="AA36">
        <v>4082.17</v>
      </c>
      <c r="AB36">
        <v>0</v>
      </c>
      <c r="AC36">
        <v>0</v>
      </c>
      <c r="AD36">
        <v>0</v>
      </c>
      <c r="AE36">
        <v>4082.17</v>
      </c>
      <c r="AF36">
        <v>0</v>
      </c>
      <c r="AG36">
        <v>0</v>
      </c>
      <c r="AH36">
        <v>0</v>
      </c>
      <c r="AI36">
        <v>1</v>
      </c>
      <c r="AJ36">
        <v>1</v>
      </c>
      <c r="AK36">
        <v>1</v>
      </c>
      <c r="AL36">
        <v>1</v>
      </c>
      <c r="AN36">
        <v>0</v>
      </c>
      <c r="AO36">
        <v>1</v>
      </c>
      <c r="AP36">
        <v>0</v>
      </c>
      <c r="AQ36">
        <v>0</v>
      </c>
      <c r="AR36">
        <v>0</v>
      </c>
      <c r="AS36" t="s">
        <v>3</v>
      </c>
      <c r="AT36">
        <v>3.25</v>
      </c>
      <c r="AU36" t="s">
        <v>3</v>
      </c>
      <c r="AV36">
        <v>0</v>
      </c>
      <c r="AW36">
        <v>2</v>
      </c>
      <c r="AX36">
        <v>38216508</v>
      </c>
      <c r="AY36">
        <v>1</v>
      </c>
      <c r="AZ36">
        <v>0</v>
      </c>
      <c r="BA36">
        <v>33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CX36">
        <f>Y36*Source!I128</f>
        <v>3.9</v>
      </c>
      <c r="CY36">
        <f>AA36</f>
        <v>4082.17</v>
      </c>
      <c r="CZ36">
        <f>AE36</f>
        <v>4082.17</v>
      </c>
      <c r="DA36">
        <f>AI36</f>
        <v>1</v>
      </c>
      <c r="DB36">
        <f t="shared" si="5"/>
        <v>13267.05</v>
      </c>
      <c r="DC36">
        <f t="shared" si="6"/>
        <v>0</v>
      </c>
    </row>
    <row r="37" spans="1:107" x14ac:dyDescent="0.2">
      <c r="A37">
        <f>ROW(Source!A128)</f>
        <v>128</v>
      </c>
      <c r="B37">
        <v>38214492</v>
      </c>
      <c r="C37">
        <v>38216490</v>
      </c>
      <c r="D37">
        <v>34884932</v>
      </c>
      <c r="E37">
        <v>1</v>
      </c>
      <c r="F37">
        <v>1</v>
      </c>
      <c r="G37">
        <v>25</v>
      </c>
      <c r="H37">
        <v>3</v>
      </c>
      <c r="I37" t="s">
        <v>440</v>
      </c>
      <c r="J37" t="s">
        <v>441</v>
      </c>
      <c r="K37" t="s">
        <v>442</v>
      </c>
      <c r="L37">
        <v>1301</v>
      </c>
      <c r="N37">
        <v>1003</v>
      </c>
      <c r="O37" t="s">
        <v>384</v>
      </c>
      <c r="P37" t="s">
        <v>384</v>
      </c>
      <c r="Q37">
        <v>1</v>
      </c>
      <c r="W37">
        <v>0</v>
      </c>
      <c r="X37">
        <v>-84305937</v>
      </c>
      <c r="Y37">
        <v>87</v>
      </c>
      <c r="AA37">
        <v>4886.66</v>
      </c>
      <c r="AB37">
        <v>0</v>
      </c>
      <c r="AC37">
        <v>0</v>
      </c>
      <c r="AD37">
        <v>0</v>
      </c>
      <c r="AE37">
        <v>4886.66</v>
      </c>
      <c r="AF37">
        <v>0</v>
      </c>
      <c r="AG37">
        <v>0</v>
      </c>
      <c r="AH37">
        <v>0</v>
      </c>
      <c r="AI37">
        <v>1</v>
      </c>
      <c r="AJ37">
        <v>1</v>
      </c>
      <c r="AK37">
        <v>1</v>
      </c>
      <c r="AL37">
        <v>1</v>
      </c>
      <c r="AN37">
        <v>0</v>
      </c>
      <c r="AO37">
        <v>1</v>
      </c>
      <c r="AP37">
        <v>0</v>
      </c>
      <c r="AQ37">
        <v>0</v>
      </c>
      <c r="AR37">
        <v>0</v>
      </c>
      <c r="AS37" t="s">
        <v>3</v>
      </c>
      <c r="AT37">
        <v>87</v>
      </c>
      <c r="AU37" t="s">
        <v>3</v>
      </c>
      <c r="AV37">
        <v>0</v>
      </c>
      <c r="AW37">
        <v>2</v>
      </c>
      <c r="AX37">
        <v>38216509</v>
      </c>
      <c r="AY37">
        <v>1</v>
      </c>
      <c r="AZ37">
        <v>0</v>
      </c>
      <c r="BA37">
        <v>34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CX37">
        <f>Y37*Source!I128</f>
        <v>104.39999999999999</v>
      </c>
      <c r="CY37">
        <f>AA37</f>
        <v>4886.66</v>
      </c>
      <c r="CZ37">
        <f>AE37</f>
        <v>4886.66</v>
      </c>
      <c r="DA37">
        <f>AI37</f>
        <v>1</v>
      </c>
      <c r="DB37">
        <f t="shared" si="5"/>
        <v>425139.42</v>
      </c>
      <c r="DC37">
        <f t="shared" si="6"/>
        <v>0</v>
      </c>
    </row>
    <row r="38" spans="1:107" x14ac:dyDescent="0.2">
      <c r="A38">
        <f>ROW(Source!A128)</f>
        <v>128</v>
      </c>
      <c r="B38">
        <v>38214492</v>
      </c>
      <c r="C38">
        <v>38216490</v>
      </c>
      <c r="D38">
        <v>34884933</v>
      </c>
      <c r="E38">
        <v>1</v>
      </c>
      <c r="F38">
        <v>1</v>
      </c>
      <c r="G38">
        <v>25</v>
      </c>
      <c r="H38">
        <v>3</v>
      </c>
      <c r="I38" t="s">
        <v>443</v>
      </c>
      <c r="J38" t="s">
        <v>444</v>
      </c>
      <c r="K38" t="s">
        <v>445</v>
      </c>
      <c r="L38">
        <v>1354</v>
      </c>
      <c r="N38">
        <v>1010</v>
      </c>
      <c r="O38" t="s">
        <v>123</v>
      </c>
      <c r="P38" t="s">
        <v>123</v>
      </c>
      <c r="Q38">
        <v>1</v>
      </c>
      <c r="W38">
        <v>0</v>
      </c>
      <c r="X38">
        <v>751213170</v>
      </c>
      <c r="Y38">
        <v>38</v>
      </c>
      <c r="AA38">
        <v>2843.73</v>
      </c>
      <c r="AB38">
        <v>0</v>
      </c>
      <c r="AC38">
        <v>0</v>
      </c>
      <c r="AD38">
        <v>0</v>
      </c>
      <c r="AE38">
        <v>2843.73</v>
      </c>
      <c r="AF38">
        <v>0</v>
      </c>
      <c r="AG38">
        <v>0</v>
      </c>
      <c r="AH38">
        <v>0</v>
      </c>
      <c r="AI38">
        <v>1</v>
      </c>
      <c r="AJ38">
        <v>1</v>
      </c>
      <c r="AK38">
        <v>1</v>
      </c>
      <c r="AL38">
        <v>1</v>
      </c>
      <c r="AN38">
        <v>0</v>
      </c>
      <c r="AO38">
        <v>1</v>
      </c>
      <c r="AP38">
        <v>0</v>
      </c>
      <c r="AQ38">
        <v>0</v>
      </c>
      <c r="AR38">
        <v>0</v>
      </c>
      <c r="AS38" t="s">
        <v>3</v>
      </c>
      <c r="AT38">
        <v>38</v>
      </c>
      <c r="AU38" t="s">
        <v>3</v>
      </c>
      <c r="AV38">
        <v>0</v>
      </c>
      <c r="AW38">
        <v>2</v>
      </c>
      <c r="AX38">
        <v>38216510</v>
      </c>
      <c r="AY38">
        <v>1</v>
      </c>
      <c r="AZ38">
        <v>0</v>
      </c>
      <c r="BA38">
        <v>35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CX38">
        <f>Y38*Source!I128</f>
        <v>45.6</v>
      </c>
      <c r="CY38">
        <f>AA38</f>
        <v>2843.73</v>
      </c>
      <c r="CZ38">
        <f>AE38</f>
        <v>2843.73</v>
      </c>
      <c r="DA38">
        <f>AI38</f>
        <v>1</v>
      </c>
      <c r="DB38">
        <f t="shared" si="5"/>
        <v>108061.74</v>
      </c>
      <c r="DC38">
        <f t="shared" si="6"/>
        <v>0</v>
      </c>
    </row>
    <row r="39" spans="1:107" x14ac:dyDescent="0.2">
      <c r="A39">
        <f>ROW(Source!A129)</f>
        <v>129</v>
      </c>
      <c r="B39">
        <v>38214492</v>
      </c>
      <c r="C39">
        <v>38216511</v>
      </c>
      <c r="D39">
        <v>34867259</v>
      </c>
      <c r="E39">
        <v>25</v>
      </c>
      <c r="F39">
        <v>1</v>
      </c>
      <c r="G39">
        <v>25</v>
      </c>
      <c r="H39">
        <v>1</v>
      </c>
      <c r="I39" t="s">
        <v>391</v>
      </c>
      <c r="J39" t="s">
        <v>3</v>
      </c>
      <c r="K39" t="s">
        <v>392</v>
      </c>
      <c r="L39">
        <v>1191</v>
      </c>
      <c r="N39">
        <v>1013</v>
      </c>
      <c r="O39" t="s">
        <v>393</v>
      </c>
      <c r="P39" t="s">
        <v>393</v>
      </c>
      <c r="Q39">
        <v>1</v>
      </c>
      <c r="W39">
        <v>0</v>
      </c>
      <c r="X39">
        <v>476480486</v>
      </c>
      <c r="Y39">
        <v>2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N39">
        <v>0</v>
      </c>
      <c r="AO39">
        <v>1</v>
      </c>
      <c r="AP39">
        <v>0</v>
      </c>
      <c r="AQ39">
        <v>0</v>
      </c>
      <c r="AR39">
        <v>0</v>
      </c>
      <c r="AS39" t="s">
        <v>3</v>
      </c>
      <c r="AT39">
        <v>2</v>
      </c>
      <c r="AU39" t="s">
        <v>3</v>
      </c>
      <c r="AV39">
        <v>1</v>
      </c>
      <c r="AW39">
        <v>2</v>
      </c>
      <c r="AX39">
        <v>38216518</v>
      </c>
      <c r="AY39">
        <v>1</v>
      </c>
      <c r="AZ39">
        <v>0</v>
      </c>
      <c r="BA39">
        <v>36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CX39">
        <f>Y39*Source!I129</f>
        <v>2</v>
      </c>
      <c r="CY39">
        <f>AD39</f>
        <v>0</v>
      </c>
      <c r="CZ39">
        <f>AH39</f>
        <v>0</v>
      </c>
      <c r="DA39">
        <f>AL39</f>
        <v>1</v>
      </c>
      <c r="DB39">
        <f t="shared" si="5"/>
        <v>0</v>
      </c>
      <c r="DC39">
        <f t="shared" si="6"/>
        <v>0</v>
      </c>
    </row>
    <row r="40" spans="1:107" x14ac:dyDescent="0.2">
      <c r="A40">
        <f>ROW(Source!A129)</f>
        <v>129</v>
      </c>
      <c r="B40">
        <v>38214492</v>
      </c>
      <c r="C40">
        <v>38216511</v>
      </c>
      <c r="D40">
        <v>34879835</v>
      </c>
      <c r="E40">
        <v>1</v>
      </c>
      <c r="F40">
        <v>1</v>
      </c>
      <c r="G40">
        <v>25</v>
      </c>
      <c r="H40">
        <v>2</v>
      </c>
      <c r="I40" t="s">
        <v>446</v>
      </c>
      <c r="J40" t="s">
        <v>447</v>
      </c>
      <c r="K40" t="s">
        <v>448</v>
      </c>
      <c r="L40">
        <v>1368</v>
      </c>
      <c r="N40">
        <v>1011</v>
      </c>
      <c r="O40" t="s">
        <v>397</v>
      </c>
      <c r="P40" t="s">
        <v>397</v>
      </c>
      <c r="Q40">
        <v>1</v>
      </c>
      <c r="W40">
        <v>0</v>
      </c>
      <c r="X40">
        <v>-2014553861</v>
      </c>
      <c r="Y40">
        <v>0.2</v>
      </c>
      <c r="AA40">
        <v>0</v>
      </c>
      <c r="AB40">
        <v>55</v>
      </c>
      <c r="AC40">
        <v>0.05</v>
      </c>
      <c r="AD40">
        <v>0</v>
      </c>
      <c r="AE40">
        <v>0</v>
      </c>
      <c r="AF40">
        <v>55</v>
      </c>
      <c r="AG40">
        <v>0.05</v>
      </c>
      <c r="AH40">
        <v>0</v>
      </c>
      <c r="AI40">
        <v>1</v>
      </c>
      <c r="AJ40">
        <v>1</v>
      </c>
      <c r="AK40">
        <v>1</v>
      </c>
      <c r="AL40">
        <v>1</v>
      </c>
      <c r="AN40">
        <v>0</v>
      </c>
      <c r="AO40">
        <v>1</v>
      </c>
      <c r="AP40">
        <v>0</v>
      </c>
      <c r="AQ40">
        <v>0</v>
      </c>
      <c r="AR40">
        <v>0</v>
      </c>
      <c r="AS40" t="s">
        <v>3</v>
      </c>
      <c r="AT40">
        <v>0.2</v>
      </c>
      <c r="AU40" t="s">
        <v>3</v>
      </c>
      <c r="AV40">
        <v>0</v>
      </c>
      <c r="AW40">
        <v>2</v>
      </c>
      <c r="AX40">
        <v>38216519</v>
      </c>
      <c r="AY40">
        <v>1</v>
      </c>
      <c r="AZ40">
        <v>0</v>
      </c>
      <c r="BA40">
        <v>37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CX40">
        <f>Y40*Source!I129</f>
        <v>0.2</v>
      </c>
      <c r="CY40">
        <f>AB40</f>
        <v>55</v>
      </c>
      <c r="CZ40">
        <f>AF40</f>
        <v>55</v>
      </c>
      <c r="DA40">
        <f>AJ40</f>
        <v>1</v>
      </c>
      <c r="DB40">
        <f t="shared" si="5"/>
        <v>11</v>
      </c>
      <c r="DC40">
        <f t="shared" si="6"/>
        <v>0.01</v>
      </c>
    </row>
    <row r="41" spans="1:107" x14ac:dyDescent="0.2">
      <c r="A41">
        <f>ROW(Source!A129)</f>
        <v>129</v>
      </c>
      <c r="B41">
        <v>38214492</v>
      </c>
      <c r="C41">
        <v>38216511</v>
      </c>
      <c r="D41">
        <v>34880186</v>
      </c>
      <c r="E41">
        <v>1</v>
      </c>
      <c r="F41">
        <v>1</v>
      </c>
      <c r="G41">
        <v>25</v>
      </c>
      <c r="H41">
        <v>2</v>
      </c>
      <c r="I41" t="s">
        <v>449</v>
      </c>
      <c r="J41" t="s">
        <v>450</v>
      </c>
      <c r="K41" t="s">
        <v>451</v>
      </c>
      <c r="L41">
        <v>1368</v>
      </c>
      <c r="N41">
        <v>1011</v>
      </c>
      <c r="O41" t="s">
        <v>397</v>
      </c>
      <c r="P41" t="s">
        <v>397</v>
      </c>
      <c r="Q41">
        <v>1</v>
      </c>
      <c r="W41">
        <v>0</v>
      </c>
      <c r="X41">
        <v>499800498</v>
      </c>
      <c r="Y41">
        <v>1</v>
      </c>
      <c r="AA41">
        <v>0</v>
      </c>
      <c r="AB41">
        <v>619.44000000000005</v>
      </c>
      <c r="AC41">
        <v>393.66</v>
      </c>
      <c r="AD41">
        <v>0</v>
      </c>
      <c r="AE41">
        <v>0</v>
      </c>
      <c r="AF41">
        <v>619.44000000000005</v>
      </c>
      <c r="AG41">
        <v>393.66</v>
      </c>
      <c r="AH41">
        <v>0</v>
      </c>
      <c r="AI41">
        <v>1</v>
      </c>
      <c r="AJ41">
        <v>1</v>
      </c>
      <c r="AK41">
        <v>1</v>
      </c>
      <c r="AL41">
        <v>1</v>
      </c>
      <c r="AN41">
        <v>0</v>
      </c>
      <c r="AO41">
        <v>1</v>
      </c>
      <c r="AP41">
        <v>0</v>
      </c>
      <c r="AQ41">
        <v>0</v>
      </c>
      <c r="AR41">
        <v>0</v>
      </c>
      <c r="AS41" t="s">
        <v>3</v>
      </c>
      <c r="AT41">
        <v>1</v>
      </c>
      <c r="AU41" t="s">
        <v>3</v>
      </c>
      <c r="AV41">
        <v>0</v>
      </c>
      <c r="AW41">
        <v>2</v>
      </c>
      <c r="AX41">
        <v>38216520</v>
      </c>
      <c r="AY41">
        <v>1</v>
      </c>
      <c r="AZ41">
        <v>0</v>
      </c>
      <c r="BA41">
        <v>38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CX41">
        <f>Y41*Source!I129</f>
        <v>1</v>
      </c>
      <c r="CY41">
        <f>AB41</f>
        <v>619.44000000000005</v>
      </c>
      <c r="CZ41">
        <f>AF41</f>
        <v>619.44000000000005</v>
      </c>
      <c r="DA41">
        <f>AJ41</f>
        <v>1</v>
      </c>
      <c r="DB41">
        <f t="shared" si="5"/>
        <v>619.44000000000005</v>
      </c>
      <c r="DC41">
        <f t="shared" si="6"/>
        <v>393.66</v>
      </c>
    </row>
    <row r="42" spans="1:107" x14ac:dyDescent="0.2">
      <c r="A42">
        <f>ROW(Source!A129)</f>
        <v>129</v>
      </c>
      <c r="B42">
        <v>38214492</v>
      </c>
      <c r="C42">
        <v>38216511</v>
      </c>
      <c r="D42">
        <v>34880219</v>
      </c>
      <c r="E42">
        <v>1</v>
      </c>
      <c r="F42">
        <v>1</v>
      </c>
      <c r="G42">
        <v>25</v>
      </c>
      <c r="H42">
        <v>2</v>
      </c>
      <c r="I42" t="s">
        <v>425</v>
      </c>
      <c r="J42" t="s">
        <v>426</v>
      </c>
      <c r="K42" t="s">
        <v>427</v>
      </c>
      <c r="L42">
        <v>1368</v>
      </c>
      <c r="N42">
        <v>1011</v>
      </c>
      <c r="O42" t="s">
        <v>397</v>
      </c>
      <c r="P42" t="s">
        <v>397</v>
      </c>
      <c r="Q42">
        <v>1</v>
      </c>
      <c r="W42">
        <v>0</v>
      </c>
      <c r="X42">
        <v>-1995660009</v>
      </c>
      <c r="Y42">
        <v>0.1</v>
      </c>
      <c r="AA42">
        <v>0</v>
      </c>
      <c r="AB42">
        <v>5.82</v>
      </c>
      <c r="AC42">
        <v>0.02</v>
      </c>
      <c r="AD42">
        <v>0</v>
      </c>
      <c r="AE42">
        <v>0</v>
      </c>
      <c r="AF42">
        <v>5.82</v>
      </c>
      <c r="AG42">
        <v>0.02</v>
      </c>
      <c r="AH42">
        <v>0</v>
      </c>
      <c r="AI42">
        <v>1</v>
      </c>
      <c r="AJ42">
        <v>1</v>
      </c>
      <c r="AK42">
        <v>1</v>
      </c>
      <c r="AL42">
        <v>1</v>
      </c>
      <c r="AN42">
        <v>0</v>
      </c>
      <c r="AO42">
        <v>1</v>
      </c>
      <c r="AP42">
        <v>0</v>
      </c>
      <c r="AQ42">
        <v>0</v>
      </c>
      <c r="AR42">
        <v>0</v>
      </c>
      <c r="AS42" t="s">
        <v>3</v>
      </c>
      <c r="AT42">
        <v>0.1</v>
      </c>
      <c r="AU42" t="s">
        <v>3</v>
      </c>
      <c r="AV42">
        <v>0</v>
      </c>
      <c r="AW42">
        <v>2</v>
      </c>
      <c r="AX42">
        <v>38216521</v>
      </c>
      <c r="AY42">
        <v>1</v>
      </c>
      <c r="AZ42">
        <v>0</v>
      </c>
      <c r="BA42">
        <v>39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CX42">
        <f>Y42*Source!I129</f>
        <v>0.1</v>
      </c>
      <c r="CY42">
        <f>AB42</f>
        <v>5.82</v>
      </c>
      <c r="CZ42">
        <f>AF42</f>
        <v>5.82</v>
      </c>
      <c r="DA42">
        <f>AJ42</f>
        <v>1</v>
      </c>
      <c r="DB42">
        <f t="shared" si="5"/>
        <v>0.57999999999999996</v>
      </c>
      <c r="DC42">
        <f t="shared" si="6"/>
        <v>0</v>
      </c>
    </row>
    <row r="43" spans="1:107" x14ac:dyDescent="0.2">
      <c r="A43">
        <f>ROW(Source!A129)</f>
        <v>129</v>
      </c>
      <c r="B43">
        <v>38214492</v>
      </c>
      <c r="C43">
        <v>38216511</v>
      </c>
      <c r="D43">
        <v>34882179</v>
      </c>
      <c r="E43">
        <v>1</v>
      </c>
      <c r="F43">
        <v>1</v>
      </c>
      <c r="G43">
        <v>25</v>
      </c>
      <c r="H43">
        <v>3</v>
      </c>
      <c r="I43" t="s">
        <v>412</v>
      </c>
      <c r="J43" t="s">
        <v>413</v>
      </c>
      <c r="K43" t="s">
        <v>414</v>
      </c>
      <c r="L43">
        <v>1348</v>
      </c>
      <c r="N43">
        <v>1009</v>
      </c>
      <c r="O43" t="s">
        <v>30</v>
      </c>
      <c r="P43" t="s">
        <v>30</v>
      </c>
      <c r="Q43">
        <v>1000</v>
      </c>
      <c r="W43">
        <v>0</v>
      </c>
      <c r="X43">
        <v>-475338610</v>
      </c>
      <c r="Y43">
        <v>5.0000000000000002E-5</v>
      </c>
      <c r="AA43">
        <v>110728.72</v>
      </c>
      <c r="AB43">
        <v>0</v>
      </c>
      <c r="AC43">
        <v>0</v>
      </c>
      <c r="AD43">
        <v>0</v>
      </c>
      <c r="AE43">
        <v>110728.72</v>
      </c>
      <c r="AF43">
        <v>0</v>
      </c>
      <c r="AG43">
        <v>0</v>
      </c>
      <c r="AH43">
        <v>0</v>
      </c>
      <c r="AI43">
        <v>1</v>
      </c>
      <c r="AJ43">
        <v>1</v>
      </c>
      <c r="AK43">
        <v>1</v>
      </c>
      <c r="AL43">
        <v>1</v>
      </c>
      <c r="AN43">
        <v>0</v>
      </c>
      <c r="AO43">
        <v>1</v>
      </c>
      <c r="AP43">
        <v>0</v>
      </c>
      <c r="AQ43">
        <v>0</v>
      </c>
      <c r="AR43">
        <v>0</v>
      </c>
      <c r="AS43" t="s">
        <v>3</v>
      </c>
      <c r="AT43">
        <v>5.0000000000000002E-5</v>
      </c>
      <c r="AU43" t="s">
        <v>3</v>
      </c>
      <c r="AV43">
        <v>0</v>
      </c>
      <c r="AW43">
        <v>2</v>
      </c>
      <c r="AX43">
        <v>38216522</v>
      </c>
      <c r="AY43">
        <v>1</v>
      </c>
      <c r="AZ43">
        <v>0</v>
      </c>
      <c r="BA43">
        <v>40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CX43">
        <f>Y43*Source!I129</f>
        <v>5.0000000000000002E-5</v>
      </c>
      <c r="CY43">
        <f>AA43</f>
        <v>110728.72</v>
      </c>
      <c r="CZ43">
        <f>AE43</f>
        <v>110728.72</v>
      </c>
      <c r="DA43">
        <f>AI43</f>
        <v>1</v>
      </c>
      <c r="DB43">
        <f t="shared" si="5"/>
        <v>5.54</v>
      </c>
      <c r="DC43">
        <f t="shared" si="6"/>
        <v>0</v>
      </c>
    </row>
    <row r="44" spans="1:107" x14ac:dyDescent="0.2">
      <c r="A44">
        <f>ROW(Source!A129)</f>
        <v>129</v>
      </c>
      <c r="B44">
        <v>38214492</v>
      </c>
      <c r="C44">
        <v>38216511</v>
      </c>
      <c r="D44">
        <v>34885071</v>
      </c>
      <c r="E44">
        <v>1</v>
      </c>
      <c r="F44">
        <v>1</v>
      </c>
      <c r="G44">
        <v>25</v>
      </c>
      <c r="H44">
        <v>3</v>
      </c>
      <c r="I44" t="s">
        <v>452</v>
      </c>
      <c r="J44" t="s">
        <v>453</v>
      </c>
      <c r="K44" t="s">
        <v>454</v>
      </c>
      <c r="L44">
        <v>1354</v>
      </c>
      <c r="N44">
        <v>1010</v>
      </c>
      <c r="O44" t="s">
        <v>123</v>
      </c>
      <c r="P44" t="s">
        <v>123</v>
      </c>
      <c r="Q44">
        <v>1</v>
      </c>
      <c r="W44">
        <v>0</v>
      </c>
      <c r="X44">
        <v>-427256765</v>
      </c>
      <c r="Y44">
        <v>1</v>
      </c>
      <c r="AA44">
        <v>52.44</v>
      </c>
      <c r="AB44">
        <v>0</v>
      </c>
      <c r="AC44">
        <v>0</v>
      </c>
      <c r="AD44">
        <v>0</v>
      </c>
      <c r="AE44">
        <v>52.44</v>
      </c>
      <c r="AF44">
        <v>0</v>
      </c>
      <c r="AG44">
        <v>0</v>
      </c>
      <c r="AH44">
        <v>0</v>
      </c>
      <c r="AI44">
        <v>1</v>
      </c>
      <c r="AJ44">
        <v>1</v>
      </c>
      <c r="AK44">
        <v>1</v>
      </c>
      <c r="AL44">
        <v>1</v>
      </c>
      <c r="AN44">
        <v>0</v>
      </c>
      <c r="AO44">
        <v>1</v>
      </c>
      <c r="AP44">
        <v>0</v>
      </c>
      <c r="AQ44">
        <v>0</v>
      </c>
      <c r="AR44">
        <v>0</v>
      </c>
      <c r="AS44" t="s">
        <v>3</v>
      </c>
      <c r="AT44">
        <v>1</v>
      </c>
      <c r="AU44" t="s">
        <v>3</v>
      </c>
      <c r="AV44">
        <v>0</v>
      </c>
      <c r="AW44">
        <v>2</v>
      </c>
      <c r="AX44">
        <v>38216523</v>
      </c>
      <c r="AY44">
        <v>1</v>
      </c>
      <c r="AZ44">
        <v>0</v>
      </c>
      <c r="BA44">
        <v>41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CX44">
        <f>Y44*Source!I129</f>
        <v>1</v>
      </c>
      <c r="CY44">
        <f>AA44</f>
        <v>52.44</v>
      </c>
      <c r="CZ44">
        <f>AE44</f>
        <v>52.44</v>
      </c>
      <c r="DA44">
        <f>AI44</f>
        <v>1</v>
      </c>
      <c r="DB44">
        <f t="shared" si="5"/>
        <v>52.44</v>
      </c>
      <c r="DC44">
        <f t="shared" si="6"/>
        <v>0</v>
      </c>
    </row>
    <row r="45" spans="1:107" x14ac:dyDescent="0.2">
      <c r="A45">
        <f>ROW(Source!A166)</f>
        <v>166</v>
      </c>
      <c r="B45">
        <v>38214492</v>
      </c>
      <c r="C45">
        <v>38214928</v>
      </c>
      <c r="D45">
        <v>34867259</v>
      </c>
      <c r="E45">
        <v>25</v>
      </c>
      <c r="F45">
        <v>1</v>
      </c>
      <c r="G45">
        <v>25</v>
      </c>
      <c r="H45">
        <v>1</v>
      </c>
      <c r="I45" t="s">
        <v>391</v>
      </c>
      <c r="J45" t="s">
        <v>3</v>
      </c>
      <c r="K45" t="s">
        <v>392</v>
      </c>
      <c r="L45">
        <v>1191</v>
      </c>
      <c r="N45">
        <v>1013</v>
      </c>
      <c r="O45" t="s">
        <v>393</v>
      </c>
      <c r="P45" t="s">
        <v>393</v>
      </c>
      <c r="Q45">
        <v>1</v>
      </c>
      <c r="W45">
        <v>0</v>
      </c>
      <c r="X45">
        <v>476480486</v>
      </c>
      <c r="Y45">
        <v>3.39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1</v>
      </c>
      <c r="AK45">
        <v>1</v>
      </c>
      <c r="AL45">
        <v>1</v>
      </c>
      <c r="AN45">
        <v>0</v>
      </c>
      <c r="AO45">
        <v>1</v>
      </c>
      <c r="AP45">
        <v>0</v>
      </c>
      <c r="AQ45">
        <v>0</v>
      </c>
      <c r="AR45">
        <v>0</v>
      </c>
      <c r="AS45" t="s">
        <v>3</v>
      </c>
      <c r="AT45">
        <v>3.39</v>
      </c>
      <c r="AU45" t="s">
        <v>3</v>
      </c>
      <c r="AV45">
        <v>1</v>
      </c>
      <c r="AW45">
        <v>2</v>
      </c>
      <c r="AX45">
        <v>38214932</v>
      </c>
      <c r="AY45">
        <v>1</v>
      </c>
      <c r="AZ45">
        <v>0</v>
      </c>
      <c r="BA45">
        <v>42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CX45">
        <f>Y45*Source!I166</f>
        <v>1.0358145000000001</v>
      </c>
      <c r="CY45">
        <f>AD45</f>
        <v>0</v>
      </c>
      <c r="CZ45">
        <f>AH45</f>
        <v>0</v>
      </c>
      <c r="DA45">
        <f>AL45</f>
        <v>1</v>
      </c>
      <c r="DB45">
        <f t="shared" si="5"/>
        <v>0</v>
      </c>
      <c r="DC45">
        <f t="shared" si="6"/>
        <v>0</v>
      </c>
    </row>
    <row r="46" spans="1:107" x14ac:dyDescent="0.2">
      <c r="A46">
        <f>ROW(Source!A166)</f>
        <v>166</v>
      </c>
      <c r="B46">
        <v>38214492</v>
      </c>
      <c r="C46">
        <v>38214928</v>
      </c>
      <c r="D46">
        <v>34879395</v>
      </c>
      <c r="E46">
        <v>1</v>
      </c>
      <c r="F46">
        <v>1</v>
      </c>
      <c r="G46">
        <v>25</v>
      </c>
      <c r="H46">
        <v>2</v>
      </c>
      <c r="I46" t="s">
        <v>455</v>
      </c>
      <c r="J46" t="s">
        <v>456</v>
      </c>
      <c r="K46" t="s">
        <v>457</v>
      </c>
      <c r="L46">
        <v>1368</v>
      </c>
      <c r="N46">
        <v>1011</v>
      </c>
      <c r="O46" t="s">
        <v>397</v>
      </c>
      <c r="P46" t="s">
        <v>397</v>
      </c>
      <c r="Q46">
        <v>1</v>
      </c>
      <c r="W46">
        <v>0</v>
      </c>
      <c r="X46">
        <v>-1331171294</v>
      </c>
      <c r="Y46">
        <v>9.27</v>
      </c>
      <c r="AA46">
        <v>0</v>
      </c>
      <c r="AB46">
        <v>675.33</v>
      </c>
      <c r="AC46">
        <v>529.01</v>
      </c>
      <c r="AD46">
        <v>0</v>
      </c>
      <c r="AE46">
        <v>0</v>
      </c>
      <c r="AF46">
        <v>675.33</v>
      </c>
      <c r="AG46">
        <v>529.01</v>
      </c>
      <c r="AH46">
        <v>0</v>
      </c>
      <c r="AI46">
        <v>1</v>
      </c>
      <c r="AJ46">
        <v>1</v>
      </c>
      <c r="AK46">
        <v>1</v>
      </c>
      <c r="AL46">
        <v>1</v>
      </c>
      <c r="AN46">
        <v>0</v>
      </c>
      <c r="AO46">
        <v>1</v>
      </c>
      <c r="AP46">
        <v>0</v>
      </c>
      <c r="AQ46">
        <v>0</v>
      </c>
      <c r="AR46">
        <v>0</v>
      </c>
      <c r="AS46" t="s">
        <v>3</v>
      </c>
      <c r="AT46">
        <v>9.27</v>
      </c>
      <c r="AU46" t="s">
        <v>3</v>
      </c>
      <c r="AV46">
        <v>0</v>
      </c>
      <c r="AW46">
        <v>2</v>
      </c>
      <c r="AX46">
        <v>38214933</v>
      </c>
      <c r="AY46">
        <v>2</v>
      </c>
      <c r="AZ46">
        <v>98304</v>
      </c>
      <c r="BA46">
        <v>43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CX46">
        <f>Y46*Source!I166</f>
        <v>2.8324484999999999</v>
      </c>
      <c r="CY46">
        <f>AB46</f>
        <v>675.33</v>
      </c>
      <c r="CZ46">
        <f>AF46</f>
        <v>675.33</v>
      </c>
      <c r="DA46">
        <f>AJ46</f>
        <v>1</v>
      </c>
      <c r="DB46">
        <f t="shared" si="5"/>
        <v>6260.31</v>
      </c>
      <c r="DC46">
        <f t="shared" si="6"/>
        <v>4903.92</v>
      </c>
    </row>
    <row r="47" spans="1:107" x14ac:dyDescent="0.2">
      <c r="A47">
        <f>ROW(Source!A166)</f>
        <v>166</v>
      </c>
      <c r="B47">
        <v>38214492</v>
      </c>
      <c r="C47">
        <v>38214928</v>
      </c>
      <c r="D47">
        <v>34879407</v>
      </c>
      <c r="E47">
        <v>1</v>
      </c>
      <c r="F47">
        <v>1</v>
      </c>
      <c r="G47">
        <v>25</v>
      </c>
      <c r="H47">
        <v>2</v>
      </c>
      <c r="I47" t="s">
        <v>458</v>
      </c>
      <c r="J47" t="s">
        <v>459</v>
      </c>
      <c r="K47" t="s">
        <v>460</v>
      </c>
      <c r="L47">
        <v>1368</v>
      </c>
      <c r="N47">
        <v>1011</v>
      </c>
      <c r="O47" t="s">
        <v>397</v>
      </c>
      <c r="P47" t="s">
        <v>397</v>
      </c>
      <c r="Q47">
        <v>1</v>
      </c>
      <c r="W47">
        <v>0</v>
      </c>
      <c r="X47">
        <v>-1073508213</v>
      </c>
      <c r="Y47">
        <v>2.12</v>
      </c>
      <c r="AA47">
        <v>0</v>
      </c>
      <c r="AB47">
        <v>923.83</v>
      </c>
      <c r="AC47">
        <v>342.06</v>
      </c>
      <c r="AD47">
        <v>0</v>
      </c>
      <c r="AE47">
        <v>0</v>
      </c>
      <c r="AF47">
        <v>923.83</v>
      </c>
      <c r="AG47">
        <v>342.06</v>
      </c>
      <c r="AH47">
        <v>0</v>
      </c>
      <c r="AI47">
        <v>1</v>
      </c>
      <c r="AJ47">
        <v>1</v>
      </c>
      <c r="AK47">
        <v>1</v>
      </c>
      <c r="AL47">
        <v>1</v>
      </c>
      <c r="AN47">
        <v>0</v>
      </c>
      <c r="AO47">
        <v>1</v>
      </c>
      <c r="AP47">
        <v>0</v>
      </c>
      <c r="AQ47">
        <v>0</v>
      </c>
      <c r="AR47">
        <v>0</v>
      </c>
      <c r="AS47" t="s">
        <v>3</v>
      </c>
      <c r="AT47">
        <v>2.12</v>
      </c>
      <c r="AU47" t="s">
        <v>3</v>
      </c>
      <c r="AV47">
        <v>0</v>
      </c>
      <c r="AW47">
        <v>2</v>
      </c>
      <c r="AX47">
        <v>38214934</v>
      </c>
      <c r="AY47">
        <v>2</v>
      </c>
      <c r="AZ47">
        <v>98304</v>
      </c>
      <c r="BA47">
        <v>44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CX47">
        <f>Y47*Source!I166</f>
        <v>0.64776599999999995</v>
      </c>
      <c r="CY47">
        <f>AB47</f>
        <v>923.83</v>
      </c>
      <c r="CZ47">
        <f>AF47</f>
        <v>923.83</v>
      </c>
      <c r="DA47">
        <f>AJ47</f>
        <v>1</v>
      </c>
      <c r="DB47">
        <f t="shared" si="5"/>
        <v>1958.52</v>
      </c>
      <c r="DC47">
        <f t="shared" si="6"/>
        <v>725.17</v>
      </c>
    </row>
    <row r="48" spans="1:107" x14ac:dyDescent="0.2">
      <c r="A48">
        <f>ROW(Source!A167)</f>
        <v>167</v>
      </c>
      <c r="B48">
        <v>38214492</v>
      </c>
      <c r="C48">
        <v>38214935</v>
      </c>
      <c r="D48">
        <v>34867259</v>
      </c>
      <c r="E48">
        <v>25</v>
      </c>
      <c r="F48">
        <v>1</v>
      </c>
      <c r="G48">
        <v>25</v>
      </c>
      <c r="H48">
        <v>1</v>
      </c>
      <c r="I48" t="s">
        <v>391</v>
      </c>
      <c r="J48" t="s">
        <v>3</v>
      </c>
      <c r="K48" t="s">
        <v>392</v>
      </c>
      <c r="L48">
        <v>1191</v>
      </c>
      <c r="N48">
        <v>1013</v>
      </c>
      <c r="O48" t="s">
        <v>393</v>
      </c>
      <c r="P48" t="s">
        <v>393</v>
      </c>
      <c r="Q48">
        <v>1</v>
      </c>
      <c r="W48">
        <v>0</v>
      </c>
      <c r="X48">
        <v>476480486</v>
      </c>
      <c r="Y48">
        <v>221.6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1</v>
      </c>
      <c r="AK48">
        <v>1</v>
      </c>
      <c r="AL48">
        <v>1</v>
      </c>
      <c r="AN48">
        <v>0</v>
      </c>
      <c r="AO48">
        <v>1</v>
      </c>
      <c r="AP48">
        <v>0</v>
      </c>
      <c r="AQ48">
        <v>0</v>
      </c>
      <c r="AR48">
        <v>0</v>
      </c>
      <c r="AS48" t="s">
        <v>3</v>
      </c>
      <c r="AT48">
        <v>221.6</v>
      </c>
      <c r="AU48" t="s">
        <v>3</v>
      </c>
      <c r="AV48">
        <v>1</v>
      </c>
      <c r="AW48">
        <v>2</v>
      </c>
      <c r="AX48">
        <v>38214937</v>
      </c>
      <c r="AY48">
        <v>1</v>
      </c>
      <c r="AZ48">
        <v>0</v>
      </c>
      <c r="BA48">
        <v>45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CX48">
        <f>Y48*Source!I167</f>
        <v>7.52332</v>
      </c>
      <c r="CY48">
        <f>AD48</f>
        <v>0</v>
      </c>
      <c r="CZ48">
        <f>AH48</f>
        <v>0</v>
      </c>
      <c r="DA48">
        <f>AL48</f>
        <v>1</v>
      </c>
      <c r="DB48">
        <f t="shared" si="5"/>
        <v>0</v>
      </c>
      <c r="DC48">
        <f t="shared" si="6"/>
        <v>0</v>
      </c>
    </row>
    <row r="49" spans="1:107" x14ac:dyDescent="0.2">
      <c r="A49">
        <f>ROW(Source!A168)</f>
        <v>168</v>
      </c>
      <c r="B49">
        <v>38214492</v>
      </c>
      <c r="C49">
        <v>38214938</v>
      </c>
      <c r="D49">
        <v>34879386</v>
      </c>
      <c r="E49">
        <v>1</v>
      </c>
      <c r="F49">
        <v>1</v>
      </c>
      <c r="G49">
        <v>25</v>
      </c>
      <c r="H49">
        <v>2</v>
      </c>
      <c r="I49" t="s">
        <v>461</v>
      </c>
      <c r="J49" t="s">
        <v>462</v>
      </c>
      <c r="K49" t="s">
        <v>463</v>
      </c>
      <c r="L49">
        <v>1368</v>
      </c>
      <c r="N49">
        <v>1011</v>
      </c>
      <c r="O49" t="s">
        <v>397</v>
      </c>
      <c r="P49" t="s">
        <v>397</v>
      </c>
      <c r="Q49">
        <v>1</v>
      </c>
      <c r="W49">
        <v>0</v>
      </c>
      <c r="X49">
        <v>-202408269</v>
      </c>
      <c r="Y49">
        <v>5.3699999999999998E-2</v>
      </c>
      <c r="AA49">
        <v>0</v>
      </c>
      <c r="AB49">
        <v>1451.71</v>
      </c>
      <c r="AC49">
        <v>457.95</v>
      </c>
      <c r="AD49">
        <v>0</v>
      </c>
      <c r="AE49">
        <v>0</v>
      </c>
      <c r="AF49">
        <v>1451.71</v>
      </c>
      <c r="AG49">
        <v>457.95</v>
      </c>
      <c r="AH49">
        <v>0</v>
      </c>
      <c r="AI49">
        <v>1</v>
      </c>
      <c r="AJ49">
        <v>1</v>
      </c>
      <c r="AK49">
        <v>1</v>
      </c>
      <c r="AL49">
        <v>1</v>
      </c>
      <c r="AN49">
        <v>0</v>
      </c>
      <c r="AO49">
        <v>1</v>
      </c>
      <c r="AP49">
        <v>0</v>
      </c>
      <c r="AQ49">
        <v>0</v>
      </c>
      <c r="AR49">
        <v>0</v>
      </c>
      <c r="AS49" t="s">
        <v>3</v>
      </c>
      <c r="AT49">
        <v>5.3699999999999998E-2</v>
      </c>
      <c r="AU49" t="s">
        <v>3</v>
      </c>
      <c r="AV49">
        <v>0</v>
      </c>
      <c r="AW49">
        <v>2</v>
      </c>
      <c r="AX49">
        <v>38214940</v>
      </c>
      <c r="AY49">
        <v>2</v>
      </c>
      <c r="AZ49">
        <v>98304</v>
      </c>
      <c r="BA49">
        <v>46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CX49">
        <f>Y49*Source!I168</f>
        <v>8.2040174999999993E-2</v>
      </c>
      <c r="CY49">
        <f>AB49</f>
        <v>1451.71</v>
      </c>
      <c r="CZ49">
        <f>AF49</f>
        <v>1451.71</v>
      </c>
      <c r="DA49">
        <f>AJ49</f>
        <v>1</v>
      </c>
      <c r="DB49">
        <f t="shared" si="5"/>
        <v>77.959999999999994</v>
      </c>
      <c r="DC49">
        <f t="shared" si="6"/>
        <v>24.59</v>
      </c>
    </row>
    <row r="50" spans="1:107" x14ac:dyDescent="0.2">
      <c r="A50">
        <f>ROW(Source!A169)</f>
        <v>169</v>
      </c>
      <c r="B50">
        <v>38214492</v>
      </c>
      <c r="C50">
        <v>38214941</v>
      </c>
      <c r="D50">
        <v>34867259</v>
      </c>
      <c r="E50">
        <v>25</v>
      </c>
      <c r="F50">
        <v>1</v>
      </c>
      <c r="G50">
        <v>25</v>
      </c>
      <c r="H50">
        <v>1</v>
      </c>
      <c r="I50" t="s">
        <v>391</v>
      </c>
      <c r="J50" t="s">
        <v>3</v>
      </c>
      <c r="K50" t="s">
        <v>392</v>
      </c>
      <c r="L50">
        <v>1191</v>
      </c>
      <c r="N50">
        <v>1013</v>
      </c>
      <c r="O50" t="s">
        <v>393</v>
      </c>
      <c r="P50" t="s">
        <v>393</v>
      </c>
      <c r="Q50">
        <v>1</v>
      </c>
      <c r="W50">
        <v>0</v>
      </c>
      <c r="X50">
        <v>476480486</v>
      </c>
      <c r="Y50">
        <v>1.02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1</v>
      </c>
      <c r="AK50">
        <v>1</v>
      </c>
      <c r="AL50">
        <v>1</v>
      </c>
      <c r="AN50">
        <v>0</v>
      </c>
      <c r="AO50">
        <v>1</v>
      </c>
      <c r="AP50">
        <v>0</v>
      </c>
      <c r="AQ50">
        <v>0</v>
      </c>
      <c r="AR50">
        <v>0</v>
      </c>
      <c r="AS50" t="s">
        <v>3</v>
      </c>
      <c r="AT50">
        <v>1.02</v>
      </c>
      <c r="AU50" t="s">
        <v>3</v>
      </c>
      <c r="AV50">
        <v>1</v>
      </c>
      <c r="AW50">
        <v>2</v>
      </c>
      <c r="AX50">
        <v>38214943</v>
      </c>
      <c r="AY50">
        <v>1</v>
      </c>
      <c r="AZ50">
        <v>0</v>
      </c>
      <c r="BA50">
        <v>47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CX50">
        <f>Y50*Source!I169</f>
        <v>0.51943499999999998</v>
      </c>
      <c r="CY50">
        <f>AD50</f>
        <v>0</v>
      </c>
      <c r="CZ50">
        <f>AH50</f>
        <v>0</v>
      </c>
      <c r="DA50">
        <f>AL50</f>
        <v>1</v>
      </c>
      <c r="DB50">
        <f t="shared" si="5"/>
        <v>0</v>
      </c>
      <c r="DC50">
        <f t="shared" si="6"/>
        <v>0</v>
      </c>
    </row>
    <row r="51" spans="1:107" x14ac:dyDescent="0.2">
      <c r="A51">
        <f>ROW(Source!A170)</f>
        <v>170</v>
      </c>
      <c r="B51">
        <v>38214492</v>
      </c>
      <c r="C51">
        <v>38214944</v>
      </c>
      <c r="D51">
        <v>34880178</v>
      </c>
      <c r="E51">
        <v>1</v>
      </c>
      <c r="F51">
        <v>1</v>
      </c>
      <c r="G51">
        <v>25</v>
      </c>
      <c r="H51">
        <v>2</v>
      </c>
      <c r="I51" t="s">
        <v>400</v>
      </c>
      <c r="J51" t="s">
        <v>401</v>
      </c>
      <c r="K51" t="s">
        <v>402</v>
      </c>
      <c r="L51">
        <v>1368</v>
      </c>
      <c r="N51">
        <v>1011</v>
      </c>
      <c r="O51" t="s">
        <v>397</v>
      </c>
      <c r="P51" t="s">
        <v>397</v>
      </c>
      <c r="Q51">
        <v>1</v>
      </c>
      <c r="W51">
        <v>0</v>
      </c>
      <c r="X51">
        <v>468658695</v>
      </c>
      <c r="Y51">
        <v>0.02</v>
      </c>
      <c r="AA51">
        <v>0</v>
      </c>
      <c r="AB51">
        <v>952.49</v>
      </c>
      <c r="AC51">
        <v>301.5</v>
      </c>
      <c r="AD51">
        <v>0</v>
      </c>
      <c r="AE51">
        <v>0</v>
      </c>
      <c r="AF51">
        <v>952.49</v>
      </c>
      <c r="AG51">
        <v>301.5</v>
      </c>
      <c r="AH51">
        <v>0</v>
      </c>
      <c r="AI51">
        <v>1</v>
      </c>
      <c r="AJ51">
        <v>1</v>
      </c>
      <c r="AK51">
        <v>1</v>
      </c>
      <c r="AL51">
        <v>1</v>
      </c>
      <c r="AN51">
        <v>0</v>
      </c>
      <c r="AO51">
        <v>1</v>
      </c>
      <c r="AP51">
        <v>0</v>
      </c>
      <c r="AQ51">
        <v>0</v>
      </c>
      <c r="AR51">
        <v>0</v>
      </c>
      <c r="AS51" t="s">
        <v>3</v>
      </c>
      <c r="AT51">
        <v>0.02</v>
      </c>
      <c r="AU51" t="s">
        <v>3</v>
      </c>
      <c r="AV51">
        <v>0</v>
      </c>
      <c r="AW51">
        <v>2</v>
      </c>
      <c r="AX51">
        <v>38214947</v>
      </c>
      <c r="AY51">
        <v>2</v>
      </c>
      <c r="AZ51">
        <v>98304</v>
      </c>
      <c r="BA51">
        <v>48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CX51">
        <f>Y51*Source!I170</f>
        <v>3.0554999999999999E-2</v>
      </c>
      <c r="CY51">
        <f t="shared" ref="CY51:CY56" si="10">AB51</f>
        <v>952.49</v>
      </c>
      <c r="CZ51">
        <f t="shared" ref="CZ51:CZ56" si="11">AF51</f>
        <v>952.49</v>
      </c>
      <c r="DA51">
        <f t="shared" ref="DA51:DA56" si="12">AJ51</f>
        <v>1</v>
      </c>
      <c r="DB51">
        <f t="shared" si="5"/>
        <v>19.05</v>
      </c>
      <c r="DC51">
        <f t="shared" si="6"/>
        <v>6.03</v>
      </c>
    </row>
    <row r="52" spans="1:107" x14ac:dyDescent="0.2">
      <c r="A52">
        <f>ROW(Source!A170)</f>
        <v>170</v>
      </c>
      <c r="B52">
        <v>38214492</v>
      </c>
      <c r="C52">
        <v>38214944</v>
      </c>
      <c r="D52">
        <v>34880179</v>
      </c>
      <c r="E52">
        <v>1</v>
      </c>
      <c r="F52">
        <v>1</v>
      </c>
      <c r="G52">
        <v>25</v>
      </c>
      <c r="H52">
        <v>2</v>
      </c>
      <c r="I52" t="s">
        <v>403</v>
      </c>
      <c r="J52" t="s">
        <v>404</v>
      </c>
      <c r="K52" t="s">
        <v>405</v>
      </c>
      <c r="L52">
        <v>1368</v>
      </c>
      <c r="N52">
        <v>1011</v>
      </c>
      <c r="O52" t="s">
        <v>397</v>
      </c>
      <c r="P52" t="s">
        <v>397</v>
      </c>
      <c r="Q52">
        <v>1</v>
      </c>
      <c r="W52">
        <v>0</v>
      </c>
      <c r="X52">
        <v>-1546163025</v>
      </c>
      <c r="Y52">
        <v>1.7999999999999999E-2</v>
      </c>
      <c r="AA52">
        <v>0</v>
      </c>
      <c r="AB52">
        <v>993.6</v>
      </c>
      <c r="AC52">
        <v>301.8</v>
      </c>
      <c r="AD52">
        <v>0</v>
      </c>
      <c r="AE52">
        <v>0</v>
      </c>
      <c r="AF52">
        <v>993.6</v>
      </c>
      <c r="AG52">
        <v>301.8</v>
      </c>
      <c r="AH52">
        <v>0</v>
      </c>
      <c r="AI52">
        <v>1</v>
      </c>
      <c r="AJ52">
        <v>1</v>
      </c>
      <c r="AK52">
        <v>1</v>
      </c>
      <c r="AL52">
        <v>1</v>
      </c>
      <c r="AN52">
        <v>0</v>
      </c>
      <c r="AO52">
        <v>1</v>
      </c>
      <c r="AP52">
        <v>0</v>
      </c>
      <c r="AQ52">
        <v>0</v>
      </c>
      <c r="AR52">
        <v>0</v>
      </c>
      <c r="AS52" t="s">
        <v>3</v>
      </c>
      <c r="AT52">
        <v>1.7999999999999999E-2</v>
      </c>
      <c r="AU52" t="s">
        <v>3</v>
      </c>
      <c r="AV52">
        <v>0</v>
      </c>
      <c r="AW52">
        <v>2</v>
      </c>
      <c r="AX52">
        <v>38214948</v>
      </c>
      <c r="AY52">
        <v>2</v>
      </c>
      <c r="AZ52">
        <v>98304</v>
      </c>
      <c r="BA52">
        <v>49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CX52">
        <f>Y52*Source!I170</f>
        <v>2.7499499999999996E-2</v>
      </c>
      <c r="CY52">
        <f t="shared" si="10"/>
        <v>993.6</v>
      </c>
      <c r="CZ52">
        <f t="shared" si="11"/>
        <v>993.6</v>
      </c>
      <c r="DA52">
        <f t="shared" si="12"/>
        <v>1</v>
      </c>
      <c r="DB52">
        <f t="shared" si="5"/>
        <v>17.88</v>
      </c>
      <c r="DC52">
        <f t="shared" si="6"/>
        <v>5.43</v>
      </c>
    </row>
    <row r="53" spans="1:107" x14ac:dyDescent="0.2">
      <c r="A53">
        <f>ROW(Source!A171)</f>
        <v>171</v>
      </c>
      <c r="B53">
        <v>38214492</v>
      </c>
      <c r="C53">
        <v>38214949</v>
      </c>
      <c r="D53">
        <v>34880178</v>
      </c>
      <c r="E53">
        <v>1</v>
      </c>
      <c r="F53">
        <v>1</v>
      </c>
      <c r="G53">
        <v>25</v>
      </c>
      <c r="H53">
        <v>2</v>
      </c>
      <c r="I53" t="s">
        <v>400</v>
      </c>
      <c r="J53" t="s">
        <v>401</v>
      </c>
      <c r="K53" t="s">
        <v>402</v>
      </c>
      <c r="L53">
        <v>1368</v>
      </c>
      <c r="N53">
        <v>1011</v>
      </c>
      <c r="O53" t="s">
        <v>397</v>
      </c>
      <c r="P53" t="s">
        <v>397</v>
      </c>
      <c r="Q53">
        <v>1</v>
      </c>
      <c r="W53">
        <v>0</v>
      </c>
      <c r="X53">
        <v>468658695</v>
      </c>
      <c r="Y53">
        <v>5.3999999999999999E-2</v>
      </c>
      <c r="AA53">
        <v>0</v>
      </c>
      <c r="AB53">
        <v>952.49</v>
      </c>
      <c r="AC53">
        <v>301.5</v>
      </c>
      <c r="AD53">
        <v>0</v>
      </c>
      <c r="AE53">
        <v>0</v>
      </c>
      <c r="AF53">
        <v>952.49</v>
      </c>
      <c r="AG53">
        <v>301.5</v>
      </c>
      <c r="AH53">
        <v>0</v>
      </c>
      <c r="AI53">
        <v>1</v>
      </c>
      <c r="AJ53">
        <v>1</v>
      </c>
      <c r="AK53">
        <v>1</v>
      </c>
      <c r="AL53">
        <v>1</v>
      </c>
      <c r="AN53">
        <v>0</v>
      </c>
      <c r="AO53">
        <v>1</v>
      </c>
      <c r="AP53">
        <v>0</v>
      </c>
      <c r="AQ53">
        <v>0</v>
      </c>
      <c r="AR53">
        <v>0</v>
      </c>
      <c r="AS53" t="s">
        <v>3</v>
      </c>
      <c r="AT53">
        <v>5.3999999999999999E-2</v>
      </c>
      <c r="AU53" t="s">
        <v>3</v>
      </c>
      <c r="AV53">
        <v>0</v>
      </c>
      <c r="AW53">
        <v>2</v>
      </c>
      <c r="AX53">
        <v>38214952</v>
      </c>
      <c r="AY53">
        <v>2</v>
      </c>
      <c r="AZ53">
        <v>98304</v>
      </c>
      <c r="BA53">
        <v>50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CX53">
        <f>Y53*Source!I171</f>
        <v>2.74995E-2</v>
      </c>
      <c r="CY53">
        <f t="shared" si="10"/>
        <v>952.49</v>
      </c>
      <c r="CZ53">
        <f t="shared" si="11"/>
        <v>952.49</v>
      </c>
      <c r="DA53">
        <f t="shared" si="12"/>
        <v>1</v>
      </c>
      <c r="DB53">
        <f t="shared" si="5"/>
        <v>51.43</v>
      </c>
      <c r="DC53">
        <f t="shared" si="6"/>
        <v>16.28</v>
      </c>
    </row>
    <row r="54" spans="1:107" x14ac:dyDescent="0.2">
      <c r="A54">
        <f>ROW(Source!A171)</f>
        <v>171</v>
      </c>
      <c r="B54">
        <v>38214492</v>
      </c>
      <c r="C54">
        <v>38214949</v>
      </c>
      <c r="D54">
        <v>34880179</v>
      </c>
      <c r="E54">
        <v>1</v>
      </c>
      <c r="F54">
        <v>1</v>
      </c>
      <c r="G54">
        <v>25</v>
      </c>
      <c r="H54">
        <v>2</v>
      </c>
      <c r="I54" t="s">
        <v>403</v>
      </c>
      <c r="J54" t="s">
        <v>404</v>
      </c>
      <c r="K54" t="s">
        <v>405</v>
      </c>
      <c r="L54">
        <v>1368</v>
      </c>
      <c r="N54">
        <v>1011</v>
      </c>
      <c r="O54" t="s">
        <v>397</v>
      </c>
      <c r="P54" t="s">
        <v>397</v>
      </c>
      <c r="Q54">
        <v>1</v>
      </c>
      <c r="W54">
        <v>0</v>
      </c>
      <c r="X54">
        <v>-1546163025</v>
      </c>
      <c r="Y54">
        <v>5.5E-2</v>
      </c>
      <c r="AA54">
        <v>0</v>
      </c>
      <c r="AB54">
        <v>993.6</v>
      </c>
      <c r="AC54">
        <v>301.8</v>
      </c>
      <c r="AD54">
        <v>0</v>
      </c>
      <c r="AE54">
        <v>0</v>
      </c>
      <c r="AF54">
        <v>993.6</v>
      </c>
      <c r="AG54">
        <v>301.8</v>
      </c>
      <c r="AH54">
        <v>0</v>
      </c>
      <c r="AI54">
        <v>1</v>
      </c>
      <c r="AJ54">
        <v>1</v>
      </c>
      <c r="AK54">
        <v>1</v>
      </c>
      <c r="AL54">
        <v>1</v>
      </c>
      <c r="AN54">
        <v>0</v>
      </c>
      <c r="AO54">
        <v>1</v>
      </c>
      <c r="AP54">
        <v>0</v>
      </c>
      <c r="AQ54">
        <v>0</v>
      </c>
      <c r="AR54">
        <v>0</v>
      </c>
      <c r="AS54" t="s">
        <v>3</v>
      </c>
      <c r="AT54">
        <v>5.5E-2</v>
      </c>
      <c r="AU54" t="s">
        <v>3</v>
      </c>
      <c r="AV54">
        <v>0</v>
      </c>
      <c r="AW54">
        <v>2</v>
      </c>
      <c r="AX54">
        <v>38214953</v>
      </c>
      <c r="AY54">
        <v>2</v>
      </c>
      <c r="AZ54">
        <v>98304</v>
      </c>
      <c r="BA54">
        <v>51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CX54">
        <f>Y54*Source!I171</f>
        <v>2.8008749999999999E-2</v>
      </c>
      <c r="CY54">
        <f t="shared" si="10"/>
        <v>993.6</v>
      </c>
      <c r="CZ54">
        <f t="shared" si="11"/>
        <v>993.6</v>
      </c>
      <c r="DA54">
        <f t="shared" si="12"/>
        <v>1</v>
      </c>
      <c r="DB54">
        <f t="shared" si="5"/>
        <v>54.65</v>
      </c>
      <c r="DC54">
        <f t="shared" si="6"/>
        <v>16.600000000000001</v>
      </c>
    </row>
    <row r="55" spans="1:107" x14ac:dyDescent="0.2">
      <c r="A55">
        <f>ROW(Source!A172)</f>
        <v>172</v>
      </c>
      <c r="B55">
        <v>38214492</v>
      </c>
      <c r="C55">
        <v>38214954</v>
      </c>
      <c r="D55">
        <v>34880178</v>
      </c>
      <c r="E55">
        <v>1</v>
      </c>
      <c r="F55">
        <v>1</v>
      </c>
      <c r="G55">
        <v>25</v>
      </c>
      <c r="H55">
        <v>2</v>
      </c>
      <c r="I55" t="s">
        <v>400</v>
      </c>
      <c r="J55" t="s">
        <v>401</v>
      </c>
      <c r="K55" t="s">
        <v>402</v>
      </c>
      <c r="L55">
        <v>1368</v>
      </c>
      <c r="N55">
        <v>1011</v>
      </c>
      <c r="O55" t="s">
        <v>397</v>
      </c>
      <c r="P55" t="s">
        <v>397</v>
      </c>
      <c r="Q55">
        <v>1</v>
      </c>
      <c r="W55">
        <v>0</v>
      </c>
      <c r="X55">
        <v>468658695</v>
      </c>
      <c r="Y55">
        <v>0.16</v>
      </c>
      <c r="AA55">
        <v>0</v>
      </c>
      <c r="AB55">
        <v>952.49</v>
      </c>
      <c r="AC55">
        <v>301.5</v>
      </c>
      <c r="AD55">
        <v>0</v>
      </c>
      <c r="AE55">
        <v>0</v>
      </c>
      <c r="AF55">
        <v>952.49</v>
      </c>
      <c r="AG55">
        <v>301.5</v>
      </c>
      <c r="AH55">
        <v>0</v>
      </c>
      <c r="AI55">
        <v>1</v>
      </c>
      <c r="AJ55">
        <v>1</v>
      </c>
      <c r="AK55">
        <v>1</v>
      </c>
      <c r="AL55">
        <v>1</v>
      </c>
      <c r="AN55">
        <v>0</v>
      </c>
      <c r="AO55">
        <v>1</v>
      </c>
      <c r="AP55">
        <v>1</v>
      </c>
      <c r="AQ55">
        <v>0</v>
      </c>
      <c r="AR55">
        <v>0</v>
      </c>
      <c r="AS55" t="s">
        <v>3</v>
      </c>
      <c r="AT55">
        <v>0.01</v>
      </c>
      <c r="AU55" t="s">
        <v>201</v>
      </c>
      <c r="AV55">
        <v>0</v>
      </c>
      <c r="AW55">
        <v>2</v>
      </c>
      <c r="AX55">
        <v>38214957</v>
      </c>
      <c r="AY55">
        <v>2</v>
      </c>
      <c r="AZ55">
        <v>98304</v>
      </c>
      <c r="BA55">
        <v>52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CX55">
        <f>Y55*Source!I172</f>
        <v>0.32591999999999999</v>
      </c>
      <c r="CY55">
        <f t="shared" si="10"/>
        <v>952.49</v>
      </c>
      <c r="CZ55">
        <f t="shared" si="11"/>
        <v>952.49</v>
      </c>
      <c r="DA55">
        <f t="shared" si="12"/>
        <v>1</v>
      </c>
      <c r="DB55">
        <f>ROUND((ROUND(AT55*CZ55,2)*16),6)</f>
        <v>152.32</v>
      </c>
      <c r="DC55">
        <f>ROUND((ROUND(AT55*AG55,2)*16),6)</f>
        <v>48.32</v>
      </c>
    </row>
    <row r="56" spans="1:107" x14ac:dyDescent="0.2">
      <c r="A56">
        <f>ROW(Source!A172)</f>
        <v>172</v>
      </c>
      <c r="B56">
        <v>38214492</v>
      </c>
      <c r="C56">
        <v>38214954</v>
      </c>
      <c r="D56">
        <v>34880179</v>
      </c>
      <c r="E56">
        <v>1</v>
      </c>
      <c r="F56">
        <v>1</v>
      </c>
      <c r="G56">
        <v>25</v>
      </c>
      <c r="H56">
        <v>2</v>
      </c>
      <c r="I56" t="s">
        <v>403</v>
      </c>
      <c r="J56" t="s">
        <v>404</v>
      </c>
      <c r="K56" t="s">
        <v>405</v>
      </c>
      <c r="L56">
        <v>1368</v>
      </c>
      <c r="N56">
        <v>1011</v>
      </c>
      <c r="O56" t="s">
        <v>397</v>
      </c>
      <c r="P56" t="s">
        <v>397</v>
      </c>
      <c r="Q56">
        <v>1</v>
      </c>
      <c r="W56">
        <v>0</v>
      </c>
      <c r="X56">
        <v>-1546163025</v>
      </c>
      <c r="Y56">
        <v>0.128</v>
      </c>
      <c r="AA56">
        <v>0</v>
      </c>
      <c r="AB56">
        <v>993.6</v>
      </c>
      <c r="AC56">
        <v>301.8</v>
      </c>
      <c r="AD56">
        <v>0</v>
      </c>
      <c r="AE56">
        <v>0</v>
      </c>
      <c r="AF56">
        <v>993.6</v>
      </c>
      <c r="AG56">
        <v>301.8</v>
      </c>
      <c r="AH56">
        <v>0</v>
      </c>
      <c r="AI56">
        <v>1</v>
      </c>
      <c r="AJ56">
        <v>1</v>
      </c>
      <c r="AK56">
        <v>1</v>
      </c>
      <c r="AL56">
        <v>1</v>
      </c>
      <c r="AN56">
        <v>0</v>
      </c>
      <c r="AO56">
        <v>1</v>
      </c>
      <c r="AP56">
        <v>1</v>
      </c>
      <c r="AQ56">
        <v>0</v>
      </c>
      <c r="AR56">
        <v>0</v>
      </c>
      <c r="AS56" t="s">
        <v>3</v>
      </c>
      <c r="AT56">
        <v>8.0000000000000002E-3</v>
      </c>
      <c r="AU56" t="s">
        <v>201</v>
      </c>
      <c r="AV56">
        <v>0</v>
      </c>
      <c r="AW56">
        <v>2</v>
      </c>
      <c r="AX56">
        <v>38214958</v>
      </c>
      <c r="AY56">
        <v>2</v>
      </c>
      <c r="AZ56">
        <v>98304</v>
      </c>
      <c r="BA56">
        <v>53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CX56">
        <f>Y56*Source!I172</f>
        <v>0.26073599999999997</v>
      </c>
      <c r="CY56">
        <f t="shared" si="10"/>
        <v>993.6</v>
      </c>
      <c r="CZ56">
        <f t="shared" si="11"/>
        <v>993.6</v>
      </c>
      <c r="DA56">
        <f t="shared" si="12"/>
        <v>1</v>
      </c>
      <c r="DB56">
        <f>ROUND((ROUND(AT56*CZ56,2)*16),6)</f>
        <v>127.2</v>
      </c>
      <c r="DC56">
        <f>ROUND((ROUND(AT56*AG56,2)*16),6)</f>
        <v>38.56</v>
      </c>
    </row>
    <row r="57" spans="1:107" x14ac:dyDescent="0.2">
      <c r="A57">
        <f>ROW(Source!A177)</f>
        <v>177</v>
      </c>
      <c r="B57">
        <v>38214492</v>
      </c>
      <c r="C57">
        <v>38214963</v>
      </c>
      <c r="D57">
        <v>34867259</v>
      </c>
      <c r="E57">
        <v>25</v>
      </c>
      <c r="F57">
        <v>1</v>
      </c>
      <c r="G57">
        <v>25</v>
      </c>
      <c r="H57">
        <v>1</v>
      </c>
      <c r="I57" t="s">
        <v>391</v>
      </c>
      <c r="J57" t="s">
        <v>3</v>
      </c>
      <c r="K57" t="s">
        <v>392</v>
      </c>
      <c r="L57">
        <v>1191</v>
      </c>
      <c r="N57">
        <v>1013</v>
      </c>
      <c r="O57" t="s">
        <v>393</v>
      </c>
      <c r="P57" t="s">
        <v>393</v>
      </c>
      <c r="Q57">
        <v>1</v>
      </c>
      <c r="W57">
        <v>0</v>
      </c>
      <c r="X57">
        <v>476480486</v>
      </c>
      <c r="Y57">
        <v>16.559999999999999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1</v>
      </c>
      <c r="AJ57">
        <v>1</v>
      </c>
      <c r="AK57">
        <v>1</v>
      </c>
      <c r="AL57">
        <v>1</v>
      </c>
      <c r="AN57">
        <v>0</v>
      </c>
      <c r="AO57">
        <v>1</v>
      </c>
      <c r="AP57">
        <v>0</v>
      </c>
      <c r="AQ57">
        <v>0</v>
      </c>
      <c r="AR57">
        <v>0</v>
      </c>
      <c r="AS57" t="s">
        <v>3</v>
      </c>
      <c r="AT57">
        <v>16.559999999999999</v>
      </c>
      <c r="AU57" t="s">
        <v>3</v>
      </c>
      <c r="AV57">
        <v>1</v>
      </c>
      <c r="AW57">
        <v>2</v>
      </c>
      <c r="AX57">
        <v>38214972</v>
      </c>
      <c r="AY57">
        <v>1</v>
      </c>
      <c r="AZ57">
        <v>0</v>
      </c>
      <c r="BA57">
        <v>54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CX57">
        <f>Y57*Source!I177</f>
        <v>5.6221199999999998</v>
      </c>
      <c r="CY57">
        <f>AD57</f>
        <v>0</v>
      </c>
      <c r="CZ57">
        <f>AH57</f>
        <v>0</v>
      </c>
      <c r="DA57">
        <f>AL57</f>
        <v>1</v>
      </c>
      <c r="DB57">
        <f t="shared" ref="DB57:DB76" si="13">ROUND(ROUND(AT57*CZ57,2),6)</f>
        <v>0</v>
      </c>
      <c r="DC57">
        <f t="shared" ref="DC57:DC76" si="14">ROUND(ROUND(AT57*AG57,2),6)</f>
        <v>0</v>
      </c>
    </row>
    <row r="58" spans="1:107" x14ac:dyDescent="0.2">
      <c r="A58">
        <f>ROW(Source!A177)</f>
        <v>177</v>
      </c>
      <c r="B58">
        <v>38214492</v>
      </c>
      <c r="C58">
        <v>38214963</v>
      </c>
      <c r="D58">
        <v>34879430</v>
      </c>
      <c r="E58">
        <v>1</v>
      </c>
      <c r="F58">
        <v>1</v>
      </c>
      <c r="G58">
        <v>25</v>
      </c>
      <c r="H58">
        <v>2</v>
      </c>
      <c r="I58" t="s">
        <v>464</v>
      </c>
      <c r="J58" t="s">
        <v>465</v>
      </c>
      <c r="K58" t="s">
        <v>466</v>
      </c>
      <c r="L58">
        <v>1368</v>
      </c>
      <c r="N58">
        <v>1011</v>
      </c>
      <c r="O58" t="s">
        <v>397</v>
      </c>
      <c r="P58" t="s">
        <v>397</v>
      </c>
      <c r="Q58">
        <v>1</v>
      </c>
      <c r="W58">
        <v>0</v>
      </c>
      <c r="X58">
        <v>2063784432</v>
      </c>
      <c r="Y58">
        <v>2.08</v>
      </c>
      <c r="AA58">
        <v>0</v>
      </c>
      <c r="AB58">
        <v>1159.46</v>
      </c>
      <c r="AC58">
        <v>525.74</v>
      </c>
      <c r="AD58">
        <v>0</v>
      </c>
      <c r="AE58">
        <v>0</v>
      </c>
      <c r="AF58">
        <v>1159.46</v>
      </c>
      <c r="AG58">
        <v>525.74</v>
      </c>
      <c r="AH58">
        <v>0</v>
      </c>
      <c r="AI58">
        <v>1</v>
      </c>
      <c r="AJ58">
        <v>1</v>
      </c>
      <c r="AK58">
        <v>1</v>
      </c>
      <c r="AL58">
        <v>1</v>
      </c>
      <c r="AN58">
        <v>0</v>
      </c>
      <c r="AO58">
        <v>1</v>
      </c>
      <c r="AP58">
        <v>0</v>
      </c>
      <c r="AQ58">
        <v>0</v>
      </c>
      <c r="AR58">
        <v>0</v>
      </c>
      <c r="AS58" t="s">
        <v>3</v>
      </c>
      <c r="AT58">
        <v>2.08</v>
      </c>
      <c r="AU58" t="s">
        <v>3</v>
      </c>
      <c r="AV58">
        <v>0</v>
      </c>
      <c r="AW58">
        <v>2</v>
      </c>
      <c r="AX58">
        <v>38214973</v>
      </c>
      <c r="AY58">
        <v>1</v>
      </c>
      <c r="AZ58">
        <v>0</v>
      </c>
      <c r="BA58">
        <v>55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CX58">
        <f>Y58*Source!I177</f>
        <v>0.70616000000000012</v>
      </c>
      <c r="CY58">
        <f>AB58</f>
        <v>1159.46</v>
      </c>
      <c r="CZ58">
        <f>AF58</f>
        <v>1159.46</v>
      </c>
      <c r="DA58">
        <f>AJ58</f>
        <v>1</v>
      </c>
      <c r="DB58">
        <f t="shared" si="13"/>
        <v>2411.6799999999998</v>
      </c>
      <c r="DC58">
        <f t="shared" si="14"/>
        <v>1093.54</v>
      </c>
    </row>
    <row r="59" spans="1:107" x14ac:dyDescent="0.2">
      <c r="A59">
        <f>ROW(Source!A177)</f>
        <v>177</v>
      </c>
      <c r="B59">
        <v>38214492</v>
      </c>
      <c r="C59">
        <v>38214963</v>
      </c>
      <c r="D59">
        <v>34879585</v>
      </c>
      <c r="E59">
        <v>1</v>
      </c>
      <c r="F59">
        <v>1</v>
      </c>
      <c r="G59">
        <v>25</v>
      </c>
      <c r="H59">
        <v>2</v>
      </c>
      <c r="I59" t="s">
        <v>467</v>
      </c>
      <c r="J59" t="s">
        <v>468</v>
      </c>
      <c r="K59" t="s">
        <v>469</v>
      </c>
      <c r="L59">
        <v>1368</v>
      </c>
      <c r="N59">
        <v>1011</v>
      </c>
      <c r="O59" t="s">
        <v>397</v>
      </c>
      <c r="P59" t="s">
        <v>397</v>
      </c>
      <c r="Q59">
        <v>1</v>
      </c>
      <c r="W59">
        <v>0</v>
      </c>
      <c r="X59">
        <v>1265029398</v>
      </c>
      <c r="Y59">
        <v>2.08</v>
      </c>
      <c r="AA59">
        <v>0</v>
      </c>
      <c r="AB59">
        <v>416.25</v>
      </c>
      <c r="AC59">
        <v>204.9</v>
      </c>
      <c r="AD59">
        <v>0</v>
      </c>
      <c r="AE59">
        <v>0</v>
      </c>
      <c r="AF59">
        <v>416.25</v>
      </c>
      <c r="AG59">
        <v>204.9</v>
      </c>
      <c r="AH59">
        <v>0</v>
      </c>
      <c r="AI59">
        <v>1</v>
      </c>
      <c r="AJ59">
        <v>1</v>
      </c>
      <c r="AK59">
        <v>1</v>
      </c>
      <c r="AL59">
        <v>1</v>
      </c>
      <c r="AN59">
        <v>0</v>
      </c>
      <c r="AO59">
        <v>1</v>
      </c>
      <c r="AP59">
        <v>0</v>
      </c>
      <c r="AQ59">
        <v>0</v>
      </c>
      <c r="AR59">
        <v>0</v>
      </c>
      <c r="AS59" t="s">
        <v>3</v>
      </c>
      <c r="AT59">
        <v>2.08</v>
      </c>
      <c r="AU59" t="s">
        <v>3</v>
      </c>
      <c r="AV59">
        <v>0</v>
      </c>
      <c r="AW59">
        <v>2</v>
      </c>
      <c r="AX59">
        <v>38214974</v>
      </c>
      <c r="AY59">
        <v>1</v>
      </c>
      <c r="AZ59">
        <v>0</v>
      </c>
      <c r="BA59">
        <v>56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CX59">
        <f>Y59*Source!I177</f>
        <v>0.70616000000000012</v>
      </c>
      <c r="CY59">
        <f>AB59</f>
        <v>416.25</v>
      </c>
      <c r="CZ59">
        <f>AF59</f>
        <v>416.25</v>
      </c>
      <c r="DA59">
        <f>AJ59</f>
        <v>1</v>
      </c>
      <c r="DB59">
        <f t="shared" si="13"/>
        <v>865.8</v>
      </c>
      <c r="DC59">
        <f t="shared" si="14"/>
        <v>426.19</v>
      </c>
    </row>
    <row r="60" spans="1:107" x14ac:dyDescent="0.2">
      <c r="A60">
        <f>ROW(Source!A177)</f>
        <v>177</v>
      </c>
      <c r="B60">
        <v>38214492</v>
      </c>
      <c r="C60">
        <v>38214963</v>
      </c>
      <c r="D60">
        <v>34879588</v>
      </c>
      <c r="E60">
        <v>1</v>
      </c>
      <c r="F60">
        <v>1</v>
      </c>
      <c r="G60">
        <v>25</v>
      </c>
      <c r="H60">
        <v>2</v>
      </c>
      <c r="I60" t="s">
        <v>470</v>
      </c>
      <c r="J60" t="s">
        <v>471</v>
      </c>
      <c r="K60" t="s">
        <v>472</v>
      </c>
      <c r="L60">
        <v>1368</v>
      </c>
      <c r="N60">
        <v>1011</v>
      </c>
      <c r="O60" t="s">
        <v>397</v>
      </c>
      <c r="P60" t="s">
        <v>397</v>
      </c>
      <c r="Q60">
        <v>1</v>
      </c>
      <c r="W60">
        <v>0</v>
      </c>
      <c r="X60">
        <v>-1802121576</v>
      </c>
      <c r="Y60">
        <v>0.81</v>
      </c>
      <c r="AA60">
        <v>0</v>
      </c>
      <c r="AB60">
        <v>1942.21</v>
      </c>
      <c r="AC60">
        <v>436.39</v>
      </c>
      <c r="AD60">
        <v>0</v>
      </c>
      <c r="AE60">
        <v>0</v>
      </c>
      <c r="AF60">
        <v>1942.21</v>
      </c>
      <c r="AG60">
        <v>436.39</v>
      </c>
      <c r="AH60">
        <v>0</v>
      </c>
      <c r="AI60">
        <v>1</v>
      </c>
      <c r="AJ60">
        <v>1</v>
      </c>
      <c r="AK60">
        <v>1</v>
      </c>
      <c r="AL60">
        <v>1</v>
      </c>
      <c r="AN60">
        <v>0</v>
      </c>
      <c r="AO60">
        <v>1</v>
      </c>
      <c r="AP60">
        <v>0</v>
      </c>
      <c r="AQ60">
        <v>0</v>
      </c>
      <c r="AR60">
        <v>0</v>
      </c>
      <c r="AS60" t="s">
        <v>3</v>
      </c>
      <c r="AT60">
        <v>0.81</v>
      </c>
      <c r="AU60" t="s">
        <v>3</v>
      </c>
      <c r="AV60">
        <v>0</v>
      </c>
      <c r="AW60">
        <v>2</v>
      </c>
      <c r="AX60">
        <v>38214975</v>
      </c>
      <c r="AY60">
        <v>1</v>
      </c>
      <c r="AZ60">
        <v>0</v>
      </c>
      <c r="BA60">
        <v>57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CX60">
        <f>Y60*Source!I177</f>
        <v>0.27499500000000004</v>
      </c>
      <c r="CY60">
        <f>AB60</f>
        <v>1942.21</v>
      </c>
      <c r="CZ60">
        <f>AF60</f>
        <v>1942.21</v>
      </c>
      <c r="DA60">
        <f>AJ60</f>
        <v>1</v>
      </c>
      <c r="DB60">
        <f t="shared" si="13"/>
        <v>1573.19</v>
      </c>
      <c r="DC60">
        <f t="shared" si="14"/>
        <v>353.48</v>
      </c>
    </row>
    <row r="61" spans="1:107" x14ac:dyDescent="0.2">
      <c r="A61">
        <f>ROW(Source!A177)</f>
        <v>177</v>
      </c>
      <c r="B61">
        <v>38214492</v>
      </c>
      <c r="C61">
        <v>38214963</v>
      </c>
      <c r="D61">
        <v>34879612</v>
      </c>
      <c r="E61">
        <v>1</v>
      </c>
      <c r="F61">
        <v>1</v>
      </c>
      <c r="G61">
        <v>25</v>
      </c>
      <c r="H61">
        <v>2</v>
      </c>
      <c r="I61" t="s">
        <v>473</v>
      </c>
      <c r="J61" t="s">
        <v>474</v>
      </c>
      <c r="K61" t="s">
        <v>475</v>
      </c>
      <c r="L61">
        <v>1368</v>
      </c>
      <c r="N61">
        <v>1011</v>
      </c>
      <c r="O61" t="s">
        <v>397</v>
      </c>
      <c r="P61" t="s">
        <v>397</v>
      </c>
      <c r="Q61">
        <v>1</v>
      </c>
      <c r="W61">
        <v>0</v>
      </c>
      <c r="X61">
        <v>-1453001133</v>
      </c>
      <c r="Y61">
        <v>1.94</v>
      </c>
      <c r="AA61">
        <v>0</v>
      </c>
      <c r="AB61">
        <v>1364.77</v>
      </c>
      <c r="AC61">
        <v>610.30999999999995</v>
      </c>
      <c r="AD61">
        <v>0</v>
      </c>
      <c r="AE61">
        <v>0</v>
      </c>
      <c r="AF61">
        <v>1364.77</v>
      </c>
      <c r="AG61">
        <v>610.30999999999995</v>
      </c>
      <c r="AH61">
        <v>0</v>
      </c>
      <c r="AI61">
        <v>1</v>
      </c>
      <c r="AJ61">
        <v>1</v>
      </c>
      <c r="AK61">
        <v>1</v>
      </c>
      <c r="AL61">
        <v>1</v>
      </c>
      <c r="AN61">
        <v>0</v>
      </c>
      <c r="AO61">
        <v>1</v>
      </c>
      <c r="AP61">
        <v>0</v>
      </c>
      <c r="AQ61">
        <v>0</v>
      </c>
      <c r="AR61">
        <v>0</v>
      </c>
      <c r="AS61" t="s">
        <v>3</v>
      </c>
      <c r="AT61">
        <v>1.94</v>
      </c>
      <c r="AU61" t="s">
        <v>3</v>
      </c>
      <c r="AV61">
        <v>0</v>
      </c>
      <c r="AW61">
        <v>2</v>
      </c>
      <c r="AX61">
        <v>38214976</v>
      </c>
      <c r="AY61">
        <v>1</v>
      </c>
      <c r="AZ61">
        <v>0</v>
      </c>
      <c r="BA61">
        <v>58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CX61">
        <f>Y61*Source!I177</f>
        <v>0.65863000000000005</v>
      </c>
      <c r="CY61">
        <f>AB61</f>
        <v>1364.77</v>
      </c>
      <c r="CZ61">
        <f>AF61</f>
        <v>1364.77</v>
      </c>
      <c r="DA61">
        <f>AJ61</f>
        <v>1</v>
      </c>
      <c r="DB61">
        <f t="shared" si="13"/>
        <v>2647.65</v>
      </c>
      <c r="DC61">
        <f t="shared" si="14"/>
        <v>1184</v>
      </c>
    </row>
    <row r="62" spans="1:107" x14ac:dyDescent="0.2">
      <c r="A62">
        <f>ROW(Source!A177)</f>
        <v>177</v>
      </c>
      <c r="B62">
        <v>38214492</v>
      </c>
      <c r="C62">
        <v>38214963</v>
      </c>
      <c r="D62">
        <v>34879578</v>
      </c>
      <c r="E62">
        <v>1</v>
      </c>
      <c r="F62">
        <v>1</v>
      </c>
      <c r="G62">
        <v>25</v>
      </c>
      <c r="H62">
        <v>2</v>
      </c>
      <c r="I62" t="s">
        <v>476</v>
      </c>
      <c r="J62" t="s">
        <v>477</v>
      </c>
      <c r="K62" t="s">
        <v>478</v>
      </c>
      <c r="L62">
        <v>1368</v>
      </c>
      <c r="N62">
        <v>1011</v>
      </c>
      <c r="O62" t="s">
        <v>397</v>
      </c>
      <c r="P62" t="s">
        <v>397</v>
      </c>
      <c r="Q62">
        <v>1</v>
      </c>
      <c r="W62">
        <v>0</v>
      </c>
      <c r="X62">
        <v>393556487</v>
      </c>
      <c r="Y62">
        <v>0.65</v>
      </c>
      <c r="AA62">
        <v>0</v>
      </c>
      <c r="AB62">
        <v>1179.56</v>
      </c>
      <c r="AC62">
        <v>439.28</v>
      </c>
      <c r="AD62">
        <v>0</v>
      </c>
      <c r="AE62">
        <v>0</v>
      </c>
      <c r="AF62">
        <v>1179.56</v>
      </c>
      <c r="AG62">
        <v>439.28</v>
      </c>
      <c r="AH62">
        <v>0</v>
      </c>
      <c r="AI62">
        <v>1</v>
      </c>
      <c r="AJ62">
        <v>1</v>
      </c>
      <c r="AK62">
        <v>1</v>
      </c>
      <c r="AL62">
        <v>1</v>
      </c>
      <c r="AN62">
        <v>0</v>
      </c>
      <c r="AO62">
        <v>1</v>
      </c>
      <c r="AP62">
        <v>0</v>
      </c>
      <c r="AQ62">
        <v>0</v>
      </c>
      <c r="AR62">
        <v>0</v>
      </c>
      <c r="AS62" t="s">
        <v>3</v>
      </c>
      <c r="AT62">
        <v>0.65</v>
      </c>
      <c r="AU62" t="s">
        <v>3</v>
      </c>
      <c r="AV62">
        <v>0</v>
      </c>
      <c r="AW62">
        <v>2</v>
      </c>
      <c r="AX62">
        <v>38214977</v>
      </c>
      <c r="AY62">
        <v>1</v>
      </c>
      <c r="AZ62">
        <v>0</v>
      </c>
      <c r="BA62">
        <v>59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CX62">
        <f>Y62*Source!I177</f>
        <v>0.22067500000000001</v>
      </c>
      <c r="CY62">
        <f>AB62</f>
        <v>1179.56</v>
      </c>
      <c r="CZ62">
        <f>AF62</f>
        <v>1179.56</v>
      </c>
      <c r="DA62">
        <f>AJ62</f>
        <v>1</v>
      </c>
      <c r="DB62">
        <f t="shared" si="13"/>
        <v>766.71</v>
      </c>
      <c r="DC62">
        <f t="shared" si="14"/>
        <v>285.52999999999997</v>
      </c>
    </row>
    <row r="63" spans="1:107" x14ac:dyDescent="0.2">
      <c r="A63">
        <f>ROW(Source!A177)</f>
        <v>177</v>
      </c>
      <c r="B63">
        <v>38214492</v>
      </c>
      <c r="C63">
        <v>38214963</v>
      </c>
      <c r="D63">
        <v>34881527</v>
      </c>
      <c r="E63">
        <v>1</v>
      </c>
      <c r="F63">
        <v>1</v>
      </c>
      <c r="G63">
        <v>25</v>
      </c>
      <c r="H63">
        <v>3</v>
      </c>
      <c r="I63" t="s">
        <v>479</v>
      </c>
      <c r="J63" t="s">
        <v>480</v>
      </c>
      <c r="K63" t="s">
        <v>481</v>
      </c>
      <c r="L63">
        <v>1339</v>
      </c>
      <c r="N63">
        <v>1007</v>
      </c>
      <c r="O63" t="s">
        <v>206</v>
      </c>
      <c r="P63" t="s">
        <v>206</v>
      </c>
      <c r="Q63">
        <v>1</v>
      </c>
      <c r="W63">
        <v>0</v>
      </c>
      <c r="X63">
        <v>189307774</v>
      </c>
      <c r="Y63">
        <v>110</v>
      </c>
      <c r="AA63">
        <v>590.78</v>
      </c>
      <c r="AB63">
        <v>0</v>
      </c>
      <c r="AC63">
        <v>0</v>
      </c>
      <c r="AD63">
        <v>0</v>
      </c>
      <c r="AE63">
        <v>590.78</v>
      </c>
      <c r="AF63">
        <v>0</v>
      </c>
      <c r="AG63">
        <v>0</v>
      </c>
      <c r="AH63">
        <v>0</v>
      </c>
      <c r="AI63">
        <v>1</v>
      </c>
      <c r="AJ63">
        <v>1</v>
      </c>
      <c r="AK63">
        <v>1</v>
      </c>
      <c r="AL63">
        <v>1</v>
      </c>
      <c r="AN63">
        <v>0</v>
      </c>
      <c r="AO63">
        <v>1</v>
      </c>
      <c r="AP63">
        <v>0</v>
      </c>
      <c r="AQ63">
        <v>0</v>
      </c>
      <c r="AR63">
        <v>0</v>
      </c>
      <c r="AS63" t="s">
        <v>3</v>
      </c>
      <c r="AT63">
        <v>110</v>
      </c>
      <c r="AU63" t="s">
        <v>3</v>
      </c>
      <c r="AV63">
        <v>0</v>
      </c>
      <c r="AW63">
        <v>2</v>
      </c>
      <c r="AX63">
        <v>38214978</v>
      </c>
      <c r="AY63">
        <v>1</v>
      </c>
      <c r="AZ63">
        <v>0</v>
      </c>
      <c r="BA63">
        <v>60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CX63">
        <f>Y63*Source!I177</f>
        <v>37.345000000000006</v>
      </c>
      <c r="CY63">
        <f>AA63</f>
        <v>590.78</v>
      </c>
      <c r="CZ63">
        <f>AE63</f>
        <v>590.78</v>
      </c>
      <c r="DA63">
        <f>AI63</f>
        <v>1</v>
      </c>
      <c r="DB63">
        <f t="shared" si="13"/>
        <v>64985.8</v>
      </c>
      <c r="DC63">
        <f t="shared" si="14"/>
        <v>0</v>
      </c>
    </row>
    <row r="64" spans="1:107" x14ac:dyDescent="0.2">
      <c r="A64">
        <f>ROW(Source!A177)</f>
        <v>177</v>
      </c>
      <c r="B64">
        <v>38214492</v>
      </c>
      <c r="C64">
        <v>38214963</v>
      </c>
      <c r="D64">
        <v>34882270</v>
      </c>
      <c r="E64">
        <v>1</v>
      </c>
      <c r="F64">
        <v>1</v>
      </c>
      <c r="G64">
        <v>25</v>
      </c>
      <c r="H64">
        <v>3</v>
      </c>
      <c r="I64" t="s">
        <v>482</v>
      </c>
      <c r="J64" t="s">
        <v>483</v>
      </c>
      <c r="K64" t="s">
        <v>484</v>
      </c>
      <c r="L64">
        <v>1339</v>
      </c>
      <c r="N64">
        <v>1007</v>
      </c>
      <c r="O64" t="s">
        <v>206</v>
      </c>
      <c r="P64" t="s">
        <v>206</v>
      </c>
      <c r="Q64">
        <v>1</v>
      </c>
      <c r="W64">
        <v>0</v>
      </c>
      <c r="X64">
        <v>-1250124927</v>
      </c>
      <c r="Y64">
        <v>5</v>
      </c>
      <c r="AA64">
        <v>33.729999999999997</v>
      </c>
      <c r="AB64">
        <v>0</v>
      </c>
      <c r="AC64">
        <v>0</v>
      </c>
      <c r="AD64">
        <v>0</v>
      </c>
      <c r="AE64">
        <v>33.729999999999997</v>
      </c>
      <c r="AF64">
        <v>0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1</v>
      </c>
      <c r="AN64">
        <v>0</v>
      </c>
      <c r="AO64">
        <v>1</v>
      </c>
      <c r="AP64">
        <v>0</v>
      </c>
      <c r="AQ64">
        <v>0</v>
      </c>
      <c r="AR64">
        <v>0</v>
      </c>
      <c r="AS64" t="s">
        <v>3</v>
      </c>
      <c r="AT64">
        <v>5</v>
      </c>
      <c r="AU64" t="s">
        <v>3</v>
      </c>
      <c r="AV64">
        <v>0</v>
      </c>
      <c r="AW64">
        <v>2</v>
      </c>
      <c r="AX64">
        <v>38214979</v>
      </c>
      <c r="AY64">
        <v>1</v>
      </c>
      <c r="AZ64">
        <v>0</v>
      </c>
      <c r="BA64">
        <v>61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CX64">
        <f>Y64*Source!I177</f>
        <v>1.6975000000000002</v>
      </c>
      <c r="CY64">
        <f>AA64</f>
        <v>33.729999999999997</v>
      </c>
      <c r="CZ64">
        <f>AE64</f>
        <v>33.729999999999997</v>
      </c>
      <c r="DA64">
        <f>AI64</f>
        <v>1</v>
      </c>
      <c r="DB64">
        <f t="shared" si="13"/>
        <v>168.65</v>
      </c>
      <c r="DC64">
        <f t="shared" si="14"/>
        <v>0</v>
      </c>
    </row>
    <row r="65" spans="1:107" x14ac:dyDescent="0.2">
      <c r="A65">
        <f>ROW(Source!A178)</f>
        <v>178</v>
      </c>
      <c r="B65">
        <v>38214492</v>
      </c>
      <c r="C65">
        <v>38214980</v>
      </c>
      <c r="D65">
        <v>34867259</v>
      </c>
      <c r="E65">
        <v>25</v>
      </c>
      <c r="F65">
        <v>1</v>
      </c>
      <c r="G65">
        <v>25</v>
      </c>
      <c r="H65">
        <v>1</v>
      </c>
      <c r="I65" t="s">
        <v>391</v>
      </c>
      <c r="J65" t="s">
        <v>3</v>
      </c>
      <c r="K65" t="s">
        <v>392</v>
      </c>
      <c r="L65">
        <v>1191</v>
      </c>
      <c r="N65">
        <v>1013</v>
      </c>
      <c r="O65" t="s">
        <v>393</v>
      </c>
      <c r="P65" t="s">
        <v>393</v>
      </c>
      <c r="Q65">
        <v>1</v>
      </c>
      <c r="W65">
        <v>0</v>
      </c>
      <c r="X65">
        <v>476480486</v>
      </c>
      <c r="Y65">
        <v>0.37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1</v>
      </c>
      <c r="AK65">
        <v>1</v>
      </c>
      <c r="AL65">
        <v>1</v>
      </c>
      <c r="AN65">
        <v>0</v>
      </c>
      <c r="AO65">
        <v>1</v>
      </c>
      <c r="AP65">
        <v>0</v>
      </c>
      <c r="AQ65">
        <v>0</v>
      </c>
      <c r="AR65">
        <v>0</v>
      </c>
      <c r="AS65" t="s">
        <v>3</v>
      </c>
      <c r="AT65">
        <v>0.37</v>
      </c>
      <c r="AU65" t="s">
        <v>3</v>
      </c>
      <c r="AV65">
        <v>1</v>
      </c>
      <c r="AW65">
        <v>2</v>
      </c>
      <c r="AX65">
        <v>38214985</v>
      </c>
      <c r="AY65">
        <v>1</v>
      </c>
      <c r="AZ65">
        <v>0</v>
      </c>
      <c r="BA65">
        <v>62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CX65">
        <f>Y65*Source!I178</f>
        <v>0</v>
      </c>
      <c r="CY65">
        <f>AD65</f>
        <v>0</v>
      </c>
      <c r="CZ65">
        <f>AH65</f>
        <v>0</v>
      </c>
      <c r="DA65">
        <f>AL65</f>
        <v>1</v>
      </c>
      <c r="DB65">
        <f t="shared" si="13"/>
        <v>0</v>
      </c>
      <c r="DC65">
        <f t="shared" si="14"/>
        <v>0</v>
      </c>
    </row>
    <row r="66" spans="1:107" x14ac:dyDescent="0.2">
      <c r="A66">
        <f>ROW(Source!A178)</f>
        <v>178</v>
      </c>
      <c r="B66">
        <v>38214492</v>
      </c>
      <c r="C66">
        <v>38214980</v>
      </c>
      <c r="D66">
        <v>34879587</v>
      </c>
      <c r="E66">
        <v>1</v>
      </c>
      <c r="F66">
        <v>1</v>
      </c>
      <c r="G66">
        <v>25</v>
      </c>
      <c r="H66">
        <v>2</v>
      </c>
      <c r="I66" t="s">
        <v>485</v>
      </c>
      <c r="J66" t="s">
        <v>486</v>
      </c>
      <c r="K66" t="s">
        <v>487</v>
      </c>
      <c r="L66">
        <v>1368</v>
      </c>
      <c r="N66">
        <v>1011</v>
      </c>
      <c r="O66" t="s">
        <v>397</v>
      </c>
      <c r="P66" t="s">
        <v>397</v>
      </c>
      <c r="Q66">
        <v>1</v>
      </c>
      <c r="W66">
        <v>0</v>
      </c>
      <c r="X66">
        <v>-337346809</v>
      </c>
      <c r="Y66">
        <v>3.0000000000000001E-3</v>
      </c>
      <c r="AA66">
        <v>0</v>
      </c>
      <c r="AB66">
        <v>1236.3</v>
      </c>
      <c r="AC66">
        <v>469.98</v>
      </c>
      <c r="AD66">
        <v>0</v>
      </c>
      <c r="AE66">
        <v>0</v>
      </c>
      <c r="AF66">
        <v>1236.3</v>
      </c>
      <c r="AG66">
        <v>469.98</v>
      </c>
      <c r="AH66">
        <v>0</v>
      </c>
      <c r="AI66">
        <v>1</v>
      </c>
      <c r="AJ66">
        <v>1</v>
      </c>
      <c r="AK66">
        <v>1</v>
      </c>
      <c r="AL66">
        <v>1</v>
      </c>
      <c r="AN66">
        <v>0</v>
      </c>
      <c r="AO66">
        <v>1</v>
      </c>
      <c r="AP66">
        <v>0</v>
      </c>
      <c r="AQ66">
        <v>0</v>
      </c>
      <c r="AR66">
        <v>0</v>
      </c>
      <c r="AS66" t="s">
        <v>3</v>
      </c>
      <c r="AT66">
        <v>3.0000000000000001E-3</v>
      </c>
      <c r="AU66" t="s">
        <v>3</v>
      </c>
      <c r="AV66">
        <v>0</v>
      </c>
      <c r="AW66">
        <v>2</v>
      </c>
      <c r="AX66">
        <v>38214986</v>
      </c>
      <c r="AY66">
        <v>2</v>
      </c>
      <c r="AZ66">
        <v>98304</v>
      </c>
      <c r="BA66">
        <v>63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CX66">
        <f>Y66*Source!I178</f>
        <v>0</v>
      </c>
      <c r="CY66">
        <f>AB66</f>
        <v>1236.3</v>
      </c>
      <c r="CZ66">
        <f>AF66</f>
        <v>1236.3</v>
      </c>
      <c r="DA66">
        <f>AJ66</f>
        <v>1</v>
      </c>
      <c r="DB66">
        <f t="shared" si="13"/>
        <v>3.71</v>
      </c>
      <c r="DC66">
        <f t="shared" si="14"/>
        <v>1.41</v>
      </c>
    </row>
    <row r="67" spans="1:107" x14ac:dyDescent="0.2">
      <c r="A67">
        <f>ROW(Source!A178)</f>
        <v>178</v>
      </c>
      <c r="B67">
        <v>38214492</v>
      </c>
      <c r="C67">
        <v>38214980</v>
      </c>
      <c r="D67">
        <v>34881528</v>
      </c>
      <c r="E67">
        <v>1</v>
      </c>
      <c r="F67">
        <v>1</v>
      </c>
      <c r="G67">
        <v>25</v>
      </c>
      <c r="H67">
        <v>3</v>
      </c>
      <c r="I67" t="s">
        <v>488</v>
      </c>
      <c r="J67" t="s">
        <v>489</v>
      </c>
      <c r="K67" t="s">
        <v>490</v>
      </c>
      <c r="L67">
        <v>1339</v>
      </c>
      <c r="N67">
        <v>1007</v>
      </c>
      <c r="O67" t="s">
        <v>206</v>
      </c>
      <c r="P67" t="s">
        <v>206</v>
      </c>
      <c r="Q67">
        <v>1</v>
      </c>
      <c r="W67">
        <v>0</v>
      </c>
      <c r="X67">
        <v>2043575967</v>
      </c>
      <c r="Y67">
        <v>0.105</v>
      </c>
      <c r="AA67">
        <v>590.78</v>
      </c>
      <c r="AB67">
        <v>0</v>
      </c>
      <c r="AC67">
        <v>0</v>
      </c>
      <c r="AD67">
        <v>0</v>
      </c>
      <c r="AE67">
        <v>590.78</v>
      </c>
      <c r="AF67">
        <v>0</v>
      </c>
      <c r="AG67">
        <v>0</v>
      </c>
      <c r="AH67">
        <v>0</v>
      </c>
      <c r="AI67">
        <v>1</v>
      </c>
      <c r="AJ67">
        <v>1</v>
      </c>
      <c r="AK67">
        <v>1</v>
      </c>
      <c r="AL67">
        <v>1</v>
      </c>
      <c r="AN67">
        <v>0</v>
      </c>
      <c r="AO67">
        <v>1</v>
      </c>
      <c r="AP67">
        <v>0</v>
      </c>
      <c r="AQ67">
        <v>0</v>
      </c>
      <c r="AR67">
        <v>0</v>
      </c>
      <c r="AS67" t="s">
        <v>3</v>
      </c>
      <c r="AT67">
        <v>0.105</v>
      </c>
      <c r="AU67" t="s">
        <v>3</v>
      </c>
      <c r="AV67">
        <v>0</v>
      </c>
      <c r="AW67">
        <v>2</v>
      </c>
      <c r="AX67">
        <v>38214987</v>
      </c>
      <c r="AY67">
        <v>2</v>
      </c>
      <c r="AZ67">
        <v>16384</v>
      </c>
      <c r="BA67">
        <v>64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CX67">
        <f>Y67*Source!I178</f>
        <v>0</v>
      </c>
      <c r="CY67">
        <f>AA67</f>
        <v>590.78</v>
      </c>
      <c r="CZ67">
        <f>AE67</f>
        <v>590.78</v>
      </c>
      <c r="DA67">
        <f>AI67</f>
        <v>1</v>
      </c>
      <c r="DB67">
        <f t="shared" si="13"/>
        <v>62.03</v>
      </c>
      <c r="DC67">
        <f t="shared" si="14"/>
        <v>0</v>
      </c>
    </row>
    <row r="68" spans="1:107" x14ac:dyDescent="0.2">
      <c r="A68">
        <f>ROW(Source!A178)</f>
        <v>178</v>
      </c>
      <c r="B68">
        <v>38214492</v>
      </c>
      <c r="C68">
        <v>38214980</v>
      </c>
      <c r="D68">
        <v>34882270</v>
      </c>
      <c r="E68">
        <v>1</v>
      </c>
      <c r="F68">
        <v>1</v>
      </c>
      <c r="G68">
        <v>25</v>
      </c>
      <c r="H68">
        <v>3</v>
      </c>
      <c r="I68" t="s">
        <v>482</v>
      </c>
      <c r="J68" t="s">
        <v>483</v>
      </c>
      <c r="K68" t="s">
        <v>484</v>
      </c>
      <c r="L68">
        <v>1339</v>
      </c>
      <c r="N68">
        <v>1007</v>
      </c>
      <c r="O68" t="s">
        <v>206</v>
      </c>
      <c r="P68" t="s">
        <v>206</v>
      </c>
      <c r="Q68">
        <v>1</v>
      </c>
      <c r="W68">
        <v>0</v>
      </c>
      <c r="X68">
        <v>-1250124927</v>
      </c>
      <c r="Y68">
        <v>0.01</v>
      </c>
      <c r="AA68">
        <v>33.729999999999997</v>
      </c>
      <c r="AB68">
        <v>0</v>
      </c>
      <c r="AC68">
        <v>0</v>
      </c>
      <c r="AD68">
        <v>0</v>
      </c>
      <c r="AE68">
        <v>33.729999999999997</v>
      </c>
      <c r="AF68">
        <v>0</v>
      </c>
      <c r="AG68">
        <v>0</v>
      </c>
      <c r="AH68">
        <v>0</v>
      </c>
      <c r="AI68">
        <v>1</v>
      </c>
      <c r="AJ68">
        <v>1</v>
      </c>
      <c r="AK68">
        <v>1</v>
      </c>
      <c r="AL68">
        <v>1</v>
      </c>
      <c r="AN68">
        <v>0</v>
      </c>
      <c r="AO68">
        <v>1</v>
      </c>
      <c r="AP68">
        <v>0</v>
      </c>
      <c r="AQ68">
        <v>0</v>
      </c>
      <c r="AR68">
        <v>0</v>
      </c>
      <c r="AS68" t="s">
        <v>3</v>
      </c>
      <c r="AT68">
        <v>0.01</v>
      </c>
      <c r="AU68" t="s">
        <v>3</v>
      </c>
      <c r="AV68">
        <v>0</v>
      </c>
      <c r="AW68">
        <v>2</v>
      </c>
      <c r="AX68">
        <v>38214988</v>
      </c>
      <c r="AY68">
        <v>2</v>
      </c>
      <c r="AZ68">
        <v>16384</v>
      </c>
      <c r="BA68">
        <v>65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CX68">
        <f>Y68*Source!I178</f>
        <v>0</v>
      </c>
      <c r="CY68">
        <f>AA68</f>
        <v>33.729999999999997</v>
      </c>
      <c r="CZ68">
        <f>AE68</f>
        <v>33.729999999999997</v>
      </c>
      <c r="DA68">
        <f>AI68</f>
        <v>1</v>
      </c>
      <c r="DB68">
        <f t="shared" si="13"/>
        <v>0.34</v>
      </c>
      <c r="DC68">
        <f t="shared" si="14"/>
        <v>0</v>
      </c>
    </row>
    <row r="69" spans="1:107" x14ac:dyDescent="0.2">
      <c r="A69">
        <f>ROW(Source!A250)</f>
        <v>250</v>
      </c>
      <c r="B69">
        <v>38214492</v>
      </c>
      <c r="C69">
        <v>38217167</v>
      </c>
      <c r="D69">
        <v>34867259</v>
      </c>
      <c r="E69">
        <v>25</v>
      </c>
      <c r="F69">
        <v>1</v>
      </c>
      <c r="G69">
        <v>25</v>
      </c>
      <c r="H69">
        <v>1</v>
      </c>
      <c r="I69" t="s">
        <v>391</v>
      </c>
      <c r="J69" t="s">
        <v>3</v>
      </c>
      <c r="K69" t="s">
        <v>392</v>
      </c>
      <c r="L69">
        <v>1191</v>
      </c>
      <c r="N69">
        <v>1013</v>
      </c>
      <c r="O69" t="s">
        <v>393</v>
      </c>
      <c r="P69" t="s">
        <v>393</v>
      </c>
      <c r="Q69">
        <v>1</v>
      </c>
      <c r="W69">
        <v>0</v>
      </c>
      <c r="X69">
        <v>476480486</v>
      </c>
      <c r="Y69">
        <v>15.15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1</v>
      </c>
      <c r="AK69">
        <v>1</v>
      </c>
      <c r="AL69">
        <v>1</v>
      </c>
      <c r="AN69">
        <v>0</v>
      </c>
      <c r="AO69">
        <v>1</v>
      </c>
      <c r="AP69">
        <v>0</v>
      </c>
      <c r="AQ69">
        <v>0</v>
      </c>
      <c r="AR69">
        <v>0</v>
      </c>
      <c r="AS69" t="s">
        <v>3</v>
      </c>
      <c r="AT69">
        <v>15.15</v>
      </c>
      <c r="AU69" t="s">
        <v>3</v>
      </c>
      <c r="AV69">
        <v>1</v>
      </c>
      <c r="AW69">
        <v>2</v>
      </c>
      <c r="AX69">
        <v>38217171</v>
      </c>
      <c r="AY69">
        <v>1</v>
      </c>
      <c r="AZ69">
        <v>0</v>
      </c>
      <c r="BA69">
        <v>66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CX69">
        <f>Y69*Source!I250</f>
        <v>1.5907499999999999</v>
      </c>
      <c r="CY69">
        <f>AD69</f>
        <v>0</v>
      </c>
      <c r="CZ69">
        <f>AH69</f>
        <v>0</v>
      </c>
      <c r="DA69">
        <f>AL69</f>
        <v>1</v>
      </c>
      <c r="DB69">
        <f t="shared" si="13"/>
        <v>0</v>
      </c>
      <c r="DC69">
        <f t="shared" si="14"/>
        <v>0</v>
      </c>
    </row>
    <row r="70" spans="1:107" x14ac:dyDescent="0.2">
      <c r="A70">
        <f>ROW(Source!A250)</f>
        <v>250</v>
      </c>
      <c r="B70">
        <v>38214492</v>
      </c>
      <c r="C70">
        <v>38217167</v>
      </c>
      <c r="D70">
        <v>34880230</v>
      </c>
      <c r="E70">
        <v>1</v>
      </c>
      <c r="F70">
        <v>1</v>
      </c>
      <c r="G70">
        <v>25</v>
      </c>
      <c r="H70">
        <v>2</v>
      </c>
      <c r="I70" t="s">
        <v>394</v>
      </c>
      <c r="J70" t="s">
        <v>395</v>
      </c>
      <c r="K70" t="s">
        <v>396</v>
      </c>
      <c r="L70">
        <v>1368</v>
      </c>
      <c r="N70">
        <v>1011</v>
      </c>
      <c r="O70" t="s">
        <v>397</v>
      </c>
      <c r="P70" t="s">
        <v>397</v>
      </c>
      <c r="Q70">
        <v>1</v>
      </c>
      <c r="W70">
        <v>0</v>
      </c>
      <c r="X70">
        <v>1675990774</v>
      </c>
      <c r="Y70">
        <v>0.01</v>
      </c>
      <c r="AA70">
        <v>0</v>
      </c>
      <c r="AB70">
        <v>6.28</v>
      </c>
      <c r="AC70">
        <v>0.01</v>
      </c>
      <c r="AD70">
        <v>0</v>
      </c>
      <c r="AE70">
        <v>0</v>
      </c>
      <c r="AF70">
        <v>6.28</v>
      </c>
      <c r="AG70">
        <v>0.01</v>
      </c>
      <c r="AH70">
        <v>0</v>
      </c>
      <c r="AI70">
        <v>1</v>
      </c>
      <c r="AJ70">
        <v>1</v>
      </c>
      <c r="AK70">
        <v>1</v>
      </c>
      <c r="AL70">
        <v>1</v>
      </c>
      <c r="AN70">
        <v>0</v>
      </c>
      <c r="AO70">
        <v>1</v>
      </c>
      <c r="AP70">
        <v>0</v>
      </c>
      <c r="AQ70">
        <v>0</v>
      </c>
      <c r="AR70">
        <v>0</v>
      </c>
      <c r="AS70" t="s">
        <v>3</v>
      </c>
      <c r="AT70">
        <v>0.01</v>
      </c>
      <c r="AU70" t="s">
        <v>3</v>
      </c>
      <c r="AV70">
        <v>0</v>
      </c>
      <c r="AW70">
        <v>2</v>
      </c>
      <c r="AX70">
        <v>38217172</v>
      </c>
      <c r="AY70">
        <v>1</v>
      </c>
      <c r="AZ70">
        <v>0</v>
      </c>
      <c r="BA70">
        <v>67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CX70">
        <f>Y70*Source!I250</f>
        <v>1.0499999999999999E-3</v>
      </c>
      <c r="CY70">
        <f>AB70</f>
        <v>6.28</v>
      </c>
      <c r="CZ70">
        <f>AF70</f>
        <v>6.28</v>
      </c>
      <c r="DA70">
        <f>AJ70</f>
        <v>1</v>
      </c>
      <c r="DB70">
        <f t="shared" si="13"/>
        <v>0.06</v>
      </c>
      <c r="DC70">
        <f t="shared" si="14"/>
        <v>0</v>
      </c>
    </row>
    <row r="71" spans="1:107" x14ac:dyDescent="0.2">
      <c r="A71">
        <f>ROW(Source!A250)</f>
        <v>250</v>
      </c>
      <c r="B71">
        <v>38214492</v>
      </c>
      <c r="C71">
        <v>38217167</v>
      </c>
      <c r="D71">
        <v>34869071</v>
      </c>
      <c r="E71">
        <v>25</v>
      </c>
      <c r="F71">
        <v>1</v>
      </c>
      <c r="G71">
        <v>25</v>
      </c>
      <c r="H71">
        <v>3</v>
      </c>
      <c r="I71" t="s">
        <v>398</v>
      </c>
      <c r="J71" t="s">
        <v>3</v>
      </c>
      <c r="K71" t="s">
        <v>399</v>
      </c>
      <c r="L71">
        <v>1348</v>
      </c>
      <c r="N71">
        <v>1009</v>
      </c>
      <c r="O71" t="s">
        <v>30</v>
      </c>
      <c r="P71" t="s">
        <v>30</v>
      </c>
      <c r="Q71">
        <v>1000</v>
      </c>
      <c r="W71">
        <v>0</v>
      </c>
      <c r="X71">
        <v>1489638031</v>
      </c>
      <c r="Y71">
        <v>0.65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1</v>
      </c>
      <c r="AK71">
        <v>1</v>
      </c>
      <c r="AL71">
        <v>1</v>
      </c>
      <c r="AN71">
        <v>0</v>
      </c>
      <c r="AO71">
        <v>1</v>
      </c>
      <c r="AP71">
        <v>0</v>
      </c>
      <c r="AQ71">
        <v>0</v>
      </c>
      <c r="AR71">
        <v>0</v>
      </c>
      <c r="AS71" t="s">
        <v>3</v>
      </c>
      <c r="AT71">
        <v>0.65</v>
      </c>
      <c r="AU71" t="s">
        <v>3</v>
      </c>
      <c r="AV71">
        <v>0</v>
      </c>
      <c r="AW71">
        <v>2</v>
      </c>
      <c r="AX71">
        <v>38217173</v>
      </c>
      <c r="AY71">
        <v>1</v>
      </c>
      <c r="AZ71">
        <v>0</v>
      </c>
      <c r="BA71">
        <v>68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CX71">
        <f>Y71*Source!I250</f>
        <v>6.8250000000000005E-2</v>
      </c>
      <c r="CY71">
        <f>AA71</f>
        <v>0</v>
      </c>
      <c r="CZ71">
        <f>AE71</f>
        <v>0</v>
      </c>
      <c r="DA71">
        <f>AI71</f>
        <v>1</v>
      </c>
      <c r="DB71">
        <f t="shared" si="13"/>
        <v>0</v>
      </c>
      <c r="DC71">
        <f t="shared" si="14"/>
        <v>0</v>
      </c>
    </row>
    <row r="72" spans="1:107" x14ac:dyDescent="0.2">
      <c r="A72">
        <f>ROW(Source!A251)</f>
        <v>251</v>
      </c>
      <c r="B72">
        <v>38214492</v>
      </c>
      <c r="C72">
        <v>38217174</v>
      </c>
      <c r="D72">
        <v>34867259</v>
      </c>
      <c r="E72">
        <v>25</v>
      </c>
      <c r="F72">
        <v>1</v>
      </c>
      <c r="G72">
        <v>25</v>
      </c>
      <c r="H72">
        <v>1</v>
      </c>
      <c r="I72" t="s">
        <v>391</v>
      </c>
      <c r="J72" t="s">
        <v>3</v>
      </c>
      <c r="K72" t="s">
        <v>392</v>
      </c>
      <c r="L72">
        <v>1191</v>
      </c>
      <c r="N72">
        <v>1013</v>
      </c>
      <c r="O72" t="s">
        <v>393</v>
      </c>
      <c r="P72" t="s">
        <v>393</v>
      </c>
      <c r="Q72">
        <v>1</v>
      </c>
      <c r="W72">
        <v>0</v>
      </c>
      <c r="X72">
        <v>476480486</v>
      </c>
      <c r="Y72">
        <v>1.02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1</v>
      </c>
      <c r="AJ72">
        <v>1</v>
      </c>
      <c r="AK72">
        <v>1</v>
      </c>
      <c r="AL72">
        <v>1</v>
      </c>
      <c r="AN72">
        <v>0</v>
      </c>
      <c r="AO72">
        <v>1</v>
      </c>
      <c r="AP72">
        <v>0</v>
      </c>
      <c r="AQ72">
        <v>0</v>
      </c>
      <c r="AR72">
        <v>0</v>
      </c>
      <c r="AS72" t="s">
        <v>3</v>
      </c>
      <c r="AT72">
        <v>1.02</v>
      </c>
      <c r="AU72" t="s">
        <v>3</v>
      </c>
      <c r="AV72">
        <v>1</v>
      </c>
      <c r="AW72">
        <v>2</v>
      </c>
      <c r="AX72">
        <v>38217176</v>
      </c>
      <c r="AY72">
        <v>1</v>
      </c>
      <c r="AZ72">
        <v>0</v>
      </c>
      <c r="BA72">
        <v>69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CX72">
        <f>Y72*Source!I251</f>
        <v>6.961500000000001E-2</v>
      </c>
      <c r="CY72">
        <f>AD72</f>
        <v>0</v>
      </c>
      <c r="CZ72">
        <f>AH72</f>
        <v>0</v>
      </c>
      <c r="DA72">
        <f>AL72</f>
        <v>1</v>
      </c>
      <c r="DB72">
        <f t="shared" si="13"/>
        <v>0</v>
      </c>
      <c r="DC72">
        <f t="shared" si="14"/>
        <v>0</v>
      </c>
    </row>
    <row r="73" spans="1:107" x14ac:dyDescent="0.2">
      <c r="A73">
        <f>ROW(Source!A252)</f>
        <v>252</v>
      </c>
      <c r="B73">
        <v>38214492</v>
      </c>
      <c r="C73">
        <v>38217177</v>
      </c>
      <c r="D73">
        <v>34880178</v>
      </c>
      <c r="E73">
        <v>1</v>
      </c>
      <c r="F73">
        <v>1</v>
      </c>
      <c r="G73">
        <v>25</v>
      </c>
      <c r="H73">
        <v>2</v>
      </c>
      <c r="I73" t="s">
        <v>400</v>
      </c>
      <c r="J73" t="s">
        <v>401</v>
      </c>
      <c r="K73" t="s">
        <v>402</v>
      </c>
      <c r="L73">
        <v>1368</v>
      </c>
      <c r="N73">
        <v>1011</v>
      </c>
      <c r="O73" t="s">
        <v>397</v>
      </c>
      <c r="P73" t="s">
        <v>397</v>
      </c>
      <c r="Q73">
        <v>1</v>
      </c>
      <c r="W73">
        <v>0</v>
      </c>
      <c r="X73">
        <v>468658695</v>
      </c>
      <c r="Y73">
        <v>0.02</v>
      </c>
      <c r="AA73">
        <v>0</v>
      </c>
      <c r="AB73">
        <v>952.49</v>
      </c>
      <c r="AC73">
        <v>301.5</v>
      </c>
      <c r="AD73">
        <v>0</v>
      </c>
      <c r="AE73">
        <v>0</v>
      </c>
      <c r="AF73">
        <v>952.49</v>
      </c>
      <c r="AG73">
        <v>301.5</v>
      </c>
      <c r="AH73">
        <v>0</v>
      </c>
      <c r="AI73">
        <v>1</v>
      </c>
      <c r="AJ73">
        <v>1</v>
      </c>
      <c r="AK73">
        <v>1</v>
      </c>
      <c r="AL73">
        <v>1</v>
      </c>
      <c r="AN73">
        <v>0</v>
      </c>
      <c r="AO73">
        <v>1</v>
      </c>
      <c r="AP73">
        <v>0</v>
      </c>
      <c r="AQ73">
        <v>0</v>
      </c>
      <c r="AR73">
        <v>0</v>
      </c>
      <c r="AS73" t="s">
        <v>3</v>
      </c>
      <c r="AT73">
        <v>0.02</v>
      </c>
      <c r="AU73" t="s">
        <v>3</v>
      </c>
      <c r="AV73">
        <v>0</v>
      </c>
      <c r="AW73">
        <v>2</v>
      </c>
      <c r="AX73">
        <v>38217180</v>
      </c>
      <c r="AY73">
        <v>1</v>
      </c>
      <c r="AZ73">
        <v>0</v>
      </c>
      <c r="BA73">
        <v>70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CX73">
        <f>Y73*Source!I252</f>
        <v>0</v>
      </c>
      <c r="CY73">
        <f t="shared" ref="CY73:CY78" si="15">AB73</f>
        <v>952.49</v>
      </c>
      <c r="CZ73">
        <f t="shared" ref="CZ73:CZ78" si="16">AF73</f>
        <v>952.49</v>
      </c>
      <c r="DA73">
        <f t="shared" ref="DA73:DA78" si="17">AJ73</f>
        <v>1</v>
      </c>
      <c r="DB73">
        <f t="shared" si="13"/>
        <v>19.05</v>
      </c>
      <c r="DC73">
        <f t="shared" si="14"/>
        <v>6.03</v>
      </c>
    </row>
    <row r="74" spans="1:107" x14ac:dyDescent="0.2">
      <c r="A74">
        <f>ROW(Source!A252)</f>
        <v>252</v>
      </c>
      <c r="B74">
        <v>38214492</v>
      </c>
      <c r="C74">
        <v>38217177</v>
      </c>
      <c r="D74">
        <v>34880179</v>
      </c>
      <c r="E74">
        <v>1</v>
      </c>
      <c r="F74">
        <v>1</v>
      </c>
      <c r="G74">
        <v>25</v>
      </c>
      <c r="H74">
        <v>2</v>
      </c>
      <c r="I74" t="s">
        <v>403</v>
      </c>
      <c r="J74" t="s">
        <v>404</v>
      </c>
      <c r="K74" t="s">
        <v>405</v>
      </c>
      <c r="L74">
        <v>1368</v>
      </c>
      <c r="N74">
        <v>1011</v>
      </c>
      <c r="O74" t="s">
        <v>397</v>
      </c>
      <c r="P74" t="s">
        <v>397</v>
      </c>
      <c r="Q74">
        <v>1</v>
      </c>
      <c r="W74">
        <v>0</v>
      </c>
      <c r="X74">
        <v>-1546163025</v>
      </c>
      <c r="Y74">
        <v>1.7999999999999999E-2</v>
      </c>
      <c r="AA74">
        <v>0</v>
      </c>
      <c r="AB74">
        <v>993.6</v>
      </c>
      <c r="AC74">
        <v>301.8</v>
      </c>
      <c r="AD74">
        <v>0</v>
      </c>
      <c r="AE74">
        <v>0</v>
      </c>
      <c r="AF74">
        <v>993.6</v>
      </c>
      <c r="AG74">
        <v>301.8</v>
      </c>
      <c r="AH74">
        <v>0</v>
      </c>
      <c r="AI74">
        <v>1</v>
      </c>
      <c r="AJ74">
        <v>1</v>
      </c>
      <c r="AK74">
        <v>1</v>
      </c>
      <c r="AL74">
        <v>1</v>
      </c>
      <c r="AN74">
        <v>0</v>
      </c>
      <c r="AO74">
        <v>1</v>
      </c>
      <c r="AP74">
        <v>0</v>
      </c>
      <c r="AQ74">
        <v>0</v>
      </c>
      <c r="AR74">
        <v>0</v>
      </c>
      <c r="AS74" t="s">
        <v>3</v>
      </c>
      <c r="AT74">
        <v>1.7999999999999999E-2</v>
      </c>
      <c r="AU74" t="s">
        <v>3</v>
      </c>
      <c r="AV74">
        <v>0</v>
      </c>
      <c r="AW74">
        <v>2</v>
      </c>
      <c r="AX74">
        <v>38217181</v>
      </c>
      <c r="AY74">
        <v>1</v>
      </c>
      <c r="AZ74">
        <v>0</v>
      </c>
      <c r="BA74">
        <v>71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CX74">
        <f>Y74*Source!I252</f>
        <v>0</v>
      </c>
      <c r="CY74">
        <f t="shared" si="15"/>
        <v>993.6</v>
      </c>
      <c r="CZ74">
        <f t="shared" si="16"/>
        <v>993.6</v>
      </c>
      <c r="DA74">
        <f t="shared" si="17"/>
        <v>1</v>
      </c>
      <c r="DB74">
        <f t="shared" si="13"/>
        <v>17.88</v>
      </c>
      <c r="DC74">
        <f t="shared" si="14"/>
        <v>5.43</v>
      </c>
    </row>
    <row r="75" spans="1:107" x14ac:dyDescent="0.2">
      <c r="A75">
        <f>ROW(Source!A253)</f>
        <v>253</v>
      </c>
      <c r="B75">
        <v>38214492</v>
      </c>
      <c r="C75">
        <v>38217182</v>
      </c>
      <c r="D75">
        <v>34880178</v>
      </c>
      <c r="E75">
        <v>1</v>
      </c>
      <c r="F75">
        <v>1</v>
      </c>
      <c r="G75">
        <v>25</v>
      </c>
      <c r="H75">
        <v>2</v>
      </c>
      <c r="I75" t="s">
        <v>400</v>
      </c>
      <c r="J75" t="s">
        <v>401</v>
      </c>
      <c r="K75" t="s">
        <v>402</v>
      </c>
      <c r="L75">
        <v>1368</v>
      </c>
      <c r="N75">
        <v>1011</v>
      </c>
      <c r="O75" t="s">
        <v>397</v>
      </c>
      <c r="P75" t="s">
        <v>397</v>
      </c>
      <c r="Q75">
        <v>1</v>
      </c>
      <c r="W75">
        <v>0</v>
      </c>
      <c r="X75">
        <v>468658695</v>
      </c>
      <c r="Y75">
        <v>5.3999999999999999E-2</v>
      </c>
      <c r="AA75">
        <v>0</v>
      </c>
      <c r="AB75">
        <v>952.49</v>
      </c>
      <c r="AC75">
        <v>301.5</v>
      </c>
      <c r="AD75">
        <v>0</v>
      </c>
      <c r="AE75">
        <v>0</v>
      </c>
      <c r="AF75">
        <v>952.49</v>
      </c>
      <c r="AG75">
        <v>301.5</v>
      </c>
      <c r="AH75">
        <v>0</v>
      </c>
      <c r="AI75">
        <v>1</v>
      </c>
      <c r="AJ75">
        <v>1</v>
      </c>
      <c r="AK75">
        <v>1</v>
      </c>
      <c r="AL75">
        <v>1</v>
      </c>
      <c r="AN75">
        <v>0</v>
      </c>
      <c r="AO75">
        <v>1</v>
      </c>
      <c r="AP75">
        <v>0</v>
      </c>
      <c r="AQ75">
        <v>0</v>
      </c>
      <c r="AR75">
        <v>0</v>
      </c>
      <c r="AS75" t="s">
        <v>3</v>
      </c>
      <c r="AT75">
        <v>5.3999999999999999E-2</v>
      </c>
      <c r="AU75" t="s">
        <v>3</v>
      </c>
      <c r="AV75">
        <v>0</v>
      </c>
      <c r="AW75">
        <v>2</v>
      </c>
      <c r="AX75">
        <v>38217185</v>
      </c>
      <c r="AY75">
        <v>1</v>
      </c>
      <c r="AZ75">
        <v>0</v>
      </c>
      <c r="BA75">
        <v>72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CX75">
        <f>Y75*Source!I253</f>
        <v>3.6855000000000004E-3</v>
      </c>
      <c r="CY75">
        <f t="shared" si="15"/>
        <v>952.49</v>
      </c>
      <c r="CZ75">
        <f t="shared" si="16"/>
        <v>952.49</v>
      </c>
      <c r="DA75">
        <f t="shared" si="17"/>
        <v>1</v>
      </c>
      <c r="DB75">
        <f t="shared" si="13"/>
        <v>51.43</v>
      </c>
      <c r="DC75">
        <f t="shared" si="14"/>
        <v>16.28</v>
      </c>
    </row>
    <row r="76" spans="1:107" x14ac:dyDescent="0.2">
      <c r="A76">
        <f>ROW(Source!A253)</f>
        <v>253</v>
      </c>
      <c r="B76">
        <v>38214492</v>
      </c>
      <c r="C76">
        <v>38217182</v>
      </c>
      <c r="D76">
        <v>34880179</v>
      </c>
      <c r="E76">
        <v>1</v>
      </c>
      <c r="F76">
        <v>1</v>
      </c>
      <c r="G76">
        <v>25</v>
      </c>
      <c r="H76">
        <v>2</v>
      </c>
      <c r="I76" t="s">
        <v>403</v>
      </c>
      <c r="J76" t="s">
        <v>404</v>
      </c>
      <c r="K76" t="s">
        <v>405</v>
      </c>
      <c r="L76">
        <v>1368</v>
      </c>
      <c r="N76">
        <v>1011</v>
      </c>
      <c r="O76" t="s">
        <v>397</v>
      </c>
      <c r="P76" t="s">
        <v>397</v>
      </c>
      <c r="Q76">
        <v>1</v>
      </c>
      <c r="W76">
        <v>0</v>
      </c>
      <c r="X76">
        <v>-1546163025</v>
      </c>
      <c r="Y76">
        <v>5.5E-2</v>
      </c>
      <c r="AA76">
        <v>0</v>
      </c>
      <c r="AB76">
        <v>993.6</v>
      </c>
      <c r="AC76">
        <v>301.8</v>
      </c>
      <c r="AD76">
        <v>0</v>
      </c>
      <c r="AE76">
        <v>0</v>
      </c>
      <c r="AF76">
        <v>993.6</v>
      </c>
      <c r="AG76">
        <v>301.8</v>
      </c>
      <c r="AH76">
        <v>0</v>
      </c>
      <c r="AI76">
        <v>1</v>
      </c>
      <c r="AJ76">
        <v>1</v>
      </c>
      <c r="AK76">
        <v>1</v>
      </c>
      <c r="AL76">
        <v>1</v>
      </c>
      <c r="AN76">
        <v>0</v>
      </c>
      <c r="AO76">
        <v>1</v>
      </c>
      <c r="AP76">
        <v>0</v>
      </c>
      <c r="AQ76">
        <v>0</v>
      </c>
      <c r="AR76">
        <v>0</v>
      </c>
      <c r="AS76" t="s">
        <v>3</v>
      </c>
      <c r="AT76">
        <v>5.5E-2</v>
      </c>
      <c r="AU76" t="s">
        <v>3</v>
      </c>
      <c r="AV76">
        <v>0</v>
      </c>
      <c r="AW76">
        <v>2</v>
      </c>
      <c r="AX76">
        <v>38217186</v>
      </c>
      <c r="AY76">
        <v>1</v>
      </c>
      <c r="AZ76">
        <v>0</v>
      </c>
      <c r="BA76">
        <v>73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CX76">
        <f>Y76*Source!I253</f>
        <v>3.7537500000000001E-3</v>
      </c>
      <c r="CY76">
        <f t="shared" si="15"/>
        <v>993.6</v>
      </c>
      <c r="CZ76">
        <f t="shared" si="16"/>
        <v>993.6</v>
      </c>
      <c r="DA76">
        <f t="shared" si="17"/>
        <v>1</v>
      </c>
      <c r="DB76">
        <f t="shared" si="13"/>
        <v>54.65</v>
      </c>
      <c r="DC76">
        <f t="shared" si="14"/>
        <v>16.600000000000001</v>
      </c>
    </row>
    <row r="77" spans="1:107" x14ac:dyDescent="0.2">
      <c r="A77">
        <f>ROW(Source!A254)</f>
        <v>254</v>
      </c>
      <c r="B77">
        <v>38214492</v>
      </c>
      <c r="C77">
        <v>38217187</v>
      </c>
      <c r="D77">
        <v>34880178</v>
      </c>
      <c r="E77">
        <v>1</v>
      </c>
      <c r="F77">
        <v>1</v>
      </c>
      <c r="G77">
        <v>25</v>
      </c>
      <c r="H77">
        <v>2</v>
      </c>
      <c r="I77" t="s">
        <v>400</v>
      </c>
      <c r="J77" t="s">
        <v>401</v>
      </c>
      <c r="K77" t="s">
        <v>402</v>
      </c>
      <c r="L77">
        <v>1368</v>
      </c>
      <c r="N77">
        <v>1011</v>
      </c>
      <c r="O77" t="s">
        <v>397</v>
      </c>
      <c r="P77" t="s">
        <v>397</v>
      </c>
      <c r="Q77">
        <v>1</v>
      </c>
      <c r="W77">
        <v>0</v>
      </c>
      <c r="X77">
        <v>468658695</v>
      </c>
      <c r="Y77">
        <v>0.16</v>
      </c>
      <c r="AA77">
        <v>0</v>
      </c>
      <c r="AB77">
        <v>952.49</v>
      </c>
      <c r="AC77">
        <v>301.5</v>
      </c>
      <c r="AD77">
        <v>0</v>
      </c>
      <c r="AE77">
        <v>0</v>
      </c>
      <c r="AF77">
        <v>952.49</v>
      </c>
      <c r="AG77">
        <v>301.5</v>
      </c>
      <c r="AH77">
        <v>0</v>
      </c>
      <c r="AI77">
        <v>1</v>
      </c>
      <c r="AJ77">
        <v>1</v>
      </c>
      <c r="AK77">
        <v>1</v>
      </c>
      <c r="AL77">
        <v>1</v>
      </c>
      <c r="AN77">
        <v>0</v>
      </c>
      <c r="AO77">
        <v>1</v>
      </c>
      <c r="AP77">
        <v>1</v>
      </c>
      <c r="AQ77">
        <v>0</v>
      </c>
      <c r="AR77">
        <v>0</v>
      </c>
      <c r="AS77" t="s">
        <v>3</v>
      </c>
      <c r="AT77">
        <v>0.01</v>
      </c>
      <c r="AU77" t="s">
        <v>201</v>
      </c>
      <c r="AV77">
        <v>0</v>
      </c>
      <c r="AW77">
        <v>2</v>
      </c>
      <c r="AX77">
        <v>38217190</v>
      </c>
      <c r="AY77">
        <v>1</v>
      </c>
      <c r="AZ77">
        <v>0</v>
      </c>
      <c r="BA77">
        <v>74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CX77">
        <f>Y77*Source!I254</f>
        <v>1.0920000000000001E-2</v>
      </c>
      <c r="CY77">
        <f t="shared" si="15"/>
        <v>952.49</v>
      </c>
      <c r="CZ77">
        <f t="shared" si="16"/>
        <v>952.49</v>
      </c>
      <c r="DA77">
        <f t="shared" si="17"/>
        <v>1</v>
      </c>
      <c r="DB77">
        <f>ROUND((ROUND(AT77*CZ77,2)*16),6)</f>
        <v>152.32</v>
      </c>
      <c r="DC77">
        <f>ROUND((ROUND(AT77*AG77,2)*16),6)</f>
        <v>48.32</v>
      </c>
    </row>
    <row r="78" spans="1:107" x14ac:dyDescent="0.2">
      <c r="A78">
        <f>ROW(Source!A254)</f>
        <v>254</v>
      </c>
      <c r="B78">
        <v>38214492</v>
      </c>
      <c r="C78">
        <v>38217187</v>
      </c>
      <c r="D78">
        <v>34880179</v>
      </c>
      <c r="E78">
        <v>1</v>
      </c>
      <c r="F78">
        <v>1</v>
      </c>
      <c r="G78">
        <v>25</v>
      </c>
      <c r="H78">
        <v>2</v>
      </c>
      <c r="I78" t="s">
        <v>403</v>
      </c>
      <c r="J78" t="s">
        <v>404</v>
      </c>
      <c r="K78" t="s">
        <v>405</v>
      </c>
      <c r="L78">
        <v>1368</v>
      </c>
      <c r="N78">
        <v>1011</v>
      </c>
      <c r="O78" t="s">
        <v>397</v>
      </c>
      <c r="P78" t="s">
        <v>397</v>
      </c>
      <c r="Q78">
        <v>1</v>
      </c>
      <c r="W78">
        <v>0</v>
      </c>
      <c r="X78">
        <v>-1546163025</v>
      </c>
      <c r="Y78">
        <v>0.128</v>
      </c>
      <c r="AA78">
        <v>0</v>
      </c>
      <c r="AB78">
        <v>993.6</v>
      </c>
      <c r="AC78">
        <v>301.8</v>
      </c>
      <c r="AD78">
        <v>0</v>
      </c>
      <c r="AE78">
        <v>0</v>
      </c>
      <c r="AF78">
        <v>993.6</v>
      </c>
      <c r="AG78">
        <v>301.8</v>
      </c>
      <c r="AH78">
        <v>0</v>
      </c>
      <c r="AI78">
        <v>1</v>
      </c>
      <c r="AJ78">
        <v>1</v>
      </c>
      <c r="AK78">
        <v>1</v>
      </c>
      <c r="AL78">
        <v>1</v>
      </c>
      <c r="AN78">
        <v>0</v>
      </c>
      <c r="AO78">
        <v>1</v>
      </c>
      <c r="AP78">
        <v>1</v>
      </c>
      <c r="AQ78">
        <v>0</v>
      </c>
      <c r="AR78">
        <v>0</v>
      </c>
      <c r="AS78" t="s">
        <v>3</v>
      </c>
      <c r="AT78">
        <v>8.0000000000000002E-3</v>
      </c>
      <c r="AU78" t="s">
        <v>201</v>
      </c>
      <c r="AV78">
        <v>0</v>
      </c>
      <c r="AW78">
        <v>2</v>
      </c>
      <c r="AX78">
        <v>38217191</v>
      </c>
      <c r="AY78">
        <v>1</v>
      </c>
      <c r="AZ78">
        <v>0</v>
      </c>
      <c r="BA78">
        <v>75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CX78">
        <f>Y78*Source!I254</f>
        <v>8.7360000000000007E-3</v>
      </c>
      <c r="CY78">
        <f t="shared" si="15"/>
        <v>993.6</v>
      </c>
      <c r="CZ78">
        <f t="shared" si="16"/>
        <v>993.6</v>
      </c>
      <c r="DA78">
        <f t="shared" si="17"/>
        <v>1</v>
      </c>
      <c r="DB78">
        <f>ROUND((ROUND(AT78*CZ78,2)*16),6)</f>
        <v>127.2</v>
      </c>
      <c r="DC78">
        <f>ROUND((ROUND(AT78*AG78,2)*16),6)</f>
        <v>38.56</v>
      </c>
    </row>
    <row r="79" spans="1:107" x14ac:dyDescent="0.2">
      <c r="A79">
        <f>ROW(Source!A291)</f>
        <v>291</v>
      </c>
      <c r="B79">
        <v>38214492</v>
      </c>
      <c r="C79">
        <v>38217193</v>
      </c>
      <c r="D79">
        <v>34867259</v>
      </c>
      <c r="E79">
        <v>25</v>
      </c>
      <c r="F79">
        <v>1</v>
      </c>
      <c r="G79">
        <v>25</v>
      </c>
      <c r="H79">
        <v>1</v>
      </c>
      <c r="I79" t="s">
        <v>391</v>
      </c>
      <c r="J79" t="s">
        <v>3</v>
      </c>
      <c r="K79" t="s">
        <v>392</v>
      </c>
      <c r="L79">
        <v>1191</v>
      </c>
      <c r="N79">
        <v>1013</v>
      </c>
      <c r="O79" t="s">
        <v>393</v>
      </c>
      <c r="P79" t="s">
        <v>393</v>
      </c>
      <c r="Q79">
        <v>1</v>
      </c>
      <c r="W79">
        <v>0</v>
      </c>
      <c r="X79">
        <v>476480486</v>
      </c>
      <c r="Y79">
        <v>87.4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1</v>
      </c>
      <c r="AK79">
        <v>1</v>
      </c>
      <c r="AL79">
        <v>1</v>
      </c>
      <c r="AN79">
        <v>0</v>
      </c>
      <c r="AO79">
        <v>1</v>
      </c>
      <c r="AP79">
        <v>0</v>
      </c>
      <c r="AQ79">
        <v>0</v>
      </c>
      <c r="AR79">
        <v>0</v>
      </c>
      <c r="AS79" t="s">
        <v>3</v>
      </c>
      <c r="AT79">
        <v>87.4</v>
      </c>
      <c r="AU79" t="s">
        <v>3</v>
      </c>
      <c r="AV79">
        <v>1</v>
      </c>
      <c r="AW79">
        <v>2</v>
      </c>
      <c r="AX79">
        <v>38217199</v>
      </c>
      <c r="AY79">
        <v>1</v>
      </c>
      <c r="AZ79">
        <v>0</v>
      </c>
      <c r="BA79">
        <v>76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CX79">
        <f>Y79*Source!I291</f>
        <v>17.48</v>
      </c>
      <c r="CY79">
        <f>AD79</f>
        <v>0</v>
      </c>
      <c r="CZ79">
        <f>AH79</f>
        <v>0</v>
      </c>
      <c r="DA79">
        <f>AL79</f>
        <v>1</v>
      </c>
      <c r="DB79">
        <f>ROUND(ROUND(AT79*CZ79,2),6)</f>
        <v>0</v>
      </c>
      <c r="DC79">
        <f>ROUND(ROUND(AT79*AG79,2),6)</f>
        <v>0</v>
      </c>
    </row>
    <row r="80" spans="1:107" x14ac:dyDescent="0.2">
      <c r="A80">
        <f>ROW(Source!A291)</f>
        <v>291</v>
      </c>
      <c r="B80">
        <v>38214492</v>
      </c>
      <c r="C80">
        <v>38217193</v>
      </c>
      <c r="D80">
        <v>34879517</v>
      </c>
      <c r="E80">
        <v>1</v>
      </c>
      <c r="F80">
        <v>1</v>
      </c>
      <c r="G80">
        <v>25</v>
      </c>
      <c r="H80">
        <v>2</v>
      </c>
      <c r="I80" t="s">
        <v>406</v>
      </c>
      <c r="J80" t="s">
        <v>407</v>
      </c>
      <c r="K80" t="s">
        <v>408</v>
      </c>
      <c r="L80">
        <v>1368</v>
      </c>
      <c r="N80">
        <v>1011</v>
      </c>
      <c r="O80" t="s">
        <v>397</v>
      </c>
      <c r="P80" t="s">
        <v>397</v>
      </c>
      <c r="Q80">
        <v>1</v>
      </c>
      <c r="W80">
        <v>0</v>
      </c>
      <c r="X80">
        <v>-1063871118</v>
      </c>
      <c r="Y80">
        <v>19</v>
      </c>
      <c r="AA80">
        <v>0</v>
      </c>
      <c r="AB80">
        <v>31.01</v>
      </c>
      <c r="AC80">
        <v>1.29</v>
      </c>
      <c r="AD80">
        <v>0</v>
      </c>
      <c r="AE80">
        <v>0</v>
      </c>
      <c r="AF80">
        <v>31.01</v>
      </c>
      <c r="AG80">
        <v>1.29</v>
      </c>
      <c r="AH80">
        <v>0</v>
      </c>
      <c r="AI80">
        <v>1</v>
      </c>
      <c r="AJ80">
        <v>1</v>
      </c>
      <c r="AK80">
        <v>1</v>
      </c>
      <c r="AL80">
        <v>1</v>
      </c>
      <c r="AN80">
        <v>0</v>
      </c>
      <c r="AO80">
        <v>1</v>
      </c>
      <c r="AP80">
        <v>0</v>
      </c>
      <c r="AQ80">
        <v>0</v>
      </c>
      <c r="AR80">
        <v>0</v>
      </c>
      <c r="AS80" t="s">
        <v>3</v>
      </c>
      <c r="AT80">
        <v>19</v>
      </c>
      <c r="AU80" t="s">
        <v>3</v>
      </c>
      <c r="AV80">
        <v>0</v>
      </c>
      <c r="AW80">
        <v>2</v>
      </c>
      <c r="AX80">
        <v>38217200</v>
      </c>
      <c r="AY80">
        <v>1</v>
      </c>
      <c r="AZ80">
        <v>0</v>
      </c>
      <c r="BA80">
        <v>77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CX80">
        <f>Y80*Source!I291</f>
        <v>3.8000000000000003</v>
      </c>
      <c r="CY80">
        <f>AB80</f>
        <v>31.01</v>
      </c>
      <c r="CZ80">
        <f>AF80</f>
        <v>31.01</v>
      </c>
      <c r="DA80">
        <f>AJ80</f>
        <v>1</v>
      </c>
      <c r="DB80">
        <f>ROUND(ROUND(AT80*CZ80,2),6)</f>
        <v>589.19000000000005</v>
      </c>
      <c r="DC80">
        <f>ROUND(ROUND(AT80*AG80,2),6)</f>
        <v>24.51</v>
      </c>
    </row>
    <row r="81" spans="1:107" x14ac:dyDescent="0.2">
      <c r="A81">
        <f>ROW(Source!A291)</f>
        <v>291</v>
      </c>
      <c r="B81">
        <v>38214492</v>
      </c>
      <c r="C81">
        <v>38217193</v>
      </c>
      <c r="D81">
        <v>34881323</v>
      </c>
      <c r="E81">
        <v>1</v>
      </c>
      <c r="F81">
        <v>1</v>
      </c>
      <c r="G81">
        <v>25</v>
      </c>
      <c r="H81">
        <v>3</v>
      </c>
      <c r="I81" t="s">
        <v>409</v>
      </c>
      <c r="J81" t="s">
        <v>410</v>
      </c>
      <c r="K81" t="s">
        <v>411</v>
      </c>
      <c r="L81">
        <v>1348</v>
      </c>
      <c r="N81">
        <v>1009</v>
      </c>
      <c r="O81" t="s">
        <v>30</v>
      </c>
      <c r="P81" t="s">
        <v>30</v>
      </c>
      <c r="Q81">
        <v>1000</v>
      </c>
      <c r="W81">
        <v>0</v>
      </c>
      <c r="X81">
        <v>-220406470</v>
      </c>
      <c r="Y81">
        <v>0</v>
      </c>
      <c r="AA81">
        <v>103472.53</v>
      </c>
      <c r="AB81">
        <v>0</v>
      </c>
      <c r="AC81">
        <v>0</v>
      </c>
      <c r="AD81">
        <v>0</v>
      </c>
      <c r="AE81">
        <v>103472.53</v>
      </c>
      <c r="AF81">
        <v>0</v>
      </c>
      <c r="AG81">
        <v>0</v>
      </c>
      <c r="AH81">
        <v>0</v>
      </c>
      <c r="AI81">
        <v>1</v>
      </c>
      <c r="AJ81">
        <v>1</v>
      </c>
      <c r="AK81">
        <v>1</v>
      </c>
      <c r="AL81">
        <v>1</v>
      </c>
      <c r="AN81">
        <v>0</v>
      </c>
      <c r="AO81">
        <v>1</v>
      </c>
      <c r="AP81">
        <v>1</v>
      </c>
      <c r="AQ81">
        <v>0</v>
      </c>
      <c r="AR81">
        <v>0</v>
      </c>
      <c r="AS81" t="s">
        <v>3</v>
      </c>
      <c r="AT81">
        <v>3.3E-3</v>
      </c>
      <c r="AU81" t="s">
        <v>32</v>
      </c>
      <c r="AV81">
        <v>0</v>
      </c>
      <c r="AW81">
        <v>2</v>
      </c>
      <c r="AX81">
        <v>38217201</v>
      </c>
      <c r="AY81">
        <v>1</v>
      </c>
      <c r="AZ81">
        <v>0</v>
      </c>
      <c r="BA81">
        <v>78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CX81">
        <f>Y81*Source!I291</f>
        <v>0</v>
      </c>
      <c r="CY81">
        <f>AA81</f>
        <v>103472.53</v>
      </c>
      <c r="CZ81">
        <f>AE81</f>
        <v>103472.53</v>
      </c>
      <c r="DA81">
        <f>AI81</f>
        <v>1</v>
      </c>
      <c r="DB81">
        <f>ROUND((ROUND(AT81*CZ81,2)*0),6)</f>
        <v>0</v>
      </c>
      <c r="DC81">
        <f>ROUND((ROUND(AT81*AG81,2)*0),6)</f>
        <v>0</v>
      </c>
    </row>
    <row r="82" spans="1:107" x14ac:dyDescent="0.2">
      <c r="A82">
        <f>ROW(Source!A291)</f>
        <v>291</v>
      </c>
      <c r="B82">
        <v>38214492</v>
      </c>
      <c r="C82">
        <v>38217193</v>
      </c>
      <c r="D82">
        <v>34882179</v>
      </c>
      <c r="E82">
        <v>1</v>
      </c>
      <c r="F82">
        <v>1</v>
      </c>
      <c r="G82">
        <v>25</v>
      </c>
      <c r="H82">
        <v>3</v>
      </c>
      <c r="I82" t="s">
        <v>412</v>
      </c>
      <c r="J82" t="s">
        <v>413</v>
      </c>
      <c r="K82" t="s">
        <v>414</v>
      </c>
      <c r="L82">
        <v>1348</v>
      </c>
      <c r="N82">
        <v>1009</v>
      </c>
      <c r="O82" t="s">
        <v>30</v>
      </c>
      <c r="P82" t="s">
        <v>30</v>
      </c>
      <c r="Q82">
        <v>1000</v>
      </c>
      <c r="W82">
        <v>0</v>
      </c>
      <c r="X82">
        <v>-475338610</v>
      </c>
      <c r="Y82">
        <v>0</v>
      </c>
      <c r="AA82">
        <v>110728.72</v>
      </c>
      <c r="AB82">
        <v>0</v>
      </c>
      <c r="AC82">
        <v>0</v>
      </c>
      <c r="AD82">
        <v>0</v>
      </c>
      <c r="AE82">
        <v>110728.72</v>
      </c>
      <c r="AF82">
        <v>0</v>
      </c>
      <c r="AG82">
        <v>0</v>
      </c>
      <c r="AH82">
        <v>0</v>
      </c>
      <c r="AI82">
        <v>1</v>
      </c>
      <c r="AJ82">
        <v>1</v>
      </c>
      <c r="AK82">
        <v>1</v>
      </c>
      <c r="AL82">
        <v>1</v>
      </c>
      <c r="AN82">
        <v>0</v>
      </c>
      <c r="AO82">
        <v>1</v>
      </c>
      <c r="AP82">
        <v>1</v>
      </c>
      <c r="AQ82">
        <v>0</v>
      </c>
      <c r="AR82">
        <v>0</v>
      </c>
      <c r="AS82" t="s">
        <v>3</v>
      </c>
      <c r="AT82">
        <v>1.4E-3</v>
      </c>
      <c r="AU82" t="s">
        <v>32</v>
      </c>
      <c r="AV82">
        <v>0</v>
      </c>
      <c r="AW82">
        <v>2</v>
      </c>
      <c r="AX82">
        <v>38217202</v>
      </c>
      <c r="AY82">
        <v>1</v>
      </c>
      <c r="AZ82">
        <v>0</v>
      </c>
      <c r="BA82">
        <v>79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CX82">
        <f>Y82*Source!I291</f>
        <v>0</v>
      </c>
      <c r="CY82">
        <f>AA82</f>
        <v>110728.72</v>
      </c>
      <c r="CZ82">
        <f>AE82</f>
        <v>110728.72</v>
      </c>
      <c r="DA82">
        <f>AI82</f>
        <v>1</v>
      </c>
      <c r="DB82">
        <f>ROUND((ROUND(AT82*CZ82,2)*0),6)</f>
        <v>0</v>
      </c>
      <c r="DC82">
        <f>ROUND((ROUND(AT82*AG82,2)*0),6)</f>
        <v>0</v>
      </c>
    </row>
    <row r="83" spans="1:107" x14ac:dyDescent="0.2">
      <c r="A83">
        <f>ROW(Source!A291)</f>
        <v>291</v>
      </c>
      <c r="B83">
        <v>38214492</v>
      </c>
      <c r="C83">
        <v>38217193</v>
      </c>
      <c r="D83">
        <v>34884265</v>
      </c>
      <c r="E83">
        <v>1</v>
      </c>
      <c r="F83">
        <v>1</v>
      </c>
      <c r="G83">
        <v>25</v>
      </c>
      <c r="H83">
        <v>3</v>
      </c>
      <c r="I83" t="s">
        <v>415</v>
      </c>
      <c r="J83" t="s">
        <v>416</v>
      </c>
      <c r="K83" t="s">
        <v>417</v>
      </c>
      <c r="L83">
        <v>1348</v>
      </c>
      <c r="N83">
        <v>1009</v>
      </c>
      <c r="O83" t="s">
        <v>30</v>
      </c>
      <c r="P83" t="s">
        <v>30</v>
      </c>
      <c r="Q83">
        <v>1000</v>
      </c>
      <c r="W83">
        <v>0</v>
      </c>
      <c r="X83">
        <v>927048313</v>
      </c>
      <c r="Y83">
        <v>0</v>
      </c>
      <c r="AA83">
        <v>74995.210000000006</v>
      </c>
      <c r="AB83">
        <v>0</v>
      </c>
      <c r="AC83">
        <v>0</v>
      </c>
      <c r="AD83">
        <v>0</v>
      </c>
      <c r="AE83">
        <v>74995.210000000006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1</v>
      </c>
      <c r="AL83">
        <v>1</v>
      </c>
      <c r="AN83">
        <v>0</v>
      </c>
      <c r="AO83">
        <v>1</v>
      </c>
      <c r="AP83">
        <v>1</v>
      </c>
      <c r="AQ83">
        <v>0</v>
      </c>
      <c r="AR83">
        <v>0</v>
      </c>
      <c r="AS83" t="s">
        <v>3</v>
      </c>
      <c r="AT83">
        <v>1</v>
      </c>
      <c r="AU83" t="s">
        <v>32</v>
      </c>
      <c r="AV83">
        <v>0</v>
      </c>
      <c r="AW83">
        <v>2</v>
      </c>
      <c r="AX83">
        <v>38217203</v>
      </c>
      <c r="AY83">
        <v>1</v>
      </c>
      <c r="AZ83">
        <v>0</v>
      </c>
      <c r="BA83">
        <v>80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CX83">
        <f>Y83*Source!I291</f>
        <v>0</v>
      </c>
      <c r="CY83">
        <f>AA83</f>
        <v>74995.210000000006</v>
      </c>
      <c r="CZ83">
        <f>AE83</f>
        <v>74995.210000000006</v>
      </c>
      <c r="DA83">
        <f>AI83</f>
        <v>1</v>
      </c>
      <c r="DB83">
        <f>ROUND((ROUND(AT83*CZ83,2)*0),6)</f>
        <v>0</v>
      </c>
      <c r="DC83">
        <f>ROUND((ROUND(AT83*AG83,2)*0),6)</f>
        <v>0</v>
      </c>
    </row>
    <row r="84" spans="1:107" x14ac:dyDescent="0.2">
      <c r="A84">
        <f>ROW(Source!A333)</f>
        <v>333</v>
      </c>
      <c r="B84">
        <v>38214492</v>
      </c>
      <c r="C84">
        <v>38217210</v>
      </c>
      <c r="D84">
        <v>34867259</v>
      </c>
      <c r="E84">
        <v>25</v>
      </c>
      <c r="F84">
        <v>1</v>
      </c>
      <c r="G84">
        <v>25</v>
      </c>
      <c r="H84">
        <v>1</v>
      </c>
      <c r="I84" t="s">
        <v>391</v>
      </c>
      <c r="J84" t="s">
        <v>3</v>
      </c>
      <c r="K84" t="s">
        <v>392</v>
      </c>
      <c r="L84">
        <v>1191</v>
      </c>
      <c r="N84">
        <v>1013</v>
      </c>
      <c r="O84" t="s">
        <v>393</v>
      </c>
      <c r="P84" t="s">
        <v>393</v>
      </c>
      <c r="Q84">
        <v>1</v>
      </c>
      <c r="W84">
        <v>0</v>
      </c>
      <c r="X84">
        <v>476480486</v>
      </c>
      <c r="Y84">
        <v>340.81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</v>
      </c>
      <c r="AJ84">
        <v>1</v>
      </c>
      <c r="AK84">
        <v>1</v>
      </c>
      <c r="AL84">
        <v>1</v>
      </c>
      <c r="AN84">
        <v>0</v>
      </c>
      <c r="AO84">
        <v>1</v>
      </c>
      <c r="AP84">
        <v>0</v>
      </c>
      <c r="AQ84">
        <v>0</v>
      </c>
      <c r="AR84">
        <v>0</v>
      </c>
      <c r="AS84" t="s">
        <v>3</v>
      </c>
      <c r="AT84">
        <v>340.81</v>
      </c>
      <c r="AU84" t="s">
        <v>3</v>
      </c>
      <c r="AV84">
        <v>1</v>
      </c>
      <c r="AW84">
        <v>2</v>
      </c>
      <c r="AX84">
        <v>38217221</v>
      </c>
      <c r="AY84">
        <v>1</v>
      </c>
      <c r="AZ84">
        <v>0</v>
      </c>
      <c r="BA84">
        <v>81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CX84">
        <f>Y84*Source!I333</f>
        <v>408.97199999999998</v>
      </c>
      <c r="CY84">
        <f>AD84</f>
        <v>0</v>
      </c>
      <c r="CZ84">
        <f>AH84</f>
        <v>0</v>
      </c>
      <c r="DA84">
        <f>AL84</f>
        <v>1</v>
      </c>
      <c r="DB84">
        <f t="shared" ref="DB84:DB109" si="18">ROUND(ROUND(AT84*CZ84,2),6)</f>
        <v>0</v>
      </c>
      <c r="DC84">
        <f t="shared" ref="DC84:DC109" si="19">ROUND(ROUND(AT84*AG84,2),6)</f>
        <v>0</v>
      </c>
    </row>
    <row r="85" spans="1:107" x14ac:dyDescent="0.2">
      <c r="A85">
        <f>ROW(Source!A333)</f>
        <v>333</v>
      </c>
      <c r="B85">
        <v>38214492</v>
      </c>
      <c r="C85">
        <v>38217210</v>
      </c>
      <c r="D85">
        <v>34879840</v>
      </c>
      <c r="E85">
        <v>1</v>
      </c>
      <c r="F85">
        <v>1</v>
      </c>
      <c r="G85">
        <v>25</v>
      </c>
      <c r="H85">
        <v>2</v>
      </c>
      <c r="I85" t="s">
        <v>422</v>
      </c>
      <c r="J85" t="s">
        <v>423</v>
      </c>
      <c r="K85" t="s">
        <v>424</v>
      </c>
      <c r="L85">
        <v>1368</v>
      </c>
      <c r="N85">
        <v>1011</v>
      </c>
      <c r="O85" t="s">
        <v>397</v>
      </c>
      <c r="P85" t="s">
        <v>397</v>
      </c>
      <c r="Q85">
        <v>1</v>
      </c>
      <c r="W85">
        <v>0</v>
      </c>
      <c r="X85">
        <v>-1896621790</v>
      </c>
      <c r="Y85">
        <v>39</v>
      </c>
      <c r="AA85">
        <v>0</v>
      </c>
      <c r="AB85">
        <v>337.61</v>
      </c>
      <c r="AC85">
        <v>6.68</v>
      </c>
      <c r="AD85">
        <v>0</v>
      </c>
      <c r="AE85">
        <v>0</v>
      </c>
      <c r="AF85">
        <v>337.61</v>
      </c>
      <c r="AG85">
        <v>6.68</v>
      </c>
      <c r="AH85">
        <v>0</v>
      </c>
      <c r="AI85">
        <v>1</v>
      </c>
      <c r="AJ85">
        <v>1</v>
      </c>
      <c r="AK85">
        <v>1</v>
      </c>
      <c r="AL85">
        <v>1</v>
      </c>
      <c r="AN85">
        <v>0</v>
      </c>
      <c r="AO85">
        <v>1</v>
      </c>
      <c r="AP85">
        <v>0</v>
      </c>
      <c r="AQ85">
        <v>0</v>
      </c>
      <c r="AR85">
        <v>0</v>
      </c>
      <c r="AS85" t="s">
        <v>3</v>
      </c>
      <c r="AT85">
        <v>39</v>
      </c>
      <c r="AU85" t="s">
        <v>3</v>
      </c>
      <c r="AV85">
        <v>0</v>
      </c>
      <c r="AW85">
        <v>2</v>
      </c>
      <c r="AX85">
        <v>38217222</v>
      </c>
      <c r="AY85">
        <v>1</v>
      </c>
      <c r="AZ85">
        <v>0</v>
      </c>
      <c r="BA85">
        <v>82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CX85">
        <f>Y85*Source!I333</f>
        <v>46.8</v>
      </c>
      <c r="CY85">
        <f>AB85</f>
        <v>337.61</v>
      </c>
      <c r="CZ85">
        <f>AF85</f>
        <v>337.61</v>
      </c>
      <c r="DA85">
        <f>AJ85</f>
        <v>1</v>
      </c>
      <c r="DB85">
        <f t="shared" si="18"/>
        <v>13166.79</v>
      </c>
      <c r="DC85">
        <f t="shared" si="19"/>
        <v>260.52</v>
      </c>
    </row>
    <row r="86" spans="1:107" x14ac:dyDescent="0.2">
      <c r="A86">
        <f>ROW(Source!A333)</f>
        <v>333</v>
      </c>
      <c r="B86">
        <v>38214492</v>
      </c>
      <c r="C86">
        <v>38217210</v>
      </c>
      <c r="D86">
        <v>34880219</v>
      </c>
      <c r="E86">
        <v>1</v>
      </c>
      <c r="F86">
        <v>1</v>
      </c>
      <c r="G86">
        <v>25</v>
      </c>
      <c r="H86">
        <v>2</v>
      </c>
      <c r="I86" t="s">
        <v>425</v>
      </c>
      <c r="J86" t="s">
        <v>426</v>
      </c>
      <c r="K86" t="s">
        <v>427</v>
      </c>
      <c r="L86">
        <v>1368</v>
      </c>
      <c r="N86">
        <v>1011</v>
      </c>
      <c r="O86" t="s">
        <v>397</v>
      </c>
      <c r="P86" t="s">
        <v>397</v>
      </c>
      <c r="Q86">
        <v>1</v>
      </c>
      <c r="W86">
        <v>0</v>
      </c>
      <c r="X86">
        <v>-1995660009</v>
      </c>
      <c r="Y86">
        <v>0.52</v>
      </c>
      <c r="AA86">
        <v>0</v>
      </c>
      <c r="AB86">
        <v>5.82</v>
      </c>
      <c r="AC86">
        <v>0.02</v>
      </c>
      <c r="AD86">
        <v>0</v>
      </c>
      <c r="AE86">
        <v>0</v>
      </c>
      <c r="AF86">
        <v>5.82</v>
      </c>
      <c r="AG86">
        <v>0.02</v>
      </c>
      <c r="AH86">
        <v>0</v>
      </c>
      <c r="AI86">
        <v>1</v>
      </c>
      <c r="AJ86">
        <v>1</v>
      </c>
      <c r="AK86">
        <v>1</v>
      </c>
      <c r="AL86">
        <v>1</v>
      </c>
      <c r="AN86">
        <v>0</v>
      </c>
      <c r="AO86">
        <v>1</v>
      </c>
      <c r="AP86">
        <v>0</v>
      </c>
      <c r="AQ86">
        <v>0</v>
      </c>
      <c r="AR86">
        <v>0</v>
      </c>
      <c r="AS86" t="s">
        <v>3</v>
      </c>
      <c r="AT86">
        <v>0.52</v>
      </c>
      <c r="AU86" t="s">
        <v>3</v>
      </c>
      <c r="AV86">
        <v>0</v>
      </c>
      <c r="AW86">
        <v>2</v>
      </c>
      <c r="AX86">
        <v>38217223</v>
      </c>
      <c r="AY86">
        <v>1</v>
      </c>
      <c r="AZ86">
        <v>0</v>
      </c>
      <c r="BA86">
        <v>83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CX86">
        <f>Y86*Source!I333</f>
        <v>0.624</v>
      </c>
      <c r="CY86">
        <f>AB86</f>
        <v>5.82</v>
      </c>
      <c r="CZ86">
        <f>AF86</f>
        <v>5.82</v>
      </c>
      <c r="DA86">
        <f>AJ86</f>
        <v>1</v>
      </c>
      <c r="DB86">
        <f t="shared" si="18"/>
        <v>3.03</v>
      </c>
      <c r="DC86">
        <f t="shared" si="19"/>
        <v>0.01</v>
      </c>
    </row>
    <row r="87" spans="1:107" x14ac:dyDescent="0.2">
      <c r="A87">
        <f>ROW(Source!A333)</f>
        <v>333</v>
      </c>
      <c r="B87">
        <v>38214492</v>
      </c>
      <c r="C87">
        <v>38217210</v>
      </c>
      <c r="D87">
        <v>34879672</v>
      </c>
      <c r="E87">
        <v>1</v>
      </c>
      <c r="F87">
        <v>1</v>
      </c>
      <c r="G87">
        <v>25</v>
      </c>
      <c r="H87">
        <v>2</v>
      </c>
      <c r="I87" t="s">
        <v>428</v>
      </c>
      <c r="J87" t="s">
        <v>429</v>
      </c>
      <c r="K87" t="s">
        <v>430</v>
      </c>
      <c r="L87">
        <v>1368</v>
      </c>
      <c r="N87">
        <v>1011</v>
      </c>
      <c r="O87" t="s">
        <v>397</v>
      </c>
      <c r="P87" t="s">
        <v>397</v>
      </c>
      <c r="Q87">
        <v>1</v>
      </c>
      <c r="W87">
        <v>0</v>
      </c>
      <c r="X87">
        <v>-1119889759</v>
      </c>
      <c r="Y87">
        <v>32.909999999999997</v>
      </c>
      <c r="AA87">
        <v>0</v>
      </c>
      <c r="AB87">
        <v>10.62</v>
      </c>
      <c r="AC87">
        <v>2.82</v>
      </c>
      <c r="AD87">
        <v>0</v>
      </c>
      <c r="AE87">
        <v>0</v>
      </c>
      <c r="AF87">
        <v>10.62</v>
      </c>
      <c r="AG87">
        <v>2.82</v>
      </c>
      <c r="AH87">
        <v>0</v>
      </c>
      <c r="AI87">
        <v>1</v>
      </c>
      <c r="AJ87">
        <v>1</v>
      </c>
      <c r="AK87">
        <v>1</v>
      </c>
      <c r="AL87">
        <v>1</v>
      </c>
      <c r="AN87">
        <v>0</v>
      </c>
      <c r="AO87">
        <v>1</v>
      </c>
      <c r="AP87">
        <v>0</v>
      </c>
      <c r="AQ87">
        <v>0</v>
      </c>
      <c r="AR87">
        <v>0</v>
      </c>
      <c r="AS87" t="s">
        <v>3</v>
      </c>
      <c r="AT87">
        <v>32.909999999999997</v>
      </c>
      <c r="AU87" t="s">
        <v>3</v>
      </c>
      <c r="AV87">
        <v>0</v>
      </c>
      <c r="AW87">
        <v>2</v>
      </c>
      <c r="AX87">
        <v>38217224</v>
      </c>
      <c r="AY87">
        <v>1</v>
      </c>
      <c r="AZ87">
        <v>0</v>
      </c>
      <c r="BA87">
        <v>84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CX87">
        <f>Y87*Source!I333</f>
        <v>39.491999999999997</v>
      </c>
      <c r="CY87">
        <f>AB87</f>
        <v>10.62</v>
      </c>
      <c r="CZ87">
        <f>AF87</f>
        <v>10.62</v>
      </c>
      <c r="DA87">
        <f>AJ87</f>
        <v>1</v>
      </c>
      <c r="DB87">
        <f t="shared" si="18"/>
        <v>349.5</v>
      </c>
      <c r="DC87">
        <f t="shared" si="19"/>
        <v>92.81</v>
      </c>
    </row>
    <row r="88" spans="1:107" x14ac:dyDescent="0.2">
      <c r="A88">
        <f>ROW(Source!A333)</f>
        <v>333</v>
      </c>
      <c r="B88">
        <v>38214492</v>
      </c>
      <c r="C88">
        <v>38217210</v>
      </c>
      <c r="D88">
        <v>34879710</v>
      </c>
      <c r="E88">
        <v>1</v>
      </c>
      <c r="F88">
        <v>1</v>
      </c>
      <c r="G88">
        <v>25</v>
      </c>
      <c r="H88">
        <v>2</v>
      </c>
      <c r="I88" t="s">
        <v>431</v>
      </c>
      <c r="J88" t="s">
        <v>432</v>
      </c>
      <c r="K88" t="s">
        <v>433</v>
      </c>
      <c r="L88">
        <v>1368</v>
      </c>
      <c r="N88">
        <v>1011</v>
      </c>
      <c r="O88" t="s">
        <v>397</v>
      </c>
      <c r="P88" t="s">
        <v>397</v>
      </c>
      <c r="Q88">
        <v>1</v>
      </c>
      <c r="W88">
        <v>0</v>
      </c>
      <c r="X88">
        <v>58362116</v>
      </c>
      <c r="Y88">
        <v>5.49</v>
      </c>
      <c r="AA88">
        <v>0</v>
      </c>
      <c r="AB88">
        <v>1180.29</v>
      </c>
      <c r="AC88">
        <v>586.89</v>
      </c>
      <c r="AD88">
        <v>0</v>
      </c>
      <c r="AE88">
        <v>0</v>
      </c>
      <c r="AF88">
        <v>1180.29</v>
      </c>
      <c r="AG88">
        <v>586.89</v>
      </c>
      <c r="AH88">
        <v>0</v>
      </c>
      <c r="AI88">
        <v>1</v>
      </c>
      <c r="AJ88">
        <v>1</v>
      </c>
      <c r="AK88">
        <v>1</v>
      </c>
      <c r="AL88">
        <v>1</v>
      </c>
      <c r="AN88">
        <v>0</v>
      </c>
      <c r="AO88">
        <v>1</v>
      </c>
      <c r="AP88">
        <v>0</v>
      </c>
      <c r="AQ88">
        <v>0</v>
      </c>
      <c r="AR88">
        <v>0</v>
      </c>
      <c r="AS88" t="s">
        <v>3</v>
      </c>
      <c r="AT88">
        <v>5.49</v>
      </c>
      <c r="AU88" t="s">
        <v>3</v>
      </c>
      <c r="AV88">
        <v>0</v>
      </c>
      <c r="AW88">
        <v>2</v>
      </c>
      <c r="AX88">
        <v>38217225</v>
      </c>
      <c r="AY88">
        <v>1</v>
      </c>
      <c r="AZ88">
        <v>0</v>
      </c>
      <c r="BA88">
        <v>85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CX88">
        <f>Y88*Source!I333</f>
        <v>6.5880000000000001</v>
      </c>
      <c r="CY88">
        <f>AB88</f>
        <v>1180.29</v>
      </c>
      <c r="CZ88">
        <f>AF88</f>
        <v>1180.29</v>
      </c>
      <c r="DA88">
        <f>AJ88</f>
        <v>1</v>
      </c>
      <c r="DB88">
        <f t="shared" si="18"/>
        <v>6479.79</v>
      </c>
      <c r="DC88">
        <f t="shared" si="19"/>
        <v>3222.03</v>
      </c>
    </row>
    <row r="89" spans="1:107" x14ac:dyDescent="0.2">
      <c r="A89">
        <f>ROW(Source!A333)</f>
        <v>333</v>
      </c>
      <c r="B89">
        <v>38214492</v>
      </c>
      <c r="C89">
        <v>38217210</v>
      </c>
      <c r="D89">
        <v>34881558</v>
      </c>
      <c r="E89">
        <v>1</v>
      </c>
      <c r="F89">
        <v>1</v>
      </c>
      <c r="G89">
        <v>25</v>
      </c>
      <c r="H89">
        <v>3</v>
      </c>
      <c r="I89" t="s">
        <v>434</v>
      </c>
      <c r="J89" t="s">
        <v>435</v>
      </c>
      <c r="K89" t="s">
        <v>436</v>
      </c>
      <c r="L89">
        <v>1339</v>
      </c>
      <c r="N89">
        <v>1007</v>
      </c>
      <c r="O89" t="s">
        <v>206</v>
      </c>
      <c r="P89" t="s">
        <v>206</v>
      </c>
      <c r="Q89">
        <v>1</v>
      </c>
      <c r="W89">
        <v>0</v>
      </c>
      <c r="X89">
        <v>165829421</v>
      </c>
      <c r="Y89">
        <v>0.31</v>
      </c>
      <c r="AA89">
        <v>2248.25</v>
      </c>
      <c r="AB89">
        <v>0</v>
      </c>
      <c r="AC89">
        <v>0</v>
      </c>
      <c r="AD89">
        <v>0</v>
      </c>
      <c r="AE89">
        <v>2248.25</v>
      </c>
      <c r="AF89">
        <v>0</v>
      </c>
      <c r="AG89">
        <v>0</v>
      </c>
      <c r="AH89">
        <v>0</v>
      </c>
      <c r="AI89">
        <v>1</v>
      </c>
      <c r="AJ89">
        <v>1</v>
      </c>
      <c r="AK89">
        <v>1</v>
      </c>
      <c r="AL89">
        <v>1</v>
      </c>
      <c r="AN89">
        <v>0</v>
      </c>
      <c r="AO89">
        <v>1</v>
      </c>
      <c r="AP89">
        <v>0</v>
      </c>
      <c r="AQ89">
        <v>0</v>
      </c>
      <c r="AR89">
        <v>0</v>
      </c>
      <c r="AS89" t="s">
        <v>3</v>
      </c>
      <c r="AT89">
        <v>0.31</v>
      </c>
      <c r="AU89" t="s">
        <v>3</v>
      </c>
      <c r="AV89">
        <v>0</v>
      </c>
      <c r="AW89">
        <v>2</v>
      </c>
      <c r="AX89">
        <v>38217226</v>
      </c>
      <c r="AY89">
        <v>1</v>
      </c>
      <c r="AZ89">
        <v>0</v>
      </c>
      <c r="BA89">
        <v>86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CX89">
        <f>Y89*Source!I333</f>
        <v>0.372</v>
      </c>
      <c r="CY89">
        <f>AA89</f>
        <v>2248.25</v>
      </c>
      <c r="CZ89">
        <f>AE89</f>
        <v>2248.25</v>
      </c>
      <c r="DA89">
        <f>AI89</f>
        <v>1</v>
      </c>
      <c r="DB89">
        <f t="shared" si="18"/>
        <v>696.96</v>
      </c>
      <c r="DC89">
        <f t="shared" si="19"/>
        <v>0</v>
      </c>
    </row>
    <row r="90" spans="1:107" x14ac:dyDescent="0.2">
      <c r="A90">
        <f>ROW(Source!A333)</f>
        <v>333</v>
      </c>
      <c r="B90">
        <v>38214492</v>
      </c>
      <c r="C90">
        <v>38217210</v>
      </c>
      <c r="D90">
        <v>34882179</v>
      </c>
      <c r="E90">
        <v>1</v>
      </c>
      <c r="F90">
        <v>1</v>
      </c>
      <c r="G90">
        <v>25</v>
      </c>
      <c r="H90">
        <v>3</v>
      </c>
      <c r="I90" t="s">
        <v>412</v>
      </c>
      <c r="J90" t="s">
        <v>413</v>
      </c>
      <c r="K90" t="s">
        <v>414</v>
      </c>
      <c r="L90">
        <v>1348</v>
      </c>
      <c r="N90">
        <v>1009</v>
      </c>
      <c r="O90" t="s">
        <v>30</v>
      </c>
      <c r="P90" t="s">
        <v>30</v>
      </c>
      <c r="Q90">
        <v>1000</v>
      </c>
      <c r="W90">
        <v>0</v>
      </c>
      <c r="X90">
        <v>-475338610</v>
      </c>
      <c r="Y90">
        <v>7.0000000000000001E-3</v>
      </c>
      <c r="AA90">
        <v>110728.72</v>
      </c>
      <c r="AB90">
        <v>0</v>
      </c>
      <c r="AC90">
        <v>0</v>
      </c>
      <c r="AD90">
        <v>0</v>
      </c>
      <c r="AE90">
        <v>110728.72</v>
      </c>
      <c r="AF90">
        <v>0</v>
      </c>
      <c r="AG90">
        <v>0</v>
      </c>
      <c r="AH90">
        <v>0</v>
      </c>
      <c r="AI90">
        <v>1</v>
      </c>
      <c r="AJ90">
        <v>1</v>
      </c>
      <c r="AK90">
        <v>1</v>
      </c>
      <c r="AL90">
        <v>1</v>
      </c>
      <c r="AN90">
        <v>0</v>
      </c>
      <c r="AO90">
        <v>1</v>
      </c>
      <c r="AP90">
        <v>0</v>
      </c>
      <c r="AQ90">
        <v>0</v>
      </c>
      <c r="AR90">
        <v>0</v>
      </c>
      <c r="AS90" t="s">
        <v>3</v>
      </c>
      <c r="AT90">
        <v>7.0000000000000001E-3</v>
      </c>
      <c r="AU90" t="s">
        <v>3</v>
      </c>
      <c r="AV90">
        <v>0</v>
      </c>
      <c r="AW90">
        <v>2</v>
      </c>
      <c r="AX90">
        <v>38217227</v>
      </c>
      <c r="AY90">
        <v>1</v>
      </c>
      <c r="AZ90">
        <v>0</v>
      </c>
      <c r="BA90">
        <v>87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CX90">
        <f>Y90*Source!I333</f>
        <v>8.3999999999999995E-3</v>
      </c>
      <c r="CY90">
        <f>AA90</f>
        <v>110728.72</v>
      </c>
      <c r="CZ90">
        <f>AE90</f>
        <v>110728.72</v>
      </c>
      <c r="DA90">
        <f>AI90</f>
        <v>1</v>
      </c>
      <c r="DB90">
        <f t="shared" si="18"/>
        <v>775.1</v>
      </c>
      <c r="DC90">
        <f t="shared" si="19"/>
        <v>0</v>
      </c>
    </row>
    <row r="91" spans="1:107" x14ac:dyDescent="0.2">
      <c r="A91">
        <f>ROW(Source!A333)</f>
        <v>333</v>
      </c>
      <c r="B91">
        <v>38214492</v>
      </c>
      <c r="C91">
        <v>38217210</v>
      </c>
      <c r="D91">
        <v>34883227</v>
      </c>
      <c r="E91">
        <v>1</v>
      </c>
      <c r="F91">
        <v>1</v>
      </c>
      <c r="G91">
        <v>25</v>
      </c>
      <c r="H91">
        <v>3</v>
      </c>
      <c r="I91" t="s">
        <v>437</v>
      </c>
      <c r="J91" t="s">
        <v>438</v>
      </c>
      <c r="K91" t="s">
        <v>439</v>
      </c>
      <c r="L91">
        <v>1339</v>
      </c>
      <c r="N91">
        <v>1007</v>
      </c>
      <c r="O91" t="s">
        <v>206</v>
      </c>
      <c r="P91" t="s">
        <v>206</v>
      </c>
      <c r="Q91">
        <v>1</v>
      </c>
      <c r="W91">
        <v>0</v>
      </c>
      <c r="X91">
        <v>1929983902</v>
      </c>
      <c r="Y91">
        <v>3.25</v>
      </c>
      <c r="AA91">
        <v>4082.17</v>
      </c>
      <c r="AB91">
        <v>0</v>
      </c>
      <c r="AC91">
        <v>0</v>
      </c>
      <c r="AD91">
        <v>0</v>
      </c>
      <c r="AE91">
        <v>4082.17</v>
      </c>
      <c r="AF91">
        <v>0</v>
      </c>
      <c r="AG91">
        <v>0</v>
      </c>
      <c r="AH91">
        <v>0</v>
      </c>
      <c r="AI91">
        <v>1</v>
      </c>
      <c r="AJ91">
        <v>1</v>
      </c>
      <c r="AK91">
        <v>1</v>
      </c>
      <c r="AL91">
        <v>1</v>
      </c>
      <c r="AN91">
        <v>0</v>
      </c>
      <c r="AO91">
        <v>1</v>
      </c>
      <c r="AP91">
        <v>0</v>
      </c>
      <c r="AQ91">
        <v>0</v>
      </c>
      <c r="AR91">
        <v>0</v>
      </c>
      <c r="AS91" t="s">
        <v>3</v>
      </c>
      <c r="AT91">
        <v>3.25</v>
      </c>
      <c r="AU91" t="s">
        <v>3</v>
      </c>
      <c r="AV91">
        <v>0</v>
      </c>
      <c r="AW91">
        <v>2</v>
      </c>
      <c r="AX91">
        <v>38217228</v>
      </c>
      <c r="AY91">
        <v>1</v>
      </c>
      <c r="AZ91">
        <v>0</v>
      </c>
      <c r="BA91">
        <v>88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CX91">
        <f>Y91*Source!I333</f>
        <v>3.9</v>
      </c>
      <c r="CY91">
        <f>AA91</f>
        <v>4082.17</v>
      </c>
      <c r="CZ91">
        <f>AE91</f>
        <v>4082.17</v>
      </c>
      <c r="DA91">
        <f>AI91</f>
        <v>1</v>
      </c>
      <c r="DB91">
        <f t="shared" si="18"/>
        <v>13267.05</v>
      </c>
      <c r="DC91">
        <f t="shared" si="19"/>
        <v>0</v>
      </c>
    </row>
    <row r="92" spans="1:107" x14ac:dyDescent="0.2">
      <c r="A92">
        <f>ROW(Source!A333)</f>
        <v>333</v>
      </c>
      <c r="B92">
        <v>38214492</v>
      </c>
      <c r="C92">
        <v>38217210</v>
      </c>
      <c r="D92">
        <v>34884932</v>
      </c>
      <c r="E92">
        <v>1</v>
      </c>
      <c r="F92">
        <v>1</v>
      </c>
      <c r="G92">
        <v>25</v>
      </c>
      <c r="H92">
        <v>3</v>
      </c>
      <c r="I92" t="s">
        <v>440</v>
      </c>
      <c r="J92" t="s">
        <v>441</v>
      </c>
      <c r="K92" t="s">
        <v>442</v>
      </c>
      <c r="L92">
        <v>1301</v>
      </c>
      <c r="N92">
        <v>1003</v>
      </c>
      <c r="O92" t="s">
        <v>384</v>
      </c>
      <c r="P92" t="s">
        <v>384</v>
      </c>
      <c r="Q92">
        <v>1</v>
      </c>
      <c r="W92">
        <v>0</v>
      </c>
      <c r="X92">
        <v>-84305937</v>
      </c>
      <c r="Y92">
        <v>87</v>
      </c>
      <c r="AA92">
        <v>4886.66</v>
      </c>
      <c r="AB92">
        <v>0</v>
      </c>
      <c r="AC92">
        <v>0</v>
      </c>
      <c r="AD92">
        <v>0</v>
      </c>
      <c r="AE92">
        <v>4886.66</v>
      </c>
      <c r="AF92">
        <v>0</v>
      </c>
      <c r="AG92">
        <v>0</v>
      </c>
      <c r="AH92">
        <v>0</v>
      </c>
      <c r="AI92">
        <v>1</v>
      </c>
      <c r="AJ92">
        <v>1</v>
      </c>
      <c r="AK92">
        <v>1</v>
      </c>
      <c r="AL92">
        <v>1</v>
      </c>
      <c r="AN92">
        <v>0</v>
      </c>
      <c r="AO92">
        <v>1</v>
      </c>
      <c r="AP92">
        <v>0</v>
      </c>
      <c r="AQ92">
        <v>0</v>
      </c>
      <c r="AR92">
        <v>0</v>
      </c>
      <c r="AS92" t="s">
        <v>3</v>
      </c>
      <c r="AT92">
        <v>87</v>
      </c>
      <c r="AU92" t="s">
        <v>3</v>
      </c>
      <c r="AV92">
        <v>0</v>
      </c>
      <c r="AW92">
        <v>2</v>
      </c>
      <c r="AX92">
        <v>38217229</v>
      </c>
      <c r="AY92">
        <v>1</v>
      </c>
      <c r="AZ92">
        <v>0</v>
      </c>
      <c r="BA92">
        <v>89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CX92">
        <f>Y92*Source!I333</f>
        <v>104.39999999999999</v>
      </c>
      <c r="CY92">
        <f>AA92</f>
        <v>4886.66</v>
      </c>
      <c r="CZ92">
        <f>AE92</f>
        <v>4886.66</v>
      </c>
      <c r="DA92">
        <f>AI92</f>
        <v>1</v>
      </c>
      <c r="DB92">
        <f t="shared" si="18"/>
        <v>425139.42</v>
      </c>
      <c r="DC92">
        <f t="shared" si="19"/>
        <v>0</v>
      </c>
    </row>
    <row r="93" spans="1:107" x14ac:dyDescent="0.2">
      <c r="A93">
        <f>ROW(Source!A333)</f>
        <v>333</v>
      </c>
      <c r="B93">
        <v>38214492</v>
      </c>
      <c r="C93">
        <v>38217210</v>
      </c>
      <c r="D93">
        <v>34884933</v>
      </c>
      <c r="E93">
        <v>1</v>
      </c>
      <c r="F93">
        <v>1</v>
      </c>
      <c r="G93">
        <v>25</v>
      </c>
      <c r="H93">
        <v>3</v>
      </c>
      <c r="I93" t="s">
        <v>443</v>
      </c>
      <c r="J93" t="s">
        <v>444</v>
      </c>
      <c r="K93" t="s">
        <v>445</v>
      </c>
      <c r="L93">
        <v>1354</v>
      </c>
      <c r="N93">
        <v>1010</v>
      </c>
      <c r="O93" t="s">
        <v>123</v>
      </c>
      <c r="P93" t="s">
        <v>123</v>
      </c>
      <c r="Q93">
        <v>1</v>
      </c>
      <c r="W93">
        <v>0</v>
      </c>
      <c r="X93">
        <v>751213170</v>
      </c>
      <c r="Y93">
        <v>38</v>
      </c>
      <c r="AA93">
        <v>2843.73</v>
      </c>
      <c r="AB93">
        <v>0</v>
      </c>
      <c r="AC93">
        <v>0</v>
      </c>
      <c r="AD93">
        <v>0</v>
      </c>
      <c r="AE93">
        <v>2843.73</v>
      </c>
      <c r="AF93">
        <v>0</v>
      </c>
      <c r="AG93">
        <v>0</v>
      </c>
      <c r="AH93">
        <v>0</v>
      </c>
      <c r="AI93">
        <v>1</v>
      </c>
      <c r="AJ93">
        <v>1</v>
      </c>
      <c r="AK93">
        <v>1</v>
      </c>
      <c r="AL93">
        <v>1</v>
      </c>
      <c r="AN93">
        <v>0</v>
      </c>
      <c r="AO93">
        <v>1</v>
      </c>
      <c r="AP93">
        <v>0</v>
      </c>
      <c r="AQ93">
        <v>0</v>
      </c>
      <c r="AR93">
        <v>0</v>
      </c>
      <c r="AS93" t="s">
        <v>3</v>
      </c>
      <c r="AT93">
        <v>38</v>
      </c>
      <c r="AU93" t="s">
        <v>3</v>
      </c>
      <c r="AV93">
        <v>0</v>
      </c>
      <c r="AW93">
        <v>2</v>
      </c>
      <c r="AX93">
        <v>38217230</v>
      </c>
      <c r="AY93">
        <v>1</v>
      </c>
      <c r="AZ93">
        <v>0</v>
      </c>
      <c r="BA93">
        <v>90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CX93">
        <f>Y93*Source!I333</f>
        <v>45.6</v>
      </c>
      <c r="CY93">
        <f>AA93</f>
        <v>2843.73</v>
      </c>
      <c r="CZ93">
        <f>AE93</f>
        <v>2843.73</v>
      </c>
      <c r="DA93">
        <f>AI93</f>
        <v>1</v>
      </c>
      <c r="DB93">
        <f t="shared" si="18"/>
        <v>108061.74</v>
      </c>
      <c r="DC93">
        <f t="shared" si="19"/>
        <v>0</v>
      </c>
    </row>
    <row r="94" spans="1:107" x14ac:dyDescent="0.2">
      <c r="A94">
        <f>ROW(Source!A334)</f>
        <v>334</v>
      </c>
      <c r="B94">
        <v>38214492</v>
      </c>
      <c r="C94">
        <v>38217231</v>
      </c>
      <c r="D94">
        <v>34867259</v>
      </c>
      <c r="E94">
        <v>25</v>
      </c>
      <c r="F94">
        <v>1</v>
      </c>
      <c r="G94">
        <v>25</v>
      </c>
      <c r="H94">
        <v>1</v>
      </c>
      <c r="I94" t="s">
        <v>391</v>
      </c>
      <c r="J94" t="s">
        <v>3</v>
      </c>
      <c r="K94" t="s">
        <v>392</v>
      </c>
      <c r="L94">
        <v>1191</v>
      </c>
      <c r="N94">
        <v>1013</v>
      </c>
      <c r="O94" t="s">
        <v>393</v>
      </c>
      <c r="P94" t="s">
        <v>393</v>
      </c>
      <c r="Q94">
        <v>1</v>
      </c>
      <c r="W94">
        <v>0</v>
      </c>
      <c r="X94">
        <v>476480486</v>
      </c>
      <c r="Y94">
        <v>2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1</v>
      </c>
      <c r="AJ94">
        <v>1</v>
      </c>
      <c r="AK94">
        <v>1</v>
      </c>
      <c r="AL94">
        <v>1</v>
      </c>
      <c r="AN94">
        <v>0</v>
      </c>
      <c r="AO94">
        <v>1</v>
      </c>
      <c r="AP94">
        <v>0</v>
      </c>
      <c r="AQ94">
        <v>0</v>
      </c>
      <c r="AR94">
        <v>0</v>
      </c>
      <c r="AS94" t="s">
        <v>3</v>
      </c>
      <c r="AT94">
        <v>2</v>
      </c>
      <c r="AU94" t="s">
        <v>3</v>
      </c>
      <c r="AV94">
        <v>1</v>
      </c>
      <c r="AW94">
        <v>2</v>
      </c>
      <c r="AX94">
        <v>38217238</v>
      </c>
      <c r="AY94">
        <v>1</v>
      </c>
      <c r="AZ94">
        <v>0</v>
      </c>
      <c r="BA94">
        <v>91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CX94">
        <f>Y94*Source!I334</f>
        <v>2</v>
      </c>
      <c r="CY94">
        <f>AD94</f>
        <v>0</v>
      </c>
      <c r="CZ94">
        <f>AH94</f>
        <v>0</v>
      </c>
      <c r="DA94">
        <f>AL94</f>
        <v>1</v>
      </c>
      <c r="DB94">
        <f t="shared" si="18"/>
        <v>0</v>
      </c>
      <c r="DC94">
        <f t="shared" si="19"/>
        <v>0</v>
      </c>
    </row>
    <row r="95" spans="1:107" x14ac:dyDescent="0.2">
      <c r="A95">
        <f>ROW(Source!A334)</f>
        <v>334</v>
      </c>
      <c r="B95">
        <v>38214492</v>
      </c>
      <c r="C95">
        <v>38217231</v>
      </c>
      <c r="D95">
        <v>34879835</v>
      </c>
      <c r="E95">
        <v>1</v>
      </c>
      <c r="F95">
        <v>1</v>
      </c>
      <c r="G95">
        <v>25</v>
      </c>
      <c r="H95">
        <v>2</v>
      </c>
      <c r="I95" t="s">
        <v>446</v>
      </c>
      <c r="J95" t="s">
        <v>447</v>
      </c>
      <c r="K95" t="s">
        <v>448</v>
      </c>
      <c r="L95">
        <v>1368</v>
      </c>
      <c r="N95">
        <v>1011</v>
      </c>
      <c r="O95" t="s">
        <v>397</v>
      </c>
      <c r="P95" t="s">
        <v>397</v>
      </c>
      <c r="Q95">
        <v>1</v>
      </c>
      <c r="W95">
        <v>0</v>
      </c>
      <c r="X95">
        <v>-2014553861</v>
      </c>
      <c r="Y95">
        <v>0.2</v>
      </c>
      <c r="AA95">
        <v>0</v>
      </c>
      <c r="AB95">
        <v>55</v>
      </c>
      <c r="AC95">
        <v>0.05</v>
      </c>
      <c r="AD95">
        <v>0</v>
      </c>
      <c r="AE95">
        <v>0</v>
      </c>
      <c r="AF95">
        <v>55</v>
      </c>
      <c r="AG95">
        <v>0.05</v>
      </c>
      <c r="AH95">
        <v>0</v>
      </c>
      <c r="AI95">
        <v>1</v>
      </c>
      <c r="AJ95">
        <v>1</v>
      </c>
      <c r="AK95">
        <v>1</v>
      </c>
      <c r="AL95">
        <v>1</v>
      </c>
      <c r="AN95">
        <v>0</v>
      </c>
      <c r="AO95">
        <v>1</v>
      </c>
      <c r="AP95">
        <v>0</v>
      </c>
      <c r="AQ95">
        <v>0</v>
      </c>
      <c r="AR95">
        <v>0</v>
      </c>
      <c r="AS95" t="s">
        <v>3</v>
      </c>
      <c r="AT95">
        <v>0.2</v>
      </c>
      <c r="AU95" t="s">
        <v>3</v>
      </c>
      <c r="AV95">
        <v>0</v>
      </c>
      <c r="AW95">
        <v>2</v>
      </c>
      <c r="AX95">
        <v>38217239</v>
      </c>
      <c r="AY95">
        <v>1</v>
      </c>
      <c r="AZ95">
        <v>0</v>
      </c>
      <c r="BA95">
        <v>92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CX95">
        <f>Y95*Source!I334</f>
        <v>0.2</v>
      </c>
      <c r="CY95">
        <f>AB95</f>
        <v>55</v>
      </c>
      <c r="CZ95">
        <f>AF95</f>
        <v>55</v>
      </c>
      <c r="DA95">
        <f>AJ95</f>
        <v>1</v>
      </c>
      <c r="DB95">
        <f t="shared" si="18"/>
        <v>11</v>
      </c>
      <c r="DC95">
        <f t="shared" si="19"/>
        <v>0.01</v>
      </c>
    </row>
    <row r="96" spans="1:107" x14ac:dyDescent="0.2">
      <c r="A96">
        <f>ROW(Source!A334)</f>
        <v>334</v>
      </c>
      <c r="B96">
        <v>38214492</v>
      </c>
      <c r="C96">
        <v>38217231</v>
      </c>
      <c r="D96">
        <v>34880186</v>
      </c>
      <c r="E96">
        <v>1</v>
      </c>
      <c r="F96">
        <v>1</v>
      </c>
      <c r="G96">
        <v>25</v>
      </c>
      <c r="H96">
        <v>2</v>
      </c>
      <c r="I96" t="s">
        <v>449</v>
      </c>
      <c r="J96" t="s">
        <v>450</v>
      </c>
      <c r="K96" t="s">
        <v>451</v>
      </c>
      <c r="L96">
        <v>1368</v>
      </c>
      <c r="N96">
        <v>1011</v>
      </c>
      <c r="O96" t="s">
        <v>397</v>
      </c>
      <c r="P96" t="s">
        <v>397</v>
      </c>
      <c r="Q96">
        <v>1</v>
      </c>
      <c r="W96">
        <v>0</v>
      </c>
      <c r="X96">
        <v>499800498</v>
      </c>
      <c r="Y96">
        <v>1</v>
      </c>
      <c r="AA96">
        <v>0</v>
      </c>
      <c r="AB96">
        <v>619.44000000000005</v>
      </c>
      <c r="AC96">
        <v>393.66</v>
      </c>
      <c r="AD96">
        <v>0</v>
      </c>
      <c r="AE96">
        <v>0</v>
      </c>
      <c r="AF96">
        <v>619.44000000000005</v>
      </c>
      <c r="AG96">
        <v>393.66</v>
      </c>
      <c r="AH96">
        <v>0</v>
      </c>
      <c r="AI96">
        <v>1</v>
      </c>
      <c r="AJ96">
        <v>1</v>
      </c>
      <c r="AK96">
        <v>1</v>
      </c>
      <c r="AL96">
        <v>1</v>
      </c>
      <c r="AN96">
        <v>0</v>
      </c>
      <c r="AO96">
        <v>1</v>
      </c>
      <c r="AP96">
        <v>0</v>
      </c>
      <c r="AQ96">
        <v>0</v>
      </c>
      <c r="AR96">
        <v>0</v>
      </c>
      <c r="AS96" t="s">
        <v>3</v>
      </c>
      <c r="AT96">
        <v>1</v>
      </c>
      <c r="AU96" t="s">
        <v>3</v>
      </c>
      <c r="AV96">
        <v>0</v>
      </c>
      <c r="AW96">
        <v>2</v>
      </c>
      <c r="AX96">
        <v>38217240</v>
      </c>
      <c r="AY96">
        <v>1</v>
      </c>
      <c r="AZ96">
        <v>0</v>
      </c>
      <c r="BA96">
        <v>93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CX96">
        <f>Y96*Source!I334</f>
        <v>1</v>
      </c>
      <c r="CY96">
        <f>AB96</f>
        <v>619.44000000000005</v>
      </c>
      <c r="CZ96">
        <f>AF96</f>
        <v>619.44000000000005</v>
      </c>
      <c r="DA96">
        <f>AJ96</f>
        <v>1</v>
      </c>
      <c r="DB96">
        <f t="shared" si="18"/>
        <v>619.44000000000005</v>
      </c>
      <c r="DC96">
        <f t="shared" si="19"/>
        <v>393.66</v>
      </c>
    </row>
    <row r="97" spans="1:107" x14ac:dyDescent="0.2">
      <c r="A97">
        <f>ROW(Source!A334)</f>
        <v>334</v>
      </c>
      <c r="B97">
        <v>38214492</v>
      </c>
      <c r="C97">
        <v>38217231</v>
      </c>
      <c r="D97">
        <v>34880219</v>
      </c>
      <c r="E97">
        <v>1</v>
      </c>
      <c r="F97">
        <v>1</v>
      </c>
      <c r="G97">
        <v>25</v>
      </c>
      <c r="H97">
        <v>2</v>
      </c>
      <c r="I97" t="s">
        <v>425</v>
      </c>
      <c r="J97" t="s">
        <v>426</v>
      </c>
      <c r="K97" t="s">
        <v>427</v>
      </c>
      <c r="L97">
        <v>1368</v>
      </c>
      <c r="N97">
        <v>1011</v>
      </c>
      <c r="O97" t="s">
        <v>397</v>
      </c>
      <c r="P97" t="s">
        <v>397</v>
      </c>
      <c r="Q97">
        <v>1</v>
      </c>
      <c r="W97">
        <v>0</v>
      </c>
      <c r="X97">
        <v>-1995660009</v>
      </c>
      <c r="Y97">
        <v>0.1</v>
      </c>
      <c r="AA97">
        <v>0</v>
      </c>
      <c r="AB97">
        <v>5.82</v>
      </c>
      <c r="AC97">
        <v>0.02</v>
      </c>
      <c r="AD97">
        <v>0</v>
      </c>
      <c r="AE97">
        <v>0</v>
      </c>
      <c r="AF97">
        <v>5.82</v>
      </c>
      <c r="AG97">
        <v>0.02</v>
      </c>
      <c r="AH97">
        <v>0</v>
      </c>
      <c r="AI97">
        <v>1</v>
      </c>
      <c r="AJ97">
        <v>1</v>
      </c>
      <c r="AK97">
        <v>1</v>
      </c>
      <c r="AL97">
        <v>1</v>
      </c>
      <c r="AN97">
        <v>0</v>
      </c>
      <c r="AO97">
        <v>1</v>
      </c>
      <c r="AP97">
        <v>0</v>
      </c>
      <c r="AQ97">
        <v>0</v>
      </c>
      <c r="AR97">
        <v>0</v>
      </c>
      <c r="AS97" t="s">
        <v>3</v>
      </c>
      <c r="AT97">
        <v>0.1</v>
      </c>
      <c r="AU97" t="s">
        <v>3</v>
      </c>
      <c r="AV97">
        <v>0</v>
      </c>
      <c r="AW97">
        <v>2</v>
      </c>
      <c r="AX97">
        <v>38217241</v>
      </c>
      <c r="AY97">
        <v>1</v>
      </c>
      <c r="AZ97">
        <v>0</v>
      </c>
      <c r="BA97">
        <v>94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CX97">
        <f>Y97*Source!I334</f>
        <v>0.1</v>
      </c>
      <c r="CY97">
        <f>AB97</f>
        <v>5.82</v>
      </c>
      <c r="CZ97">
        <f>AF97</f>
        <v>5.82</v>
      </c>
      <c r="DA97">
        <f>AJ97</f>
        <v>1</v>
      </c>
      <c r="DB97">
        <f t="shared" si="18"/>
        <v>0.57999999999999996</v>
      </c>
      <c r="DC97">
        <f t="shared" si="19"/>
        <v>0</v>
      </c>
    </row>
    <row r="98" spans="1:107" x14ac:dyDescent="0.2">
      <c r="A98">
        <f>ROW(Source!A334)</f>
        <v>334</v>
      </c>
      <c r="B98">
        <v>38214492</v>
      </c>
      <c r="C98">
        <v>38217231</v>
      </c>
      <c r="D98">
        <v>34882179</v>
      </c>
      <c r="E98">
        <v>1</v>
      </c>
      <c r="F98">
        <v>1</v>
      </c>
      <c r="G98">
        <v>25</v>
      </c>
      <c r="H98">
        <v>3</v>
      </c>
      <c r="I98" t="s">
        <v>412</v>
      </c>
      <c r="J98" t="s">
        <v>413</v>
      </c>
      <c r="K98" t="s">
        <v>414</v>
      </c>
      <c r="L98">
        <v>1348</v>
      </c>
      <c r="N98">
        <v>1009</v>
      </c>
      <c r="O98" t="s">
        <v>30</v>
      </c>
      <c r="P98" t="s">
        <v>30</v>
      </c>
      <c r="Q98">
        <v>1000</v>
      </c>
      <c r="W98">
        <v>0</v>
      </c>
      <c r="X98">
        <v>-475338610</v>
      </c>
      <c r="Y98">
        <v>5.0000000000000002E-5</v>
      </c>
      <c r="AA98">
        <v>110728.72</v>
      </c>
      <c r="AB98">
        <v>0</v>
      </c>
      <c r="AC98">
        <v>0</v>
      </c>
      <c r="AD98">
        <v>0</v>
      </c>
      <c r="AE98">
        <v>110728.72</v>
      </c>
      <c r="AF98">
        <v>0</v>
      </c>
      <c r="AG98">
        <v>0</v>
      </c>
      <c r="AH98">
        <v>0</v>
      </c>
      <c r="AI98">
        <v>1</v>
      </c>
      <c r="AJ98">
        <v>1</v>
      </c>
      <c r="AK98">
        <v>1</v>
      </c>
      <c r="AL98">
        <v>1</v>
      </c>
      <c r="AN98">
        <v>0</v>
      </c>
      <c r="AO98">
        <v>1</v>
      </c>
      <c r="AP98">
        <v>0</v>
      </c>
      <c r="AQ98">
        <v>0</v>
      </c>
      <c r="AR98">
        <v>0</v>
      </c>
      <c r="AS98" t="s">
        <v>3</v>
      </c>
      <c r="AT98">
        <v>5.0000000000000002E-5</v>
      </c>
      <c r="AU98" t="s">
        <v>3</v>
      </c>
      <c r="AV98">
        <v>0</v>
      </c>
      <c r="AW98">
        <v>2</v>
      </c>
      <c r="AX98">
        <v>38217242</v>
      </c>
      <c r="AY98">
        <v>1</v>
      </c>
      <c r="AZ98">
        <v>0</v>
      </c>
      <c r="BA98">
        <v>95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CX98">
        <f>Y98*Source!I334</f>
        <v>5.0000000000000002E-5</v>
      </c>
      <c r="CY98">
        <f>AA98</f>
        <v>110728.72</v>
      </c>
      <c r="CZ98">
        <f>AE98</f>
        <v>110728.72</v>
      </c>
      <c r="DA98">
        <f>AI98</f>
        <v>1</v>
      </c>
      <c r="DB98">
        <f t="shared" si="18"/>
        <v>5.54</v>
      </c>
      <c r="DC98">
        <f t="shared" si="19"/>
        <v>0</v>
      </c>
    </row>
    <row r="99" spans="1:107" x14ac:dyDescent="0.2">
      <c r="A99">
        <f>ROW(Source!A334)</f>
        <v>334</v>
      </c>
      <c r="B99">
        <v>38214492</v>
      </c>
      <c r="C99">
        <v>38217231</v>
      </c>
      <c r="D99">
        <v>34885071</v>
      </c>
      <c r="E99">
        <v>1</v>
      </c>
      <c r="F99">
        <v>1</v>
      </c>
      <c r="G99">
        <v>25</v>
      </c>
      <c r="H99">
        <v>3</v>
      </c>
      <c r="I99" t="s">
        <v>452</v>
      </c>
      <c r="J99" t="s">
        <v>453</v>
      </c>
      <c r="K99" t="s">
        <v>454</v>
      </c>
      <c r="L99">
        <v>1354</v>
      </c>
      <c r="N99">
        <v>1010</v>
      </c>
      <c r="O99" t="s">
        <v>123</v>
      </c>
      <c r="P99" t="s">
        <v>123</v>
      </c>
      <c r="Q99">
        <v>1</v>
      </c>
      <c r="W99">
        <v>0</v>
      </c>
      <c r="X99">
        <v>-427256765</v>
      </c>
      <c r="Y99">
        <v>1</v>
      </c>
      <c r="AA99">
        <v>52.44</v>
      </c>
      <c r="AB99">
        <v>0</v>
      </c>
      <c r="AC99">
        <v>0</v>
      </c>
      <c r="AD99">
        <v>0</v>
      </c>
      <c r="AE99">
        <v>52.44</v>
      </c>
      <c r="AF99">
        <v>0</v>
      </c>
      <c r="AG99">
        <v>0</v>
      </c>
      <c r="AH99">
        <v>0</v>
      </c>
      <c r="AI99">
        <v>1</v>
      </c>
      <c r="AJ99">
        <v>1</v>
      </c>
      <c r="AK99">
        <v>1</v>
      </c>
      <c r="AL99">
        <v>1</v>
      </c>
      <c r="AN99">
        <v>0</v>
      </c>
      <c r="AO99">
        <v>1</v>
      </c>
      <c r="AP99">
        <v>0</v>
      </c>
      <c r="AQ99">
        <v>0</v>
      </c>
      <c r="AR99">
        <v>0</v>
      </c>
      <c r="AS99" t="s">
        <v>3</v>
      </c>
      <c r="AT99">
        <v>1</v>
      </c>
      <c r="AU99" t="s">
        <v>3</v>
      </c>
      <c r="AV99">
        <v>0</v>
      </c>
      <c r="AW99">
        <v>2</v>
      </c>
      <c r="AX99">
        <v>38217243</v>
      </c>
      <c r="AY99">
        <v>1</v>
      </c>
      <c r="AZ99">
        <v>0</v>
      </c>
      <c r="BA99">
        <v>96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CX99">
        <f>Y99*Source!I334</f>
        <v>1</v>
      </c>
      <c r="CY99">
        <f>AA99</f>
        <v>52.44</v>
      </c>
      <c r="CZ99">
        <f>AE99</f>
        <v>52.44</v>
      </c>
      <c r="DA99">
        <f>AI99</f>
        <v>1</v>
      </c>
      <c r="DB99">
        <f t="shared" si="18"/>
        <v>52.44</v>
      </c>
      <c r="DC99">
        <f t="shared" si="19"/>
        <v>0</v>
      </c>
    </row>
    <row r="100" spans="1:107" x14ac:dyDescent="0.2">
      <c r="A100">
        <f>ROW(Source!A373)</f>
        <v>373</v>
      </c>
      <c r="B100">
        <v>38214492</v>
      </c>
      <c r="C100">
        <v>38217106</v>
      </c>
      <c r="D100">
        <v>34867259</v>
      </c>
      <c r="E100">
        <v>25</v>
      </c>
      <c r="F100">
        <v>1</v>
      </c>
      <c r="G100">
        <v>25</v>
      </c>
      <c r="H100">
        <v>1</v>
      </c>
      <c r="I100" t="s">
        <v>391</v>
      </c>
      <c r="J100" t="s">
        <v>3</v>
      </c>
      <c r="K100" t="s">
        <v>392</v>
      </c>
      <c r="L100">
        <v>1191</v>
      </c>
      <c r="N100">
        <v>1013</v>
      </c>
      <c r="O100" t="s">
        <v>393</v>
      </c>
      <c r="P100" t="s">
        <v>393</v>
      </c>
      <c r="Q100">
        <v>1</v>
      </c>
      <c r="W100">
        <v>0</v>
      </c>
      <c r="X100">
        <v>476480486</v>
      </c>
      <c r="Y100">
        <v>3.39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1</v>
      </c>
      <c r="AJ100">
        <v>1</v>
      </c>
      <c r="AK100">
        <v>1</v>
      </c>
      <c r="AL100">
        <v>1</v>
      </c>
      <c r="AN100">
        <v>0</v>
      </c>
      <c r="AO100">
        <v>1</v>
      </c>
      <c r="AP100">
        <v>0</v>
      </c>
      <c r="AQ100">
        <v>0</v>
      </c>
      <c r="AR100">
        <v>0</v>
      </c>
      <c r="AS100" t="s">
        <v>3</v>
      </c>
      <c r="AT100">
        <v>3.39</v>
      </c>
      <c r="AU100" t="s">
        <v>3</v>
      </c>
      <c r="AV100">
        <v>1</v>
      </c>
      <c r="AW100">
        <v>2</v>
      </c>
      <c r="AX100">
        <v>38217110</v>
      </c>
      <c r="AY100">
        <v>1</v>
      </c>
      <c r="AZ100">
        <v>0</v>
      </c>
      <c r="BA100">
        <v>97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CX100">
        <f>Y100*Source!I373</f>
        <v>0.82377</v>
      </c>
      <c r="CY100">
        <f>AD100</f>
        <v>0</v>
      </c>
      <c r="CZ100">
        <f>AH100</f>
        <v>0</v>
      </c>
      <c r="DA100">
        <f>AL100</f>
        <v>1</v>
      </c>
      <c r="DB100">
        <f t="shared" si="18"/>
        <v>0</v>
      </c>
      <c r="DC100">
        <f t="shared" si="19"/>
        <v>0</v>
      </c>
    </row>
    <row r="101" spans="1:107" x14ac:dyDescent="0.2">
      <c r="A101">
        <f>ROW(Source!A373)</f>
        <v>373</v>
      </c>
      <c r="B101">
        <v>38214492</v>
      </c>
      <c r="C101">
        <v>38217106</v>
      </c>
      <c r="D101">
        <v>34879395</v>
      </c>
      <c r="E101">
        <v>1</v>
      </c>
      <c r="F101">
        <v>1</v>
      </c>
      <c r="G101">
        <v>25</v>
      </c>
      <c r="H101">
        <v>2</v>
      </c>
      <c r="I101" t="s">
        <v>455</v>
      </c>
      <c r="J101" t="s">
        <v>456</v>
      </c>
      <c r="K101" t="s">
        <v>457</v>
      </c>
      <c r="L101">
        <v>1368</v>
      </c>
      <c r="N101">
        <v>1011</v>
      </c>
      <c r="O101" t="s">
        <v>397</v>
      </c>
      <c r="P101" t="s">
        <v>397</v>
      </c>
      <c r="Q101">
        <v>1</v>
      </c>
      <c r="W101">
        <v>0</v>
      </c>
      <c r="X101">
        <v>-1331171294</v>
      </c>
      <c r="Y101">
        <v>9.27</v>
      </c>
      <c r="AA101">
        <v>0</v>
      </c>
      <c r="AB101">
        <v>675.33</v>
      </c>
      <c r="AC101">
        <v>529.01</v>
      </c>
      <c r="AD101">
        <v>0</v>
      </c>
      <c r="AE101">
        <v>0</v>
      </c>
      <c r="AF101">
        <v>675.33</v>
      </c>
      <c r="AG101">
        <v>529.01</v>
      </c>
      <c r="AH101">
        <v>0</v>
      </c>
      <c r="AI101">
        <v>1</v>
      </c>
      <c r="AJ101">
        <v>1</v>
      </c>
      <c r="AK101">
        <v>1</v>
      </c>
      <c r="AL101">
        <v>1</v>
      </c>
      <c r="AN101">
        <v>0</v>
      </c>
      <c r="AO101">
        <v>1</v>
      </c>
      <c r="AP101">
        <v>0</v>
      </c>
      <c r="AQ101">
        <v>0</v>
      </c>
      <c r="AR101">
        <v>0</v>
      </c>
      <c r="AS101" t="s">
        <v>3</v>
      </c>
      <c r="AT101">
        <v>9.27</v>
      </c>
      <c r="AU101" t="s">
        <v>3</v>
      </c>
      <c r="AV101">
        <v>0</v>
      </c>
      <c r="AW101">
        <v>2</v>
      </c>
      <c r="AX101">
        <v>38217111</v>
      </c>
      <c r="AY101">
        <v>2</v>
      </c>
      <c r="AZ101">
        <v>98304</v>
      </c>
      <c r="BA101">
        <v>98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CX101">
        <f>Y101*Source!I373</f>
        <v>2.2526099999999998</v>
      </c>
      <c r="CY101">
        <f>AB101</f>
        <v>675.33</v>
      </c>
      <c r="CZ101">
        <f>AF101</f>
        <v>675.33</v>
      </c>
      <c r="DA101">
        <f>AJ101</f>
        <v>1</v>
      </c>
      <c r="DB101">
        <f t="shared" si="18"/>
        <v>6260.31</v>
      </c>
      <c r="DC101">
        <f t="shared" si="19"/>
        <v>4903.92</v>
      </c>
    </row>
    <row r="102" spans="1:107" x14ac:dyDescent="0.2">
      <c r="A102">
        <f>ROW(Source!A373)</f>
        <v>373</v>
      </c>
      <c r="B102">
        <v>38214492</v>
      </c>
      <c r="C102">
        <v>38217106</v>
      </c>
      <c r="D102">
        <v>34879407</v>
      </c>
      <c r="E102">
        <v>1</v>
      </c>
      <c r="F102">
        <v>1</v>
      </c>
      <c r="G102">
        <v>25</v>
      </c>
      <c r="H102">
        <v>2</v>
      </c>
      <c r="I102" t="s">
        <v>458</v>
      </c>
      <c r="J102" t="s">
        <v>459</v>
      </c>
      <c r="K102" t="s">
        <v>460</v>
      </c>
      <c r="L102">
        <v>1368</v>
      </c>
      <c r="N102">
        <v>1011</v>
      </c>
      <c r="O102" t="s">
        <v>397</v>
      </c>
      <c r="P102" t="s">
        <v>397</v>
      </c>
      <c r="Q102">
        <v>1</v>
      </c>
      <c r="W102">
        <v>0</v>
      </c>
      <c r="X102">
        <v>-1073508213</v>
      </c>
      <c r="Y102">
        <v>2.12</v>
      </c>
      <c r="AA102">
        <v>0</v>
      </c>
      <c r="AB102">
        <v>923.83</v>
      </c>
      <c r="AC102">
        <v>342.06</v>
      </c>
      <c r="AD102">
        <v>0</v>
      </c>
      <c r="AE102">
        <v>0</v>
      </c>
      <c r="AF102">
        <v>923.83</v>
      </c>
      <c r="AG102">
        <v>342.06</v>
      </c>
      <c r="AH102">
        <v>0</v>
      </c>
      <c r="AI102">
        <v>1</v>
      </c>
      <c r="AJ102">
        <v>1</v>
      </c>
      <c r="AK102">
        <v>1</v>
      </c>
      <c r="AL102">
        <v>1</v>
      </c>
      <c r="AN102">
        <v>0</v>
      </c>
      <c r="AO102">
        <v>1</v>
      </c>
      <c r="AP102">
        <v>0</v>
      </c>
      <c r="AQ102">
        <v>0</v>
      </c>
      <c r="AR102">
        <v>0</v>
      </c>
      <c r="AS102" t="s">
        <v>3</v>
      </c>
      <c r="AT102">
        <v>2.12</v>
      </c>
      <c r="AU102" t="s">
        <v>3</v>
      </c>
      <c r="AV102">
        <v>0</v>
      </c>
      <c r="AW102">
        <v>2</v>
      </c>
      <c r="AX102">
        <v>38217112</v>
      </c>
      <c r="AY102">
        <v>2</v>
      </c>
      <c r="AZ102">
        <v>98304</v>
      </c>
      <c r="BA102">
        <v>99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CX102">
        <f>Y102*Source!I373</f>
        <v>0.51516000000000006</v>
      </c>
      <c r="CY102">
        <f>AB102</f>
        <v>923.83</v>
      </c>
      <c r="CZ102">
        <f>AF102</f>
        <v>923.83</v>
      </c>
      <c r="DA102">
        <f>AJ102</f>
        <v>1</v>
      </c>
      <c r="DB102">
        <f t="shared" si="18"/>
        <v>1958.52</v>
      </c>
      <c r="DC102">
        <f t="shared" si="19"/>
        <v>725.17</v>
      </c>
    </row>
    <row r="103" spans="1:107" x14ac:dyDescent="0.2">
      <c r="A103">
        <f>ROW(Source!A374)</f>
        <v>374</v>
      </c>
      <c r="B103">
        <v>38214492</v>
      </c>
      <c r="C103">
        <v>38217113</v>
      </c>
      <c r="D103">
        <v>34867259</v>
      </c>
      <c r="E103">
        <v>25</v>
      </c>
      <c r="F103">
        <v>1</v>
      </c>
      <c r="G103">
        <v>25</v>
      </c>
      <c r="H103">
        <v>1</v>
      </c>
      <c r="I103" t="s">
        <v>391</v>
      </c>
      <c r="J103" t="s">
        <v>3</v>
      </c>
      <c r="K103" t="s">
        <v>392</v>
      </c>
      <c r="L103">
        <v>1191</v>
      </c>
      <c r="N103">
        <v>1013</v>
      </c>
      <c r="O103" t="s">
        <v>393</v>
      </c>
      <c r="P103" t="s">
        <v>393</v>
      </c>
      <c r="Q103">
        <v>1</v>
      </c>
      <c r="W103">
        <v>0</v>
      </c>
      <c r="X103">
        <v>476480486</v>
      </c>
      <c r="Y103">
        <v>221.6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1</v>
      </c>
      <c r="AJ103">
        <v>1</v>
      </c>
      <c r="AK103">
        <v>1</v>
      </c>
      <c r="AL103">
        <v>1</v>
      </c>
      <c r="AN103">
        <v>0</v>
      </c>
      <c r="AO103">
        <v>1</v>
      </c>
      <c r="AP103">
        <v>0</v>
      </c>
      <c r="AQ103">
        <v>0</v>
      </c>
      <c r="AR103">
        <v>0</v>
      </c>
      <c r="AS103" t="s">
        <v>3</v>
      </c>
      <c r="AT103">
        <v>221.6</v>
      </c>
      <c r="AU103" t="s">
        <v>3</v>
      </c>
      <c r="AV103">
        <v>1</v>
      </c>
      <c r="AW103">
        <v>2</v>
      </c>
      <c r="AX103">
        <v>38217115</v>
      </c>
      <c r="AY103">
        <v>1</v>
      </c>
      <c r="AZ103">
        <v>0</v>
      </c>
      <c r="BA103">
        <v>100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CX103">
        <f>Y103*Source!I374</f>
        <v>5.9832000000000001</v>
      </c>
      <c r="CY103">
        <f>AD103</f>
        <v>0</v>
      </c>
      <c r="CZ103">
        <f>AH103</f>
        <v>0</v>
      </c>
      <c r="DA103">
        <f>AL103</f>
        <v>1</v>
      </c>
      <c r="DB103">
        <f t="shared" si="18"/>
        <v>0</v>
      </c>
      <c r="DC103">
        <f t="shared" si="19"/>
        <v>0</v>
      </c>
    </row>
    <row r="104" spans="1:107" x14ac:dyDescent="0.2">
      <c r="A104">
        <f>ROW(Source!A375)</f>
        <v>375</v>
      </c>
      <c r="B104">
        <v>38214492</v>
      </c>
      <c r="C104">
        <v>38217116</v>
      </c>
      <c r="D104">
        <v>34879386</v>
      </c>
      <c r="E104">
        <v>1</v>
      </c>
      <c r="F104">
        <v>1</v>
      </c>
      <c r="G104">
        <v>25</v>
      </c>
      <c r="H104">
        <v>2</v>
      </c>
      <c r="I104" t="s">
        <v>461</v>
      </c>
      <c r="J104" t="s">
        <v>462</v>
      </c>
      <c r="K104" t="s">
        <v>463</v>
      </c>
      <c r="L104">
        <v>1368</v>
      </c>
      <c r="N104">
        <v>1011</v>
      </c>
      <c r="O104" t="s">
        <v>397</v>
      </c>
      <c r="P104" t="s">
        <v>397</v>
      </c>
      <c r="Q104">
        <v>1</v>
      </c>
      <c r="W104">
        <v>0</v>
      </c>
      <c r="X104">
        <v>-202408269</v>
      </c>
      <c r="Y104">
        <v>5.3699999999999998E-2</v>
      </c>
      <c r="AA104">
        <v>0</v>
      </c>
      <c r="AB104">
        <v>1451.71</v>
      </c>
      <c r="AC104">
        <v>457.95</v>
      </c>
      <c r="AD104">
        <v>0</v>
      </c>
      <c r="AE104">
        <v>0</v>
      </c>
      <c r="AF104">
        <v>1451.71</v>
      </c>
      <c r="AG104">
        <v>457.95</v>
      </c>
      <c r="AH104">
        <v>0</v>
      </c>
      <c r="AI104">
        <v>1</v>
      </c>
      <c r="AJ104">
        <v>1</v>
      </c>
      <c r="AK104">
        <v>1</v>
      </c>
      <c r="AL104">
        <v>1</v>
      </c>
      <c r="AN104">
        <v>0</v>
      </c>
      <c r="AO104">
        <v>1</v>
      </c>
      <c r="AP104">
        <v>0</v>
      </c>
      <c r="AQ104">
        <v>0</v>
      </c>
      <c r="AR104">
        <v>0</v>
      </c>
      <c r="AS104" t="s">
        <v>3</v>
      </c>
      <c r="AT104">
        <v>5.3699999999999998E-2</v>
      </c>
      <c r="AU104" t="s">
        <v>3</v>
      </c>
      <c r="AV104">
        <v>0</v>
      </c>
      <c r="AW104">
        <v>2</v>
      </c>
      <c r="AX104">
        <v>38217118</v>
      </c>
      <c r="AY104">
        <v>2</v>
      </c>
      <c r="AZ104">
        <v>98304</v>
      </c>
      <c r="BA104">
        <v>101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CX104">
        <f>Y104*Source!I375</f>
        <v>6.5245499999999998E-2</v>
      </c>
      <c r="CY104">
        <f>AB104</f>
        <v>1451.71</v>
      </c>
      <c r="CZ104">
        <f>AF104</f>
        <v>1451.71</v>
      </c>
      <c r="DA104">
        <f>AJ104</f>
        <v>1</v>
      </c>
      <c r="DB104">
        <f t="shared" si="18"/>
        <v>77.959999999999994</v>
      </c>
      <c r="DC104">
        <f t="shared" si="19"/>
        <v>24.59</v>
      </c>
    </row>
    <row r="105" spans="1:107" x14ac:dyDescent="0.2">
      <c r="A105">
        <f>ROW(Source!A376)</f>
        <v>376</v>
      </c>
      <c r="B105">
        <v>38214492</v>
      </c>
      <c r="C105">
        <v>38217119</v>
      </c>
      <c r="D105">
        <v>34867259</v>
      </c>
      <c r="E105">
        <v>25</v>
      </c>
      <c r="F105">
        <v>1</v>
      </c>
      <c r="G105">
        <v>25</v>
      </c>
      <c r="H105">
        <v>1</v>
      </c>
      <c r="I105" t="s">
        <v>391</v>
      </c>
      <c r="J105" t="s">
        <v>3</v>
      </c>
      <c r="K105" t="s">
        <v>392</v>
      </c>
      <c r="L105">
        <v>1191</v>
      </c>
      <c r="N105">
        <v>1013</v>
      </c>
      <c r="O105" t="s">
        <v>393</v>
      </c>
      <c r="P105" t="s">
        <v>393</v>
      </c>
      <c r="Q105">
        <v>1</v>
      </c>
      <c r="W105">
        <v>0</v>
      </c>
      <c r="X105">
        <v>476480486</v>
      </c>
      <c r="Y105">
        <v>1.02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1</v>
      </c>
      <c r="AJ105">
        <v>1</v>
      </c>
      <c r="AK105">
        <v>1</v>
      </c>
      <c r="AL105">
        <v>1</v>
      </c>
      <c r="AN105">
        <v>0</v>
      </c>
      <c r="AO105">
        <v>1</v>
      </c>
      <c r="AP105">
        <v>0</v>
      </c>
      <c r="AQ105">
        <v>0</v>
      </c>
      <c r="AR105">
        <v>0</v>
      </c>
      <c r="AS105" t="s">
        <v>3</v>
      </c>
      <c r="AT105">
        <v>1.02</v>
      </c>
      <c r="AU105" t="s">
        <v>3</v>
      </c>
      <c r="AV105">
        <v>1</v>
      </c>
      <c r="AW105">
        <v>2</v>
      </c>
      <c r="AX105">
        <v>38217121</v>
      </c>
      <c r="AY105">
        <v>1</v>
      </c>
      <c r="AZ105">
        <v>0</v>
      </c>
      <c r="BA105">
        <v>102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CX105">
        <f>Y105*Source!I376</f>
        <v>0.41310000000000002</v>
      </c>
      <c r="CY105">
        <f>AD105</f>
        <v>0</v>
      </c>
      <c r="CZ105">
        <f>AH105</f>
        <v>0</v>
      </c>
      <c r="DA105">
        <f>AL105</f>
        <v>1</v>
      </c>
      <c r="DB105">
        <f t="shared" si="18"/>
        <v>0</v>
      </c>
      <c r="DC105">
        <f t="shared" si="19"/>
        <v>0</v>
      </c>
    </row>
    <row r="106" spans="1:107" x14ac:dyDescent="0.2">
      <c r="A106">
        <f>ROW(Source!A377)</f>
        <v>377</v>
      </c>
      <c r="B106">
        <v>38214492</v>
      </c>
      <c r="C106">
        <v>38217122</v>
      </c>
      <c r="D106">
        <v>34880178</v>
      </c>
      <c r="E106">
        <v>1</v>
      </c>
      <c r="F106">
        <v>1</v>
      </c>
      <c r="G106">
        <v>25</v>
      </c>
      <c r="H106">
        <v>2</v>
      </c>
      <c r="I106" t="s">
        <v>400</v>
      </c>
      <c r="J106" t="s">
        <v>401</v>
      </c>
      <c r="K106" t="s">
        <v>402</v>
      </c>
      <c r="L106">
        <v>1368</v>
      </c>
      <c r="N106">
        <v>1011</v>
      </c>
      <c r="O106" t="s">
        <v>397</v>
      </c>
      <c r="P106" t="s">
        <v>397</v>
      </c>
      <c r="Q106">
        <v>1</v>
      </c>
      <c r="W106">
        <v>0</v>
      </c>
      <c r="X106">
        <v>468658695</v>
      </c>
      <c r="Y106">
        <v>0.02</v>
      </c>
      <c r="AA106">
        <v>0</v>
      </c>
      <c r="AB106">
        <v>952.49</v>
      </c>
      <c r="AC106">
        <v>301.5</v>
      </c>
      <c r="AD106">
        <v>0</v>
      </c>
      <c r="AE106">
        <v>0</v>
      </c>
      <c r="AF106">
        <v>952.49</v>
      </c>
      <c r="AG106">
        <v>301.5</v>
      </c>
      <c r="AH106">
        <v>0</v>
      </c>
      <c r="AI106">
        <v>1</v>
      </c>
      <c r="AJ106">
        <v>1</v>
      </c>
      <c r="AK106">
        <v>1</v>
      </c>
      <c r="AL106">
        <v>1</v>
      </c>
      <c r="AN106">
        <v>0</v>
      </c>
      <c r="AO106">
        <v>1</v>
      </c>
      <c r="AP106">
        <v>0</v>
      </c>
      <c r="AQ106">
        <v>0</v>
      </c>
      <c r="AR106">
        <v>0</v>
      </c>
      <c r="AS106" t="s">
        <v>3</v>
      </c>
      <c r="AT106">
        <v>0.02</v>
      </c>
      <c r="AU106" t="s">
        <v>3</v>
      </c>
      <c r="AV106">
        <v>0</v>
      </c>
      <c r="AW106">
        <v>2</v>
      </c>
      <c r="AX106">
        <v>38217125</v>
      </c>
      <c r="AY106">
        <v>2</v>
      </c>
      <c r="AZ106">
        <v>98304</v>
      </c>
      <c r="BA106">
        <v>103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CX106">
        <f>Y106*Source!I377</f>
        <v>2.4300000000000002E-2</v>
      </c>
      <c r="CY106">
        <f t="shared" ref="CY106:CY111" si="20">AB106</f>
        <v>952.49</v>
      </c>
      <c r="CZ106">
        <f t="shared" ref="CZ106:CZ111" si="21">AF106</f>
        <v>952.49</v>
      </c>
      <c r="DA106">
        <f t="shared" ref="DA106:DA111" si="22">AJ106</f>
        <v>1</v>
      </c>
      <c r="DB106">
        <f t="shared" si="18"/>
        <v>19.05</v>
      </c>
      <c r="DC106">
        <f t="shared" si="19"/>
        <v>6.03</v>
      </c>
    </row>
    <row r="107" spans="1:107" x14ac:dyDescent="0.2">
      <c r="A107">
        <f>ROW(Source!A377)</f>
        <v>377</v>
      </c>
      <c r="B107">
        <v>38214492</v>
      </c>
      <c r="C107">
        <v>38217122</v>
      </c>
      <c r="D107">
        <v>34880179</v>
      </c>
      <c r="E107">
        <v>1</v>
      </c>
      <c r="F107">
        <v>1</v>
      </c>
      <c r="G107">
        <v>25</v>
      </c>
      <c r="H107">
        <v>2</v>
      </c>
      <c r="I107" t="s">
        <v>403</v>
      </c>
      <c r="J107" t="s">
        <v>404</v>
      </c>
      <c r="K107" t="s">
        <v>405</v>
      </c>
      <c r="L107">
        <v>1368</v>
      </c>
      <c r="N107">
        <v>1011</v>
      </c>
      <c r="O107" t="s">
        <v>397</v>
      </c>
      <c r="P107" t="s">
        <v>397</v>
      </c>
      <c r="Q107">
        <v>1</v>
      </c>
      <c r="W107">
        <v>0</v>
      </c>
      <c r="X107">
        <v>-1546163025</v>
      </c>
      <c r="Y107">
        <v>1.7999999999999999E-2</v>
      </c>
      <c r="AA107">
        <v>0</v>
      </c>
      <c r="AB107">
        <v>993.6</v>
      </c>
      <c r="AC107">
        <v>301.8</v>
      </c>
      <c r="AD107">
        <v>0</v>
      </c>
      <c r="AE107">
        <v>0</v>
      </c>
      <c r="AF107">
        <v>993.6</v>
      </c>
      <c r="AG107">
        <v>301.8</v>
      </c>
      <c r="AH107">
        <v>0</v>
      </c>
      <c r="AI107">
        <v>1</v>
      </c>
      <c r="AJ107">
        <v>1</v>
      </c>
      <c r="AK107">
        <v>1</v>
      </c>
      <c r="AL107">
        <v>1</v>
      </c>
      <c r="AN107">
        <v>0</v>
      </c>
      <c r="AO107">
        <v>1</v>
      </c>
      <c r="AP107">
        <v>0</v>
      </c>
      <c r="AQ107">
        <v>0</v>
      </c>
      <c r="AR107">
        <v>0</v>
      </c>
      <c r="AS107" t="s">
        <v>3</v>
      </c>
      <c r="AT107">
        <v>1.7999999999999999E-2</v>
      </c>
      <c r="AU107" t="s">
        <v>3</v>
      </c>
      <c r="AV107">
        <v>0</v>
      </c>
      <c r="AW107">
        <v>2</v>
      </c>
      <c r="AX107">
        <v>38217126</v>
      </c>
      <c r="AY107">
        <v>2</v>
      </c>
      <c r="AZ107">
        <v>98304</v>
      </c>
      <c r="BA107">
        <v>104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CX107">
        <f>Y107*Source!I377</f>
        <v>2.1870000000000001E-2</v>
      </c>
      <c r="CY107">
        <f t="shared" si="20"/>
        <v>993.6</v>
      </c>
      <c r="CZ107">
        <f t="shared" si="21"/>
        <v>993.6</v>
      </c>
      <c r="DA107">
        <f t="shared" si="22"/>
        <v>1</v>
      </c>
      <c r="DB107">
        <f t="shared" si="18"/>
        <v>17.88</v>
      </c>
      <c r="DC107">
        <f t="shared" si="19"/>
        <v>5.43</v>
      </c>
    </row>
    <row r="108" spans="1:107" x14ac:dyDescent="0.2">
      <c r="A108">
        <f>ROW(Source!A378)</f>
        <v>378</v>
      </c>
      <c r="B108">
        <v>38214492</v>
      </c>
      <c r="C108">
        <v>38217127</v>
      </c>
      <c r="D108">
        <v>34880178</v>
      </c>
      <c r="E108">
        <v>1</v>
      </c>
      <c r="F108">
        <v>1</v>
      </c>
      <c r="G108">
        <v>25</v>
      </c>
      <c r="H108">
        <v>2</v>
      </c>
      <c r="I108" t="s">
        <v>400</v>
      </c>
      <c r="J108" t="s">
        <v>401</v>
      </c>
      <c r="K108" t="s">
        <v>402</v>
      </c>
      <c r="L108">
        <v>1368</v>
      </c>
      <c r="N108">
        <v>1011</v>
      </c>
      <c r="O108" t="s">
        <v>397</v>
      </c>
      <c r="P108" t="s">
        <v>397</v>
      </c>
      <c r="Q108">
        <v>1</v>
      </c>
      <c r="W108">
        <v>0</v>
      </c>
      <c r="X108">
        <v>468658695</v>
      </c>
      <c r="Y108">
        <v>5.3999999999999999E-2</v>
      </c>
      <c r="AA108">
        <v>0</v>
      </c>
      <c r="AB108">
        <v>952.49</v>
      </c>
      <c r="AC108">
        <v>301.5</v>
      </c>
      <c r="AD108">
        <v>0</v>
      </c>
      <c r="AE108">
        <v>0</v>
      </c>
      <c r="AF108">
        <v>952.49</v>
      </c>
      <c r="AG108">
        <v>301.5</v>
      </c>
      <c r="AH108">
        <v>0</v>
      </c>
      <c r="AI108">
        <v>1</v>
      </c>
      <c r="AJ108">
        <v>1</v>
      </c>
      <c r="AK108">
        <v>1</v>
      </c>
      <c r="AL108">
        <v>1</v>
      </c>
      <c r="AN108">
        <v>0</v>
      </c>
      <c r="AO108">
        <v>1</v>
      </c>
      <c r="AP108">
        <v>0</v>
      </c>
      <c r="AQ108">
        <v>0</v>
      </c>
      <c r="AR108">
        <v>0</v>
      </c>
      <c r="AS108" t="s">
        <v>3</v>
      </c>
      <c r="AT108">
        <v>5.3999999999999999E-2</v>
      </c>
      <c r="AU108" t="s">
        <v>3</v>
      </c>
      <c r="AV108">
        <v>0</v>
      </c>
      <c r="AW108">
        <v>2</v>
      </c>
      <c r="AX108">
        <v>38217130</v>
      </c>
      <c r="AY108">
        <v>2</v>
      </c>
      <c r="AZ108">
        <v>98304</v>
      </c>
      <c r="BA108">
        <v>105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CX108">
        <f>Y108*Source!I378</f>
        <v>2.1870000000000001E-2</v>
      </c>
      <c r="CY108">
        <f t="shared" si="20"/>
        <v>952.49</v>
      </c>
      <c r="CZ108">
        <f t="shared" si="21"/>
        <v>952.49</v>
      </c>
      <c r="DA108">
        <f t="shared" si="22"/>
        <v>1</v>
      </c>
      <c r="DB108">
        <f t="shared" si="18"/>
        <v>51.43</v>
      </c>
      <c r="DC108">
        <f t="shared" si="19"/>
        <v>16.28</v>
      </c>
    </row>
    <row r="109" spans="1:107" x14ac:dyDescent="0.2">
      <c r="A109">
        <f>ROW(Source!A378)</f>
        <v>378</v>
      </c>
      <c r="B109">
        <v>38214492</v>
      </c>
      <c r="C109">
        <v>38217127</v>
      </c>
      <c r="D109">
        <v>34880179</v>
      </c>
      <c r="E109">
        <v>1</v>
      </c>
      <c r="F109">
        <v>1</v>
      </c>
      <c r="G109">
        <v>25</v>
      </c>
      <c r="H109">
        <v>2</v>
      </c>
      <c r="I109" t="s">
        <v>403</v>
      </c>
      <c r="J109" t="s">
        <v>404</v>
      </c>
      <c r="K109" t="s">
        <v>405</v>
      </c>
      <c r="L109">
        <v>1368</v>
      </c>
      <c r="N109">
        <v>1011</v>
      </c>
      <c r="O109" t="s">
        <v>397</v>
      </c>
      <c r="P109" t="s">
        <v>397</v>
      </c>
      <c r="Q109">
        <v>1</v>
      </c>
      <c r="W109">
        <v>0</v>
      </c>
      <c r="X109">
        <v>-1546163025</v>
      </c>
      <c r="Y109">
        <v>5.5E-2</v>
      </c>
      <c r="AA109">
        <v>0</v>
      </c>
      <c r="AB109">
        <v>993.6</v>
      </c>
      <c r="AC109">
        <v>301.8</v>
      </c>
      <c r="AD109">
        <v>0</v>
      </c>
      <c r="AE109">
        <v>0</v>
      </c>
      <c r="AF109">
        <v>993.6</v>
      </c>
      <c r="AG109">
        <v>301.8</v>
      </c>
      <c r="AH109">
        <v>0</v>
      </c>
      <c r="AI109">
        <v>1</v>
      </c>
      <c r="AJ109">
        <v>1</v>
      </c>
      <c r="AK109">
        <v>1</v>
      </c>
      <c r="AL109">
        <v>1</v>
      </c>
      <c r="AN109">
        <v>0</v>
      </c>
      <c r="AO109">
        <v>1</v>
      </c>
      <c r="AP109">
        <v>0</v>
      </c>
      <c r="AQ109">
        <v>0</v>
      </c>
      <c r="AR109">
        <v>0</v>
      </c>
      <c r="AS109" t="s">
        <v>3</v>
      </c>
      <c r="AT109">
        <v>5.5E-2</v>
      </c>
      <c r="AU109" t="s">
        <v>3</v>
      </c>
      <c r="AV109">
        <v>0</v>
      </c>
      <c r="AW109">
        <v>2</v>
      </c>
      <c r="AX109">
        <v>38217131</v>
      </c>
      <c r="AY109">
        <v>2</v>
      </c>
      <c r="AZ109">
        <v>98304</v>
      </c>
      <c r="BA109">
        <v>106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CX109">
        <f>Y109*Source!I378</f>
        <v>2.2275000000000003E-2</v>
      </c>
      <c r="CY109">
        <f t="shared" si="20"/>
        <v>993.6</v>
      </c>
      <c r="CZ109">
        <f t="shared" si="21"/>
        <v>993.6</v>
      </c>
      <c r="DA109">
        <f t="shared" si="22"/>
        <v>1</v>
      </c>
      <c r="DB109">
        <f t="shared" si="18"/>
        <v>54.65</v>
      </c>
      <c r="DC109">
        <f t="shared" si="19"/>
        <v>16.600000000000001</v>
      </c>
    </row>
    <row r="110" spans="1:107" x14ac:dyDescent="0.2">
      <c r="A110">
        <f>ROW(Source!A379)</f>
        <v>379</v>
      </c>
      <c r="B110">
        <v>38214492</v>
      </c>
      <c r="C110">
        <v>38217132</v>
      </c>
      <c r="D110">
        <v>34880178</v>
      </c>
      <c r="E110">
        <v>1</v>
      </c>
      <c r="F110">
        <v>1</v>
      </c>
      <c r="G110">
        <v>25</v>
      </c>
      <c r="H110">
        <v>2</v>
      </c>
      <c r="I110" t="s">
        <v>400</v>
      </c>
      <c r="J110" t="s">
        <v>401</v>
      </c>
      <c r="K110" t="s">
        <v>402</v>
      </c>
      <c r="L110">
        <v>1368</v>
      </c>
      <c r="N110">
        <v>1011</v>
      </c>
      <c r="O110" t="s">
        <v>397</v>
      </c>
      <c r="P110" t="s">
        <v>397</v>
      </c>
      <c r="Q110">
        <v>1</v>
      </c>
      <c r="W110">
        <v>0</v>
      </c>
      <c r="X110">
        <v>468658695</v>
      </c>
      <c r="Y110">
        <v>0.16</v>
      </c>
      <c r="AA110">
        <v>0</v>
      </c>
      <c r="AB110">
        <v>952.49</v>
      </c>
      <c r="AC110">
        <v>301.5</v>
      </c>
      <c r="AD110">
        <v>0</v>
      </c>
      <c r="AE110">
        <v>0</v>
      </c>
      <c r="AF110">
        <v>952.49</v>
      </c>
      <c r="AG110">
        <v>301.5</v>
      </c>
      <c r="AH110">
        <v>0</v>
      </c>
      <c r="AI110">
        <v>1</v>
      </c>
      <c r="AJ110">
        <v>1</v>
      </c>
      <c r="AK110">
        <v>1</v>
      </c>
      <c r="AL110">
        <v>1</v>
      </c>
      <c r="AN110">
        <v>0</v>
      </c>
      <c r="AO110">
        <v>1</v>
      </c>
      <c r="AP110">
        <v>1</v>
      </c>
      <c r="AQ110">
        <v>0</v>
      </c>
      <c r="AR110">
        <v>0</v>
      </c>
      <c r="AS110" t="s">
        <v>3</v>
      </c>
      <c r="AT110">
        <v>0.01</v>
      </c>
      <c r="AU110" t="s">
        <v>201</v>
      </c>
      <c r="AV110">
        <v>0</v>
      </c>
      <c r="AW110">
        <v>2</v>
      </c>
      <c r="AX110">
        <v>38217135</v>
      </c>
      <c r="AY110">
        <v>2</v>
      </c>
      <c r="AZ110">
        <v>98304</v>
      </c>
      <c r="BA110">
        <v>107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CX110">
        <f>Y110*Source!I379</f>
        <v>0.25920000000000004</v>
      </c>
      <c r="CY110">
        <f t="shared" si="20"/>
        <v>952.49</v>
      </c>
      <c r="CZ110">
        <f t="shared" si="21"/>
        <v>952.49</v>
      </c>
      <c r="DA110">
        <f t="shared" si="22"/>
        <v>1</v>
      </c>
      <c r="DB110">
        <f>ROUND((ROUND(AT110*CZ110,2)*16),6)</f>
        <v>152.32</v>
      </c>
      <c r="DC110">
        <f>ROUND((ROUND(AT110*AG110,2)*16),6)</f>
        <v>48.32</v>
      </c>
    </row>
    <row r="111" spans="1:107" x14ac:dyDescent="0.2">
      <c r="A111">
        <f>ROW(Source!A379)</f>
        <v>379</v>
      </c>
      <c r="B111">
        <v>38214492</v>
      </c>
      <c r="C111">
        <v>38217132</v>
      </c>
      <c r="D111">
        <v>34880179</v>
      </c>
      <c r="E111">
        <v>1</v>
      </c>
      <c r="F111">
        <v>1</v>
      </c>
      <c r="G111">
        <v>25</v>
      </c>
      <c r="H111">
        <v>2</v>
      </c>
      <c r="I111" t="s">
        <v>403</v>
      </c>
      <c r="J111" t="s">
        <v>404</v>
      </c>
      <c r="K111" t="s">
        <v>405</v>
      </c>
      <c r="L111">
        <v>1368</v>
      </c>
      <c r="N111">
        <v>1011</v>
      </c>
      <c r="O111" t="s">
        <v>397</v>
      </c>
      <c r="P111" t="s">
        <v>397</v>
      </c>
      <c r="Q111">
        <v>1</v>
      </c>
      <c r="W111">
        <v>0</v>
      </c>
      <c r="X111">
        <v>-1546163025</v>
      </c>
      <c r="Y111">
        <v>0.128</v>
      </c>
      <c r="AA111">
        <v>0</v>
      </c>
      <c r="AB111">
        <v>993.6</v>
      </c>
      <c r="AC111">
        <v>301.8</v>
      </c>
      <c r="AD111">
        <v>0</v>
      </c>
      <c r="AE111">
        <v>0</v>
      </c>
      <c r="AF111">
        <v>993.6</v>
      </c>
      <c r="AG111">
        <v>301.8</v>
      </c>
      <c r="AH111">
        <v>0</v>
      </c>
      <c r="AI111">
        <v>1</v>
      </c>
      <c r="AJ111">
        <v>1</v>
      </c>
      <c r="AK111">
        <v>1</v>
      </c>
      <c r="AL111">
        <v>1</v>
      </c>
      <c r="AN111">
        <v>0</v>
      </c>
      <c r="AO111">
        <v>1</v>
      </c>
      <c r="AP111">
        <v>1</v>
      </c>
      <c r="AQ111">
        <v>0</v>
      </c>
      <c r="AR111">
        <v>0</v>
      </c>
      <c r="AS111" t="s">
        <v>3</v>
      </c>
      <c r="AT111">
        <v>8.0000000000000002E-3</v>
      </c>
      <c r="AU111" t="s">
        <v>201</v>
      </c>
      <c r="AV111">
        <v>0</v>
      </c>
      <c r="AW111">
        <v>2</v>
      </c>
      <c r="AX111">
        <v>38217136</v>
      </c>
      <c r="AY111">
        <v>2</v>
      </c>
      <c r="AZ111">
        <v>98304</v>
      </c>
      <c r="BA111">
        <v>108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CX111">
        <f>Y111*Source!I379</f>
        <v>0.20736000000000002</v>
      </c>
      <c r="CY111">
        <f t="shared" si="20"/>
        <v>993.6</v>
      </c>
      <c r="CZ111">
        <f t="shared" si="21"/>
        <v>993.6</v>
      </c>
      <c r="DA111">
        <f t="shared" si="22"/>
        <v>1</v>
      </c>
      <c r="DB111">
        <f>ROUND((ROUND(AT111*CZ111,2)*16),6)</f>
        <v>127.2</v>
      </c>
      <c r="DC111">
        <f>ROUND((ROUND(AT111*AG111,2)*16),6)</f>
        <v>38.56</v>
      </c>
    </row>
    <row r="112" spans="1:107" x14ac:dyDescent="0.2">
      <c r="A112">
        <f>ROW(Source!A384)</f>
        <v>384</v>
      </c>
      <c r="B112">
        <v>38214492</v>
      </c>
      <c r="C112">
        <v>38217141</v>
      </c>
      <c r="D112">
        <v>34867259</v>
      </c>
      <c r="E112">
        <v>25</v>
      </c>
      <c r="F112">
        <v>1</v>
      </c>
      <c r="G112">
        <v>25</v>
      </c>
      <c r="H112">
        <v>1</v>
      </c>
      <c r="I112" t="s">
        <v>391</v>
      </c>
      <c r="J112" t="s">
        <v>3</v>
      </c>
      <c r="K112" t="s">
        <v>392</v>
      </c>
      <c r="L112">
        <v>1191</v>
      </c>
      <c r="N112">
        <v>1013</v>
      </c>
      <c r="O112" t="s">
        <v>393</v>
      </c>
      <c r="P112" t="s">
        <v>393</v>
      </c>
      <c r="Q112">
        <v>1</v>
      </c>
      <c r="W112">
        <v>0</v>
      </c>
      <c r="X112">
        <v>476480486</v>
      </c>
      <c r="Y112">
        <v>16.559999999999999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1</v>
      </c>
      <c r="AJ112">
        <v>1</v>
      </c>
      <c r="AK112">
        <v>1</v>
      </c>
      <c r="AL112">
        <v>1</v>
      </c>
      <c r="AN112">
        <v>0</v>
      </c>
      <c r="AO112">
        <v>1</v>
      </c>
      <c r="AP112">
        <v>0</v>
      </c>
      <c r="AQ112">
        <v>0</v>
      </c>
      <c r="AR112">
        <v>0</v>
      </c>
      <c r="AS112" t="s">
        <v>3</v>
      </c>
      <c r="AT112">
        <v>16.559999999999999</v>
      </c>
      <c r="AU112" t="s">
        <v>3</v>
      </c>
      <c r="AV112">
        <v>1</v>
      </c>
      <c r="AW112">
        <v>2</v>
      </c>
      <c r="AX112">
        <v>38217150</v>
      </c>
      <c r="AY112">
        <v>1</v>
      </c>
      <c r="AZ112">
        <v>0</v>
      </c>
      <c r="BA112">
        <v>109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CX112">
        <f>Y112*Source!I384</f>
        <v>4.4711999999999996</v>
      </c>
      <c r="CY112">
        <f>AD112</f>
        <v>0</v>
      </c>
      <c r="CZ112">
        <f>AH112</f>
        <v>0</v>
      </c>
      <c r="DA112">
        <f>AL112</f>
        <v>1</v>
      </c>
      <c r="DB112">
        <f t="shared" ref="DB112:DB131" si="23">ROUND(ROUND(AT112*CZ112,2),6)</f>
        <v>0</v>
      </c>
      <c r="DC112">
        <f t="shared" ref="DC112:DC131" si="24">ROUND(ROUND(AT112*AG112,2),6)</f>
        <v>0</v>
      </c>
    </row>
    <row r="113" spans="1:107" x14ac:dyDescent="0.2">
      <c r="A113">
        <f>ROW(Source!A384)</f>
        <v>384</v>
      </c>
      <c r="B113">
        <v>38214492</v>
      </c>
      <c r="C113">
        <v>38217141</v>
      </c>
      <c r="D113">
        <v>34879430</v>
      </c>
      <c r="E113">
        <v>1</v>
      </c>
      <c r="F113">
        <v>1</v>
      </c>
      <c r="G113">
        <v>25</v>
      </c>
      <c r="H113">
        <v>2</v>
      </c>
      <c r="I113" t="s">
        <v>464</v>
      </c>
      <c r="J113" t="s">
        <v>465</v>
      </c>
      <c r="K113" t="s">
        <v>466</v>
      </c>
      <c r="L113">
        <v>1368</v>
      </c>
      <c r="N113">
        <v>1011</v>
      </c>
      <c r="O113" t="s">
        <v>397</v>
      </c>
      <c r="P113" t="s">
        <v>397</v>
      </c>
      <c r="Q113">
        <v>1</v>
      </c>
      <c r="W113">
        <v>0</v>
      </c>
      <c r="X113">
        <v>2063784432</v>
      </c>
      <c r="Y113">
        <v>2.08</v>
      </c>
      <c r="AA113">
        <v>0</v>
      </c>
      <c r="AB113">
        <v>1159.46</v>
      </c>
      <c r="AC113">
        <v>525.74</v>
      </c>
      <c r="AD113">
        <v>0</v>
      </c>
      <c r="AE113">
        <v>0</v>
      </c>
      <c r="AF113">
        <v>1159.46</v>
      </c>
      <c r="AG113">
        <v>525.74</v>
      </c>
      <c r="AH113">
        <v>0</v>
      </c>
      <c r="AI113">
        <v>1</v>
      </c>
      <c r="AJ113">
        <v>1</v>
      </c>
      <c r="AK113">
        <v>1</v>
      </c>
      <c r="AL113">
        <v>1</v>
      </c>
      <c r="AN113">
        <v>0</v>
      </c>
      <c r="AO113">
        <v>1</v>
      </c>
      <c r="AP113">
        <v>0</v>
      </c>
      <c r="AQ113">
        <v>0</v>
      </c>
      <c r="AR113">
        <v>0</v>
      </c>
      <c r="AS113" t="s">
        <v>3</v>
      </c>
      <c r="AT113">
        <v>2.08</v>
      </c>
      <c r="AU113" t="s">
        <v>3</v>
      </c>
      <c r="AV113">
        <v>0</v>
      </c>
      <c r="AW113">
        <v>2</v>
      </c>
      <c r="AX113">
        <v>38217151</v>
      </c>
      <c r="AY113">
        <v>1</v>
      </c>
      <c r="AZ113">
        <v>0</v>
      </c>
      <c r="BA113">
        <v>110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CX113">
        <f>Y113*Source!I384</f>
        <v>0.5616000000000001</v>
      </c>
      <c r="CY113">
        <f>AB113</f>
        <v>1159.46</v>
      </c>
      <c r="CZ113">
        <f>AF113</f>
        <v>1159.46</v>
      </c>
      <c r="DA113">
        <f>AJ113</f>
        <v>1</v>
      </c>
      <c r="DB113">
        <f t="shared" si="23"/>
        <v>2411.6799999999998</v>
      </c>
      <c r="DC113">
        <f t="shared" si="24"/>
        <v>1093.54</v>
      </c>
    </row>
    <row r="114" spans="1:107" x14ac:dyDescent="0.2">
      <c r="A114">
        <f>ROW(Source!A384)</f>
        <v>384</v>
      </c>
      <c r="B114">
        <v>38214492</v>
      </c>
      <c r="C114">
        <v>38217141</v>
      </c>
      <c r="D114">
        <v>34879585</v>
      </c>
      <c r="E114">
        <v>1</v>
      </c>
      <c r="F114">
        <v>1</v>
      </c>
      <c r="G114">
        <v>25</v>
      </c>
      <c r="H114">
        <v>2</v>
      </c>
      <c r="I114" t="s">
        <v>467</v>
      </c>
      <c r="J114" t="s">
        <v>468</v>
      </c>
      <c r="K114" t="s">
        <v>469</v>
      </c>
      <c r="L114">
        <v>1368</v>
      </c>
      <c r="N114">
        <v>1011</v>
      </c>
      <c r="O114" t="s">
        <v>397</v>
      </c>
      <c r="P114" t="s">
        <v>397</v>
      </c>
      <c r="Q114">
        <v>1</v>
      </c>
      <c r="W114">
        <v>0</v>
      </c>
      <c r="X114">
        <v>1265029398</v>
      </c>
      <c r="Y114">
        <v>2.08</v>
      </c>
      <c r="AA114">
        <v>0</v>
      </c>
      <c r="AB114">
        <v>416.25</v>
      </c>
      <c r="AC114">
        <v>204.9</v>
      </c>
      <c r="AD114">
        <v>0</v>
      </c>
      <c r="AE114">
        <v>0</v>
      </c>
      <c r="AF114">
        <v>416.25</v>
      </c>
      <c r="AG114">
        <v>204.9</v>
      </c>
      <c r="AH114">
        <v>0</v>
      </c>
      <c r="AI114">
        <v>1</v>
      </c>
      <c r="AJ114">
        <v>1</v>
      </c>
      <c r="AK114">
        <v>1</v>
      </c>
      <c r="AL114">
        <v>1</v>
      </c>
      <c r="AN114">
        <v>0</v>
      </c>
      <c r="AO114">
        <v>1</v>
      </c>
      <c r="AP114">
        <v>0</v>
      </c>
      <c r="AQ114">
        <v>0</v>
      </c>
      <c r="AR114">
        <v>0</v>
      </c>
      <c r="AS114" t="s">
        <v>3</v>
      </c>
      <c r="AT114">
        <v>2.08</v>
      </c>
      <c r="AU114" t="s">
        <v>3</v>
      </c>
      <c r="AV114">
        <v>0</v>
      </c>
      <c r="AW114">
        <v>2</v>
      </c>
      <c r="AX114">
        <v>38217152</v>
      </c>
      <c r="AY114">
        <v>1</v>
      </c>
      <c r="AZ114">
        <v>0</v>
      </c>
      <c r="BA114">
        <v>111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CX114">
        <f>Y114*Source!I384</f>
        <v>0.5616000000000001</v>
      </c>
      <c r="CY114">
        <f>AB114</f>
        <v>416.25</v>
      </c>
      <c r="CZ114">
        <f>AF114</f>
        <v>416.25</v>
      </c>
      <c r="DA114">
        <f>AJ114</f>
        <v>1</v>
      </c>
      <c r="DB114">
        <f t="shared" si="23"/>
        <v>865.8</v>
      </c>
      <c r="DC114">
        <f t="shared" si="24"/>
        <v>426.19</v>
      </c>
    </row>
    <row r="115" spans="1:107" x14ac:dyDescent="0.2">
      <c r="A115">
        <f>ROW(Source!A384)</f>
        <v>384</v>
      </c>
      <c r="B115">
        <v>38214492</v>
      </c>
      <c r="C115">
        <v>38217141</v>
      </c>
      <c r="D115">
        <v>34879588</v>
      </c>
      <c r="E115">
        <v>1</v>
      </c>
      <c r="F115">
        <v>1</v>
      </c>
      <c r="G115">
        <v>25</v>
      </c>
      <c r="H115">
        <v>2</v>
      </c>
      <c r="I115" t="s">
        <v>470</v>
      </c>
      <c r="J115" t="s">
        <v>471</v>
      </c>
      <c r="K115" t="s">
        <v>472</v>
      </c>
      <c r="L115">
        <v>1368</v>
      </c>
      <c r="N115">
        <v>1011</v>
      </c>
      <c r="O115" t="s">
        <v>397</v>
      </c>
      <c r="P115" t="s">
        <v>397</v>
      </c>
      <c r="Q115">
        <v>1</v>
      </c>
      <c r="W115">
        <v>0</v>
      </c>
      <c r="X115">
        <v>-1802121576</v>
      </c>
      <c r="Y115">
        <v>0.81</v>
      </c>
      <c r="AA115">
        <v>0</v>
      </c>
      <c r="AB115">
        <v>1942.21</v>
      </c>
      <c r="AC115">
        <v>436.39</v>
      </c>
      <c r="AD115">
        <v>0</v>
      </c>
      <c r="AE115">
        <v>0</v>
      </c>
      <c r="AF115">
        <v>1942.21</v>
      </c>
      <c r="AG115">
        <v>436.39</v>
      </c>
      <c r="AH115">
        <v>0</v>
      </c>
      <c r="AI115">
        <v>1</v>
      </c>
      <c r="AJ115">
        <v>1</v>
      </c>
      <c r="AK115">
        <v>1</v>
      </c>
      <c r="AL115">
        <v>1</v>
      </c>
      <c r="AN115">
        <v>0</v>
      </c>
      <c r="AO115">
        <v>1</v>
      </c>
      <c r="AP115">
        <v>0</v>
      </c>
      <c r="AQ115">
        <v>0</v>
      </c>
      <c r="AR115">
        <v>0</v>
      </c>
      <c r="AS115" t="s">
        <v>3</v>
      </c>
      <c r="AT115">
        <v>0.81</v>
      </c>
      <c r="AU115" t="s">
        <v>3</v>
      </c>
      <c r="AV115">
        <v>0</v>
      </c>
      <c r="AW115">
        <v>2</v>
      </c>
      <c r="AX115">
        <v>38217153</v>
      </c>
      <c r="AY115">
        <v>1</v>
      </c>
      <c r="AZ115">
        <v>0</v>
      </c>
      <c r="BA115">
        <v>112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CX115">
        <f>Y115*Source!I384</f>
        <v>0.21870000000000003</v>
      </c>
      <c r="CY115">
        <f>AB115</f>
        <v>1942.21</v>
      </c>
      <c r="CZ115">
        <f>AF115</f>
        <v>1942.21</v>
      </c>
      <c r="DA115">
        <f>AJ115</f>
        <v>1</v>
      </c>
      <c r="DB115">
        <f t="shared" si="23"/>
        <v>1573.19</v>
      </c>
      <c r="DC115">
        <f t="shared" si="24"/>
        <v>353.48</v>
      </c>
    </row>
    <row r="116" spans="1:107" x14ac:dyDescent="0.2">
      <c r="A116">
        <f>ROW(Source!A384)</f>
        <v>384</v>
      </c>
      <c r="B116">
        <v>38214492</v>
      </c>
      <c r="C116">
        <v>38217141</v>
      </c>
      <c r="D116">
        <v>34879612</v>
      </c>
      <c r="E116">
        <v>1</v>
      </c>
      <c r="F116">
        <v>1</v>
      </c>
      <c r="G116">
        <v>25</v>
      </c>
      <c r="H116">
        <v>2</v>
      </c>
      <c r="I116" t="s">
        <v>473</v>
      </c>
      <c r="J116" t="s">
        <v>474</v>
      </c>
      <c r="K116" t="s">
        <v>475</v>
      </c>
      <c r="L116">
        <v>1368</v>
      </c>
      <c r="N116">
        <v>1011</v>
      </c>
      <c r="O116" t="s">
        <v>397</v>
      </c>
      <c r="P116" t="s">
        <v>397</v>
      </c>
      <c r="Q116">
        <v>1</v>
      </c>
      <c r="W116">
        <v>0</v>
      </c>
      <c r="X116">
        <v>-1453001133</v>
      </c>
      <c r="Y116">
        <v>1.94</v>
      </c>
      <c r="AA116">
        <v>0</v>
      </c>
      <c r="AB116">
        <v>1364.77</v>
      </c>
      <c r="AC116">
        <v>610.30999999999995</v>
      </c>
      <c r="AD116">
        <v>0</v>
      </c>
      <c r="AE116">
        <v>0</v>
      </c>
      <c r="AF116">
        <v>1364.77</v>
      </c>
      <c r="AG116">
        <v>610.30999999999995</v>
      </c>
      <c r="AH116">
        <v>0</v>
      </c>
      <c r="AI116">
        <v>1</v>
      </c>
      <c r="AJ116">
        <v>1</v>
      </c>
      <c r="AK116">
        <v>1</v>
      </c>
      <c r="AL116">
        <v>1</v>
      </c>
      <c r="AN116">
        <v>0</v>
      </c>
      <c r="AO116">
        <v>1</v>
      </c>
      <c r="AP116">
        <v>0</v>
      </c>
      <c r="AQ116">
        <v>0</v>
      </c>
      <c r="AR116">
        <v>0</v>
      </c>
      <c r="AS116" t="s">
        <v>3</v>
      </c>
      <c r="AT116">
        <v>1.94</v>
      </c>
      <c r="AU116" t="s">
        <v>3</v>
      </c>
      <c r="AV116">
        <v>0</v>
      </c>
      <c r="AW116">
        <v>2</v>
      </c>
      <c r="AX116">
        <v>38217154</v>
      </c>
      <c r="AY116">
        <v>1</v>
      </c>
      <c r="AZ116">
        <v>0</v>
      </c>
      <c r="BA116">
        <v>113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CX116">
        <f>Y116*Source!I384</f>
        <v>0.52380000000000004</v>
      </c>
      <c r="CY116">
        <f>AB116</f>
        <v>1364.77</v>
      </c>
      <c r="CZ116">
        <f>AF116</f>
        <v>1364.77</v>
      </c>
      <c r="DA116">
        <f>AJ116</f>
        <v>1</v>
      </c>
      <c r="DB116">
        <f t="shared" si="23"/>
        <v>2647.65</v>
      </c>
      <c r="DC116">
        <f t="shared" si="24"/>
        <v>1184</v>
      </c>
    </row>
    <row r="117" spans="1:107" x14ac:dyDescent="0.2">
      <c r="A117">
        <f>ROW(Source!A384)</f>
        <v>384</v>
      </c>
      <c r="B117">
        <v>38214492</v>
      </c>
      <c r="C117">
        <v>38217141</v>
      </c>
      <c r="D117">
        <v>34879578</v>
      </c>
      <c r="E117">
        <v>1</v>
      </c>
      <c r="F117">
        <v>1</v>
      </c>
      <c r="G117">
        <v>25</v>
      </c>
      <c r="H117">
        <v>2</v>
      </c>
      <c r="I117" t="s">
        <v>476</v>
      </c>
      <c r="J117" t="s">
        <v>477</v>
      </c>
      <c r="K117" t="s">
        <v>478</v>
      </c>
      <c r="L117">
        <v>1368</v>
      </c>
      <c r="N117">
        <v>1011</v>
      </c>
      <c r="O117" t="s">
        <v>397</v>
      </c>
      <c r="P117" t="s">
        <v>397</v>
      </c>
      <c r="Q117">
        <v>1</v>
      </c>
      <c r="W117">
        <v>0</v>
      </c>
      <c r="X117">
        <v>393556487</v>
      </c>
      <c r="Y117">
        <v>0.65</v>
      </c>
      <c r="AA117">
        <v>0</v>
      </c>
      <c r="AB117">
        <v>1179.56</v>
      </c>
      <c r="AC117">
        <v>439.28</v>
      </c>
      <c r="AD117">
        <v>0</v>
      </c>
      <c r="AE117">
        <v>0</v>
      </c>
      <c r="AF117">
        <v>1179.56</v>
      </c>
      <c r="AG117">
        <v>439.28</v>
      </c>
      <c r="AH117">
        <v>0</v>
      </c>
      <c r="AI117">
        <v>1</v>
      </c>
      <c r="AJ117">
        <v>1</v>
      </c>
      <c r="AK117">
        <v>1</v>
      </c>
      <c r="AL117">
        <v>1</v>
      </c>
      <c r="AN117">
        <v>0</v>
      </c>
      <c r="AO117">
        <v>1</v>
      </c>
      <c r="AP117">
        <v>0</v>
      </c>
      <c r="AQ117">
        <v>0</v>
      </c>
      <c r="AR117">
        <v>0</v>
      </c>
      <c r="AS117" t="s">
        <v>3</v>
      </c>
      <c r="AT117">
        <v>0.65</v>
      </c>
      <c r="AU117" t="s">
        <v>3</v>
      </c>
      <c r="AV117">
        <v>0</v>
      </c>
      <c r="AW117">
        <v>2</v>
      </c>
      <c r="AX117">
        <v>38217155</v>
      </c>
      <c r="AY117">
        <v>1</v>
      </c>
      <c r="AZ117">
        <v>0</v>
      </c>
      <c r="BA117">
        <v>114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CX117">
        <f>Y117*Source!I384</f>
        <v>0.17550000000000002</v>
      </c>
      <c r="CY117">
        <f>AB117</f>
        <v>1179.56</v>
      </c>
      <c r="CZ117">
        <f>AF117</f>
        <v>1179.56</v>
      </c>
      <c r="DA117">
        <f>AJ117</f>
        <v>1</v>
      </c>
      <c r="DB117">
        <f t="shared" si="23"/>
        <v>766.71</v>
      </c>
      <c r="DC117">
        <f t="shared" si="24"/>
        <v>285.52999999999997</v>
      </c>
    </row>
    <row r="118" spans="1:107" x14ac:dyDescent="0.2">
      <c r="A118">
        <f>ROW(Source!A384)</f>
        <v>384</v>
      </c>
      <c r="B118">
        <v>38214492</v>
      </c>
      <c r="C118">
        <v>38217141</v>
      </c>
      <c r="D118">
        <v>34881527</v>
      </c>
      <c r="E118">
        <v>1</v>
      </c>
      <c r="F118">
        <v>1</v>
      </c>
      <c r="G118">
        <v>25</v>
      </c>
      <c r="H118">
        <v>3</v>
      </c>
      <c r="I118" t="s">
        <v>479</v>
      </c>
      <c r="J118" t="s">
        <v>480</v>
      </c>
      <c r="K118" t="s">
        <v>481</v>
      </c>
      <c r="L118">
        <v>1339</v>
      </c>
      <c r="N118">
        <v>1007</v>
      </c>
      <c r="O118" t="s">
        <v>206</v>
      </c>
      <c r="P118" t="s">
        <v>206</v>
      </c>
      <c r="Q118">
        <v>1</v>
      </c>
      <c r="W118">
        <v>0</v>
      </c>
      <c r="X118">
        <v>189307774</v>
      </c>
      <c r="Y118">
        <v>110</v>
      </c>
      <c r="AA118">
        <v>590.78</v>
      </c>
      <c r="AB118">
        <v>0</v>
      </c>
      <c r="AC118">
        <v>0</v>
      </c>
      <c r="AD118">
        <v>0</v>
      </c>
      <c r="AE118">
        <v>590.78</v>
      </c>
      <c r="AF118">
        <v>0</v>
      </c>
      <c r="AG118">
        <v>0</v>
      </c>
      <c r="AH118">
        <v>0</v>
      </c>
      <c r="AI118">
        <v>1</v>
      </c>
      <c r="AJ118">
        <v>1</v>
      </c>
      <c r="AK118">
        <v>1</v>
      </c>
      <c r="AL118">
        <v>1</v>
      </c>
      <c r="AN118">
        <v>0</v>
      </c>
      <c r="AO118">
        <v>1</v>
      </c>
      <c r="AP118">
        <v>0</v>
      </c>
      <c r="AQ118">
        <v>0</v>
      </c>
      <c r="AR118">
        <v>0</v>
      </c>
      <c r="AS118" t="s">
        <v>3</v>
      </c>
      <c r="AT118">
        <v>110</v>
      </c>
      <c r="AU118" t="s">
        <v>3</v>
      </c>
      <c r="AV118">
        <v>0</v>
      </c>
      <c r="AW118">
        <v>2</v>
      </c>
      <c r="AX118">
        <v>38217156</v>
      </c>
      <c r="AY118">
        <v>1</v>
      </c>
      <c r="AZ118">
        <v>0</v>
      </c>
      <c r="BA118">
        <v>115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CX118">
        <f>Y118*Source!I384</f>
        <v>29.700000000000003</v>
      </c>
      <c r="CY118">
        <f>AA118</f>
        <v>590.78</v>
      </c>
      <c r="CZ118">
        <f>AE118</f>
        <v>590.78</v>
      </c>
      <c r="DA118">
        <f>AI118</f>
        <v>1</v>
      </c>
      <c r="DB118">
        <f t="shared" si="23"/>
        <v>64985.8</v>
      </c>
      <c r="DC118">
        <f t="shared" si="24"/>
        <v>0</v>
      </c>
    </row>
    <row r="119" spans="1:107" x14ac:dyDescent="0.2">
      <c r="A119">
        <f>ROW(Source!A384)</f>
        <v>384</v>
      </c>
      <c r="B119">
        <v>38214492</v>
      </c>
      <c r="C119">
        <v>38217141</v>
      </c>
      <c r="D119">
        <v>34882270</v>
      </c>
      <c r="E119">
        <v>1</v>
      </c>
      <c r="F119">
        <v>1</v>
      </c>
      <c r="G119">
        <v>25</v>
      </c>
      <c r="H119">
        <v>3</v>
      </c>
      <c r="I119" t="s">
        <v>482</v>
      </c>
      <c r="J119" t="s">
        <v>483</v>
      </c>
      <c r="K119" t="s">
        <v>484</v>
      </c>
      <c r="L119">
        <v>1339</v>
      </c>
      <c r="N119">
        <v>1007</v>
      </c>
      <c r="O119" t="s">
        <v>206</v>
      </c>
      <c r="P119" t="s">
        <v>206</v>
      </c>
      <c r="Q119">
        <v>1</v>
      </c>
      <c r="W119">
        <v>0</v>
      </c>
      <c r="X119">
        <v>-1250124927</v>
      </c>
      <c r="Y119">
        <v>5</v>
      </c>
      <c r="AA119">
        <v>33.729999999999997</v>
      </c>
      <c r="AB119">
        <v>0</v>
      </c>
      <c r="AC119">
        <v>0</v>
      </c>
      <c r="AD119">
        <v>0</v>
      </c>
      <c r="AE119">
        <v>33.729999999999997</v>
      </c>
      <c r="AF119">
        <v>0</v>
      </c>
      <c r="AG119">
        <v>0</v>
      </c>
      <c r="AH119">
        <v>0</v>
      </c>
      <c r="AI119">
        <v>1</v>
      </c>
      <c r="AJ119">
        <v>1</v>
      </c>
      <c r="AK119">
        <v>1</v>
      </c>
      <c r="AL119">
        <v>1</v>
      </c>
      <c r="AN119">
        <v>0</v>
      </c>
      <c r="AO119">
        <v>1</v>
      </c>
      <c r="AP119">
        <v>0</v>
      </c>
      <c r="AQ119">
        <v>0</v>
      </c>
      <c r="AR119">
        <v>0</v>
      </c>
      <c r="AS119" t="s">
        <v>3</v>
      </c>
      <c r="AT119">
        <v>5</v>
      </c>
      <c r="AU119" t="s">
        <v>3</v>
      </c>
      <c r="AV119">
        <v>0</v>
      </c>
      <c r="AW119">
        <v>2</v>
      </c>
      <c r="AX119">
        <v>38217157</v>
      </c>
      <c r="AY119">
        <v>1</v>
      </c>
      <c r="AZ119">
        <v>0</v>
      </c>
      <c r="BA119">
        <v>116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CX119">
        <f>Y119*Source!I384</f>
        <v>1.35</v>
      </c>
      <c r="CY119">
        <f>AA119</f>
        <v>33.729999999999997</v>
      </c>
      <c r="CZ119">
        <f>AE119</f>
        <v>33.729999999999997</v>
      </c>
      <c r="DA119">
        <f>AI119</f>
        <v>1</v>
      </c>
      <c r="DB119">
        <f t="shared" si="23"/>
        <v>168.65</v>
      </c>
      <c r="DC119">
        <f t="shared" si="24"/>
        <v>0</v>
      </c>
    </row>
    <row r="120" spans="1:107" x14ac:dyDescent="0.2">
      <c r="A120">
        <f>ROW(Source!A385)</f>
        <v>385</v>
      </c>
      <c r="B120">
        <v>38214492</v>
      </c>
      <c r="C120">
        <v>38217158</v>
      </c>
      <c r="D120">
        <v>34867259</v>
      </c>
      <c r="E120">
        <v>25</v>
      </c>
      <c r="F120">
        <v>1</v>
      </c>
      <c r="G120">
        <v>25</v>
      </c>
      <c r="H120">
        <v>1</v>
      </c>
      <c r="I120" t="s">
        <v>391</v>
      </c>
      <c r="J120" t="s">
        <v>3</v>
      </c>
      <c r="K120" t="s">
        <v>392</v>
      </c>
      <c r="L120">
        <v>1191</v>
      </c>
      <c r="N120">
        <v>1013</v>
      </c>
      <c r="O120" t="s">
        <v>393</v>
      </c>
      <c r="P120" t="s">
        <v>393</v>
      </c>
      <c r="Q120">
        <v>1</v>
      </c>
      <c r="W120">
        <v>0</v>
      </c>
      <c r="X120">
        <v>476480486</v>
      </c>
      <c r="Y120">
        <v>0.37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1</v>
      </c>
      <c r="AK120">
        <v>1</v>
      </c>
      <c r="AL120">
        <v>1</v>
      </c>
      <c r="AN120">
        <v>0</v>
      </c>
      <c r="AO120">
        <v>1</v>
      </c>
      <c r="AP120">
        <v>0</v>
      </c>
      <c r="AQ120">
        <v>0</v>
      </c>
      <c r="AR120">
        <v>0</v>
      </c>
      <c r="AS120" t="s">
        <v>3</v>
      </c>
      <c r="AT120">
        <v>0.37</v>
      </c>
      <c r="AU120" t="s">
        <v>3</v>
      </c>
      <c r="AV120">
        <v>1</v>
      </c>
      <c r="AW120">
        <v>2</v>
      </c>
      <c r="AX120">
        <v>38217163</v>
      </c>
      <c r="AY120">
        <v>1</v>
      </c>
      <c r="AZ120">
        <v>0</v>
      </c>
      <c r="BA120">
        <v>117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CX120">
        <f>Y120*Source!I385</f>
        <v>0</v>
      </c>
      <c r="CY120">
        <f>AD120</f>
        <v>0</v>
      </c>
      <c r="CZ120">
        <f>AH120</f>
        <v>0</v>
      </c>
      <c r="DA120">
        <f>AL120</f>
        <v>1</v>
      </c>
      <c r="DB120">
        <f t="shared" si="23"/>
        <v>0</v>
      </c>
      <c r="DC120">
        <f t="shared" si="24"/>
        <v>0</v>
      </c>
    </row>
    <row r="121" spans="1:107" x14ac:dyDescent="0.2">
      <c r="A121">
        <f>ROW(Source!A385)</f>
        <v>385</v>
      </c>
      <c r="B121">
        <v>38214492</v>
      </c>
      <c r="C121">
        <v>38217158</v>
      </c>
      <c r="D121">
        <v>34879587</v>
      </c>
      <c r="E121">
        <v>1</v>
      </c>
      <c r="F121">
        <v>1</v>
      </c>
      <c r="G121">
        <v>25</v>
      </c>
      <c r="H121">
        <v>2</v>
      </c>
      <c r="I121" t="s">
        <v>485</v>
      </c>
      <c r="J121" t="s">
        <v>486</v>
      </c>
      <c r="K121" t="s">
        <v>487</v>
      </c>
      <c r="L121">
        <v>1368</v>
      </c>
      <c r="N121">
        <v>1011</v>
      </c>
      <c r="O121" t="s">
        <v>397</v>
      </c>
      <c r="P121" t="s">
        <v>397</v>
      </c>
      <c r="Q121">
        <v>1</v>
      </c>
      <c r="W121">
        <v>0</v>
      </c>
      <c r="X121">
        <v>-337346809</v>
      </c>
      <c r="Y121">
        <v>3.0000000000000001E-3</v>
      </c>
      <c r="AA121">
        <v>0</v>
      </c>
      <c r="AB121">
        <v>1236.3</v>
      </c>
      <c r="AC121">
        <v>469.98</v>
      </c>
      <c r="AD121">
        <v>0</v>
      </c>
      <c r="AE121">
        <v>0</v>
      </c>
      <c r="AF121">
        <v>1236.3</v>
      </c>
      <c r="AG121">
        <v>469.98</v>
      </c>
      <c r="AH121">
        <v>0</v>
      </c>
      <c r="AI121">
        <v>1</v>
      </c>
      <c r="AJ121">
        <v>1</v>
      </c>
      <c r="AK121">
        <v>1</v>
      </c>
      <c r="AL121">
        <v>1</v>
      </c>
      <c r="AN121">
        <v>0</v>
      </c>
      <c r="AO121">
        <v>1</v>
      </c>
      <c r="AP121">
        <v>0</v>
      </c>
      <c r="AQ121">
        <v>0</v>
      </c>
      <c r="AR121">
        <v>0</v>
      </c>
      <c r="AS121" t="s">
        <v>3</v>
      </c>
      <c r="AT121">
        <v>3.0000000000000001E-3</v>
      </c>
      <c r="AU121" t="s">
        <v>3</v>
      </c>
      <c r="AV121">
        <v>0</v>
      </c>
      <c r="AW121">
        <v>2</v>
      </c>
      <c r="AX121">
        <v>38217164</v>
      </c>
      <c r="AY121">
        <v>2</v>
      </c>
      <c r="AZ121">
        <v>98304</v>
      </c>
      <c r="BA121">
        <v>118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CX121">
        <f>Y121*Source!I385</f>
        <v>0</v>
      </c>
      <c r="CY121">
        <f>AB121</f>
        <v>1236.3</v>
      </c>
      <c r="CZ121">
        <f>AF121</f>
        <v>1236.3</v>
      </c>
      <c r="DA121">
        <f>AJ121</f>
        <v>1</v>
      </c>
      <c r="DB121">
        <f t="shared" si="23"/>
        <v>3.71</v>
      </c>
      <c r="DC121">
        <f t="shared" si="24"/>
        <v>1.41</v>
      </c>
    </row>
    <row r="122" spans="1:107" x14ac:dyDescent="0.2">
      <c r="A122">
        <f>ROW(Source!A385)</f>
        <v>385</v>
      </c>
      <c r="B122">
        <v>38214492</v>
      </c>
      <c r="C122">
        <v>38217158</v>
      </c>
      <c r="D122">
        <v>34881528</v>
      </c>
      <c r="E122">
        <v>1</v>
      </c>
      <c r="F122">
        <v>1</v>
      </c>
      <c r="G122">
        <v>25</v>
      </c>
      <c r="H122">
        <v>3</v>
      </c>
      <c r="I122" t="s">
        <v>488</v>
      </c>
      <c r="J122" t="s">
        <v>489</v>
      </c>
      <c r="K122" t="s">
        <v>490</v>
      </c>
      <c r="L122">
        <v>1339</v>
      </c>
      <c r="N122">
        <v>1007</v>
      </c>
      <c r="O122" t="s">
        <v>206</v>
      </c>
      <c r="P122" t="s">
        <v>206</v>
      </c>
      <c r="Q122">
        <v>1</v>
      </c>
      <c r="W122">
        <v>0</v>
      </c>
      <c r="X122">
        <v>2043575967</v>
      </c>
      <c r="Y122">
        <v>0.105</v>
      </c>
      <c r="AA122">
        <v>590.78</v>
      </c>
      <c r="AB122">
        <v>0</v>
      </c>
      <c r="AC122">
        <v>0</v>
      </c>
      <c r="AD122">
        <v>0</v>
      </c>
      <c r="AE122">
        <v>590.78</v>
      </c>
      <c r="AF122">
        <v>0</v>
      </c>
      <c r="AG122">
        <v>0</v>
      </c>
      <c r="AH122">
        <v>0</v>
      </c>
      <c r="AI122">
        <v>1</v>
      </c>
      <c r="AJ122">
        <v>1</v>
      </c>
      <c r="AK122">
        <v>1</v>
      </c>
      <c r="AL122">
        <v>1</v>
      </c>
      <c r="AN122">
        <v>0</v>
      </c>
      <c r="AO122">
        <v>1</v>
      </c>
      <c r="AP122">
        <v>0</v>
      </c>
      <c r="AQ122">
        <v>0</v>
      </c>
      <c r="AR122">
        <v>0</v>
      </c>
      <c r="AS122" t="s">
        <v>3</v>
      </c>
      <c r="AT122">
        <v>0.105</v>
      </c>
      <c r="AU122" t="s">
        <v>3</v>
      </c>
      <c r="AV122">
        <v>0</v>
      </c>
      <c r="AW122">
        <v>2</v>
      </c>
      <c r="AX122">
        <v>38217165</v>
      </c>
      <c r="AY122">
        <v>2</v>
      </c>
      <c r="AZ122">
        <v>16384</v>
      </c>
      <c r="BA122">
        <v>119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CX122">
        <f>Y122*Source!I385</f>
        <v>0</v>
      </c>
      <c r="CY122">
        <f>AA122</f>
        <v>590.78</v>
      </c>
      <c r="CZ122">
        <f>AE122</f>
        <v>590.78</v>
      </c>
      <c r="DA122">
        <f>AI122</f>
        <v>1</v>
      </c>
      <c r="DB122">
        <f t="shared" si="23"/>
        <v>62.03</v>
      </c>
      <c r="DC122">
        <f t="shared" si="24"/>
        <v>0</v>
      </c>
    </row>
    <row r="123" spans="1:107" x14ac:dyDescent="0.2">
      <c r="A123">
        <f>ROW(Source!A385)</f>
        <v>385</v>
      </c>
      <c r="B123">
        <v>38214492</v>
      </c>
      <c r="C123">
        <v>38217158</v>
      </c>
      <c r="D123">
        <v>34882270</v>
      </c>
      <c r="E123">
        <v>1</v>
      </c>
      <c r="F123">
        <v>1</v>
      </c>
      <c r="G123">
        <v>25</v>
      </c>
      <c r="H123">
        <v>3</v>
      </c>
      <c r="I123" t="s">
        <v>482</v>
      </c>
      <c r="J123" t="s">
        <v>483</v>
      </c>
      <c r="K123" t="s">
        <v>484</v>
      </c>
      <c r="L123">
        <v>1339</v>
      </c>
      <c r="N123">
        <v>1007</v>
      </c>
      <c r="O123" t="s">
        <v>206</v>
      </c>
      <c r="P123" t="s">
        <v>206</v>
      </c>
      <c r="Q123">
        <v>1</v>
      </c>
      <c r="W123">
        <v>0</v>
      </c>
      <c r="X123">
        <v>-1250124927</v>
      </c>
      <c r="Y123">
        <v>0.01</v>
      </c>
      <c r="AA123">
        <v>33.729999999999997</v>
      </c>
      <c r="AB123">
        <v>0</v>
      </c>
      <c r="AC123">
        <v>0</v>
      </c>
      <c r="AD123">
        <v>0</v>
      </c>
      <c r="AE123">
        <v>33.729999999999997</v>
      </c>
      <c r="AF123">
        <v>0</v>
      </c>
      <c r="AG123">
        <v>0</v>
      </c>
      <c r="AH123">
        <v>0</v>
      </c>
      <c r="AI123">
        <v>1</v>
      </c>
      <c r="AJ123">
        <v>1</v>
      </c>
      <c r="AK123">
        <v>1</v>
      </c>
      <c r="AL123">
        <v>1</v>
      </c>
      <c r="AN123">
        <v>0</v>
      </c>
      <c r="AO123">
        <v>1</v>
      </c>
      <c r="AP123">
        <v>0</v>
      </c>
      <c r="AQ123">
        <v>0</v>
      </c>
      <c r="AR123">
        <v>0</v>
      </c>
      <c r="AS123" t="s">
        <v>3</v>
      </c>
      <c r="AT123">
        <v>0.01</v>
      </c>
      <c r="AU123" t="s">
        <v>3</v>
      </c>
      <c r="AV123">
        <v>0</v>
      </c>
      <c r="AW123">
        <v>2</v>
      </c>
      <c r="AX123">
        <v>38217166</v>
      </c>
      <c r="AY123">
        <v>2</v>
      </c>
      <c r="AZ123">
        <v>16384</v>
      </c>
      <c r="BA123">
        <v>120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CX123">
        <f>Y123*Source!I385</f>
        <v>0</v>
      </c>
      <c r="CY123">
        <f>AA123</f>
        <v>33.729999999999997</v>
      </c>
      <c r="CZ123">
        <f>AE123</f>
        <v>33.729999999999997</v>
      </c>
      <c r="DA123">
        <f>AI123</f>
        <v>1</v>
      </c>
      <c r="DB123">
        <f t="shared" si="23"/>
        <v>0.34</v>
      </c>
      <c r="DC123">
        <f t="shared" si="24"/>
        <v>0</v>
      </c>
    </row>
    <row r="124" spans="1:107" x14ac:dyDescent="0.2">
      <c r="A124">
        <f>ROW(Source!A457)</f>
        <v>457</v>
      </c>
      <c r="B124">
        <v>38214492</v>
      </c>
      <c r="C124">
        <v>38215101</v>
      </c>
      <c r="D124">
        <v>34867259</v>
      </c>
      <c r="E124">
        <v>25</v>
      </c>
      <c r="F124">
        <v>1</v>
      </c>
      <c r="G124">
        <v>25</v>
      </c>
      <c r="H124">
        <v>1</v>
      </c>
      <c r="I124" t="s">
        <v>391</v>
      </c>
      <c r="J124" t="s">
        <v>3</v>
      </c>
      <c r="K124" t="s">
        <v>392</v>
      </c>
      <c r="L124">
        <v>1191</v>
      </c>
      <c r="N124">
        <v>1013</v>
      </c>
      <c r="O124" t="s">
        <v>393</v>
      </c>
      <c r="P124" t="s">
        <v>393</v>
      </c>
      <c r="Q124">
        <v>1</v>
      </c>
      <c r="W124">
        <v>0</v>
      </c>
      <c r="X124">
        <v>476480486</v>
      </c>
      <c r="Y124">
        <v>15.15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1</v>
      </c>
      <c r="AJ124">
        <v>1</v>
      </c>
      <c r="AK124">
        <v>1</v>
      </c>
      <c r="AL124">
        <v>1</v>
      </c>
      <c r="AN124">
        <v>0</v>
      </c>
      <c r="AO124">
        <v>1</v>
      </c>
      <c r="AP124">
        <v>0</v>
      </c>
      <c r="AQ124">
        <v>0</v>
      </c>
      <c r="AR124">
        <v>0</v>
      </c>
      <c r="AS124" t="s">
        <v>3</v>
      </c>
      <c r="AT124">
        <v>15.15</v>
      </c>
      <c r="AU124" t="s">
        <v>3</v>
      </c>
      <c r="AV124">
        <v>1</v>
      </c>
      <c r="AW124">
        <v>2</v>
      </c>
      <c r="AX124">
        <v>38215105</v>
      </c>
      <c r="AY124">
        <v>1</v>
      </c>
      <c r="AZ124">
        <v>0</v>
      </c>
      <c r="BA124">
        <v>121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CX124">
        <f>Y124*Source!I457</f>
        <v>1.5907499999999999</v>
      </c>
      <c r="CY124">
        <f>AD124</f>
        <v>0</v>
      </c>
      <c r="CZ124">
        <f>AH124</f>
        <v>0</v>
      </c>
      <c r="DA124">
        <f>AL124</f>
        <v>1</v>
      </c>
      <c r="DB124">
        <f t="shared" si="23"/>
        <v>0</v>
      </c>
      <c r="DC124">
        <f t="shared" si="24"/>
        <v>0</v>
      </c>
    </row>
    <row r="125" spans="1:107" x14ac:dyDescent="0.2">
      <c r="A125">
        <f>ROW(Source!A457)</f>
        <v>457</v>
      </c>
      <c r="B125">
        <v>38214492</v>
      </c>
      <c r="C125">
        <v>38215101</v>
      </c>
      <c r="D125">
        <v>34880230</v>
      </c>
      <c r="E125">
        <v>1</v>
      </c>
      <c r="F125">
        <v>1</v>
      </c>
      <c r="G125">
        <v>25</v>
      </c>
      <c r="H125">
        <v>2</v>
      </c>
      <c r="I125" t="s">
        <v>394</v>
      </c>
      <c r="J125" t="s">
        <v>395</v>
      </c>
      <c r="K125" t="s">
        <v>396</v>
      </c>
      <c r="L125">
        <v>1368</v>
      </c>
      <c r="N125">
        <v>1011</v>
      </c>
      <c r="O125" t="s">
        <v>397</v>
      </c>
      <c r="P125" t="s">
        <v>397</v>
      </c>
      <c r="Q125">
        <v>1</v>
      </c>
      <c r="W125">
        <v>0</v>
      </c>
      <c r="X125">
        <v>1675990774</v>
      </c>
      <c r="Y125">
        <v>0.01</v>
      </c>
      <c r="AA125">
        <v>0</v>
      </c>
      <c r="AB125">
        <v>6.28</v>
      </c>
      <c r="AC125">
        <v>0.01</v>
      </c>
      <c r="AD125">
        <v>0</v>
      </c>
      <c r="AE125">
        <v>0</v>
      </c>
      <c r="AF125">
        <v>6.28</v>
      </c>
      <c r="AG125">
        <v>0.01</v>
      </c>
      <c r="AH125">
        <v>0</v>
      </c>
      <c r="AI125">
        <v>1</v>
      </c>
      <c r="AJ125">
        <v>1</v>
      </c>
      <c r="AK125">
        <v>1</v>
      </c>
      <c r="AL125">
        <v>1</v>
      </c>
      <c r="AN125">
        <v>0</v>
      </c>
      <c r="AO125">
        <v>1</v>
      </c>
      <c r="AP125">
        <v>0</v>
      </c>
      <c r="AQ125">
        <v>0</v>
      </c>
      <c r="AR125">
        <v>0</v>
      </c>
      <c r="AS125" t="s">
        <v>3</v>
      </c>
      <c r="AT125">
        <v>0.01</v>
      </c>
      <c r="AU125" t="s">
        <v>3</v>
      </c>
      <c r="AV125">
        <v>0</v>
      </c>
      <c r="AW125">
        <v>2</v>
      </c>
      <c r="AX125">
        <v>38215106</v>
      </c>
      <c r="AY125">
        <v>1</v>
      </c>
      <c r="AZ125">
        <v>0</v>
      </c>
      <c r="BA125">
        <v>122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CX125">
        <f>Y125*Source!I457</f>
        <v>1.0499999999999999E-3</v>
      </c>
      <c r="CY125">
        <f>AB125</f>
        <v>6.28</v>
      </c>
      <c r="CZ125">
        <f>AF125</f>
        <v>6.28</v>
      </c>
      <c r="DA125">
        <f>AJ125</f>
        <v>1</v>
      </c>
      <c r="DB125">
        <f t="shared" si="23"/>
        <v>0.06</v>
      </c>
      <c r="DC125">
        <f t="shared" si="24"/>
        <v>0</v>
      </c>
    </row>
    <row r="126" spans="1:107" x14ac:dyDescent="0.2">
      <c r="A126">
        <f>ROW(Source!A457)</f>
        <v>457</v>
      </c>
      <c r="B126">
        <v>38214492</v>
      </c>
      <c r="C126">
        <v>38215101</v>
      </c>
      <c r="D126">
        <v>34869071</v>
      </c>
      <c r="E126">
        <v>25</v>
      </c>
      <c r="F126">
        <v>1</v>
      </c>
      <c r="G126">
        <v>25</v>
      </c>
      <c r="H126">
        <v>3</v>
      </c>
      <c r="I126" t="s">
        <v>398</v>
      </c>
      <c r="J126" t="s">
        <v>3</v>
      </c>
      <c r="K126" t="s">
        <v>399</v>
      </c>
      <c r="L126">
        <v>1348</v>
      </c>
      <c r="N126">
        <v>1009</v>
      </c>
      <c r="O126" t="s">
        <v>30</v>
      </c>
      <c r="P126" t="s">
        <v>30</v>
      </c>
      <c r="Q126">
        <v>1000</v>
      </c>
      <c r="W126">
        <v>0</v>
      </c>
      <c r="X126">
        <v>1489638031</v>
      </c>
      <c r="Y126">
        <v>0.65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1</v>
      </c>
      <c r="AJ126">
        <v>1</v>
      </c>
      <c r="AK126">
        <v>1</v>
      </c>
      <c r="AL126">
        <v>1</v>
      </c>
      <c r="AN126">
        <v>0</v>
      </c>
      <c r="AO126">
        <v>1</v>
      </c>
      <c r="AP126">
        <v>0</v>
      </c>
      <c r="AQ126">
        <v>0</v>
      </c>
      <c r="AR126">
        <v>0</v>
      </c>
      <c r="AS126" t="s">
        <v>3</v>
      </c>
      <c r="AT126">
        <v>0.65</v>
      </c>
      <c r="AU126" t="s">
        <v>3</v>
      </c>
      <c r="AV126">
        <v>0</v>
      </c>
      <c r="AW126">
        <v>2</v>
      </c>
      <c r="AX126">
        <v>38215107</v>
      </c>
      <c r="AY126">
        <v>1</v>
      </c>
      <c r="AZ126">
        <v>0</v>
      </c>
      <c r="BA126">
        <v>123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CX126">
        <f>Y126*Source!I457</f>
        <v>6.8250000000000005E-2</v>
      </c>
      <c r="CY126">
        <f>AA126</f>
        <v>0</v>
      </c>
      <c r="CZ126">
        <f>AE126</f>
        <v>0</v>
      </c>
      <c r="DA126">
        <f>AI126</f>
        <v>1</v>
      </c>
      <c r="DB126">
        <f t="shared" si="23"/>
        <v>0</v>
      </c>
      <c r="DC126">
        <f t="shared" si="24"/>
        <v>0</v>
      </c>
    </row>
    <row r="127" spans="1:107" x14ac:dyDescent="0.2">
      <c r="A127">
        <f>ROW(Source!A459)</f>
        <v>459</v>
      </c>
      <c r="B127">
        <v>38214492</v>
      </c>
      <c r="C127">
        <v>38215109</v>
      </c>
      <c r="D127">
        <v>34867259</v>
      </c>
      <c r="E127">
        <v>25</v>
      </c>
      <c r="F127">
        <v>1</v>
      </c>
      <c r="G127">
        <v>25</v>
      </c>
      <c r="H127">
        <v>1</v>
      </c>
      <c r="I127" t="s">
        <v>391</v>
      </c>
      <c r="J127" t="s">
        <v>3</v>
      </c>
      <c r="K127" t="s">
        <v>392</v>
      </c>
      <c r="L127">
        <v>1191</v>
      </c>
      <c r="N127">
        <v>1013</v>
      </c>
      <c r="O127" t="s">
        <v>393</v>
      </c>
      <c r="P127" t="s">
        <v>393</v>
      </c>
      <c r="Q127">
        <v>1</v>
      </c>
      <c r="W127">
        <v>0</v>
      </c>
      <c r="X127">
        <v>476480486</v>
      </c>
      <c r="Y127">
        <v>1.02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1</v>
      </c>
      <c r="AJ127">
        <v>1</v>
      </c>
      <c r="AK127">
        <v>1</v>
      </c>
      <c r="AL127">
        <v>1</v>
      </c>
      <c r="AN127">
        <v>0</v>
      </c>
      <c r="AO127">
        <v>1</v>
      </c>
      <c r="AP127">
        <v>0</v>
      </c>
      <c r="AQ127">
        <v>0</v>
      </c>
      <c r="AR127">
        <v>0</v>
      </c>
      <c r="AS127" t="s">
        <v>3</v>
      </c>
      <c r="AT127">
        <v>1.02</v>
      </c>
      <c r="AU127" t="s">
        <v>3</v>
      </c>
      <c r="AV127">
        <v>1</v>
      </c>
      <c r="AW127">
        <v>2</v>
      </c>
      <c r="AX127">
        <v>38215111</v>
      </c>
      <c r="AY127">
        <v>1</v>
      </c>
      <c r="AZ127">
        <v>0</v>
      </c>
      <c r="BA127">
        <v>124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CX127">
        <f>Y127*Source!I459</f>
        <v>6.961500000000001E-2</v>
      </c>
      <c r="CY127">
        <f>AD127</f>
        <v>0</v>
      </c>
      <c r="CZ127">
        <f>AH127</f>
        <v>0</v>
      </c>
      <c r="DA127">
        <f>AL127</f>
        <v>1</v>
      </c>
      <c r="DB127">
        <f t="shared" si="23"/>
        <v>0</v>
      </c>
      <c r="DC127">
        <f t="shared" si="24"/>
        <v>0</v>
      </c>
    </row>
    <row r="128" spans="1:107" x14ac:dyDescent="0.2">
      <c r="A128">
        <f>ROW(Source!A460)</f>
        <v>460</v>
      </c>
      <c r="B128">
        <v>38214492</v>
      </c>
      <c r="C128">
        <v>38215112</v>
      </c>
      <c r="D128">
        <v>34880178</v>
      </c>
      <c r="E128">
        <v>1</v>
      </c>
      <c r="F128">
        <v>1</v>
      </c>
      <c r="G128">
        <v>25</v>
      </c>
      <c r="H128">
        <v>2</v>
      </c>
      <c r="I128" t="s">
        <v>400</v>
      </c>
      <c r="J128" t="s">
        <v>401</v>
      </c>
      <c r="K128" t="s">
        <v>402</v>
      </c>
      <c r="L128">
        <v>1368</v>
      </c>
      <c r="N128">
        <v>1011</v>
      </c>
      <c r="O128" t="s">
        <v>397</v>
      </c>
      <c r="P128" t="s">
        <v>397</v>
      </c>
      <c r="Q128">
        <v>1</v>
      </c>
      <c r="W128">
        <v>0</v>
      </c>
      <c r="X128">
        <v>468658695</v>
      </c>
      <c r="Y128">
        <v>0.02</v>
      </c>
      <c r="AA128">
        <v>0</v>
      </c>
      <c r="AB128">
        <v>952.49</v>
      </c>
      <c r="AC128">
        <v>301.5</v>
      </c>
      <c r="AD128">
        <v>0</v>
      </c>
      <c r="AE128">
        <v>0</v>
      </c>
      <c r="AF128">
        <v>952.49</v>
      </c>
      <c r="AG128">
        <v>301.5</v>
      </c>
      <c r="AH128">
        <v>0</v>
      </c>
      <c r="AI128">
        <v>1</v>
      </c>
      <c r="AJ128">
        <v>1</v>
      </c>
      <c r="AK128">
        <v>1</v>
      </c>
      <c r="AL128">
        <v>1</v>
      </c>
      <c r="AN128">
        <v>0</v>
      </c>
      <c r="AO128">
        <v>1</v>
      </c>
      <c r="AP128">
        <v>0</v>
      </c>
      <c r="AQ128">
        <v>0</v>
      </c>
      <c r="AR128">
        <v>0</v>
      </c>
      <c r="AS128" t="s">
        <v>3</v>
      </c>
      <c r="AT128">
        <v>0.02</v>
      </c>
      <c r="AU128" t="s">
        <v>3</v>
      </c>
      <c r="AV128">
        <v>0</v>
      </c>
      <c r="AW128">
        <v>2</v>
      </c>
      <c r="AX128">
        <v>38215115</v>
      </c>
      <c r="AY128">
        <v>1</v>
      </c>
      <c r="AZ128">
        <v>0</v>
      </c>
      <c r="BA128">
        <v>125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CX128">
        <f>Y128*Source!I460</f>
        <v>0</v>
      </c>
      <c r="CY128">
        <f t="shared" ref="CY128:CY133" si="25">AB128</f>
        <v>952.49</v>
      </c>
      <c r="CZ128">
        <f t="shared" ref="CZ128:CZ133" si="26">AF128</f>
        <v>952.49</v>
      </c>
      <c r="DA128">
        <f t="shared" ref="DA128:DA133" si="27">AJ128</f>
        <v>1</v>
      </c>
      <c r="DB128">
        <f t="shared" si="23"/>
        <v>19.05</v>
      </c>
      <c r="DC128">
        <f t="shared" si="24"/>
        <v>6.03</v>
      </c>
    </row>
    <row r="129" spans="1:107" x14ac:dyDescent="0.2">
      <c r="A129">
        <f>ROW(Source!A460)</f>
        <v>460</v>
      </c>
      <c r="B129">
        <v>38214492</v>
      </c>
      <c r="C129">
        <v>38215112</v>
      </c>
      <c r="D129">
        <v>34880179</v>
      </c>
      <c r="E129">
        <v>1</v>
      </c>
      <c r="F129">
        <v>1</v>
      </c>
      <c r="G129">
        <v>25</v>
      </c>
      <c r="H129">
        <v>2</v>
      </c>
      <c r="I129" t="s">
        <v>403</v>
      </c>
      <c r="J129" t="s">
        <v>404</v>
      </c>
      <c r="K129" t="s">
        <v>405</v>
      </c>
      <c r="L129">
        <v>1368</v>
      </c>
      <c r="N129">
        <v>1011</v>
      </c>
      <c r="O129" t="s">
        <v>397</v>
      </c>
      <c r="P129" t="s">
        <v>397</v>
      </c>
      <c r="Q129">
        <v>1</v>
      </c>
      <c r="W129">
        <v>0</v>
      </c>
      <c r="X129">
        <v>-1546163025</v>
      </c>
      <c r="Y129">
        <v>1.7999999999999999E-2</v>
      </c>
      <c r="AA129">
        <v>0</v>
      </c>
      <c r="AB129">
        <v>993.6</v>
      </c>
      <c r="AC129">
        <v>301.8</v>
      </c>
      <c r="AD129">
        <v>0</v>
      </c>
      <c r="AE129">
        <v>0</v>
      </c>
      <c r="AF129">
        <v>993.6</v>
      </c>
      <c r="AG129">
        <v>301.8</v>
      </c>
      <c r="AH129">
        <v>0</v>
      </c>
      <c r="AI129">
        <v>1</v>
      </c>
      <c r="AJ129">
        <v>1</v>
      </c>
      <c r="AK129">
        <v>1</v>
      </c>
      <c r="AL129">
        <v>1</v>
      </c>
      <c r="AN129">
        <v>0</v>
      </c>
      <c r="AO129">
        <v>1</v>
      </c>
      <c r="AP129">
        <v>0</v>
      </c>
      <c r="AQ129">
        <v>0</v>
      </c>
      <c r="AR129">
        <v>0</v>
      </c>
      <c r="AS129" t="s">
        <v>3</v>
      </c>
      <c r="AT129">
        <v>1.7999999999999999E-2</v>
      </c>
      <c r="AU129" t="s">
        <v>3</v>
      </c>
      <c r="AV129">
        <v>0</v>
      </c>
      <c r="AW129">
        <v>2</v>
      </c>
      <c r="AX129">
        <v>38215116</v>
      </c>
      <c r="AY129">
        <v>1</v>
      </c>
      <c r="AZ129">
        <v>0</v>
      </c>
      <c r="BA129">
        <v>126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CX129">
        <f>Y129*Source!I460</f>
        <v>0</v>
      </c>
      <c r="CY129">
        <f t="shared" si="25"/>
        <v>993.6</v>
      </c>
      <c r="CZ129">
        <f t="shared" si="26"/>
        <v>993.6</v>
      </c>
      <c r="DA129">
        <f t="shared" si="27"/>
        <v>1</v>
      </c>
      <c r="DB129">
        <f t="shared" si="23"/>
        <v>17.88</v>
      </c>
      <c r="DC129">
        <f t="shared" si="24"/>
        <v>5.43</v>
      </c>
    </row>
    <row r="130" spans="1:107" x14ac:dyDescent="0.2">
      <c r="A130">
        <f>ROW(Source!A461)</f>
        <v>461</v>
      </c>
      <c r="B130">
        <v>38214492</v>
      </c>
      <c r="C130">
        <v>38215117</v>
      </c>
      <c r="D130">
        <v>34880178</v>
      </c>
      <c r="E130">
        <v>1</v>
      </c>
      <c r="F130">
        <v>1</v>
      </c>
      <c r="G130">
        <v>25</v>
      </c>
      <c r="H130">
        <v>2</v>
      </c>
      <c r="I130" t="s">
        <v>400</v>
      </c>
      <c r="J130" t="s">
        <v>401</v>
      </c>
      <c r="K130" t="s">
        <v>402</v>
      </c>
      <c r="L130">
        <v>1368</v>
      </c>
      <c r="N130">
        <v>1011</v>
      </c>
      <c r="O130" t="s">
        <v>397</v>
      </c>
      <c r="P130" t="s">
        <v>397</v>
      </c>
      <c r="Q130">
        <v>1</v>
      </c>
      <c r="W130">
        <v>0</v>
      </c>
      <c r="X130">
        <v>468658695</v>
      </c>
      <c r="Y130">
        <v>5.3999999999999999E-2</v>
      </c>
      <c r="AA130">
        <v>0</v>
      </c>
      <c r="AB130">
        <v>952.49</v>
      </c>
      <c r="AC130">
        <v>301.5</v>
      </c>
      <c r="AD130">
        <v>0</v>
      </c>
      <c r="AE130">
        <v>0</v>
      </c>
      <c r="AF130">
        <v>952.49</v>
      </c>
      <c r="AG130">
        <v>301.5</v>
      </c>
      <c r="AH130">
        <v>0</v>
      </c>
      <c r="AI130">
        <v>1</v>
      </c>
      <c r="AJ130">
        <v>1</v>
      </c>
      <c r="AK130">
        <v>1</v>
      </c>
      <c r="AL130">
        <v>1</v>
      </c>
      <c r="AN130">
        <v>0</v>
      </c>
      <c r="AO130">
        <v>1</v>
      </c>
      <c r="AP130">
        <v>0</v>
      </c>
      <c r="AQ130">
        <v>0</v>
      </c>
      <c r="AR130">
        <v>0</v>
      </c>
      <c r="AS130" t="s">
        <v>3</v>
      </c>
      <c r="AT130">
        <v>5.3999999999999999E-2</v>
      </c>
      <c r="AU130" t="s">
        <v>3</v>
      </c>
      <c r="AV130">
        <v>0</v>
      </c>
      <c r="AW130">
        <v>2</v>
      </c>
      <c r="AX130">
        <v>38215120</v>
      </c>
      <c r="AY130">
        <v>1</v>
      </c>
      <c r="AZ130">
        <v>0</v>
      </c>
      <c r="BA130">
        <v>127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CX130">
        <f>Y130*Source!I461</f>
        <v>3.6855000000000004E-3</v>
      </c>
      <c r="CY130">
        <f t="shared" si="25"/>
        <v>952.49</v>
      </c>
      <c r="CZ130">
        <f t="shared" si="26"/>
        <v>952.49</v>
      </c>
      <c r="DA130">
        <f t="shared" si="27"/>
        <v>1</v>
      </c>
      <c r="DB130">
        <f t="shared" si="23"/>
        <v>51.43</v>
      </c>
      <c r="DC130">
        <f t="shared" si="24"/>
        <v>16.28</v>
      </c>
    </row>
    <row r="131" spans="1:107" x14ac:dyDescent="0.2">
      <c r="A131">
        <f>ROW(Source!A461)</f>
        <v>461</v>
      </c>
      <c r="B131">
        <v>38214492</v>
      </c>
      <c r="C131">
        <v>38215117</v>
      </c>
      <c r="D131">
        <v>34880179</v>
      </c>
      <c r="E131">
        <v>1</v>
      </c>
      <c r="F131">
        <v>1</v>
      </c>
      <c r="G131">
        <v>25</v>
      </c>
      <c r="H131">
        <v>2</v>
      </c>
      <c r="I131" t="s">
        <v>403</v>
      </c>
      <c r="J131" t="s">
        <v>404</v>
      </c>
      <c r="K131" t="s">
        <v>405</v>
      </c>
      <c r="L131">
        <v>1368</v>
      </c>
      <c r="N131">
        <v>1011</v>
      </c>
      <c r="O131" t="s">
        <v>397</v>
      </c>
      <c r="P131" t="s">
        <v>397</v>
      </c>
      <c r="Q131">
        <v>1</v>
      </c>
      <c r="W131">
        <v>0</v>
      </c>
      <c r="X131">
        <v>-1546163025</v>
      </c>
      <c r="Y131">
        <v>5.5E-2</v>
      </c>
      <c r="AA131">
        <v>0</v>
      </c>
      <c r="AB131">
        <v>993.6</v>
      </c>
      <c r="AC131">
        <v>301.8</v>
      </c>
      <c r="AD131">
        <v>0</v>
      </c>
      <c r="AE131">
        <v>0</v>
      </c>
      <c r="AF131">
        <v>993.6</v>
      </c>
      <c r="AG131">
        <v>301.8</v>
      </c>
      <c r="AH131">
        <v>0</v>
      </c>
      <c r="AI131">
        <v>1</v>
      </c>
      <c r="AJ131">
        <v>1</v>
      </c>
      <c r="AK131">
        <v>1</v>
      </c>
      <c r="AL131">
        <v>1</v>
      </c>
      <c r="AN131">
        <v>0</v>
      </c>
      <c r="AO131">
        <v>1</v>
      </c>
      <c r="AP131">
        <v>0</v>
      </c>
      <c r="AQ131">
        <v>0</v>
      </c>
      <c r="AR131">
        <v>0</v>
      </c>
      <c r="AS131" t="s">
        <v>3</v>
      </c>
      <c r="AT131">
        <v>5.5E-2</v>
      </c>
      <c r="AU131" t="s">
        <v>3</v>
      </c>
      <c r="AV131">
        <v>0</v>
      </c>
      <c r="AW131">
        <v>2</v>
      </c>
      <c r="AX131">
        <v>38215121</v>
      </c>
      <c r="AY131">
        <v>1</v>
      </c>
      <c r="AZ131">
        <v>0</v>
      </c>
      <c r="BA131">
        <v>128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CX131">
        <f>Y131*Source!I461</f>
        <v>3.7537500000000001E-3</v>
      </c>
      <c r="CY131">
        <f t="shared" si="25"/>
        <v>993.6</v>
      </c>
      <c r="CZ131">
        <f t="shared" si="26"/>
        <v>993.6</v>
      </c>
      <c r="DA131">
        <f t="shared" si="27"/>
        <v>1</v>
      </c>
      <c r="DB131">
        <f t="shared" si="23"/>
        <v>54.65</v>
      </c>
      <c r="DC131">
        <f t="shared" si="24"/>
        <v>16.600000000000001</v>
      </c>
    </row>
    <row r="132" spans="1:107" x14ac:dyDescent="0.2">
      <c r="A132">
        <f>ROW(Source!A462)</f>
        <v>462</v>
      </c>
      <c r="B132">
        <v>38214492</v>
      </c>
      <c r="C132">
        <v>38215122</v>
      </c>
      <c r="D132">
        <v>34880178</v>
      </c>
      <c r="E132">
        <v>1</v>
      </c>
      <c r="F132">
        <v>1</v>
      </c>
      <c r="G132">
        <v>25</v>
      </c>
      <c r="H132">
        <v>2</v>
      </c>
      <c r="I132" t="s">
        <v>400</v>
      </c>
      <c r="J132" t="s">
        <v>401</v>
      </c>
      <c r="K132" t="s">
        <v>402</v>
      </c>
      <c r="L132">
        <v>1368</v>
      </c>
      <c r="N132">
        <v>1011</v>
      </c>
      <c r="O132" t="s">
        <v>397</v>
      </c>
      <c r="P132" t="s">
        <v>397</v>
      </c>
      <c r="Q132">
        <v>1</v>
      </c>
      <c r="W132">
        <v>0</v>
      </c>
      <c r="X132">
        <v>468658695</v>
      </c>
      <c r="Y132">
        <v>0.16</v>
      </c>
      <c r="AA132">
        <v>0</v>
      </c>
      <c r="AB132">
        <v>952.49</v>
      </c>
      <c r="AC132">
        <v>301.5</v>
      </c>
      <c r="AD132">
        <v>0</v>
      </c>
      <c r="AE132">
        <v>0</v>
      </c>
      <c r="AF132">
        <v>952.49</v>
      </c>
      <c r="AG132">
        <v>301.5</v>
      </c>
      <c r="AH132">
        <v>0</v>
      </c>
      <c r="AI132">
        <v>1</v>
      </c>
      <c r="AJ132">
        <v>1</v>
      </c>
      <c r="AK132">
        <v>1</v>
      </c>
      <c r="AL132">
        <v>1</v>
      </c>
      <c r="AN132">
        <v>0</v>
      </c>
      <c r="AO132">
        <v>1</v>
      </c>
      <c r="AP132">
        <v>1</v>
      </c>
      <c r="AQ132">
        <v>0</v>
      </c>
      <c r="AR132">
        <v>0</v>
      </c>
      <c r="AS132" t="s">
        <v>3</v>
      </c>
      <c r="AT132">
        <v>0.01</v>
      </c>
      <c r="AU132" t="s">
        <v>201</v>
      </c>
      <c r="AV132">
        <v>0</v>
      </c>
      <c r="AW132">
        <v>2</v>
      </c>
      <c r="AX132">
        <v>38215125</v>
      </c>
      <c r="AY132">
        <v>1</v>
      </c>
      <c r="AZ132">
        <v>0</v>
      </c>
      <c r="BA132">
        <v>129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CX132">
        <f>Y132*Source!I462</f>
        <v>1.0920000000000001E-2</v>
      </c>
      <c r="CY132">
        <f t="shared" si="25"/>
        <v>952.49</v>
      </c>
      <c r="CZ132">
        <f t="shared" si="26"/>
        <v>952.49</v>
      </c>
      <c r="DA132">
        <f t="shared" si="27"/>
        <v>1</v>
      </c>
      <c r="DB132">
        <f>ROUND((ROUND(AT132*CZ132,2)*16),6)</f>
        <v>152.32</v>
      </c>
      <c r="DC132">
        <f>ROUND((ROUND(AT132*AG132,2)*16),6)</f>
        <v>48.32</v>
      </c>
    </row>
    <row r="133" spans="1:107" x14ac:dyDescent="0.2">
      <c r="A133">
        <f>ROW(Source!A462)</f>
        <v>462</v>
      </c>
      <c r="B133">
        <v>38214492</v>
      </c>
      <c r="C133">
        <v>38215122</v>
      </c>
      <c r="D133">
        <v>34880179</v>
      </c>
      <c r="E133">
        <v>1</v>
      </c>
      <c r="F133">
        <v>1</v>
      </c>
      <c r="G133">
        <v>25</v>
      </c>
      <c r="H133">
        <v>2</v>
      </c>
      <c r="I133" t="s">
        <v>403</v>
      </c>
      <c r="J133" t="s">
        <v>404</v>
      </c>
      <c r="K133" t="s">
        <v>405</v>
      </c>
      <c r="L133">
        <v>1368</v>
      </c>
      <c r="N133">
        <v>1011</v>
      </c>
      <c r="O133" t="s">
        <v>397</v>
      </c>
      <c r="P133" t="s">
        <v>397</v>
      </c>
      <c r="Q133">
        <v>1</v>
      </c>
      <c r="W133">
        <v>0</v>
      </c>
      <c r="X133">
        <v>-1546163025</v>
      </c>
      <c r="Y133">
        <v>0.128</v>
      </c>
      <c r="AA133">
        <v>0</v>
      </c>
      <c r="AB133">
        <v>993.6</v>
      </c>
      <c r="AC133">
        <v>301.8</v>
      </c>
      <c r="AD133">
        <v>0</v>
      </c>
      <c r="AE133">
        <v>0</v>
      </c>
      <c r="AF133">
        <v>993.6</v>
      </c>
      <c r="AG133">
        <v>301.8</v>
      </c>
      <c r="AH133">
        <v>0</v>
      </c>
      <c r="AI133">
        <v>1</v>
      </c>
      <c r="AJ133">
        <v>1</v>
      </c>
      <c r="AK133">
        <v>1</v>
      </c>
      <c r="AL133">
        <v>1</v>
      </c>
      <c r="AN133">
        <v>0</v>
      </c>
      <c r="AO133">
        <v>1</v>
      </c>
      <c r="AP133">
        <v>1</v>
      </c>
      <c r="AQ133">
        <v>0</v>
      </c>
      <c r="AR133">
        <v>0</v>
      </c>
      <c r="AS133" t="s">
        <v>3</v>
      </c>
      <c r="AT133">
        <v>8.0000000000000002E-3</v>
      </c>
      <c r="AU133" t="s">
        <v>201</v>
      </c>
      <c r="AV133">
        <v>0</v>
      </c>
      <c r="AW133">
        <v>2</v>
      </c>
      <c r="AX133">
        <v>38215126</v>
      </c>
      <c r="AY133">
        <v>1</v>
      </c>
      <c r="AZ133">
        <v>0</v>
      </c>
      <c r="BA133">
        <v>130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CX133">
        <f>Y133*Source!I462</f>
        <v>8.7360000000000007E-3</v>
      </c>
      <c r="CY133">
        <f t="shared" si="25"/>
        <v>993.6</v>
      </c>
      <c r="CZ133">
        <f t="shared" si="26"/>
        <v>993.6</v>
      </c>
      <c r="DA133">
        <f t="shared" si="27"/>
        <v>1</v>
      </c>
      <c r="DB133">
        <f>ROUND((ROUND(AT133*CZ133,2)*16),6)</f>
        <v>127.2</v>
      </c>
      <c r="DC133">
        <f>ROUND((ROUND(AT133*AG133,2)*16),6)</f>
        <v>38.56</v>
      </c>
    </row>
    <row r="134" spans="1:107" x14ac:dyDescent="0.2">
      <c r="A134">
        <f>ROW(Source!A499)</f>
        <v>499</v>
      </c>
      <c r="B134">
        <v>38214492</v>
      </c>
      <c r="C134">
        <v>38215184</v>
      </c>
      <c r="D134">
        <v>34867259</v>
      </c>
      <c r="E134">
        <v>25</v>
      </c>
      <c r="F134">
        <v>1</v>
      </c>
      <c r="G134">
        <v>25</v>
      </c>
      <c r="H134">
        <v>1</v>
      </c>
      <c r="I134" t="s">
        <v>391</v>
      </c>
      <c r="J134" t="s">
        <v>3</v>
      </c>
      <c r="K134" t="s">
        <v>392</v>
      </c>
      <c r="L134">
        <v>1191</v>
      </c>
      <c r="N134">
        <v>1013</v>
      </c>
      <c r="O134" t="s">
        <v>393</v>
      </c>
      <c r="P134" t="s">
        <v>393</v>
      </c>
      <c r="Q134">
        <v>1</v>
      </c>
      <c r="W134">
        <v>0</v>
      </c>
      <c r="X134">
        <v>476480486</v>
      </c>
      <c r="Y134">
        <v>87.4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1</v>
      </c>
      <c r="AJ134">
        <v>1</v>
      </c>
      <c r="AK134">
        <v>1</v>
      </c>
      <c r="AL134">
        <v>1</v>
      </c>
      <c r="AN134">
        <v>0</v>
      </c>
      <c r="AO134">
        <v>1</v>
      </c>
      <c r="AP134">
        <v>0</v>
      </c>
      <c r="AQ134">
        <v>0</v>
      </c>
      <c r="AR134">
        <v>0</v>
      </c>
      <c r="AS134" t="s">
        <v>3</v>
      </c>
      <c r="AT134">
        <v>87.4</v>
      </c>
      <c r="AU134" t="s">
        <v>3</v>
      </c>
      <c r="AV134">
        <v>1</v>
      </c>
      <c r="AW134">
        <v>2</v>
      </c>
      <c r="AX134">
        <v>38215190</v>
      </c>
      <c r="AY134">
        <v>1</v>
      </c>
      <c r="AZ134">
        <v>0</v>
      </c>
      <c r="BA134">
        <v>131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CX134">
        <f>Y134*Source!I499</f>
        <v>28.842000000000002</v>
      </c>
      <c r="CY134">
        <f>AD134</f>
        <v>0</v>
      </c>
      <c r="CZ134">
        <f>AH134</f>
        <v>0</v>
      </c>
      <c r="DA134">
        <f>AL134</f>
        <v>1</v>
      </c>
      <c r="DB134">
        <f>ROUND(ROUND(AT134*CZ134,2),6)</f>
        <v>0</v>
      </c>
      <c r="DC134">
        <f>ROUND(ROUND(AT134*AG134,2),6)</f>
        <v>0</v>
      </c>
    </row>
    <row r="135" spans="1:107" x14ac:dyDescent="0.2">
      <c r="A135">
        <f>ROW(Source!A499)</f>
        <v>499</v>
      </c>
      <c r="B135">
        <v>38214492</v>
      </c>
      <c r="C135">
        <v>38215184</v>
      </c>
      <c r="D135">
        <v>34879517</v>
      </c>
      <c r="E135">
        <v>1</v>
      </c>
      <c r="F135">
        <v>1</v>
      </c>
      <c r="G135">
        <v>25</v>
      </c>
      <c r="H135">
        <v>2</v>
      </c>
      <c r="I135" t="s">
        <v>406</v>
      </c>
      <c r="J135" t="s">
        <v>407</v>
      </c>
      <c r="K135" t="s">
        <v>408</v>
      </c>
      <c r="L135">
        <v>1368</v>
      </c>
      <c r="N135">
        <v>1011</v>
      </c>
      <c r="O135" t="s">
        <v>397</v>
      </c>
      <c r="P135" t="s">
        <v>397</v>
      </c>
      <c r="Q135">
        <v>1</v>
      </c>
      <c r="W135">
        <v>0</v>
      </c>
      <c r="X135">
        <v>-1063871118</v>
      </c>
      <c r="Y135">
        <v>0</v>
      </c>
      <c r="AA135">
        <v>0</v>
      </c>
      <c r="AB135">
        <v>31.01</v>
      </c>
      <c r="AC135">
        <v>1.29</v>
      </c>
      <c r="AD135">
        <v>0</v>
      </c>
      <c r="AE135">
        <v>0</v>
      </c>
      <c r="AF135">
        <v>31.01</v>
      </c>
      <c r="AG135">
        <v>1.29</v>
      </c>
      <c r="AH135">
        <v>0</v>
      </c>
      <c r="AI135">
        <v>1</v>
      </c>
      <c r="AJ135">
        <v>1</v>
      </c>
      <c r="AK135">
        <v>1</v>
      </c>
      <c r="AL135">
        <v>1</v>
      </c>
      <c r="AN135">
        <v>0</v>
      </c>
      <c r="AO135">
        <v>1</v>
      </c>
      <c r="AP135">
        <v>1</v>
      </c>
      <c r="AQ135">
        <v>0</v>
      </c>
      <c r="AR135">
        <v>0</v>
      </c>
      <c r="AS135" t="s">
        <v>3</v>
      </c>
      <c r="AT135">
        <v>19</v>
      </c>
      <c r="AU135" t="s">
        <v>32</v>
      </c>
      <c r="AV135">
        <v>0</v>
      </c>
      <c r="AW135">
        <v>2</v>
      </c>
      <c r="AX135">
        <v>38215191</v>
      </c>
      <c r="AY135">
        <v>1</v>
      </c>
      <c r="AZ135">
        <v>0</v>
      </c>
      <c r="BA135">
        <v>132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CX135">
        <f>Y135*Source!I499</f>
        <v>0</v>
      </c>
      <c r="CY135">
        <f>AB135</f>
        <v>31.01</v>
      </c>
      <c r="CZ135">
        <f>AF135</f>
        <v>31.01</v>
      </c>
      <c r="DA135">
        <f>AJ135</f>
        <v>1</v>
      </c>
      <c r="DB135">
        <f>ROUND((ROUND(AT135*CZ135,2)*0),6)</f>
        <v>0</v>
      </c>
      <c r="DC135">
        <f>ROUND((ROUND(AT135*AG135,2)*0),6)</f>
        <v>0</v>
      </c>
    </row>
    <row r="136" spans="1:107" x14ac:dyDescent="0.2">
      <c r="A136">
        <f>ROW(Source!A499)</f>
        <v>499</v>
      </c>
      <c r="B136">
        <v>38214492</v>
      </c>
      <c r="C136">
        <v>38215184</v>
      </c>
      <c r="D136">
        <v>34881323</v>
      </c>
      <c r="E136">
        <v>1</v>
      </c>
      <c r="F136">
        <v>1</v>
      </c>
      <c r="G136">
        <v>25</v>
      </c>
      <c r="H136">
        <v>3</v>
      </c>
      <c r="I136" t="s">
        <v>409</v>
      </c>
      <c r="J136" t="s">
        <v>410</v>
      </c>
      <c r="K136" t="s">
        <v>411</v>
      </c>
      <c r="L136">
        <v>1348</v>
      </c>
      <c r="N136">
        <v>1009</v>
      </c>
      <c r="O136" t="s">
        <v>30</v>
      </c>
      <c r="P136" t="s">
        <v>30</v>
      </c>
      <c r="Q136">
        <v>1000</v>
      </c>
      <c r="W136">
        <v>0</v>
      </c>
      <c r="X136">
        <v>-220406470</v>
      </c>
      <c r="Y136">
        <v>0</v>
      </c>
      <c r="AA136">
        <v>103472.53</v>
      </c>
      <c r="AB136">
        <v>0</v>
      </c>
      <c r="AC136">
        <v>0</v>
      </c>
      <c r="AD136">
        <v>0</v>
      </c>
      <c r="AE136">
        <v>103472.53</v>
      </c>
      <c r="AF136">
        <v>0</v>
      </c>
      <c r="AG136">
        <v>0</v>
      </c>
      <c r="AH136">
        <v>0</v>
      </c>
      <c r="AI136">
        <v>1</v>
      </c>
      <c r="AJ136">
        <v>1</v>
      </c>
      <c r="AK136">
        <v>1</v>
      </c>
      <c r="AL136">
        <v>1</v>
      </c>
      <c r="AN136">
        <v>0</v>
      </c>
      <c r="AO136">
        <v>1</v>
      </c>
      <c r="AP136">
        <v>1</v>
      </c>
      <c r="AQ136">
        <v>0</v>
      </c>
      <c r="AR136">
        <v>0</v>
      </c>
      <c r="AS136" t="s">
        <v>3</v>
      </c>
      <c r="AT136">
        <v>3.3E-3</v>
      </c>
      <c r="AU136" t="s">
        <v>32</v>
      </c>
      <c r="AV136">
        <v>0</v>
      </c>
      <c r="AW136">
        <v>2</v>
      </c>
      <c r="AX136">
        <v>38215192</v>
      </c>
      <c r="AY136">
        <v>1</v>
      </c>
      <c r="AZ136">
        <v>0</v>
      </c>
      <c r="BA136">
        <v>133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CX136">
        <f>Y136*Source!I499</f>
        <v>0</v>
      </c>
      <c r="CY136">
        <f>AA136</f>
        <v>103472.53</v>
      </c>
      <c r="CZ136">
        <f>AE136</f>
        <v>103472.53</v>
      </c>
      <c r="DA136">
        <f>AI136</f>
        <v>1</v>
      </c>
      <c r="DB136">
        <f>ROUND((ROUND(AT136*CZ136,2)*0),6)</f>
        <v>0</v>
      </c>
      <c r="DC136">
        <f>ROUND((ROUND(AT136*AG136,2)*0),6)</f>
        <v>0</v>
      </c>
    </row>
    <row r="137" spans="1:107" x14ac:dyDescent="0.2">
      <c r="A137">
        <f>ROW(Source!A499)</f>
        <v>499</v>
      </c>
      <c r="B137">
        <v>38214492</v>
      </c>
      <c r="C137">
        <v>38215184</v>
      </c>
      <c r="D137">
        <v>34882179</v>
      </c>
      <c r="E137">
        <v>1</v>
      </c>
      <c r="F137">
        <v>1</v>
      </c>
      <c r="G137">
        <v>25</v>
      </c>
      <c r="H137">
        <v>3</v>
      </c>
      <c r="I137" t="s">
        <v>412</v>
      </c>
      <c r="J137" t="s">
        <v>413</v>
      </c>
      <c r="K137" t="s">
        <v>414</v>
      </c>
      <c r="L137">
        <v>1348</v>
      </c>
      <c r="N137">
        <v>1009</v>
      </c>
      <c r="O137" t="s">
        <v>30</v>
      </c>
      <c r="P137" t="s">
        <v>30</v>
      </c>
      <c r="Q137">
        <v>1000</v>
      </c>
      <c r="W137">
        <v>0</v>
      </c>
      <c r="X137">
        <v>-475338610</v>
      </c>
      <c r="Y137">
        <v>0</v>
      </c>
      <c r="AA137">
        <v>110728.72</v>
      </c>
      <c r="AB137">
        <v>0</v>
      </c>
      <c r="AC137">
        <v>0</v>
      </c>
      <c r="AD137">
        <v>0</v>
      </c>
      <c r="AE137">
        <v>110728.72</v>
      </c>
      <c r="AF137">
        <v>0</v>
      </c>
      <c r="AG137">
        <v>0</v>
      </c>
      <c r="AH137">
        <v>0</v>
      </c>
      <c r="AI137">
        <v>1</v>
      </c>
      <c r="AJ137">
        <v>1</v>
      </c>
      <c r="AK137">
        <v>1</v>
      </c>
      <c r="AL137">
        <v>1</v>
      </c>
      <c r="AN137">
        <v>0</v>
      </c>
      <c r="AO137">
        <v>1</v>
      </c>
      <c r="AP137">
        <v>1</v>
      </c>
      <c r="AQ137">
        <v>0</v>
      </c>
      <c r="AR137">
        <v>0</v>
      </c>
      <c r="AS137" t="s">
        <v>3</v>
      </c>
      <c r="AT137">
        <v>1.4E-3</v>
      </c>
      <c r="AU137" t="s">
        <v>32</v>
      </c>
      <c r="AV137">
        <v>0</v>
      </c>
      <c r="AW137">
        <v>2</v>
      </c>
      <c r="AX137">
        <v>38215193</v>
      </c>
      <c r="AY137">
        <v>1</v>
      </c>
      <c r="AZ137">
        <v>0</v>
      </c>
      <c r="BA137">
        <v>134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CX137">
        <f>Y137*Source!I499</f>
        <v>0</v>
      </c>
      <c r="CY137">
        <f>AA137</f>
        <v>110728.72</v>
      </c>
      <c r="CZ137">
        <f>AE137</f>
        <v>110728.72</v>
      </c>
      <c r="DA137">
        <f>AI137</f>
        <v>1</v>
      </c>
      <c r="DB137">
        <f>ROUND((ROUND(AT137*CZ137,2)*0),6)</f>
        <v>0</v>
      </c>
      <c r="DC137">
        <f>ROUND((ROUND(AT137*AG137,2)*0),6)</f>
        <v>0</v>
      </c>
    </row>
    <row r="138" spans="1:107" x14ac:dyDescent="0.2">
      <c r="A138">
        <f>ROW(Source!A499)</f>
        <v>499</v>
      </c>
      <c r="B138">
        <v>38214492</v>
      </c>
      <c r="C138">
        <v>38215184</v>
      </c>
      <c r="D138">
        <v>34884265</v>
      </c>
      <c r="E138">
        <v>1</v>
      </c>
      <c r="F138">
        <v>1</v>
      </c>
      <c r="G138">
        <v>25</v>
      </c>
      <c r="H138">
        <v>3</v>
      </c>
      <c r="I138" t="s">
        <v>415</v>
      </c>
      <c r="J138" t="s">
        <v>416</v>
      </c>
      <c r="K138" t="s">
        <v>417</v>
      </c>
      <c r="L138">
        <v>1348</v>
      </c>
      <c r="N138">
        <v>1009</v>
      </c>
      <c r="O138" t="s">
        <v>30</v>
      </c>
      <c r="P138" t="s">
        <v>30</v>
      </c>
      <c r="Q138">
        <v>1000</v>
      </c>
      <c r="W138">
        <v>0</v>
      </c>
      <c r="X138">
        <v>927048313</v>
      </c>
      <c r="Y138">
        <v>0</v>
      </c>
      <c r="AA138">
        <v>74995.210000000006</v>
      </c>
      <c r="AB138">
        <v>0</v>
      </c>
      <c r="AC138">
        <v>0</v>
      </c>
      <c r="AD138">
        <v>0</v>
      </c>
      <c r="AE138">
        <v>74995.210000000006</v>
      </c>
      <c r="AF138">
        <v>0</v>
      </c>
      <c r="AG138">
        <v>0</v>
      </c>
      <c r="AH138">
        <v>0</v>
      </c>
      <c r="AI138">
        <v>1</v>
      </c>
      <c r="AJ138">
        <v>1</v>
      </c>
      <c r="AK138">
        <v>1</v>
      </c>
      <c r="AL138">
        <v>1</v>
      </c>
      <c r="AN138">
        <v>0</v>
      </c>
      <c r="AO138">
        <v>1</v>
      </c>
      <c r="AP138">
        <v>1</v>
      </c>
      <c r="AQ138">
        <v>0</v>
      </c>
      <c r="AR138">
        <v>0</v>
      </c>
      <c r="AS138" t="s">
        <v>3</v>
      </c>
      <c r="AT138">
        <v>1</v>
      </c>
      <c r="AU138" t="s">
        <v>32</v>
      </c>
      <c r="AV138">
        <v>0</v>
      </c>
      <c r="AW138">
        <v>2</v>
      </c>
      <c r="AX138">
        <v>38215194</v>
      </c>
      <c r="AY138">
        <v>1</v>
      </c>
      <c r="AZ138">
        <v>0</v>
      </c>
      <c r="BA138">
        <v>135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CX138">
        <f>Y138*Source!I499</f>
        <v>0</v>
      </c>
      <c r="CY138">
        <f>AA138</f>
        <v>74995.210000000006</v>
      </c>
      <c r="CZ138">
        <f>AE138</f>
        <v>74995.210000000006</v>
      </c>
      <c r="DA138">
        <f>AI138</f>
        <v>1</v>
      </c>
      <c r="DB138">
        <f>ROUND((ROUND(AT138*CZ138,2)*0),6)</f>
        <v>0</v>
      </c>
      <c r="DC138">
        <f>ROUND((ROUND(AT138*AG138,2)*0),6)</f>
        <v>0</v>
      </c>
    </row>
    <row r="139" spans="1:107" x14ac:dyDescent="0.2">
      <c r="A139">
        <f>ROW(Source!A541)</f>
        <v>541</v>
      </c>
      <c r="B139">
        <v>38214492</v>
      </c>
      <c r="C139">
        <v>38216455</v>
      </c>
      <c r="D139">
        <v>34867259</v>
      </c>
      <c r="E139">
        <v>25</v>
      </c>
      <c r="F139">
        <v>1</v>
      </c>
      <c r="G139">
        <v>25</v>
      </c>
      <c r="H139">
        <v>1</v>
      </c>
      <c r="I139" t="s">
        <v>391</v>
      </c>
      <c r="J139" t="s">
        <v>3</v>
      </c>
      <c r="K139" t="s">
        <v>392</v>
      </c>
      <c r="L139">
        <v>1191</v>
      </c>
      <c r="N139">
        <v>1013</v>
      </c>
      <c r="O139" t="s">
        <v>393</v>
      </c>
      <c r="P139" t="s">
        <v>393</v>
      </c>
      <c r="Q139">
        <v>1</v>
      </c>
      <c r="W139">
        <v>0</v>
      </c>
      <c r="X139">
        <v>476480486</v>
      </c>
      <c r="Y139">
        <v>340.81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N139">
        <v>0</v>
      </c>
      <c r="AO139">
        <v>1</v>
      </c>
      <c r="AP139">
        <v>0</v>
      </c>
      <c r="AQ139">
        <v>0</v>
      </c>
      <c r="AR139">
        <v>0</v>
      </c>
      <c r="AS139" t="s">
        <v>3</v>
      </c>
      <c r="AT139">
        <v>340.81</v>
      </c>
      <c r="AU139" t="s">
        <v>3</v>
      </c>
      <c r="AV139">
        <v>1</v>
      </c>
      <c r="AW139">
        <v>2</v>
      </c>
      <c r="AX139">
        <v>38216466</v>
      </c>
      <c r="AY139">
        <v>1</v>
      </c>
      <c r="AZ139">
        <v>0</v>
      </c>
      <c r="BA139">
        <v>136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CX139">
        <f>Y139*Source!I541</f>
        <v>408.97199999999998</v>
      </c>
      <c r="CY139">
        <f>AD139</f>
        <v>0</v>
      </c>
      <c r="CZ139">
        <f>AH139</f>
        <v>0</v>
      </c>
      <c r="DA139">
        <f>AL139</f>
        <v>1</v>
      </c>
      <c r="DB139">
        <f t="shared" ref="DB139:DB159" si="28">ROUND(ROUND(AT139*CZ139,2),6)</f>
        <v>0</v>
      </c>
      <c r="DC139">
        <f t="shared" ref="DC139:DC159" si="29">ROUND(ROUND(AT139*AG139,2),6)</f>
        <v>0</v>
      </c>
    </row>
    <row r="140" spans="1:107" x14ac:dyDescent="0.2">
      <c r="A140">
        <f>ROW(Source!A541)</f>
        <v>541</v>
      </c>
      <c r="B140">
        <v>38214492</v>
      </c>
      <c r="C140">
        <v>38216455</v>
      </c>
      <c r="D140">
        <v>34879840</v>
      </c>
      <c r="E140">
        <v>1</v>
      </c>
      <c r="F140">
        <v>1</v>
      </c>
      <c r="G140">
        <v>25</v>
      </c>
      <c r="H140">
        <v>2</v>
      </c>
      <c r="I140" t="s">
        <v>422</v>
      </c>
      <c r="J140" t="s">
        <v>423</v>
      </c>
      <c r="K140" t="s">
        <v>424</v>
      </c>
      <c r="L140">
        <v>1368</v>
      </c>
      <c r="N140">
        <v>1011</v>
      </c>
      <c r="O140" t="s">
        <v>397</v>
      </c>
      <c r="P140" t="s">
        <v>397</v>
      </c>
      <c r="Q140">
        <v>1</v>
      </c>
      <c r="W140">
        <v>0</v>
      </c>
      <c r="X140">
        <v>-1896621790</v>
      </c>
      <c r="Y140">
        <v>39</v>
      </c>
      <c r="AA140">
        <v>0</v>
      </c>
      <c r="AB140">
        <v>337.61</v>
      </c>
      <c r="AC140">
        <v>6.68</v>
      </c>
      <c r="AD140">
        <v>0</v>
      </c>
      <c r="AE140">
        <v>0</v>
      </c>
      <c r="AF140">
        <v>337.61</v>
      </c>
      <c r="AG140">
        <v>6.68</v>
      </c>
      <c r="AH140">
        <v>0</v>
      </c>
      <c r="AI140">
        <v>1</v>
      </c>
      <c r="AJ140">
        <v>1</v>
      </c>
      <c r="AK140">
        <v>1</v>
      </c>
      <c r="AL140">
        <v>1</v>
      </c>
      <c r="AN140">
        <v>0</v>
      </c>
      <c r="AO140">
        <v>1</v>
      </c>
      <c r="AP140">
        <v>0</v>
      </c>
      <c r="AQ140">
        <v>0</v>
      </c>
      <c r="AR140">
        <v>0</v>
      </c>
      <c r="AS140" t="s">
        <v>3</v>
      </c>
      <c r="AT140">
        <v>39</v>
      </c>
      <c r="AU140" t="s">
        <v>3</v>
      </c>
      <c r="AV140">
        <v>0</v>
      </c>
      <c r="AW140">
        <v>2</v>
      </c>
      <c r="AX140">
        <v>38216467</v>
      </c>
      <c r="AY140">
        <v>1</v>
      </c>
      <c r="AZ140">
        <v>0</v>
      </c>
      <c r="BA140">
        <v>137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CX140">
        <f>Y140*Source!I541</f>
        <v>46.8</v>
      </c>
      <c r="CY140">
        <f>AB140</f>
        <v>337.61</v>
      </c>
      <c r="CZ140">
        <f>AF140</f>
        <v>337.61</v>
      </c>
      <c r="DA140">
        <f>AJ140</f>
        <v>1</v>
      </c>
      <c r="DB140">
        <f t="shared" si="28"/>
        <v>13166.79</v>
      </c>
      <c r="DC140">
        <f t="shared" si="29"/>
        <v>260.52</v>
      </c>
    </row>
    <row r="141" spans="1:107" x14ac:dyDescent="0.2">
      <c r="A141">
        <f>ROW(Source!A541)</f>
        <v>541</v>
      </c>
      <c r="B141">
        <v>38214492</v>
      </c>
      <c r="C141">
        <v>38216455</v>
      </c>
      <c r="D141">
        <v>34880219</v>
      </c>
      <c r="E141">
        <v>1</v>
      </c>
      <c r="F141">
        <v>1</v>
      </c>
      <c r="G141">
        <v>25</v>
      </c>
      <c r="H141">
        <v>2</v>
      </c>
      <c r="I141" t="s">
        <v>425</v>
      </c>
      <c r="J141" t="s">
        <v>426</v>
      </c>
      <c r="K141" t="s">
        <v>427</v>
      </c>
      <c r="L141">
        <v>1368</v>
      </c>
      <c r="N141">
        <v>1011</v>
      </c>
      <c r="O141" t="s">
        <v>397</v>
      </c>
      <c r="P141" t="s">
        <v>397</v>
      </c>
      <c r="Q141">
        <v>1</v>
      </c>
      <c r="W141">
        <v>0</v>
      </c>
      <c r="X141">
        <v>-1995660009</v>
      </c>
      <c r="Y141">
        <v>0.52</v>
      </c>
      <c r="AA141">
        <v>0</v>
      </c>
      <c r="AB141">
        <v>5.82</v>
      </c>
      <c r="AC141">
        <v>0.02</v>
      </c>
      <c r="AD141">
        <v>0</v>
      </c>
      <c r="AE141">
        <v>0</v>
      </c>
      <c r="AF141">
        <v>5.82</v>
      </c>
      <c r="AG141">
        <v>0.02</v>
      </c>
      <c r="AH141">
        <v>0</v>
      </c>
      <c r="AI141">
        <v>1</v>
      </c>
      <c r="AJ141">
        <v>1</v>
      </c>
      <c r="AK141">
        <v>1</v>
      </c>
      <c r="AL141">
        <v>1</v>
      </c>
      <c r="AN141">
        <v>0</v>
      </c>
      <c r="AO141">
        <v>1</v>
      </c>
      <c r="AP141">
        <v>0</v>
      </c>
      <c r="AQ141">
        <v>0</v>
      </c>
      <c r="AR141">
        <v>0</v>
      </c>
      <c r="AS141" t="s">
        <v>3</v>
      </c>
      <c r="AT141">
        <v>0.52</v>
      </c>
      <c r="AU141" t="s">
        <v>3</v>
      </c>
      <c r="AV141">
        <v>0</v>
      </c>
      <c r="AW141">
        <v>2</v>
      </c>
      <c r="AX141">
        <v>38216468</v>
      </c>
      <c r="AY141">
        <v>1</v>
      </c>
      <c r="AZ141">
        <v>0</v>
      </c>
      <c r="BA141">
        <v>138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CX141">
        <f>Y141*Source!I541</f>
        <v>0.624</v>
      </c>
      <c r="CY141">
        <f>AB141</f>
        <v>5.82</v>
      </c>
      <c r="CZ141">
        <f>AF141</f>
        <v>5.82</v>
      </c>
      <c r="DA141">
        <f>AJ141</f>
        <v>1</v>
      </c>
      <c r="DB141">
        <f t="shared" si="28"/>
        <v>3.03</v>
      </c>
      <c r="DC141">
        <f t="shared" si="29"/>
        <v>0.01</v>
      </c>
    </row>
    <row r="142" spans="1:107" x14ac:dyDescent="0.2">
      <c r="A142">
        <f>ROW(Source!A541)</f>
        <v>541</v>
      </c>
      <c r="B142">
        <v>38214492</v>
      </c>
      <c r="C142">
        <v>38216455</v>
      </c>
      <c r="D142">
        <v>34879672</v>
      </c>
      <c r="E142">
        <v>1</v>
      </c>
      <c r="F142">
        <v>1</v>
      </c>
      <c r="G142">
        <v>25</v>
      </c>
      <c r="H142">
        <v>2</v>
      </c>
      <c r="I142" t="s">
        <v>428</v>
      </c>
      <c r="J142" t="s">
        <v>429</v>
      </c>
      <c r="K142" t="s">
        <v>430</v>
      </c>
      <c r="L142">
        <v>1368</v>
      </c>
      <c r="N142">
        <v>1011</v>
      </c>
      <c r="O142" t="s">
        <v>397</v>
      </c>
      <c r="P142" t="s">
        <v>397</v>
      </c>
      <c r="Q142">
        <v>1</v>
      </c>
      <c r="W142">
        <v>0</v>
      </c>
      <c r="X142">
        <v>-1119889759</v>
      </c>
      <c r="Y142">
        <v>32.909999999999997</v>
      </c>
      <c r="AA142">
        <v>0</v>
      </c>
      <c r="AB142">
        <v>10.62</v>
      </c>
      <c r="AC142">
        <v>2.82</v>
      </c>
      <c r="AD142">
        <v>0</v>
      </c>
      <c r="AE142">
        <v>0</v>
      </c>
      <c r="AF142">
        <v>10.62</v>
      </c>
      <c r="AG142">
        <v>2.82</v>
      </c>
      <c r="AH142">
        <v>0</v>
      </c>
      <c r="AI142">
        <v>1</v>
      </c>
      <c r="AJ142">
        <v>1</v>
      </c>
      <c r="AK142">
        <v>1</v>
      </c>
      <c r="AL142">
        <v>1</v>
      </c>
      <c r="AN142">
        <v>0</v>
      </c>
      <c r="AO142">
        <v>1</v>
      </c>
      <c r="AP142">
        <v>0</v>
      </c>
      <c r="AQ142">
        <v>0</v>
      </c>
      <c r="AR142">
        <v>0</v>
      </c>
      <c r="AS142" t="s">
        <v>3</v>
      </c>
      <c r="AT142">
        <v>32.909999999999997</v>
      </c>
      <c r="AU142" t="s">
        <v>3</v>
      </c>
      <c r="AV142">
        <v>0</v>
      </c>
      <c r="AW142">
        <v>2</v>
      </c>
      <c r="AX142">
        <v>38216469</v>
      </c>
      <c r="AY142">
        <v>1</v>
      </c>
      <c r="AZ142">
        <v>0</v>
      </c>
      <c r="BA142">
        <v>139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CX142">
        <f>Y142*Source!I541</f>
        <v>39.491999999999997</v>
      </c>
      <c r="CY142">
        <f>AB142</f>
        <v>10.62</v>
      </c>
      <c r="CZ142">
        <f>AF142</f>
        <v>10.62</v>
      </c>
      <c r="DA142">
        <f>AJ142</f>
        <v>1</v>
      </c>
      <c r="DB142">
        <f t="shared" si="28"/>
        <v>349.5</v>
      </c>
      <c r="DC142">
        <f t="shared" si="29"/>
        <v>92.81</v>
      </c>
    </row>
    <row r="143" spans="1:107" x14ac:dyDescent="0.2">
      <c r="A143">
        <f>ROW(Source!A541)</f>
        <v>541</v>
      </c>
      <c r="B143">
        <v>38214492</v>
      </c>
      <c r="C143">
        <v>38216455</v>
      </c>
      <c r="D143">
        <v>34879710</v>
      </c>
      <c r="E143">
        <v>1</v>
      </c>
      <c r="F143">
        <v>1</v>
      </c>
      <c r="G143">
        <v>25</v>
      </c>
      <c r="H143">
        <v>2</v>
      </c>
      <c r="I143" t="s">
        <v>431</v>
      </c>
      <c r="J143" t="s">
        <v>432</v>
      </c>
      <c r="K143" t="s">
        <v>433</v>
      </c>
      <c r="L143">
        <v>1368</v>
      </c>
      <c r="N143">
        <v>1011</v>
      </c>
      <c r="O143" t="s">
        <v>397</v>
      </c>
      <c r="P143" t="s">
        <v>397</v>
      </c>
      <c r="Q143">
        <v>1</v>
      </c>
      <c r="W143">
        <v>0</v>
      </c>
      <c r="X143">
        <v>58362116</v>
      </c>
      <c r="Y143">
        <v>5.49</v>
      </c>
      <c r="AA143">
        <v>0</v>
      </c>
      <c r="AB143">
        <v>1180.29</v>
      </c>
      <c r="AC143">
        <v>586.89</v>
      </c>
      <c r="AD143">
        <v>0</v>
      </c>
      <c r="AE143">
        <v>0</v>
      </c>
      <c r="AF143">
        <v>1180.29</v>
      </c>
      <c r="AG143">
        <v>586.89</v>
      </c>
      <c r="AH143">
        <v>0</v>
      </c>
      <c r="AI143">
        <v>1</v>
      </c>
      <c r="AJ143">
        <v>1</v>
      </c>
      <c r="AK143">
        <v>1</v>
      </c>
      <c r="AL143">
        <v>1</v>
      </c>
      <c r="AN143">
        <v>0</v>
      </c>
      <c r="AO143">
        <v>1</v>
      </c>
      <c r="AP143">
        <v>0</v>
      </c>
      <c r="AQ143">
        <v>0</v>
      </c>
      <c r="AR143">
        <v>0</v>
      </c>
      <c r="AS143" t="s">
        <v>3</v>
      </c>
      <c r="AT143">
        <v>5.49</v>
      </c>
      <c r="AU143" t="s">
        <v>3</v>
      </c>
      <c r="AV143">
        <v>0</v>
      </c>
      <c r="AW143">
        <v>2</v>
      </c>
      <c r="AX143">
        <v>38216470</v>
      </c>
      <c r="AY143">
        <v>1</v>
      </c>
      <c r="AZ143">
        <v>0</v>
      </c>
      <c r="BA143">
        <v>140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CX143">
        <f>Y143*Source!I541</f>
        <v>6.5880000000000001</v>
      </c>
      <c r="CY143">
        <f>AB143</f>
        <v>1180.29</v>
      </c>
      <c r="CZ143">
        <f>AF143</f>
        <v>1180.29</v>
      </c>
      <c r="DA143">
        <f>AJ143</f>
        <v>1</v>
      </c>
      <c r="DB143">
        <f t="shared" si="28"/>
        <v>6479.79</v>
      </c>
      <c r="DC143">
        <f t="shared" si="29"/>
        <v>3222.03</v>
      </c>
    </row>
    <row r="144" spans="1:107" x14ac:dyDescent="0.2">
      <c r="A144">
        <f>ROW(Source!A541)</f>
        <v>541</v>
      </c>
      <c r="B144">
        <v>38214492</v>
      </c>
      <c r="C144">
        <v>38216455</v>
      </c>
      <c r="D144">
        <v>34881558</v>
      </c>
      <c r="E144">
        <v>1</v>
      </c>
      <c r="F144">
        <v>1</v>
      </c>
      <c r="G144">
        <v>25</v>
      </c>
      <c r="H144">
        <v>3</v>
      </c>
      <c r="I144" t="s">
        <v>434</v>
      </c>
      <c r="J144" t="s">
        <v>435</v>
      </c>
      <c r="K144" t="s">
        <v>436</v>
      </c>
      <c r="L144">
        <v>1339</v>
      </c>
      <c r="N144">
        <v>1007</v>
      </c>
      <c r="O144" t="s">
        <v>206</v>
      </c>
      <c r="P144" t="s">
        <v>206</v>
      </c>
      <c r="Q144">
        <v>1</v>
      </c>
      <c r="W144">
        <v>0</v>
      </c>
      <c r="X144">
        <v>165829421</v>
      </c>
      <c r="Y144">
        <v>0.31</v>
      </c>
      <c r="AA144">
        <v>2248.25</v>
      </c>
      <c r="AB144">
        <v>0</v>
      </c>
      <c r="AC144">
        <v>0</v>
      </c>
      <c r="AD144">
        <v>0</v>
      </c>
      <c r="AE144">
        <v>2248.25</v>
      </c>
      <c r="AF144">
        <v>0</v>
      </c>
      <c r="AG144">
        <v>0</v>
      </c>
      <c r="AH144">
        <v>0</v>
      </c>
      <c r="AI144">
        <v>1</v>
      </c>
      <c r="AJ144">
        <v>1</v>
      </c>
      <c r="AK144">
        <v>1</v>
      </c>
      <c r="AL144">
        <v>1</v>
      </c>
      <c r="AN144">
        <v>0</v>
      </c>
      <c r="AO144">
        <v>1</v>
      </c>
      <c r="AP144">
        <v>0</v>
      </c>
      <c r="AQ144">
        <v>0</v>
      </c>
      <c r="AR144">
        <v>0</v>
      </c>
      <c r="AS144" t="s">
        <v>3</v>
      </c>
      <c r="AT144">
        <v>0.31</v>
      </c>
      <c r="AU144" t="s">
        <v>3</v>
      </c>
      <c r="AV144">
        <v>0</v>
      </c>
      <c r="AW144">
        <v>2</v>
      </c>
      <c r="AX144">
        <v>38216471</v>
      </c>
      <c r="AY144">
        <v>1</v>
      </c>
      <c r="AZ144">
        <v>0</v>
      </c>
      <c r="BA144">
        <v>141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CX144">
        <f>Y144*Source!I541</f>
        <v>0.372</v>
      </c>
      <c r="CY144">
        <f>AA144</f>
        <v>2248.25</v>
      </c>
      <c r="CZ144">
        <f>AE144</f>
        <v>2248.25</v>
      </c>
      <c r="DA144">
        <f>AI144</f>
        <v>1</v>
      </c>
      <c r="DB144">
        <f t="shared" si="28"/>
        <v>696.96</v>
      </c>
      <c r="DC144">
        <f t="shared" si="29"/>
        <v>0</v>
      </c>
    </row>
    <row r="145" spans="1:107" x14ac:dyDescent="0.2">
      <c r="A145">
        <f>ROW(Source!A541)</f>
        <v>541</v>
      </c>
      <c r="B145">
        <v>38214492</v>
      </c>
      <c r="C145">
        <v>38216455</v>
      </c>
      <c r="D145">
        <v>34882179</v>
      </c>
      <c r="E145">
        <v>1</v>
      </c>
      <c r="F145">
        <v>1</v>
      </c>
      <c r="G145">
        <v>25</v>
      </c>
      <c r="H145">
        <v>3</v>
      </c>
      <c r="I145" t="s">
        <v>412</v>
      </c>
      <c r="J145" t="s">
        <v>413</v>
      </c>
      <c r="K145" t="s">
        <v>414</v>
      </c>
      <c r="L145">
        <v>1348</v>
      </c>
      <c r="N145">
        <v>1009</v>
      </c>
      <c r="O145" t="s">
        <v>30</v>
      </c>
      <c r="P145" t="s">
        <v>30</v>
      </c>
      <c r="Q145">
        <v>1000</v>
      </c>
      <c r="W145">
        <v>0</v>
      </c>
      <c r="X145">
        <v>-475338610</v>
      </c>
      <c r="Y145">
        <v>7.0000000000000001E-3</v>
      </c>
      <c r="AA145">
        <v>110728.72</v>
      </c>
      <c r="AB145">
        <v>0</v>
      </c>
      <c r="AC145">
        <v>0</v>
      </c>
      <c r="AD145">
        <v>0</v>
      </c>
      <c r="AE145">
        <v>110728.72</v>
      </c>
      <c r="AF145">
        <v>0</v>
      </c>
      <c r="AG145">
        <v>0</v>
      </c>
      <c r="AH145">
        <v>0</v>
      </c>
      <c r="AI145">
        <v>1</v>
      </c>
      <c r="AJ145">
        <v>1</v>
      </c>
      <c r="AK145">
        <v>1</v>
      </c>
      <c r="AL145">
        <v>1</v>
      </c>
      <c r="AN145">
        <v>0</v>
      </c>
      <c r="AO145">
        <v>1</v>
      </c>
      <c r="AP145">
        <v>0</v>
      </c>
      <c r="AQ145">
        <v>0</v>
      </c>
      <c r="AR145">
        <v>0</v>
      </c>
      <c r="AS145" t="s">
        <v>3</v>
      </c>
      <c r="AT145">
        <v>7.0000000000000001E-3</v>
      </c>
      <c r="AU145" t="s">
        <v>3</v>
      </c>
      <c r="AV145">
        <v>0</v>
      </c>
      <c r="AW145">
        <v>2</v>
      </c>
      <c r="AX145">
        <v>38216472</v>
      </c>
      <c r="AY145">
        <v>1</v>
      </c>
      <c r="AZ145">
        <v>0</v>
      </c>
      <c r="BA145">
        <v>142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CX145">
        <f>Y145*Source!I541</f>
        <v>8.3999999999999995E-3</v>
      </c>
      <c r="CY145">
        <f>AA145</f>
        <v>110728.72</v>
      </c>
      <c r="CZ145">
        <f>AE145</f>
        <v>110728.72</v>
      </c>
      <c r="DA145">
        <f>AI145</f>
        <v>1</v>
      </c>
      <c r="DB145">
        <f t="shared" si="28"/>
        <v>775.1</v>
      </c>
      <c r="DC145">
        <f t="shared" si="29"/>
        <v>0</v>
      </c>
    </row>
    <row r="146" spans="1:107" x14ac:dyDescent="0.2">
      <c r="A146">
        <f>ROW(Source!A541)</f>
        <v>541</v>
      </c>
      <c r="B146">
        <v>38214492</v>
      </c>
      <c r="C146">
        <v>38216455</v>
      </c>
      <c r="D146">
        <v>34883227</v>
      </c>
      <c r="E146">
        <v>1</v>
      </c>
      <c r="F146">
        <v>1</v>
      </c>
      <c r="G146">
        <v>25</v>
      </c>
      <c r="H146">
        <v>3</v>
      </c>
      <c r="I146" t="s">
        <v>437</v>
      </c>
      <c r="J146" t="s">
        <v>438</v>
      </c>
      <c r="K146" t="s">
        <v>439</v>
      </c>
      <c r="L146">
        <v>1339</v>
      </c>
      <c r="N146">
        <v>1007</v>
      </c>
      <c r="O146" t="s">
        <v>206</v>
      </c>
      <c r="P146" t="s">
        <v>206</v>
      </c>
      <c r="Q146">
        <v>1</v>
      </c>
      <c r="W146">
        <v>0</v>
      </c>
      <c r="X146">
        <v>1929983902</v>
      </c>
      <c r="Y146">
        <v>3.25</v>
      </c>
      <c r="AA146">
        <v>4082.17</v>
      </c>
      <c r="AB146">
        <v>0</v>
      </c>
      <c r="AC146">
        <v>0</v>
      </c>
      <c r="AD146">
        <v>0</v>
      </c>
      <c r="AE146">
        <v>4082.17</v>
      </c>
      <c r="AF146">
        <v>0</v>
      </c>
      <c r="AG146">
        <v>0</v>
      </c>
      <c r="AH146">
        <v>0</v>
      </c>
      <c r="AI146">
        <v>1</v>
      </c>
      <c r="AJ146">
        <v>1</v>
      </c>
      <c r="AK146">
        <v>1</v>
      </c>
      <c r="AL146">
        <v>1</v>
      </c>
      <c r="AN146">
        <v>0</v>
      </c>
      <c r="AO146">
        <v>1</v>
      </c>
      <c r="AP146">
        <v>0</v>
      </c>
      <c r="AQ146">
        <v>0</v>
      </c>
      <c r="AR146">
        <v>0</v>
      </c>
      <c r="AS146" t="s">
        <v>3</v>
      </c>
      <c r="AT146">
        <v>3.25</v>
      </c>
      <c r="AU146" t="s">
        <v>3</v>
      </c>
      <c r="AV146">
        <v>0</v>
      </c>
      <c r="AW146">
        <v>2</v>
      </c>
      <c r="AX146">
        <v>38216473</v>
      </c>
      <c r="AY146">
        <v>1</v>
      </c>
      <c r="AZ146">
        <v>0</v>
      </c>
      <c r="BA146">
        <v>143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CX146">
        <f>Y146*Source!I541</f>
        <v>3.9</v>
      </c>
      <c r="CY146">
        <f>AA146</f>
        <v>4082.17</v>
      </c>
      <c r="CZ146">
        <f>AE146</f>
        <v>4082.17</v>
      </c>
      <c r="DA146">
        <f>AI146</f>
        <v>1</v>
      </c>
      <c r="DB146">
        <f t="shared" si="28"/>
        <v>13267.05</v>
      </c>
      <c r="DC146">
        <f t="shared" si="29"/>
        <v>0</v>
      </c>
    </row>
    <row r="147" spans="1:107" x14ac:dyDescent="0.2">
      <c r="A147">
        <f>ROW(Source!A541)</f>
        <v>541</v>
      </c>
      <c r="B147">
        <v>38214492</v>
      </c>
      <c r="C147">
        <v>38216455</v>
      </c>
      <c r="D147">
        <v>34884932</v>
      </c>
      <c r="E147">
        <v>1</v>
      </c>
      <c r="F147">
        <v>1</v>
      </c>
      <c r="G147">
        <v>25</v>
      </c>
      <c r="H147">
        <v>3</v>
      </c>
      <c r="I147" t="s">
        <v>440</v>
      </c>
      <c r="J147" t="s">
        <v>441</v>
      </c>
      <c r="K147" t="s">
        <v>442</v>
      </c>
      <c r="L147">
        <v>1301</v>
      </c>
      <c r="N147">
        <v>1003</v>
      </c>
      <c r="O147" t="s">
        <v>384</v>
      </c>
      <c r="P147" t="s">
        <v>384</v>
      </c>
      <c r="Q147">
        <v>1</v>
      </c>
      <c r="W147">
        <v>0</v>
      </c>
      <c r="X147">
        <v>-84305937</v>
      </c>
      <c r="Y147">
        <v>87</v>
      </c>
      <c r="AA147">
        <v>4886.66</v>
      </c>
      <c r="AB147">
        <v>0</v>
      </c>
      <c r="AC147">
        <v>0</v>
      </c>
      <c r="AD147">
        <v>0</v>
      </c>
      <c r="AE147">
        <v>4886.66</v>
      </c>
      <c r="AF147">
        <v>0</v>
      </c>
      <c r="AG147">
        <v>0</v>
      </c>
      <c r="AH147">
        <v>0</v>
      </c>
      <c r="AI147">
        <v>1</v>
      </c>
      <c r="AJ147">
        <v>1</v>
      </c>
      <c r="AK147">
        <v>1</v>
      </c>
      <c r="AL147">
        <v>1</v>
      </c>
      <c r="AN147">
        <v>0</v>
      </c>
      <c r="AO147">
        <v>1</v>
      </c>
      <c r="AP147">
        <v>0</v>
      </c>
      <c r="AQ147">
        <v>0</v>
      </c>
      <c r="AR147">
        <v>0</v>
      </c>
      <c r="AS147" t="s">
        <v>3</v>
      </c>
      <c r="AT147">
        <v>87</v>
      </c>
      <c r="AU147" t="s">
        <v>3</v>
      </c>
      <c r="AV147">
        <v>0</v>
      </c>
      <c r="AW147">
        <v>2</v>
      </c>
      <c r="AX147">
        <v>38216474</v>
      </c>
      <c r="AY147">
        <v>1</v>
      </c>
      <c r="AZ147">
        <v>0</v>
      </c>
      <c r="BA147">
        <v>144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CX147">
        <f>Y147*Source!I541</f>
        <v>104.39999999999999</v>
      </c>
      <c r="CY147">
        <f>AA147</f>
        <v>4886.66</v>
      </c>
      <c r="CZ147">
        <f>AE147</f>
        <v>4886.66</v>
      </c>
      <c r="DA147">
        <f>AI147</f>
        <v>1</v>
      </c>
      <c r="DB147">
        <f t="shared" si="28"/>
        <v>425139.42</v>
      </c>
      <c r="DC147">
        <f t="shared" si="29"/>
        <v>0</v>
      </c>
    </row>
    <row r="148" spans="1:107" x14ac:dyDescent="0.2">
      <c r="A148">
        <f>ROW(Source!A541)</f>
        <v>541</v>
      </c>
      <c r="B148">
        <v>38214492</v>
      </c>
      <c r="C148">
        <v>38216455</v>
      </c>
      <c r="D148">
        <v>34884933</v>
      </c>
      <c r="E148">
        <v>1</v>
      </c>
      <c r="F148">
        <v>1</v>
      </c>
      <c r="G148">
        <v>25</v>
      </c>
      <c r="H148">
        <v>3</v>
      </c>
      <c r="I148" t="s">
        <v>443</v>
      </c>
      <c r="J148" t="s">
        <v>444</v>
      </c>
      <c r="K148" t="s">
        <v>445</v>
      </c>
      <c r="L148">
        <v>1354</v>
      </c>
      <c r="N148">
        <v>1010</v>
      </c>
      <c r="O148" t="s">
        <v>123</v>
      </c>
      <c r="P148" t="s">
        <v>123</v>
      </c>
      <c r="Q148">
        <v>1</v>
      </c>
      <c r="W148">
        <v>0</v>
      </c>
      <c r="X148">
        <v>751213170</v>
      </c>
      <c r="Y148">
        <v>38</v>
      </c>
      <c r="AA148">
        <v>2843.73</v>
      </c>
      <c r="AB148">
        <v>0</v>
      </c>
      <c r="AC148">
        <v>0</v>
      </c>
      <c r="AD148">
        <v>0</v>
      </c>
      <c r="AE148">
        <v>2843.73</v>
      </c>
      <c r="AF148">
        <v>0</v>
      </c>
      <c r="AG148">
        <v>0</v>
      </c>
      <c r="AH148">
        <v>0</v>
      </c>
      <c r="AI148">
        <v>1</v>
      </c>
      <c r="AJ148">
        <v>1</v>
      </c>
      <c r="AK148">
        <v>1</v>
      </c>
      <c r="AL148">
        <v>1</v>
      </c>
      <c r="AN148">
        <v>0</v>
      </c>
      <c r="AO148">
        <v>1</v>
      </c>
      <c r="AP148">
        <v>0</v>
      </c>
      <c r="AQ148">
        <v>0</v>
      </c>
      <c r="AR148">
        <v>0</v>
      </c>
      <c r="AS148" t="s">
        <v>3</v>
      </c>
      <c r="AT148">
        <v>38</v>
      </c>
      <c r="AU148" t="s">
        <v>3</v>
      </c>
      <c r="AV148">
        <v>0</v>
      </c>
      <c r="AW148">
        <v>2</v>
      </c>
      <c r="AX148">
        <v>38216475</v>
      </c>
      <c r="AY148">
        <v>1</v>
      </c>
      <c r="AZ148">
        <v>0</v>
      </c>
      <c r="BA148">
        <v>145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CX148">
        <f>Y148*Source!I541</f>
        <v>45.6</v>
      </c>
      <c r="CY148">
        <f>AA148</f>
        <v>2843.73</v>
      </c>
      <c r="CZ148">
        <f>AE148</f>
        <v>2843.73</v>
      </c>
      <c r="DA148">
        <f>AI148</f>
        <v>1</v>
      </c>
      <c r="DB148">
        <f t="shared" si="28"/>
        <v>108061.74</v>
      </c>
      <c r="DC148">
        <f t="shared" si="29"/>
        <v>0</v>
      </c>
    </row>
    <row r="149" spans="1:107" x14ac:dyDescent="0.2">
      <c r="A149">
        <f>ROW(Source!A542)</f>
        <v>542</v>
      </c>
      <c r="B149">
        <v>38214492</v>
      </c>
      <c r="C149">
        <v>38216476</v>
      </c>
      <c r="D149">
        <v>34867259</v>
      </c>
      <c r="E149">
        <v>25</v>
      </c>
      <c r="F149">
        <v>1</v>
      </c>
      <c r="G149">
        <v>25</v>
      </c>
      <c r="H149">
        <v>1</v>
      </c>
      <c r="I149" t="s">
        <v>391</v>
      </c>
      <c r="J149" t="s">
        <v>3</v>
      </c>
      <c r="K149" t="s">
        <v>392</v>
      </c>
      <c r="L149">
        <v>1191</v>
      </c>
      <c r="N149">
        <v>1013</v>
      </c>
      <c r="O149" t="s">
        <v>393</v>
      </c>
      <c r="P149" t="s">
        <v>393</v>
      </c>
      <c r="Q149">
        <v>1</v>
      </c>
      <c r="W149">
        <v>0</v>
      </c>
      <c r="X149">
        <v>476480486</v>
      </c>
      <c r="Y149">
        <v>2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1</v>
      </c>
      <c r="AJ149">
        <v>1</v>
      </c>
      <c r="AK149">
        <v>1</v>
      </c>
      <c r="AL149">
        <v>1</v>
      </c>
      <c r="AN149">
        <v>0</v>
      </c>
      <c r="AO149">
        <v>1</v>
      </c>
      <c r="AP149">
        <v>0</v>
      </c>
      <c r="AQ149">
        <v>0</v>
      </c>
      <c r="AR149">
        <v>0</v>
      </c>
      <c r="AS149" t="s">
        <v>3</v>
      </c>
      <c r="AT149">
        <v>2</v>
      </c>
      <c r="AU149" t="s">
        <v>3</v>
      </c>
      <c r="AV149">
        <v>1</v>
      </c>
      <c r="AW149">
        <v>2</v>
      </c>
      <c r="AX149">
        <v>38216483</v>
      </c>
      <c r="AY149">
        <v>1</v>
      </c>
      <c r="AZ149">
        <v>0</v>
      </c>
      <c r="BA149">
        <v>146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CX149">
        <f>Y149*Source!I542</f>
        <v>2</v>
      </c>
      <c r="CY149">
        <f>AD149</f>
        <v>0</v>
      </c>
      <c r="CZ149">
        <f>AH149</f>
        <v>0</v>
      </c>
      <c r="DA149">
        <f>AL149</f>
        <v>1</v>
      </c>
      <c r="DB149">
        <f t="shared" si="28"/>
        <v>0</v>
      </c>
      <c r="DC149">
        <f t="shared" si="29"/>
        <v>0</v>
      </c>
    </row>
    <row r="150" spans="1:107" x14ac:dyDescent="0.2">
      <c r="A150">
        <f>ROW(Source!A542)</f>
        <v>542</v>
      </c>
      <c r="B150">
        <v>38214492</v>
      </c>
      <c r="C150">
        <v>38216476</v>
      </c>
      <c r="D150">
        <v>34879835</v>
      </c>
      <c r="E150">
        <v>1</v>
      </c>
      <c r="F150">
        <v>1</v>
      </c>
      <c r="G150">
        <v>25</v>
      </c>
      <c r="H150">
        <v>2</v>
      </c>
      <c r="I150" t="s">
        <v>446</v>
      </c>
      <c r="J150" t="s">
        <v>447</v>
      </c>
      <c r="K150" t="s">
        <v>448</v>
      </c>
      <c r="L150">
        <v>1368</v>
      </c>
      <c r="N150">
        <v>1011</v>
      </c>
      <c r="O150" t="s">
        <v>397</v>
      </c>
      <c r="P150" t="s">
        <v>397</v>
      </c>
      <c r="Q150">
        <v>1</v>
      </c>
      <c r="W150">
        <v>0</v>
      </c>
      <c r="X150">
        <v>-2014553861</v>
      </c>
      <c r="Y150">
        <v>0.2</v>
      </c>
      <c r="AA150">
        <v>0</v>
      </c>
      <c r="AB150">
        <v>55</v>
      </c>
      <c r="AC150">
        <v>0.05</v>
      </c>
      <c r="AD150">
        <v>0</v>
      </c>
      <c r="AE150">
        <v>0</v>
      </c>
      <c r="AF150">
        <v>55</v>
      </c>
      <c r="AG150">
        <v>0.05</v>
      </c>
      <c r="AH150">
        <v>0</v>
      </c>
      <c r="AI150">
        <v>1</v>
      </c>
      <c r="AJ150">
        <v>1</v>
      </c>
      <c r="AK150">
        <v>1</v>
      </c>
      <c r="AL150">
        <v>1</v>
      </c>
      <c r="AN150">
        <v>0</v>
      </c>
      <c r="AO150">
        <v>1</v>
      </c>
      <c r="AP150">
        <v>0</v>
      </c>
      <c r="AQ150">
        <v>0</v>
      </c>
      <c r="AR150">
        <v>0</v>
      </c>
      <c r="AS150" t="s">
        <v>3</v>
      </c>
      <c r="AT150">
        <v>0.2</v>
      </c>
      <c r="AU150" t="s">
        <v>3</v>
      </c>
      <c r="AV150">
        <v>0</v>
      </c>
      <c r="AW150">
        <v>2</v>
      </c>
      <c r="AX150">
        <v>38216484</v>
      </c>
      <c r="AY150">
        <v>1</v>
      </c>
      <c r="AZ150">
        <v>0</v>
      </c>
      <c r="BA150">
        <v>147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CX150">
        <f>Y150*Source!I542</f>
        <v>0.2</v>
      </c>
      <c r="CY150">
        <f>AB150</f>
        <v>55</v>
      </c>
      <c r="CZ150">
        <f>AF150</f>
        <v>55</v>
      </c>
      <c r="DA150">
        <f>AJ150</f>
        <v>1</v>
      </c>
      <c r="DB150">
        <f t="shared" si="28"/>
        <v>11</v>
      </c>
      <c r="DC150">
        <f t="shared" si="29"/>
        <v>0.01</v>
      </c>
    </row>
    <row r="151" spans="1:107" x14ac:dyDescent="0.2">
      <c r="A151">
        <f>ROW(Source!A542)</f>
        <v>542</v>
      </c>
      <c r="B151">
        <v>38214492</v>
      </c>
      <c r="C151">
        <v>38216476</v>
      </c>
      <c r="D151">
        <v>34880186</v>
      </c>
      <c r="E151">
        <v>1</v>
      </c>
      <c r="F151">
        <v>1</v>
      </c>
      <c r="G151">
        <v>25</v>
      </c>
      <c r="H151">
        <v>2</v>
      </c>
      <c r="I151" t="s">
        <v>449</v>
      </c>
      <c r="J151" t="s">
        <v>450</v>
      </c>
      <c r="K151" t="s">
        <v>451</v>
      </c>
      <c r="L151">
        <v>1368</v>
      </c>
      <c r="N151">
        <v>1011</v>
      </c>
      <c r="O151" t="s">
        <v>397</v>
      </c>
      <c r="P151" t="s">
        <v>397</v>
      </c>
      <c r="Q151">
        <v>1</v>
      </c>
      <c r="W151">
        <v>0</v>
      </c>
      <c r="X151">
        <v>499800498</v>
      </c>
      <c r="Y151">
        <v>1</v>
      </c>
      <c r="AA151">
        <v>0</v>
      </c>
      <c r="AB151">
        <v>619.44000000000005</v>
      </c>
      <c r="AC151">
        <v>393.66</v>
      </c>
      <c r="AD151">
        <v>0</v>
      </c>
      <c r="AE151">
        <v>0</v>
      </c>
      <c r="AF151">
        <v>619.44000000000005</v>
      </c>
      <c r="AG151">
        <v>393.66</v>
      </c>
      <c r="AH151">
        <v>0</v>
      </c>
      <c r="AI151">
        <v>1</v>
      </c>
      <c r="AJ151">
        <v>1</v>
      </c>
      <c r="AK151">
        <v>1</v>
      </c>
      <c r="AL151">
        <v>1</v>
      </c>
      <c r="AN151">
        <v>0</v>
      </c>
      <c r="AO151">
        <v>1</v>
      </c>
      <c r="AP151">
        <v>0</v>
      </c>
      <c r="AQ151">
        <v>0</v>
      </c>
      <c r="AR151">
        <v>0</v>
      </c>
      <c r="AS151" t="s">
        <v>3</v>
      </c>
      <c r="AT151">
        <v>1</v>
      </c>
      <c r="AU151" t="s">
        <v>3</v>
      </c>
      <c r="AV151">
        <v>0</v>
      </c>
      <c r="AW151">
        <v>2</v>
      </c>
      <c r="AX151">
        <v>38216485</v>
      </c>
      <c r="AY151">
        <v>1</v>
      </c>
      <c r="AZ151">
        <v>0</v>
      </c>
      <c r="BA151">
        <v>148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CX151">
        <f>Y151*Source!I542</f>
        <v>1</v>
      </c>
      <c r="CY151">
        <f>AB151</f>
        <v>619.44000000000005</v>
      </c>
      <c r="CZ151">
        <f>AF151</f>
        <v>619.44000000000005</v>
      </c>
      <c r="DA151">
        <f>AJ151</f>
        <v>1</v>
      </c>
      <c r="DB151">
        <f t="shared" si="28"/>
        <v>619.44000000000005</v>
      </c>
      <c r="DC151">
        <f t="shared" si="29"/>
        <v>393.66</v>
      </c>
    </row>
    <row r="152" spans="1:107" x14ac:dyDescent="0.2">
      <c r="A152">
        <f>ROW(Source!A542)</f>
        <v>542</v>
      </c>
      <c r="B152">
        <v>38214492</v>
      </c>
      <c r="C152">
        <v>38216476</v>
      </c>
      <c r="D152">
        <v>34880219</v>
      </c>
      <c r="E152">
        <v>1</v>
      </c>
      <c r="F152">
        <v>1</v>
      </c>
      <c r="G152">
        <v>25</v>
      </c>
      <c r="H152">
        <v>2</v>
      </c>
      <c r="I152" t="s">
        <v>425</v>
      </c>
      <c r="J152" t="s">
        <v>426</v>
      </c>
      <c r="K152" t="s">
        <v>427</v>
      </c>
      <c r="L152">
        <v>1368</v>
      </c>
      <c r="N152">
        <v>1011</v>
      </c>
      <c r="O152" t="s">
        <v>397</v>
      </c>
      <c r="P152" t="s">
        <v>397</v>
      </c>
      <c r="Q152">
        <v>1</v>
      </c>
      <c r="W152">
        <v>0</v>
      </c>
      <c r="X152">
        <v>-1995660009</v>
      </c>
      <c r="Y152">
        <v>0.1</v>
      </c>
      <c r="AA152">
        <v>0</v>
      </c>
      <c r="AB152">
        <v>5.82</v>
      </c>
      <c r="AC152">
        <v>0.02</v>
      </c>
      <c r="AD152">
        <v>0</v>
      </c>
      <c r="AE152">
        <v>0</v>
      </c>
      <c r="AF152">
        <v>5.82</v>
      </c>
      <c r="AG152">
        <v>0.02</v>
      </c>
      <c r="AH152">
        <v>0</v>
      </c>
      <c r="AI152">
        <v>1</v>
      </c>
      <c r="AJ152">
        <v>1</v>
      </c>
      <c r="AK152">
        <v>1</v>
      </c>
      <c r="AL152">
        <v>1</v>
      </c>
      <c r="AN152">
        <v>0</v>
      </c>
      <c r="AO152">
        <v>1</v>
      </c>
      <c r="AP152">
        <v>0</v>
      </c>
      <c r="AQ152">
        <v>0</v>
      </c>
      <c r="AR152">
        <v>0</v>
      </c>
      <c r="AS152" t="s">
        <v>3</v>
      </c>
      <c r="AT152">
        <v>0.1</v>
      </c>
      <c r="AU152" t="s">
        <v>3</v>
      </c>
      <c r="AV152">
        <v>0</v>
      </c>
      <c r="AW152">
        <v>2</v>
      </c>
      <c r="AX152">
        <v>38216486</v>
      </c>
      <c r="AY152">
        <v>1</v>
      </c>
      <c r="AZ152">
        <v>0</v>
      </c>
      <c r="BA152">
        <v>149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CX152">
        <f>Y152*Source!I542</f>
        <v>0.1</v>
      </c>
      <c r="CY152">
        <f>AB152</f>
        <v>5.82</v>
      </c>
      <c r="CZ152">
        <f>AF152</f>
        <v>5.82</v>
      </c>
      <c r="DA152">
        <f>AJ152</f>
        <v>1</v>
      </c>
      <c r="DB152">
        <f t="shared" si="28"/>
        <v>0.57999999999999996</v>
      </c>
      <c r="DC152">
        <f t="shared" si="29"/>
        <v>0</v>
      </c>
    </row>
    <row r="153" spans="1:107" x14ac:dyDescent="0.2">
      <c r="A153">
        <f>ROW(Source!A542)</f>
        <v>542</v>
      </c>
      <c r="B153">
        <v>38214492</v>
      </c>
      <c r="C153">
        <v>38216476</v>
      </c>
      <c r="D153">
        <v>34882179</v>
      </c>
      <c r="E153">
        <v>1</v>
      </c>
      <c r="F153">
        <v>1</v>
      </c>
      <c r="G153">
        <v>25</v>
      </c>
      <c r="H153">
        <v>3</v>
      </c>
      <c r="I153" t="s">
        <v>412</v>
      </c>
      <c r="J153" t="s">
        <v>413</v>
      </c>
      <c r="K153" t="s">
        <v>414</v>
      </c>
      <c r="L153">
        <v>1348</v>
      </c>
      <c r="N153">
        <v>1009</v>
      </c>
      <c r="O153" t="s">
        <v>30</v>
      </c>
      <c r="P153" t="s">
        <v>30</v>
      </c>
      <c r="Q153">
        <v>1000</v>
      </c>
      <c r="W153">
        <v>0</v>
      </c>
      <c r="X153">
        <v>-475338610</v>
      </c>
      <c r="Y153">
        <v>5.0000000000000002E-5</v>
      </c>
      <c r="AA153">
        <v>110728.72</v>
      </c>
      <c r="AB153">
        <v>0</v>
      </c>
      <c r="AC153">
        <v>0</v>
      </c>
      <c r="AD153">
        <v>0</v>
      </c>
      <c r="AE153">
        <v>110728.72</v>
      </c>
      <c r="AF153">
        <v>0</v>
      </c>
      <c r="AG153">
        <v>0</v>
      </c>
      <c r="AH153">
        <v>0</v>
      </c>
      <c r="AI153">
        <v>1</v>
      </c>
      <c r="AJ153">
        <v>1</v>
      </c>
      <c r="AK153">
        <v>1</v>
      </c>
      <c r="AL153">
        <v>1</v>
      </c>
      <c r="AN153">
        <v>0</v>
      </c>
      <c r="AO153">
        <v>1</v>
      </c>
      <c r="AP153">
        <v>0</v>
      </c>
      <c r="AQ153">
        <v>0</v>
      </c>
      <c r="AR153">
        <v>0</v>
      </c>
      <c r="AS153" t="s">
        <v>3</v>
      </c>
      <c r="AT153">
        <v>5.0000000000000002E-5</v>
      </c>
      <c r="AU153" t="s">
        <v>3</v>
      </c>
      <c r="AV153">
        <v>0</v>
      </c>
      <c r="AW153">
        <v>2</v>
      </c>
      <c r="AX153">
        <v>38216487</v>
      </c>
      <c r="AY153">
        <v>1</v>
      </c>
      <c r="AZ153">
        <v>0</v>
      </c>
      <c r="BA153">
        <v>150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CX153">
        <f>Y153*Source!I542</f>
        <v>5.0000000000000002E-5</v>
      </c>
      <c r="CY153">
        <f>AA153</f>
        <v>110728.72</v>
      </c>
      <c r="CZ153">
        <f>AE153</f>
        <v>110728.72</v>
      </c>
      <c r="DA153">
        <f>AI153</f>
        <v>1</v>
      </c>
      <c r="DB153">
        <f t="shared" si="28"/>
        <v>5.54</v>
      </c>
      <c r="DC153">
        <f t="shared" si="29"/>
        <v>0</v>
      </c>
    </row>
    <row r="154" spans="1:107" x14ac:dyDescent="0.2">
      <c r="A154">
        <f>ROW(Source!A542)</f>
        <v>542</v>
      </c>
      <c r="B154">
        <v>38214492</v>
      </c>
      <c r="C154">
        <v>38216476</v>
      </c>
      <c r="D154">
        <v>34885071</v>
      </c>
      <c r="E154">
        <v>1</v>
      </c>
      <c r="F154">
        <v>1</v>
      </c>
      <c r="G154">
        <v>25</v>
      </c>
      <c r="H154">
        <v>3</v>
      </c>
      <c r="I154" t="s">
        <v>452</v>
      </c>
      <c r="J154" t="s">
        <v>453</v>
      </c>
      <c r="K154" t="s">
        <v>454</v>
      </c>
      <c r="L154">
        <v>1354</v>
      </c>
      <c r="N154">
        <v>1010</v>
      </c>
      <c r="O154" t="s">
        <v>123</v>
      </c>
      <c r="P154" t="s">
        <v>123</v>
      </c>
      <c r="Q154">
        <v>1</v>
      </c>
      <c r="W154">
        <v>0</v>
      </c>
      <c r="X154">
        <v>-427256765</v>
      </c>
      <c r="Y154">
        <v>1</v>
      </c>
      <c r="AA154">
        <v>52.44</v>
      </c>
      <c r="AB154">
        <v>0</v>
      </c>
      <c r="AC154">
        <v>0</v>
      </c>
      <c r="AD154">
        <v>0</v>
      </c>
      <c r="AE154">
        <v>52.44</v>
      </c>
      <c r="AF154">
        <v>0</v>
      </c>
      <c r="AG154">
        <v>0</v>
      </c>
      <c r="AH154">
        <v>0</v>
      </c>
      <c r="AI154">
        <v>1</v>
      </c>
      <c r="AJ154">
        <v>1</v>
      </c>
      <c r="AK154">
        <v>1</v>
      </c>
      <c r="AL154">
        <v>1</v>
      </c>
      <c r="AN154">
        <v>0</v>
      </c>
      <c r="AO154">
        <v>1</v>
      </c>
      <c r="AP154">
        <v>0</v>
      </c>
      <c r="AQ154">
        <v>0</v>
      </c>
      <c r="AR154">
        <v>0</v>
      </c>
      <c r="AS154" t="s">
        <v>3</v>
      </c>
      <c r="AT154">
        <v>1</v>
      </c>
      <c r="AU154" t="s">
        <v>3</v>
      </c>
      <c r="AV154">
        <v>0</v>
      </c>
      <c r="AW154">
        <v>2</v>
      </c>
      <c r="AX154">
        <v>38216488</v>
      </c>
      <c r="AY154">
        <v>1</v>
      </c>
      <c r="AZ154">
        <v>0</v>
      </c>
      <c r="BA154">
        <v>151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CX154">
        <f>Y154*Source!I542</f>
        <v>1</v>
      </c>
      <c r="CY154">
        <f>AA154</f>
        <v>52.44</v>
      </c>
      <c r="CZ154">
        <f>AE154</f>
        <v>52.44</v>
      </c>
      <c r="DA154">
        <f>AI154</f>
        <v>1</v>
      </c>
      <c r="DB154">
        <f t="shared" si="28"/>
        <v>52.44</v>
      </c>
      <c r="DC154">
        <f t="shared" si="29"/>
        <v>0</v>
      </c>
    </row>
    <row r="155" spans="1:107" x14ac:dyDescent="0.2">
      <c r="A155">
        <f>ROW(Source!A544)</f>
        <v>544</v>
      </c>
      <c r="B155">
        <v>38214492</v>
      </c>
      <c r="C155">
        <v>38215257</v>
      </c>
      <c r="D155">
        <v>34867259</v>
      </c>
      <c r="E155">
        <v>25</v>
      </c>
      <c r="F155">
        <v>1</v>
      </c>
      <c r="G155">
        <v>25</v>
      </c>
      <c r="H155">
        <v>1</v>
      </c>
      <c r="I155" t="s">
        <v>391</v>
      </c>
      <c r="J155" t="s">
        <v>3</v>
      </c>
      <c r="K155" t="s">
        <v>392</v>
      </c>
      <c r="L155">
        <v>1191</v>
      </c>
      <c r="N155">
        <v>1013</v>
      </c>
      <c r="O155" t="s">
        <v>393</v>
      </c>
      <c r="P155" t="s">
        <v>393</v>
      </c>
      <c r="Q155">
        <v>1</v>
      </c>
      <c r="W155">
        <v>0</v>
      </c>
      <c r="X155">
        <v>476480486</v>
      </c>
      <c r="Y155">
        <v>340.81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1</v>
      </c>
      <c r="AJ155">
        <v>1</v>
      </c>
      <c r="AK155">
        <v>1</v>
      </c>
      <c r="AL155">
        <v>1</v>
      </c>
      <c r="AN155">
        <v>0</v>
      </c>
      <c r="AO155">
        <v>1</v>
      </c>
      <c r="AP155">
        <v>0</v>
      </c>
      <c r="AQ155">
        <v>0</v>
      </c>
      <c r="AR155">
        <v>0</v>
      </c>
      <c r="AS155" t="s">
        <v>3</v>
      </c>
      <c r="AT155">
        <v>340.81</v>
      </c>
      <c r="AU155" t="s">
        <v>3</v>
      </c>
      <c r="AV155">
        <v>1</v>
      </c>
      <c r="AW155">
        <v>2</v>
      </c>
      <c r="AX155">
        <v>38215268</v>
      </c>
      <c r="AY155">
        <v>1</v>
      </c>
      <c r="AZ155">
        <v>0</v>
      </c>
      <c r="BA155">
        <v>152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CX155">
        <f>Y155*Source!I544</f>
        <v>0</v>
      </c>
      <c r="CY155">
        <f>AD155</f>
        <v>0</v>
      </c>
      <c r="CZ155">
        <f>AH155</f>
        <v>0</v>
      </c>
      <c r="DA155">
        <f>AL155</f>
        <v>1</v>
      </c>
      <c r="DB155">
        <f t="shared" si="28"/>
        <v>0</v>
      </c>
      <c r="DC155">
        <f t="shared" si="29"/>
        <v>0</v>
      </c>
    </row>
    <row r="156" spans="1:107" x14ac:dyDescent="0.2">
      <c r="A156">
        <f>ROW(Source!A544)</f>
        <v>544</v>
      </c>
      <c r="B156">
        <v>38214492</v>
      </c>
      <c r="C156">
        <v>38215257</v>
      </c>
      <c r="D156">
        <v>34879840</v>
      </c>
      <c r="E156">
        <v>1</v>
      </c>
      <c r="F156">
        <v>1</v>
      </c>
      <c r="G156">
        <v>25</v>
      </c>
      <c r="H156">
        <v>2</v>
      </c>
      <c r="I156" t="s">
        <v>422</v>
      </c>
      <c r="J156" t="s">
        <v>423</v>
      </c>
      <c r="K156" t="s">
        <v>424</v>
      </c>
      <c r="L156">
        <v>1368</v>
      </c>
      <c r="N156">
        <v>1011</v>
      </c>
      <c r="O156" t="s">
        <v>397</v>
      </c>
      <c r="P156" t="s">
        <v>397</v>
      </c>
      <c r="Q156">
        <v>1</v>
      </c>
      <c r="W156">
        <v>0</v>
      </c>
      <c r="X156">
        <v>-1896621790</v>
      </c>
      <c r="Y156">
        <v>39</v>
      </c>
      <c r="AA156">
        <v>0</v>
      </c>
      <c r="AB156">
        <v>337.61</v>
      </c>
      <c r="AC156">
        <v>6.68</v>
      </c>
      <c r="AD156">
        <v>0</v>
      </c>
      <c r="AE156">
        <v>0</v>
      </c>
      <c r="AF156">
        <v>337.61</v>
      </c>
      <c r="AG156">
        <v>6.68</v>
      </c>
      <c r="AH156">
        <v>0</v>
      </c>
      <c r="AI156">
        <v>1</v>
      </c>
      <c r="AJ156">
        <v>1</v>
      </c>
      <c r="AK156">
        <v>1</v>
      </c>
      <c r="AL156">
        <v>1</v>
      </c>
      <c r="AN156">
        <v>0</v>
      </c>
      <c r="AO156">
        <v>1</v>
      </c>
      <c r="AP156">
        <v>0</v>
      </c>
      <c r="AQ156">
        <v>0</v>
      </c>
      <c r="AR156">
        <v>0</v>
      </c>
      <c r="AS156" t="s">
        <v>3</v>
      </c>
      <c r="AT156">
        <v>39</v>
      </c>
      <c r="AU156" t="s">
        <v>3</v>
      </c>
      <c r="AV156">
        <v>0</v>
      </c>
      <c r="AW156">
        <v>2</v>
      </c>
      <c r="AX156">
        <v>38215269</v>
      </c>
      <c r="AY156">
        <v>1</v>
      </c>
      <c r="AZ156">
        <v>0</v>
      </c>
      <c r="BA156">
        <v>153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CX156">
        <f>Y156*Source!I544</f>
        <v>0</v>
      </c>
      <c r="CY156">
        <f>AB156</f>
        <v>337.61</v>
      </c>
      <c r="CZ156">
        <f>AF156</f>
        <v>337.61</v>
      </c>
      <c r="DA156">
        <f>AJ156</f>
        <v>1</v>
      </c>
      <c r="DB156">
        <f t="shared" si="28"/>
        <v>13166.79</v>
      </c>
      <c r="DC156">
        <f t="shared" si="29"/>
        <v>260.52</v>
      </c>
    </row>
    <row r="157" spans="1:107" x14ac:dyDescent="0.2">
      <c r="A157">
        <f>ROW(Source!A544)</f>
        <v>544</v>
      </c>
      <c r="B157">
        <v>38214492</v>
      </c>
      <c r="C157">
        <v>38215257</v>
      </c>
      <c r="D157">
        <v>34880219</v>
      </c>
      <c r="E157">
        <v>1</v>
      </c>
      <c r="F157">
        <v>1</v>
      </c>
      <c r="G157">
        <v>25</v>
      </c>
      <c r="H157">
        <v>2</v>
      </c>
      <c r="I157" t="s">
        <v>425</v>
      </c>
      <c r="J157" t="s">
        <v>426</v>
      </c>
      <c r="K157" t="s">
        <v>427</v>
      </c>
      <c r="L157">
        <v>1368</v>
      </c>
      <c r="N157">
        <v>1011</v>
      </c>
      <c r="O157" t="s">
        <v>397</v>
      </c>
      <c r="P157" t="s">
        <v>397</v>
      </c>
      <c r="Q157">
        <v>1</v>
      </c>
      <c r="W157">
        <v>0</v>
      </c>
      <c r="X157">
        <v>-1995660009</v>
      </c>
      <c r="Y157">
        <v>0.52</v>
      </c>
      <c r="AA157">
        <v>0</v>
      </c>
      <c r="AB157">
        <v>5.82</v>
      </c>
      <c r="AC157">
        <v>0.02</v>
      </c>
      <c r="AD157">
        <v>0</v>
      </c>
      <c r="AE157">
        <v>0</v>
      </c>
      <c r="AF157">
        <v>5.82</v>
      </c>
      <c r="AG157">
        <v>0.02</v>
      </c>
      <c r="AH157">
        <v>0</v>
      </c>
      <c r="AI157">
        <v>1</v>
      </c>
      <c r="AJ157">
        <v>1</v>
      </c>
      <c r="AK157">
        <v>1</v>
      </c>
      <c r="AL157">
        <v>1</v>
      </c>
      <c r="AN157">
        <v>0</v>
      </c>
      <c r="AO157">
        <v>1</v>
      </c>
      <c r="AP157">
        <v>0</v>
      </c>
      <c r="AQ157">
        <v>0</v>
      </c>
      <c r="AR157">
        <v>0</v>
      </c>
      <c r="AS157" t="s">
        <v>3</v>
      </c>
      <c r="AT157">
        <v>0.52</v>
      </c>
      <c r="AU157" t="s">
        <v>3</v>
      </c>
      <c r="AV157">
        <v>0</v>
      </c>
      <c r="AW157">
        <v>2</v>
      </c>
      <c r="AX157">
        <v>38215270</v>
      </c>
      <c r="AY157">
        <v>1</v>
      </c>
      <c r="AZ157">
        <v>0</v>
      </c>
      <c r="BA157">
        <v>154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CX157">
        <f>Y157*Source!I544</f>
        <v>0</v>
      </c>
      <c r="CY157">
        <f>AB157</f>
        <v>5.82</v>
      </c>
      <c r="CZ157">
        <f>AF157</f>
        <v>5.82</v>
      </c>
      <c r="DA157">
        <f>AJ157</f>
        <v>1</v>
      </c>
      <c r="DB157">
        <f t="shared" si="28"/>
        <v>3.03</v>
      </c>
      <c r="DC157">
        <f t="shared" si="29"/>
        <v>0.01</v>
      </c>
    </row>
    <row r="158" spans="1:107" x14ac:dyDescent="0.2">
      <c r="A158">
        <f>ROW(Source!A544)</f>
        <v>544</v>
      </c>
      <c r="B158">
        <v>38214492</v>
      </c>
      <c r="C158">
        <v>38215257</v>
      </c>
      <c r="D158">
        <v>34879672</v>
      </c>
      <c r="E158">
        <v>1</v>
      </c>
      <c r="F158">
        <v>1</v>
      </c>
      <c r="G158">
        <v>25</v>
      </c>
      <c r="H158">
        <v>2</v>
      </c>
      <c r="I158" t="s">
        <v>428</v>
      </c>
      <c r="J158" t="s">
        <v>429</v>
      </c>
      <c r="K158" t="s">
        <v>430</v>
      </c>
      <c r="L158">
        <v>1368</v>
      </c>
      <c r="N158">
        <v>1011</v>
      </c>
      <c r="O158" t="s">
        <v>397</v>
      </c>
      <c r="P158" t="s">
        <v>397</v>
      </c>
      <c r="Q158">
        <v>1</v>
      </c>
      <c r="W158">
        <v>0</v>
      </c>
      <c r="X158">
        <v>-1119889759</v>
      </c>
      <c r="Y158">
        <v>32.909999999999997</v>
      </c>
      <c r="AA158">
        <v>0</v>
      </c>
      <c r="AB158">
        <v>10.62</v>
      </c>
      <c r="AC158">
        <v>2.82</v>
      </c>
      <c r="AD158">
        <v>0</v>
      </c>
      <c r="AE158">
        <v>0</v>
      </c>
      <c r="AF158">
        <v>10.62</v>
      </c>
      <c r="AG158">
        <v>2.82</v>
      </c>
      <c r="AH158">
        <v>0</v>
      </c>
      <c r="AI158">
        <v>1</v>
      </c>
      <c r="AJ158">
        <v>1</v>
      </c>
      <c r="AK158">
        <v>1</v>
      </c>
      <c r="AL158">
        <v>1</v>
      </c>
      <c r="AN158">
        <v>0</v>
      </c>
      <c r="AO158">
        <v>1</v>
      </c>
      <c r="AP158">
        <v>0</v>
      </c>
      <c r="AQ158">
        <v>0</v>
      </c>
      <c r="AR158">
        <v>0</v>
      </c>
      <c r="AS158" t="s">
        <v>3</v>
      </c>
      <c r="AT158">
        <v>32.909999999999997</v>
      </c>
      <c r="AU158" t="s">
        <v>3</v>
      </c>
      <c r="AV158">
        <v>0</v>
      </c>
      <c r="AW158">
        <v>2</v>
      </c>
      <c r="AX158">
        <v>38215271</v>
      </c>
      <c r="AY158">
        <v>1</v>
      </c>
      <c r="AZ158">
        <v>0</v>
      </c>
      <c r="BA158">
        <v>155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CX158">
        <f>Y158*Source!I544</f>
        <v>0</v>
      </c>
      <c r="CY158">
        <f>AB158</f>
        <v>10.62</v>
      </c>
      <c r="CZ158">
        <f>AF158</f>
        <v>10.62</v>
      </c>
      <c r="DA158">
        <f>AJ158</f>
        <v>1</v>
      </c>
      <c r="DB158">
        <f t="shared" si="28"/>
        <v>349.5</v>
      </c>
      <c r="DC158">
        <f t="shared" si="29"/>
        <v>92.81</v>
      </c>
    </row>
    <row r="159" spans="1:107" x14ac:dyDescent="0.2">
      <c r="A159">
        <f>ROW(Source!A544)</f>
        <v>544</v>
      </c>
      <c r="B159">
        <v>38214492</v>
      </c>
      <c r="C159">
        <v>38215257</v>
      </c>
      <c r="D159">
        <v>34879710</v>
      </c>
      <c r="E159">
        <v>1</v>
      </c>
      <c r="F159">
        <v>1</v>
      </c>
      <c r="G159">
        <v>25</v>
      </c>
      <c r="H159">
        <v>2</v>
      </c>
      <c r="I159" t="s">
        <v>431</v>
      </c>
      <c r="J159" t="s">
        <v>432</v>
      </c>
      <c r="K159" t="s">
        <v>433</v>
      </c>
      <c r="L159">
        <v>1368</v>
      </c>
      <c r="N159">
        <v>1011</v>
      </c>
      <c r="O159" t="s">
        <v>397</v>
      </c>
      <c r="P159" t="s">
        <v>397</v>
      </c>
      <c r="Q159">
        <v>1</v>
      </c>
      <c r="W159">
        <v>0</v>
      </c>
      <c r="X159">
        <v>58362116</v>
      </c>
      <c r="Y159">
        <v>5.49</v>
      </c>
      <c r="AA159">
        <v>0</v>
      </c>
      <c r="AB159">
        <v>1180.29</v>
      </c>
      <c r="AC159">
        <v>586.89</v>
      </c>
      <c r="AD159">
        <v>0</v>
      </c>
      <c r="AE159">
        <v>0</v>
      </c>
      <c r="AF159">
        <v>1180.29</v>
      </c>
      <c r="AG159">
        <v>586.89</v>
      </c>
      <c r="AH159">
        <v>0</v>
      </c>
      <c r="AI159">
        <v>1</v>
      </c>
      <c r="AJ159">
        <v>1</v>
      </c>
      <c r="AK159">
        <v>1</v>
      </c>
      <c r="AL159">
        <v>1</v>
      </c>
      <c r="AN159">
        <v>0</v>
      </c>
      <c r="AO159">
        <v>1</v>
      </c>
      <c r="AP159">
        <v>0</v>
      </c>
      <c r="AQ159">
        <v>0</v>
      </c>
      <c r="AR159">
        <v>0</v>
      </c>
      <c r="AS159" t="s">
        <v>3</v>
      </c>
      <c r="AT159">
        <v>5.49</v>
      </c>
      <c r="AU159" t="s">
        <v>3</v>
      </c>
      <c r="AV159">
        <v>0</v>
      </c>
      <c r="AW159">
        <v>2</v>
      </c>
      <c r="AX159">
        <v>38215272</v>
      </c>
      <c r="AY159">
        <v>1</v>
      </c>
      <c r="AZ159">
        <v>0</v>
      </c>
      <c r="BA159">
        <v>156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CX159">
        <f>Y159*Source!I544</f>
        <v>0</v>
      </c>
      <c r="CY159">
        <f>AB159</f>
        <v>1180.29</v>
      </c>
      <c r="CZ159">
        <f>AF159</f>
        <v>1180.29</v>
      </c>
      <c r="DA159">
        <f>AJ159</f>
        <v>1</v>
      </c>
      <c r="DB159">
        <f t="shared" si="28"/>
        <v>6479.79</v>
      </c>
      <c r="DC159">
        <f t="shared" si="29"/>
        <v>3222.03</v>
      </c>
    </row>
    <row r="160" spans="1:107" x14ac:dyDescent="0.2">
      <c r="A160">
        <f>ROW(Source!A544)</f>
        <v>544</v>
      </c>
      <c r="B160">
        <v>38214492</v>
      </c>
      <c r="C160">
        <v>38215257</v>
      </c>
      <c r="D160">
        <v>34881558</v>
      </c>
      <c r="E160">
        <v>1</v>
      </c>
      <c r="F160">
        <v>1</v>
      </c>
      <c r="G160">
        <v>25</v>
      </c>
      <c r="H160">
        <v>3</v>
      </c>
      <c r="I160" t="s">
        <v>434</v>
      </c>
      <c r="J160" t="s">
        <v>435</v>
      </c>
      <c r="K160" t="s">
        <v>436</v>
      </c>
      <c r="L160">
        <v>1339</v>
      </c>
      <c r="N160">
        <v>1007</v>
      </c>
      <c r="O160" t="s">
        <v>206</v>
      </c>
      <c r="P160" t="s">
        <v>206</v>
      </c>
      <c r="Q160">
        <v>1</v>
      </c>
      <c r="W160">
        <v>0</v>
      </c>
      <c r="X160">
        <v>165829421</v>
      </c>
      <c r="Y160">
        <v>0</v>
      </c>
      <c r="AA160">
        <v>2248.25</v>
      </c>
      <c r="AB160">
        <v>0</v>
      </c>
      <c r="AC160">
        <v>0</v>
      </c>
      <c r="AD160">
        <v>0</v>
      </c>
      <c r="AE160">
        <v>2248.25</v>
      </c>
      <c r="AF160">
        <v>0</v>
      </c>
      <c r="AG160">
        <v>0</v>
      </c>
      <c r="AH160">
        <v>0</v>
      </c>
      <c r="AI160">
        <v>1</v>
      </c>
      <c r="AJ160">
        <v>1</v>
      </c>
      <c r="AK160">
        <v>1</v>
      </c>
      <c r="AL160">
        <v>1</v>
      </c>
      <c r="AN160">
        <v>0</v>
      </c>
      <c r="AO160">
        <v>1</v>
      </c>
      <c r="AP160">
        <v>1</v>
      </c>
      <c r="AQ160">
        <v>0</v>
      </c>
      <c r="AR160">
        <v>0</v>
      </c>
      <c r="AS160" t="s">
        <v>3</v>
      </c>
      <c r="AT160">
        <v>0.31</v>
      </c>
      <c r="AU160" t="s">
        <v>32</v>
      </c>
      <c r="AV160">
        <v>0</v>
      </c>
      <c r="AW160">
        <v>2</v>
      </c>
      <c r="AX160">
        <v>38215273</v>
      </c>
      <c r="AY160">
        <v>1</v>
      </c>
      <c r="AZ160">
        <v>0</v>
      </c>
      <c r="BA160">
        <v>157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CX160">
        <f>Y160*Source!I544</f>
        <v>0</v>
      </c>
      <c r="CY160">
        <f>AA160</f>
        <v>2248.25</v>
      </c>
      <c r="CZ160">
        <f>AE160</f>
        <v>2248.25</v>
      </c>
      <c r="DA160">
        <f>AI160</f>
        <v>1</v>
      </c>
      <c r="DB160">
        <f>ROUND((ROUND(AT160*CZ160,2)*0),6)</f>
        <v>0</v>
      </c>
      <c r="DC160">
        <f>ROUND((ROUND(AT160*AG160,2)*0),6)</f>
        <v>0</v>
      </c>
    </row>
    <row r="161" spans="1:107" x14ac:dyDescent="0.2">
      <c r="A161">
        <f>ROW(Source!A544)</f>
        <v>544</v>
      </c>
      <c r="B161">
        <v>38214492</v>
      </c>
      <c r="C161">
        <v>38215257</v>
      </c>
      <c r="D161">
        <v>34882179</v>
      </c>
      <c r="E161">
        <v>1</v>
      </c>
      <c r="F161">
        <v>1</v>
      </c>
      <c r="G161">
        <v>25</v>
      </c>
      <c r="H161">
        <v>3</v>
      </c>
      <c r="I161" t="s">
        <v>412</v>
      </c>
      <c r="J161" t="s">
        <v>413</v>
      </c>
      <c r="K161" t="s">
        <v>414</v>
      </c>
      <c r="L161">
        <v>1348</v>
      </c>
      <c r="N161">
        <v>1009</v>
      </c>
      <c r="O161" t="s">
        <v>30</v>
      </c>
      <c r="P161" t="s">
        <v>30</v>
      </c>
      <c r="Q161">
        <v>1000</v>
      </c>
      <c r="W161">
        <v>0</v>
      </c>
      <c r="X161">
        <v>-475338610</v>
      </c>
      <c r="Y161">
        <v>0</v>
      </c>
      <c r="AA161">
        <v>110728.72</v>
      </c>
      <c r="AB161">
        <v>0</v>
      </c>
      <c r="AC161">
        <v>0</v>
      </c>
      <c r="AD161">
        <v>0</v>
      </c>
      <c r="AE161">
        <v>110728.72</v>
      </c>
      <c r="AF161">
        <v>0</v>
      </c>
      <c r="AG161">
        <v>0</v>
      </c>
      <c r="AH161">
        <v>0</v>
      </c>
      <c r="AI161">
        <v>1</v>
      </c>
      <c r="AJ161">
        <v>1</v>
      </c>
      <c r="AK161">
        <v>1</v>
      </c>
      <c r="AL161">
        <v>1</v>
      </c>
      <c r="AN161">
        <v>0</v>
      </c>
      <c r="AO161">
        <v>1</v>
      </c>
      <c r="AP161">
        <v>1</v>
      </c>
      <c r="AQ161">
        <v>0</v>
      </c>
      <c r="AR161">
        <v>0</v>
      </c>
      <c r="AS161" t="s">
        <v>3</v>
      </c>
      <c r="AT161">
        <v>7.0000000000000001E-3</v>
      </c>
      <c r="AU161" t="s">
        <v>32</v>
      </c>
      <c r="AV161">
        <v>0</v>
      </c>
      <c r="AW161">
        <v>2</v>
      </c>
      <c r="AX161">
        <v>38215274</v>
      </c>
      <c r="AY161">
        <v>1</v>
      </c>
      <c r="AZ161">
        <v>0</v>
      </c>
      <c r="BA161">
        <v>158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CX161">
        <f>Y161*Source!I544</f>
        <v>0</v>
      </c>
      <c r="CY161">
        <f>AA161</f>
        <v>110728.72</v>
      </c>
      <c r="CZ161">
        <f>AE161</f>
        <v>110728.72</v>
      </c>
      <c r="DA161">
        <f>AI161</f>
        <v>1</v>
      </c>
      <c r="DB161">
        <f>ROUND((ROUND(AT161*CZ161,2)*0),6)</f>
        <v>0</v>
      </c>
      <c r="DC161">
        <f>ROUND((ROUND(AT161*AG161,2)*0),6)</f>
        <v>0</v>
      </c>
    </row>
    <row r="162" spans="1:107" x14ac:dyDescent="0.2">
      <c r="A162">
        <f>ROW(Source!A544)</f>
        <v>544</v>
      </c>
      <c r="B162">
        <v>38214492</v>
      </c>
      <c r="C162">
        <v>38215257</v>
      </c>
      <c r="D162">
        <v>34883227</v>
      </c>
      <c r="E162">
        <v>1</v>
      </c>
      <c r="F162">
        <v>1</v>
      </c>
      <c r="G162">
        <v>25</v>
      </c>
      <c r="H162">
        <v>3</v>
      </c>
      <c r="I162" t="s">
        <v>437</v>
      </c>
      <c r="J162" t="s">
        <v>438</v>
      </c>
      <c r="K162" t="s">
        <v>439</v>
      </c>
      <c r="L162">
        <v>1339</v>
      </c>
      <c r="N162">
        <v>1007</v>
      </c>
      <c r="O162" t="s">
        <v>206</v>
      </c>
      <c r="P162" t="s">
        <v>206</v>
      </c>
      <c r="Q162">
        <v>1</v>
      </c>
      <c r="W162">
        <v>0</v>
      </c>
      <c r="X162">
        <v>1929983902</v>
      </c>
      <c r="Y162">
        <v>0</v>
      </c>
      <c r="AA162">
        <v>4082.17</v>
      </c>
      <c r="AB162">
        <v>0</v>
      </c>
      <c r="AC162">
        <v>0</v>
      </c>
      <c r="AD162">
        <v>0</v>
      </c>
      <c r="AE162">
        <v>4082.17</v>
      </c>
      <c r="AF162">
        <v>0</v>
      </c>
      <c r="AG162">
        <v>0</v>
      </c>
      <c r="AH162">
        <v>0</v>
      </c>
      <c r="AI162">
        <v>1</v>
      </c>
      <c r="AJ162">
        <v>1</v>
      </c>
      <c r="AK162">
        <v>1</v>
      </c>
      <c r="AL162">
        <v>1</v>
      </c>
      <c r="AN162">
        <v>0</v>
      </c>
      <c r="AO162">
        <v>1</v>
      </c>
      <c r="AP162">
        <v>1</v>
      </c>
      <c r="AQ162">
        <v>0</v>
      </c>
      <c r="AR162">
        <v>0</v>
      </c>
      <c r="AS162" t="s">
        <v>3</v>
      </c>
      <c r="AT162">
        <v>3.25</v>
      </c>
      <c r="AU162" t="s">
        <v>32</v>
      </c>
      <c r="AV162">
        <v>0</v>
      </c>
      <c r="AW162">
        <v>2</v>
      </c>
      <c r="AX162">
        <v>38215275</v>
      </c>
      <c r="AY162">
        <v>1</v>
      </c>
      <c r="AZ162">
        <v>0</v>
      </c>
      <c r="BA162">
        <v>159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CX162">
        <f>Y162*Source!I544</f>
        <v>0</v>
      </c>
      <c r="CY162">
        <f>AA162</f>
        <v>4082.17</v>
      </c>
      <c r="CZ162">
        <f>AE162</f>
        <v>4082.17</v>
      </c>
      <c r="DA162">
        <f>AI162</f>
        <v>1</v>
      </c>
      <c r="DB162">
        <f>ROUND((ROUND(AT162*CZ162,2)*0),6)</f>
        <v>0</v>
      </c>
      <c r="DC162">
        <f>ROUND((ROUND(AT162*AG162,2)*0),6)</f>
        <v>0</v>
      </c>
    </row>
    <row r="163" spans="1:107" x14ac:dyDescent="0.2">
      <c r="A163">
        <f>ROW(Source!A544)</f>
        <v>544</v>
      </c>
      <c r="B163">
        <v>38214492</v>
      </c>
      <c r="C163">
        <v>38215257</v>
      </c>
      <c r="D163">
        <v>34884932</v>
      </c>
      <c r="E163">
        <v>1</v>
      </c>
      <c r="F163">
        <v>1</v>
      </c>
      <c r="G163">
        <v>25</v>
      </c>
      <c r="H163">
        <v>3</v>
      </c>
      <c r="I163" t="s">
        <v>440</v>
      </c>
      <c r="J163" t="s">
        <v>441</v>
      </c>
      <c r="K163" t="s">
        <v>442</v>
      </c>
      <c r="L163">
        <v>1301</v>
      </c>
      <c r="N163">
        <v>1003</v>
      </c>
      <c r="O163" t="s">
        <v>384</v>
      </c>
      <c r="P163" t="s">
        <v>384</v>
      </c>
      <c r="Q163">
        <v>1</v>
      </c>
      <c r="W163">
        <v>0</v>
      </c>
      <c r="X163">
        <v>-84305937</v>
      </c>
      <c r="Y163">
        <v>0</v>
      </c>
      <c r="AA163">
        <v>4886.66</v>
      </c>
      <c r="AB163">
        <v>0</v>
      </c>
      <c r="AC163">
        <v>0</v>
      </c>
      <c r="AD163">
        <v>0</v>
      </c>
      <c r="AE163">
        <v>4886.66</v>
      </c>
      <c r="AF163">
        <v>0</v>
      </c>
      <c r="AG163">
        <v>0</v>
      </c>
      <c r="AH163">
        <v>0</v>
      </c>
      <c r="AI163">
        <v>1</v>
      </c>
      <c r="AJ163">
        <v>1</v>
      </c>
      <c r="AK163">
        <v>1</v>
      </c>
      <c r="AL163">
        <v>1</v>
      </c>
      <c r="AN163">
        <v>0</v>
      </c>
      <c r="AO163">
        <v>1</v>
      </c>
      <c r="AP163">
        <v>1</v>
      </c>
      <c r="AQ163">
        <v>0</v>
      </c>
      <c r="AR163">
        <v>0</v>
      </c>
      <c r="AS163" t="s">
        <v>3</v>
      </c>
      <c r="AT163">
        <v>87</v>
      </c>
      <c r="AU163" t="s">
        <v>32</v>
      </c>
      <c r="AV163">
        <v>0</v>
      </c>
      <c r="AW163">
        <v>2</v>
      </c>
      <c r="AX163">
        <v>38215276</v>
      </c>
      <c r="AY163">
        <v>1</v>
      </c>
      <c r="AZ163">
        <v>0</v>
      </c>
      <c r="BA163">
        <v>160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CX163">
        <f>Y163*Source!I544</f>
        <v>0</v>
      </c>
      <c r="CY163">
        <f>AA163</f>
        <v>4886.66</v>
      </c>
      <c r="CZ163">
        <f>AE163</f>
        <v>4886.66</v>
      </c>
      <c r="DA163">
        <f>AI163</f>
        <v>1</v>
      </c>
      <c r="DB163">
        <f>ROUND((ROUND(AT163*CZ163,2)*0),6)</f>
        <v>0</v>
      </c>
      <c r="DC163">
        <f>ROUND((ROUND(AT163*AG163,2)*0),6)</f>
        <v>0</v>
      </c>
    </row>
    <row r="164" spans="1:107" x14ac:dyDescent="0.2">
      <c r="A164">
        <f>ROW(Source!A544)</f>
        <v>544</v>
      </c>
      <c r="B164">
        <v>38214492</v>
      </c>
      <c r="C164">
        <v>38215257</v>
      </c>
      <c r="D164">
        <v>34884933</v>
      </c>
      <c r="E164">
        <v>1</v>
      </c>
      <c r="F164">
        <v>1</v>
      </c>
      <c r="G164">
        <v>25</v>
      </c>
      <c r="H164">
        <v>3</v>
      </c>
      <c r="I164" t="s">
        <v>443</v>
      </c>
      <c r="J164" t="s">
        <v>444</v>
      </c>
      <c r="K164" t="s">
        <v>445</v>
      </c>
      <c r="L164">
        <v>1354</v>
      </c>
      <c r="N164">
        <v>1010</v>
      </c>
      <c r="O164" t="s">
        <v>123</v>
      </c>
      <c r="P164" t="s">
        <v>123</v>
      </c>
      <c r="Q164">
        <v>1</v>
      </c>
      <c r="W164">
        <v>0</v>
      </c>
      <c r="X164">
        <v>751213170</v>
      </c>
      <c r="Y164">
        <v>0</v>
      </c>
      <c r="AA164">
        <v>2843.73</v>
      </c>
      <c r="AB164">
        <v>0</v>
      </c>
      <c r="AC164">
        <v>0</v>
      </c>
      <c r="AD164">
        <v>0</v>
      </c>
      <c r="AE164">
        <v>2843.73</v>
      </c>
      <c r="AF164">
        <v>0</v>
      </c>
      <c r="AG164">
        <v>0</v>
      </c>
      <c r="AH164">
        <v>0</v>
      </c>
      <c r="AI164">
        <v>1</v>
      </c>
      <c r="AJ164">
        <v>1</v>
      </c>
      <c r="AK164">
        <v>1</v>
      </c>
      <c r="AL164">
        <v>1</v>
      </c>
      <c r="AN164">
        <v>0</v>
      </c>
      <c r="AO164">
        <v>1</v>
      </c>
      <c r="AP164">
        <v>1</v>
      </c>
      <c r="AQ164">
        <v>0</v>
      </c>
      <c r="AR164">
        <v>0</v>
      </c>
      <c r="AS164" t="s">
        <v>3</v>
      </c>
      <c r="AT164">
        <v>38</v>
      </c>
      <c r="AU164" t="s">
        <v>32</v>
      </c>
      <c r="AV164">
        <v>0</v>
      </c>
      <c r="AW164">
        <v>2</v>
      </c>
      <c r="AX164">
        <v>38215277</v>
      </c>
      <c r="AY164">
        <v>1</v>
      </c>
      <c r="AZ164">
        <v>0</v>
      </c>
      <c r="BA164">
        <v>161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CX164">
        <f>Y164*Source!I544</f>
        <v>0</v>
      </c>
      <c r="CY164">
        <f>AA164</f>
        <v>2843.73</v>
      </c>
      <c r="CZ164">
        <f>AE164</f>
        <v>2843.73</v>
      </c>
      <c r="DA164">
        <f>AI164</f>
        <v>1</v>
      </c>
      <c r="DB164">
        <f>ROUND((ROUND(AT164*CZ164,2)*0),6)</f>
        <v>0</v>
      </c>
      <c r="DC164">
        <f>ROUND((ROUND(AT164*AG164,2)*0),6)</f>
        <v>0</v>
      </c>
    </row>
    <row r="165" spans="1:107" x14ac:dyDescent="0.2">
      <c r="A165">
        <f>ROW(Source!A582)</f>
        <v>582</v>
      </c>
      <c r="B165">
        <v>38214492</v>
      </c>
      <c r="C165">
        <v>38215336</v>
      </c>
      <c r="D165">
        <v>34867259</v>
      </c>
      <c r="E165">
        <v>25</v>
      </c>
      <c r="F165">
        <v>1</v>
      </c>
      <c r="G165">
        <v>25</v>
      </c>
      <c r="H165">
        <v>1</v>
      </c>
      <c r="I165" t="s">
        <v>391</v>
      </c>
      <c r="J165" t="s">
        <v>3</v>
      </c>
      <c r="K165" t="s">
        <v>392</v>
      </c>
      <c r="L165">
        <v>1191</v>
      </c>
      <c r="N165">
        <v>1013</v>
      </c>
      <c r="O165" t="s">
        <v>393</v>
      </c>
      <c r="P165" t="s">
        <v>393</v>
      </c>
      <c r="Q165">
        <v>1</v>
      </c>
      <c r="W165">
        <v>0</v>
      </c>
      <c r="X165">
        <v>476480486</v>
      </c>
      <c r="Y165">
        <v>3.39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1</v>
      </c>
      <c r="AJ165">
        <v>1</v>
      </c>
      <c r="AK165">
        <v>1</v>
      </c>
      <c r="AL165">
        <v>1</v>
      </c>
      <c r="AN165">
        <v>0</v>
      </c>
      <c r="AO165">
        <v>1</v>
      </c>
      <c r="AP165">
        <v>0</v>
      </c>
      <c r="AQ165">
        <v>0</v>
      </c>
      <c r="AR165">
        <v>0</v>
      </c>
      <c r="AS165" t="s">
        <v>3</v>
      </c>
      <c r="AT165">
        <v>3.39</v>
      </c>
      <c r="AU165" t="s">
        <v>3</v>
      </c>
      <c r="AV165">
        <v>1</v>
      </c>
      <c r="AW165">
        <v>2</v>
      </c>
      <c r="AX165">
        <v>38215340</v>
      </c>
      <c r="AY165">
        <v>1</v>
      </c>
      <c r="AZ165">
        <v>0</v>
      </c>
      <c r="BA165">
        <v>162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CX165">
        <f>Y165*Source!I582</f>
        <v>0.5217210000000001</v>
      </c>
      <c r="CY165">
        <f>AD165</f>
        <v>0</v>
      </c>
      <c r="CZ165">
        <f>AH165</f>
        <v>0</v>
      </c>
      <c r="DA165">
        <f>AL165</f>
        <v>1</v>
      </c>
      <c r="DB165">
        <f t="shared" ref="DB165:DB174" si="30">ROUND(ROUND(AT165*CZ165,2),6)</f>
        <v>0</v>
      </c>
      <c r="DC165">
        <f t="shared" ref="DC165:DC174" si="31">ROUND(ROUND(AT165*AG165,2),6)</f>
        <v>0</v>
      </c>
    </row>
    <row r="166" spans="1:107" x14ac:dyDescent="0.2">
      <c r="A166">
        <f>ROW(Source!A582)</f>
        <v>582</v>
      </c>
      <c r="B166">
        <v>38214492</v>
      </c>
      <c r="C166">
        <v>38215336</v>
      </c>
      <c r="D166">
        <v>34879395</v>
      </c>
      <c r="E166">
        <v>1</v>
      </c>
      <c r="F166">
        <v>1</v>
      </c>
      <c r="G166">
        <v>25</v>
      </c>
      <c r="H166">
        <v>2</v>
      </c>
      <c r="I166" t="s">
        <v>455</v>
      </c>
      <c r="J166" t="s">
        <v>456</v>
      </c>
      <c r="K166" t="s">
        <v>457</v>
      </c>
      <c r="L166">
        <v>1368</v>
      </c>
      <c r="N166">
        <v>1011</v>
      </c>
      <c r="O166" t="s">
        <v>397</v>
      </c>
      <c r="P166" t="s">
        <v>397</v>
      </c>
      <c r="Q166">
        <v>1</v>
      </c>
      <c r="W166">
        <v>0</v>
      </c>
      <c r="X166">
        <v>-1331171294</v>
      </c>
      <c r="Y166">
        <v>9.27</v>
      </c>
      <c r="AA166">
        <v>0</v>
      </c>
      <c r="AB166">
        <v>675.33</v>
      </c>
      <c r="AC166">
        <v>529.01</v>
      </c>
      <c r="AD166">
        <v>0</v>
      </c>
      <c r="AE166">
        <v>0</v>
      </c>
      <c r="AF166">
        <v>675.33</v>
      </c>
      <c r="AG166">
        <v>529.01</v>
      </c>
      <c r="AH166">
        <v>0</v>
      </c>
      <c r="AI166">
        <v>1</v>
      </c>
      <c r="AJ166">
        <v>1</v>
      </c>
      <c r="AK166">
        <v>1</v>
      </c>
      <c r="AL166">
        <v>1</v>
      </c>
      <c r="AN166">
        <v>0</v>
      </c>
      <c r="AO166">
        <v>1</v>
      </c>
      <c r="AP166">
        <v>0</v>
      </c>
      <c r="AQ166">
        <v>0</v>
      </c>
      <c r="AR166">
        <v>0</v>
      </c>
      <c r="AS166" t="s">
        <v>3</v>
      </c>
      <c r="AT166">
        <v>9.27</v>
      </c>
      <c r="AU166" t="s">
        <v>3</v>
      </c>
      <c r="AV166">
        <v>0</v>
      </c>
      <c r="AW166">
        <v>2</v>
      </c>
      <c r="AX166">
        <v>38215341</v>
      </c>
      <c r="AY166">
        <v>1</v>
      </c>
      <c r="AZ166">
        <v>0</v>
      </c>
      <c r="BA166">
        <v>163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CX166">
        <f>Y166*Source!I582</f>
        <v>1.4266529999999999</v>
      </c>
      <c r="CY166">
        <f>AB166</f>
        <v>675.33</v>
      </c>
      <c r="CZ166">
        <f>AF166</f>
        <v>675.33</v>
      </c>
      <c r="DA166">
        <f>AJ166</f>
        <v>1</v>
      </c>
      <c r="DB166">
        <f t="shared" si="30"/>
        <v>6260.31</v>
      </c>
      <c r="DC166">
        <f t="shared" si="31"/>
        <v>4903.92</v>
      </c>
    </row>
    <row r="167" spans="1:107" x14ac:dyDescent="0.2">
      <c r="A167">
        <f>ROW(Source!A582)</f>
        <v>582</v>
      </c>
      <c r="B167">
        <v>38214492</v>
      </c>
      <c r="C167">
        <v>38215336</v>
      </c>
      <c r="D167">
        <v>34879407</v>
      </c>
      <c r="E167">
        <v>1</v>
      </c>
      <c r="F167">
        <v>1</v>
      </c>
      <c r="G167">
        <v>25</v>
      </c>
      <c r="H167">
        <v>2</v>
      </c>
      <c r="I167" t="s">
        <v>458</v>
      </c>
      <c r="J167" t="s">
        <v>459</v>
      </c>
      <c r="K167" t="s">
        <v>460</v>
      </c>
      <c r="L167">
        <v>1368</v>
      </c>
      <c r="N167">
        <v>1011</v>
      </c>
      <c r="O167" t="s">
        <v>397</v>
      </c>
      <c r="P167" t="s">
        <v>397</v>
      </c>
      <c r="Q167">
        <v>1</v>
      </c>
      <c r="W167">
        <v>0</v>
      </c>
      <c r="X167">
        <v>-1073508213</v>
      </c>
      <c r="Y167">
        <v>2.12</v>
      </c>
      <c r="AA167">
        <v>0</v>
      </c>
      <c r="AB167">
        <v>923.83</v>
      </c>
      <c r="AC167">
        <v>342.06</v>
      </c>
      <c r="AD167">
        <v>0</v>
      </c>
      <c r="AE167">
        <v>0</v>
      </c>
      <c r="AF167">
        <v>923.83</v>
      </c>
      <c r="AG167">
        <v>342.06</v>
      </c>
      <c r="AH167">
        <v>0</v>
      </c>
      <c r="AI167">
        <v>1</v>
      </c>
      <c r="AJ167">
        <v>1</v>
      </c>
      <c r="AK167">
        <v>1</v>
      </c>
      <c r="AL167">
        <v>1</v>
      </c>
      <c r="AN167">
        <v>0</v>
      </c>
      <c r="AO167">
        <v>1</v>
      </c>
      <c r="AP167">
        <v>0</v>
      </c>
      <c r="AQ167">
        <v>0</v>
      </c>
      <c r="AR167">
        <v>0</v>
      </c>
      <c r="AS167" t="s">
        <v>3</v>
      </c>
      <c r="AT167">
        <v>2.12</v>
      </c>
      <c r="AU167" t="s">
        <v>3</v>
      </c>
      <c r="AV167">
        <v>0</v>
      </c>
      <c r="AW167">
        <v>2</v>
      </c>
      <c r="AX167">
        <v>38215342</v>
      </c>
      <c r="AY167">
        <v>1</v>
      </c>
      <c r="AZ167">
        <v>0</v>
      </c>
      <c r="BA167">
        <v>164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CX167">
        <f>Y167*Source!I582</f>
        <v>0.32626800000000006</v>
      </c>
      <c r="CY167">
        <f>AB167</f>
        <v>923.83</v>
      </c>
      <c r="CZ167">
        <f>AF167</f>
        <v>923.83</v>
      </c>
      <c r="DA167">
        <f>AJ167</f>
        <v>1</v>
      </c>
      <c r="DB167">
        <f t="shared" si="30"/>
        <v>1958.52</v>
      </c>
      <c r="DC167">
        <f t="shared" si="31"/>
        <v>725.17</v>
      </c>
    </row>
    <row r="168" spans="1:107" x14ac:dyDescent="0.2">
      <c r="A168">
        <f>ROW(Source!A583)</f>
        <v>583</v>
      </c>
      <c r="B168">
        <v>38214492</v>
      </c>
      <c r="C168">
        <v>38215343</v>
      </c>
      <c r="D168">
        <v>34867259</v>
      </c>
      <c r="E168">
        <v>25</v>
      </c>
      <c r="F168">
        <v>1</v>
      </c>
      <c r="G168">
        <v>25</v>
      </c>
      <c r="H168">
        <v>1</v>
      </c>
      <c r="I168" t="s">
        <v>391</v>
      </c>
      <c r="J168" t="s">
        <v>3</v>
      </c>
      <c r="K168" t="s">
        <v>392</v>
      </c>
      <c r="L168">
        <v>1191</v>
      </c>
      <c r="N168">
        <v>1013</v>
      </c>
      <c r="O168" t="s">
        <v>393</v>
      </c>
      <c r="P168" t="s">
        <v>393</v>
      </c>
      <c r="Q168">
        <v>1</v>
      </c>
      <c r="W168">
        <v>0</v>
      </c>
      <c r="X168">
        <v>476480486</v>
      </c>
      <c r="Y168">
        <v>221.6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1</v>
      </c>
      <c r="AJ168">
        <v>1</v>
      </c>
      <c r="AK168">
        <v>1</v>
      </c>
      <c r="AL168">
        <v>1</v>
      </c>
      <c r="AN168">
        <v>0</v>
      </c>
      <c r="AO168">
        <v>1</v>
      </c>
      <c r="AP168">
        <v>0</v>
      </c>
      <c r="AQ168">
        <v>0</v>
      </c>
      <c r="AR168">
        <v>0</v>
      </c>
      <c r="AS168" t="s">
        <v>3</v>
      </c>
      <c r="AT168">
        <v>221.6</v>
      </c>
      <c r="AU168" t="s">
        <v>3</v>
      </c>
      <c r="AV168">
        <v>1</v>
      </c>
      <c r="AW168">
        <v>2</v>
      </c>
      <c r="AX168">
        <v>38215345</v>
      </c>
      <c r="AY168">
        <v>1</v>
      </c>
      <c r="AZ168">
        <v>0</v>
      </c>
      <c r="BA168">
        <v>165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CX168">
        <f>Y168*Source!I583</f>
        <v>3.7893599999999998</v>
      </c>
      <c r="CY168">
        <f>AD168</f>
        <v>0</v>
      </c>
      <c r="CZ168">
        <f>AH168</f>
        <v>0</v>
      </c>
      <c r="DA168">
        <f>AL168</f>
        <v>1</v>
      </c>
      <c r="DB168">
        <f t="shared" si="30"/>
        <v>0</v>
      </c>
      <c r="DC168">
        <f t="shared" si="31"/>
        <v>0</v>
      </c>
    </row>
    <row r="169" spans="1:107" x14ac:dyDescent="0.2">
      <c r="A169">
        <f>ROW(Source!A584)</f>
        <v>584</v>
      </c>
      <c r="B169">
        <v>38214492</v>
      </c>
      <c r="C169">
        <v>38215346</v>
      </c>
      <c r="D169">
        <v>34879386</v>
      </c>
      <c r="E169">
        <v>1</v>
      </c>
      <c r="F169">
        <v>1</v>
      </c>
      <c r="G169">
        <v>25</v>
      </c>
      <c r="H169">
        <v>2</v>
      </c>
      <c r="I169" t="s">
        <v>461</v>
      </c>
      <c r="J169" t="s">
        <v>462</v>
      </c>
      <c r="K169" t="s">
        <v>463</v>
      </c>
      <c r="L169">
        <v>1368</v>
      </c>
      <c r="N169">
        <v>1011</v>
      </c>
      <c r="O169" t="s">
        <v>397</v>
      </c>
      <c r="P169" t="s">
        <v>397</v>
      </c>
      <c r="Q169">
        <v>1</v>
      </c>
      <c r="W169">
        <v>0</v>
      </c>
      <c r="X169">
        <v>-202408269</v>
      </c>
      <c r="Y169">
        <v>5.3699999999999998E-2</v>
      </c>
      <c r="AA169">
        <v>0</v>
      </c>
      <c r="AB169">
        <v>1451.71</v>
      </c>
      <c r="AC169">
        <v>457.95</v>
      </c>
      <c r="AD169">
        <v>0</v>
      </c>
      <c r="AE169">
        <v>0</v>
      </c>
      <c r="AF169">
        <v>1451.71</v>
      </c>
      <c r="AG169">
        <v>457.95</v>
      </c>
      <c r="AH169">
        <v>0</v>
      </c>
      <c r="AI169">
        <v>1</v>
      </c>
      <c r="AJ169">
        <v>1</v>
      </c>
      <c r="AK169">
        <v>1</v>
      </c>
      <c r="AL169">
        <v>1</v>
      </c>
      <c r="AN169">
        <v>0</v>
      </c>
      <c r="AO169">
        <v>1</v>
      </c>
      <c r="AP169">
        <v>0</v>
      </c>
      <c r="AQ169">
        <v>0</v>
      </c>
      <c r="AR169">
        <v>0</v>
      </c>
      <c r="AS169" t="s">
        <v>3</v>
      </c>
      <c r="AT169">
        <v>5.3699999999999998E-2</v>
      </c>
      <c r="AU169" t="s">
        <v>3</v>
      </c>
      <c r="AV169">
        <v>0</v>
      </c>
      <c r="AW169">
        <v>2</v>
      </c>
      <c r="AX169">
        <v>38215348</v>
      </c>
      <c r="AY169">
        <v>1</v>
      </c>
      <c r="AZ169">
        <v>0</v>
      </c>
      <c r="BA169">
        <v>166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CX169">
        <f>Y169*Source!I584</f>
        <v>0.41322150000000002</v>
      </c>
      <c r="CY169">
        <f>AB169</f>
        <v>1451.71</v>
      </c>
      <c r="CZ169">
        <f>AF169</f>
        <v>1451.71</v>
      </c>
      <c r="DA169">
        <f>AJ169</f>
        <v>1</v>
      </c>
      <c r="DB169">
        <f t="shared" si="30"/>
        <v>77.959999999999994</v>
      </c>
      <c r="DC169">
        <f t="shared" si="31"/>
        <v>24.59</v>
      </c>
    </row>
    <row r="170" spans="1:107" x14ac:dyDescent="0.2">
      <c r="A170">
        <f>ROW(Source!A585)</f>
        <v>585</v>
      </c>
      <c r="B170">
        <v>38214492</v>
      </c>
      <c r="C170">
        <v>38215349</v>
      </c>
      <c r="D170">
        <v>34867259</v>
      </c>
      <c r="E170">
        <v>25</v>
      </c>
      <c r="F170">
        <v>1</v>
      </c>
      <c r="G170">
        <v>25</v>
      </c>
      <c r="H170">
        <v>1</v>
      </c>
      <c r="I170" t="s">
        <v>391</v>
      </c>
      <c r="J170" t="s">
        <v>3</v>
      </c>
      <c r="K170" t="s">
        <v>392</v>
      </c>
      <c r="L170">
        <v>1191</v>
      </c>
      <c r="N170">
        <v>1013</v>
      </c>
      <c r="O170" t="s">
        <v>393</v>
      </c>
      <c r="P170" t="s">
        <v>393</v>
      </c>
      <c r="Q170">
        <v>1</v>
      </c>
      <c r="W170">
        <v>0</v>
      </c>
      <c r="X170">
        <v>476480486</v>
      </c>
      <c r="Y170">
        <v>1.02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1</v>
      </c>
      <c r="AJ170">
        <v>1</v>
      </c>
      <c r="AK170">
        <v>1</v>
      </c>
      <c r="AL170">
        <v>1</v>
      </c>
      <c r="AN170">
        <v>0</v>
      </c>
      <c r="AO170">
        <v>1</v>
      </c>
      <c r="AP170">
        <v>0</v>
      </c>
      <c r="AQ170">
        <v>0</v>
      </c>
      <c r="AR170">
        <v>0</v>
      </c>
      <c r="AS170" t="s">
        <v>3</v>
      </c>
      <c r="AT170">
        <v>1.02</v>
      </c>
      <c r="AU170" t="s">
        <v>3</v>
      </c>
      <c r="AV170">
        <v>1</v>
      </c>
      <c r="AW170">
        <v>2</v>
      </c>
      <c r="AX170">
        <v>38215351</v>
      </c>
      <c r="AY170">
        <v>1</v>
      </c>
      <c r="AZ170">
        <v>0</v>
      </c>
      <c r="BA170">
        <v>167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CX170">
        <f>Y170*Source!I585</f>
        <v>2.6162999999999998</v>
      </c>
      <c r="CY170">
        <f>AD170</f>
        <v>0</v>
      </c>
      <c r="CZ170">
        <f>AH170</f>
        <v>0</v>
      </c>
      <c r="DA170">
        <f>AL170</f>
        <v>1</v>
      </c>
      <c r="DB170">
        <f t="shared" si="30"/>
        <v>0</v>
      </c>
      <c r="DC170">
        <f t="shared" si="31"/>
        <v>0</v>
      </c>
    </row>
    <row r="171" spans="1:107" x14ac:dyDescent="0.2">
      <c r="A171">
        <f>ROW(Source!A586)</f>
        <v>586</v>
      </c>
      <c r="B171">
        <v>38214492</v>
      </c>
      <c r="C171">
        <v>38215352</v>
      </c>
      <c r="D171">
        <v>34880178</v>
      </c>
      <c r="E171">
        <v>1</v>
      </c>
      <c r="F171">
        <v>1</v>
      </c>
      <c r="G171">
        <v>25</v>
      </c>
      <c r="H171">
        <v>2</v>
      </c>
      <c r="I171" t="s">
        <v>400</v>
      </c>
      <c r="J171" t="s">
        <v>401</v>
      </c>
      <c r="K171" t="s">
        <v>402</v>
      </c>
      <c r="L171">
        <v>1368</v>
      </c>
      <c r="N171">
        <v>1011</v>
      </c>
      <c r="O171" t="s">
        <v>397</v>
      </c>
      <c r="P171" t="s">
        <v>397</v>
      </c>
      <c r="Q171">
        <v>1</v>
      </c>
      <c r="W171">
        <v>0</v>
      </c>
      <c r="X171">
        <v>468658695</v>
      </c>
      <c r="Y171">
        <v>0.02</v>
      </c>
      <c r="AA171">
        <v>0</v>
      </c>
      <c r="AB171">
        <v>952.49</v>
      </c>
      <c r="AC171">
        <v>301.5</v>
      </c>
      <c r="AD171">
        <v>0</v>
      </c>
      <c r="AE171">
        <v>0</v>
      </c>
      <c r="AF171">
        <v>952.49</v>
      </c>
      <c r="AG171">
        <v>301.5</v>
      </c>
      <c r="AH171">
        <v>0</v>
      </c>
      <c r="AI171">
        <v>1</v>
      </c>
      <c r="AJ171">
        <v>1</v>
      </c>
      <c r="AK171">
        <v>1</v>
      </c>
      <c r="AL171">
        <v>1</v>
      </c>
      <c r="AN171">
        <v>0</v>
      </c>
      <c r="AO171">
        <v>1</v>
      </c>
      <c r="AP171">
        <v>0</v>
      </c>
      <c r="AQ171">
        <v>0</v>
      </c>
      <c r="AR171">
        <v>0</v>
      </c>
      <c r="AS171" t="s">
        <v>3</v>
      </c>
      <c r="AT171">
        <v>0.02</v>
      </c>
      <c r="AU171" t="s">
        <v>3</v>
      </c>
      <c r="AV171">
        <v>0</v>
      </c>
      <c r="AW171">
        <v>2</v>
      </c>
      <c r="AX171">
        <v>38215355</v>
      </c>
      <c r="AY171">
        <v>1</v>
      </c>
      <c r="AZ171">
        <v>0</v>
      </c>
      <c r="BA171">
        <v>168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CX171">
        <f>Y171*Source!I586</f>
        <v>0.15390000000000001</v>
      </c>
      <c r="CY171">
        <f t="shared" ref="CY171:CY176" si="32">AB171</f>
        <v>952.49</v>
      </c>
      <c r="CZ171">
        <f t="shared" ref="CZ171:CZ176" si="33">AF171</f>
        <v>952.49</v>
      </c>
      <c r="DA171">
        <f t="shared" ref="DA171:DA176" si="34">AJ171</f>
        <v>1</v>
      </c>
      <c r="DB171">
        <f t="shared" si="30"/>
        <v>19.05</v>
      </c>
      <c r="DC171">
        <f t="shared" si="31"/>
        <v>6.03</v>
      </c>
    </row>
    <row r="172" spans="1:107" x14ac:dyDescent="0.2">
      <c r="A172">
        <f>ROW(Source!A586)</f>
        <v>586</v>
      </c>
      <c r="B172">
        <v>38214492</v>
      </c>
      <c r="C172">
        <v>38215352</v>
      </c>
      <c r="D172">
        <v>34880179</v>
      </c>
      <c r="E172">
        <v>1</v>
      </c>
      <c r="F172">
        <v>1</v>
      </c>
      <c r="G172">
        <v>25</v>
      </c>
      <c r="H172">
        <v>2</v>
      </c>
      <c r="I172" t="s">
        <v>403</v>
      </c>
      <c r="J172" t="s">
        <v>404</v>
      </c>
      <c r="K172" t="s">
        <v>405</v>
      </c>
      <c r="L172">
        <v>1368</v>
      </c>
      <c r="N172">
        <v>1011</v>
      </c>
      <c r="O172" t="s">
        <v>397</v>
      </c>
      <c r="P172" t="s">
        <v>397</v>
      </c>
      <c r="Q172">
        <v>1</v>
      </c>
      <c r="W172">
        <v>0</v>
      </c>
      <c r="X172">
        <v>-1546163025</v>
      </c>
      <c r="Y172">
        <v>1.7999999999999999E-2</v>
      </c>
      <c r="AA172">
        <v>0</v>
      </c>
      <c r="AB172">
        <v>993.6</v>
      </c>
      <c r="AC172">
        <v>301.8</v>
      </c>
      <c r="AD172">
        <v>0</v>
      </c>
      <c r="AE172">
        <v>0</v>
      </c>
      <c r="AF172">
        <v>993.6</v>
      </c>
      <c r="AG172">
        <v>301.8</v>
      </c>
      <c r="AH172">
        <v>0</v>
      </c>
      <c r="AI172">
        <v>1</v>
      </c>
      <c r="AJ172">
        <v>1</v>
      </c>
      <c r="AK172">
        <v>1</v>
      </c>
      <c r="AL172">
        <v>1</v>
      </c>
      <c r="AN172">
        <v>0</v>
      </c>
      <c r="AO172">
        <v>1</v>
      </c>
      <c r="AP172">
        <v>0</v>
      </c>
      <c r="AQ172">
        <v>0</v>
      </c>
      <c r="AR172">
        <v>0</v>
      </c>
      <c r="AS172" t="s">
        <v>3</v>
      </c>
      <c r="AT172">
        <v>1.7999999999999999E-2</v>
      </c>
      <c r="AU172" t="s">
        <v>3</v>
      </c>
      <c r="AV172">
        <v>0</v>
      </c>
      <c r="AW172">
        <v>2</v>
      </c>
      <c r="AX172">
        <v>38215356</v>
      </c>
      <c r="AY172">
        <v>1</v>
      </c>
      <c r="AZ172">
        <v>0</v>
      </c>
      <c r="BA172">
        <v>169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CX172">
        <f>Y172*Source!I586</f>
        <v>0.13850999999999999</v>
      </c>
      <c r="CY172">
        <f t="shared" si="32"/>
        <v>993.6</v>
      </c>
      <c r="CZ172">
        <f t="shared" si="33"/>
        <v>993.6</v>
      </c>
      <c r="DA172">
        <f t="shared" si="34"/>
        <v>1</v>
      </c>
      <c r="DB172">
        <f t="shared" si="30"/>
        <v>17.88</v>
      </c>
      <c r="DC172">
        <f t="shared" si="31"/>
        <v>5.43</v>
      </c>
    </row>
    <row r="173" spans="1:107" x14ac:dyDescent="0.2">
      <c r="A173">
        <f>ROW(Source!A587)</f>
        <v>587</v>
      </c>
      <c r="B173">
        <v>38214492</v>
      </c>
      <c r="C173">
        <v>38215357</v>
      </c>
      <c r="D173">
        <v>34880178</v>
      </c>
      <c r="E173">
        <v>1</v>
      </c>
      <c r="F173">
        <v>1</v>
      </c>
      <c r="G173">
        <v>25</v>
      </c>
      <c r="H173">
        <v>2</v>
      </c>
      <c r="I173" t="s">
        <v>400</v>
      </c>
      <c r="J173" t="s">
        <v>401</v>
      </c>
      <c r="K173" t="s">
        <v>402</v>
      </c>
      <c r="L173">
        <v>1368</v>
      </c>
      <c r="N173">
        <v>1011</v>
      </c>
      <c r="O173" t="s">
        <v>397</v>
      </c>
      <c r="P173" t="s">
        <v>397</v>
      </c>
      <c r="Q173">
        <v>1</v>
      </c>
      <c r="W173">
        <v>0</v>
      </c>
      <c r="X173">
        <v>468658695</v>
      </c>
      <c r="Y173">
        <v>5.3999999999999999E-2</v>
      </c>
      <c r="AA173">
        <v>0</v>
      </c>
      <c r="AB173">
        <v>952.49</v>
      </c>
      <c r="AC173">
        <v>301.5</v>
      </c>
      <c r="AD173">
        <v>0</v>
      </c>
      <c r="AE173">
        <v>0</v>
      </c>
      <c r="AF173">
        <v>952.49</v>
      </c>
      <c r="AG173">
        <v>301.5</v>
      </c>
      <c r="AH173">
        <v>0</v>
      </c>
      <c r="AI173">
        <v>1</v>
      </c>
      <c r="AJ173">
        <v>1</v>
      </c>
      <c r="AK173">
        <v>1</v>
      </c>
      <c r="AL173">
        <v>1</v>
      </c>
      <c r="AN173">
        <v>0</v>
      </c>
      <c r="AO173">
        <v>1</v>
      </c>
      <c r="AP173">
        <v>0</v>
      </c>
      <c r="AQ173">
        <v>0</v>
      </c>
      <c r="AR173">
        <v>0</v>
      </c>
      <c r="AS173" t="s">
        <v>3</v>
      </c>
      <c r="AT173">
        <v>5.3999999999999999E-2</v>
      </c>
      <c r="AU173" t="s">
        <v>3</v>
      </c>
      <c r="AV173">
        <v>0</v>
      </c>
      <c r="AW173">
        <v>2</v>
      </c>
      <c r="AX173">
        <v>38215360</v>
      </c>
      <c r="AY173">
        <v>1</v>
      </c>
      <c r="AZ173">
        <v>0</v>
      </c>
      <c r="BA173">
        <v>170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CX173">
        <f>Y173*Source!I587</f>
        <v>0.13850999999999999</v>
      </c>
      <c r="CY173">
        <f t="shared" si="32"/>
        <v>952.49</v>
      </c>
      <c r="CZ173">
        <f t="shared" si="33"/>
        <v>952.49</v>
      </c>
      <c r="DA173">
        <f t="shared" si="34"/>
        <v>1</v>
      </c>
      <c r="DB173">
        <f t="shared" si="30"/>
        <v>51.43</v>
      </c>
      <c r="DC173">
        <f t="shared" si="31"/>
        <v>16.28</v>
      </c>
    </row>
    <row r="174" spans="1:107" x14ac:dyDescent="0.2">
      <c r="A174">
        <f>ROW(Source!A587)</f>
        <v>587</v>
      </c>
      <c r="B174">
        <v>38214492</v>
      </c>
      <c r="C174">
        <v>38215357</v>
      </c>
      <c r="D174">
        <v>34880179</v>
      </c>
      <c r="E174">
        <v>1</v>
      </c>
      <c r="F174">
        <v>1</v>
      </c>
      <c r="G174">
        <v>25</v>
      </c>
      <c r="H174">
        <v>2</v>
      </c>
      <c r="I174" t="s">
        <v>403</v>
      </c>
      <c r="J174" t="s">
        <v>404</v>
      </c>
      <c r="K174" t="s">
        <v>405</v>
      </c>
      <c r="L174">
        <v>1368</v>
      </c>
      <c r="N174">
        <v>1011</v>
      </c>
      <c r="O174" t="s">
        <v>397</v>
      </c>
      <c r="P174" t="s">
        <v>397</v>
      </c>
      <c r="Q174">
        <v>1</v>
      </c>
      <c r="W174">
        <v>0</v>
      </c>
      <c r="X174">
        <v>-1546163025</v>
      </c>
      <c r="Y174">
        <v>5.5E-2</v>
      </c>
      <c r="AA174">
        <v>0</v>
      </c>
      <c r="AB174">
        <v>993.6</v>
      </c>
      <c r="AC174">
        <v>301.8</v>
      </c>
      <c r="AD174">
        <v>0</v>
      </c>
      <c r="AE174">
        <v>0</v>
      </c>
      <c r="AF174">
        <v>993.6</v>
      </c>
      <c r="AG174">
        <v>301.8</v>
      </c>
      <c r="AH174">
        <v>0</v>
      </c>
      <c r="AI174">
        <v>1</v>
      </c>
      <c r="AJ174">
        <v>1</v>
      </c>
      <c r="AK174">
        <v>1</v>
      </c>
      <c r="AL174">
        <v>1</v>
      </c>
      <c r="AN174">
        <v>0</v>
      </c>
      <c r="AO174">
        <v>1</v>
      </c>
      <c r="AP174">
        <v>0</v>
      </c>
      <c r="AQ174">
        <v>0</v>
      </c>
      <c r="AR174">
        <v>0</v>
      </c>
      <c r="AS174" t="s">
        <v>3</v>
      </c>
      <c r="AT174">
        <v>5.5E-2</v>
      </c>
      <c r="AU174" t="s">
        <v>3</v>
      </c>
      <c r="AV174">
        <v>0</v>
      </c>
      <c r="AW174">
        <v>2</v>
      </c>
      <c r="AX174">
        <v>38215361</v>
      </c>
      <c r="AY174">
        <v>1</v>
      </c>
      <c r="AZ174">
        <v>0</v>
      </c>
      <c r="BA174">
        <v>171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CX174">
        <f>Y174*Source!I587</f>
        <v>0.14107500000000001</v>
      </c>
      <c r="CY174">
        <f t="shared" si="32"/>
        <v>993.6</v>
      </c>
      <c r="CZ174">
        <f t="shared" si="33"/>
        <v>993.6</v>
      </c>
      <c r="DA174">
        <f t="shared" si="34"/>
        <v>1</v>
      </c>
      <c r="DB174">
        <f t="shared" si="30"/>
        <v>54.65</v>
      </c>
      <c r="DC174">
        <f t="shared" si="31"/>
        <v>16.600000000000001</v>
      </c>
    </row>
    <row r="175" spans="1:107" x14ac:dyDescent="0.2">
      <c r="A175">
        <f>ROW(Source!A588)</f>
        <v>588</v>
      </c>
      <c r="B175">
        <v>38214492</v>
      </c>
      <c r="C175">
        <v>38215362</v>
      </c>
      <c r="D175">
        <v>34880178</v>
      </c>
      <c r="E175">
        <v>1</v>
      </c>
      <c r="F175">
        <v>1</v>
      </c>
      <c r="G175">
        <v>25</v>
      </c>
      <c r="H175">
        <v>2</v>
      </c>
      <c r="I175" t="s">
        <v>400</v>
      </c>
      <c r="J175" t="s">
        <v>401</v>
      </c>
      <c r="K175" t="s">
        <v>402</v>
      </c>
      <c r="L175">
        <v>1368</v>
      </c>
      <c r="N175">
        <v>1011</v>
      </c>
      <c r="O175" t="s">
        <v>397</v>
      </c>
      <c r="P175" t="s">
        <v>397</v>
      </c>
      <c r="Q175">
        <v>1</v>
      </c>
      <c r="W175">
        <v>0</v>
      </c>
      <c r="X175">
        <v>468658695</v>
      </c>
      <c r="Y175">
        <v>0.16</v>
      </c>
      <c r="AA175">
        <v>0</v>
      </c>
      <c r="AB175">
        <v>952.49</v>
      </c>
      <c r="AC175">
        <v>301.5</v>
      </c>
      <c r="AD175">
        <v>0</v>
      </c>
      <c r="AE175">
        <v>0</v>
      </c>
      <c r="AF175">
        <v>952.49</v>
      </c>
      <c r="AG175">
        <v>301.5</v>
      </c>
      <c r="AH175">
        <v>0</v>
      </c>
      <c r="AI175">
        <v>1</v>
      </c>
      <c r="AJ175">
        <v>1</v>
      </c>
      <c r="AK175">
        <v>1</v>
      </c>
      <c r="AL175">
        <v>1</v>
      </c>
      <c r="AN175">
        <v>0</v>
      </c>
      <c r="AO175">
        <v>1</v>
      </c>
      <c r="AP175">
        <v>1</v>
      </c>
      <c r="AQ175">
        <v>0</v>
      </c>
      <c r="AR175">
        <v>0</v>
      </c>
      <c r="AS175" t="s">
        <v>3</v>
      </c>
      <c r="AT175">
        <v>0.01</v>
      </c>
      <c r="AU175" t="s">
        <v>201</v>
      </c>
      <c r="AV175">
        <v>0</v>
      </c>
      <c r="AW175">
        <v>2</v>
      </c>
      <c r="AX175">
        <v>38215365</v>
      </c>
      <c r="AY175">
        <v>1</v>
      </c>
      <c r="AZ175">
        <v>0</v>
      </c>
      <c r="BA175">
        <v>172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CX175">
        <f>Y175*Source!I588</f>
        <v>1.6415999999999999</v>
      </c>
      <c r="CY175">
        <f t="shared" si="32"/>
        <v>952.49</v>
      </c>
      <c r="CZ175">
        <f t="shared" si="33"/>
        <v>952.49</v>
      </c>
      <c r="DA175">
        <f t="shared" si="34"/>
        <v>1</v>
      </c>
      <c r="DB175">
        <f>ROUND((ROUND(AT175*CZ175,2)*16),6)</f>
        <v>152.32</v>
      </c>
      <c r="DC175">
        <f>ROUND((ROUND(AT175*AG175,2)*16),6)</f>
        <v>48.32</v>
      </c>
    </row>
    <row r="176" spans="1:107" x14ac:dyDescent="0.2">
      <c r="A176">
        <f>ROW(Source!A588)</f>
        <v>588</v>
      </c>
      <c r="B176">
        <v>38214492</v>
      </c>
      <c r="C176">
        <v>38215362</v>
      </c>
      <c r="D176">
        <v>34880179</v>
      </c>
      <c r="E176">
        <v>1</v>
      </c>
      <c r="F176">
        <v>1</v>
      </c>
      <c r="G176">
        <v>25</v>
      </c>
      <c r="H176">
        <v>2</v>
      </c>
      <c r="I176" t="s">
        <v>403</v>
      </c>
      <c r="J176" t="s">
        <v>404</v>
      </c>
      <c r="K176" t="s">
        <v>405</v>
      </c>
      <c r="L176">
        <v>1368</v>
      </c>
      <c r="N176">
        <v>1011</v>
      </c>
      <c r="O176" t="s">
        <v>397</v>
      </c>
      <c r="P176" t="s">
        <v>397</v>
      </c>
      <c r="Q176">
        <v>1</v>
      </c>
      <c r="W176">
        <v>0</v>
      </c>
      <c r="X176">
        <v>-1546163025</v>
      </c>
      <c r="Y176">
        <v>0.128</v>
      </c>
      <c r="AA176">
        <v>0</v>
      </c>
      <c r="AB176">
        <v>993.6</v>
      </c>
      <c r="AC176">
        <v>301.8</v>
      </c>
      <c r="AD176">
        <v>0</v>
      </c>
      <c r="AE176">
        <v>0</v>
      </c>
      <c r="AF176">
        <v>993.6</v>
      </c>
      <c r="AG176">
        <v>301.8</v>
      </c>
      <c r="AH176">
        <v>0</v>
      </c>
      <c r="AI176">
        <v>1</v>
      </c>
      <c r="AJ176">
        <v>1</v>
      </c>
      <c r="AK176">
        <v>1</v>
      </c>
      <c r="AL176">
        <v>1</v>
      </c>
      <c r="AN176">
        <v>0</v>
      </c>
      <c r="AO176">
        <v>1</v>
      </c>
      <c r="AP176">
        <v>1</v>
      </c>
      <c r="AQ176">
        <v>0</v>
      </c>
      <c r="AR176">
        <v>0</v>
      </c>
      <c r="AS176" t="s">
        <v>3</v>
      </c>
      <c r="AT176">
        <v>8.0000000000000002E-3</v>
      </c>
      <c r="AU176" t="s">
        <v>201</v>
      </c>
      <c r="AV176">
        <v>0</v>
      </c>
      <c r="AW176">
        <v>2</v>
      </c>
      <c r="AX176">
        <v>38215366</v>
      </c>
      <c r="AY176">
        <v>1</v>
      </c>
      <c r="AZ176">
        <v>0</v>
      </c>
      <c r="BA176">
        <v>173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CX176">
        <f>Y176*Source!I588</f>
        <v>1.31328</v>
      </c>
      <c r="CY176">
        <f t="shared" si="32"/>
        <v>993.6</v>
      </c>
      <c r="CZ176">
        <f t="shared" si="33"/>
        <v>993.6</v>
      </c>
      <c r="DA176">
        <f t="shared" si="34"/>
        <v>1</v>
      </c>
      <c r="DB176">
        <f>ROUND((ROUND(AT176*CZ176,2)*16),6)</f>
        <v>127.2</v>
      </c>
      <c r="DC176">
        <f>ROUND((ROUND(AT176*AG176,2)*16),6)</f>
        <v>38.56</v>
      </c>
    </row>
    <row r="177" spans="1:107" x14ac:dyDescent="0.2">
      <c r="A177">
        <f>ROW(Source!A593)</f>
        <v>593</v>
      </c>
      <c r="B177">
        <v>38214492</v>
      </c>
      <c r="C177">
        <v>38215371</v>
      </c>
      <c r="D177">
        <v>34867259</v>
      </c>
      <c r="E177">
        <v>25</v>
      </c>
      <c r="F177">
        <v>1</v>
      </c>
      <c r="G177">
        <v>25</v>
      </c>
      <c r="H177">
        <v>1</v>
      </c>
      <c r="I177" t="s">
        <v>391</v>
      </c>
      <c r="J177" t="s">
        <v>3</v>
      </c>
      <c r="K177" t="s">
        <v>392</v>
      </c>
      <c r="L177">
        <v>1191</v>
      </c>
      <c r="N177">
        <v>1013</v>
      </c>
      <c r="O177" t="s">
        <v>393</v>
      </c>
      <c r="P177" t="s">
        <v>393</v>
      </c>
      <c r="Q177">
        <v>1</v>
      </c>
      <c r="W177">
        <v>0</v>
      </c>
      <c r="X177">
        <v>476480486</v>
      </c>
      <c r="Y177">
        <v>16.559999999999999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1</v>
      </c>
      <c r="AJ177">
        <v>1</v>
      </c>
      <c r="AK177">
        <v>1</v>
      </c>
      <c r="AL177">
        <v>1</v>
      </c>
      <c r="AN177">
        <v>0</v>
      </c>
      <c r="AO177">
        <v>1</v>
      </c>
      <c r="AP177">
        <v>0</v>
      </c>
      <c r="AQ177">
        <v>0</v>
      </c>
      <c r="AR177">
        <v>0</v>
      </c>
      <c r="AS177" t="s">
        <v>3</v>
      </c>
      <c r="AT177">
        <v>16.559999999999999</v>
      </c>
      <c r="AU177" t="s">
        <v>3</v>
      </c>
      <c r="AV177">
        <v>1</v>
      </c>
      <c r="AW177">
        <v>2</v>
      </c>
      <c r="AX177">
        <v>38215380</v>
      </c>
      <c r="AY177">
        <v>1</v>
      </c>
      <c r="AZ177">
        <v>0</v>
      </c>
      <c r="BA177">
        <v>174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CX177">
        <f>Y177*Source!I593</f>
        <v>2.8317600000000001</v>
      </c>
      <c r="CY177">
        <f>AD177</f>
        <v>0</v>
      </c>
      <c r="CZ177">
        <f>AH177</f>
        <v>0</v>
      </c>
      <c r="DA177">
        <f>AL177</f>
        <v>1</v>
      </c>
      <c r="DB177">
        <f t="shared" ref="DB177:DB198" si="35">ROUND(ROUND(AT177*CZ177,2),6)</f>
        <v>0</v>
      </c>
      <c r="DC177">
        <f t="shared" ref="DC177:DC198" si="36">ROUND(ROUND(AT177*AG177,2),6)</f>
        <v>0</v>
      </c>
    </row>
    <row r="178" spans="1:107" x14ac:dyDescent="0.2">
      <c r="A178">
        <f>ROW(Source!A593)</f>
        <v>593</v>
      </c>
      <c r="B178">
        <v>38214492</v>
      </c>
      <c r="C178">
        <v>38215371</v>
      </c>
      <c r="D178">
        <v>34879430</v>
      </c>
      <c r="E178">
        <v>1</v>
      </c>
      <c r="F178">
        <v>1</v>
      </c>
      <c r="G178">
        <v>25</v>
      </c>
      <c r="H178">
        <v>2</v>
      </c>
      <c r="I178" t="s">
        <v>464</v>
      </c>
      <c r="J178" t="s">
        <v>465</v>
      </c>
      <c r="K178" t="s">
        <v>466</v>
      </c>
      <c r="L178">
        <v>1368</v>
      </c>
      <c r="N178">
        <v>1011</v>
      </c>
      <c r="O178" t="s">
        <v>397</v>
      </c>
      <c r="P178" t="s">
        <v>397</v>
      </c>
      <c r="Q178">
        <v>1</v>
      </c>
      <c r="W178">
        <v>0</v>
      </c>
      <c r="X178">
        <v>2063784432</v>
      </c>
      <c r="Y178">
        <v>2.08</v>
      </c>
      <c r="AA178">
        <v>0</v>
      </c>
      <c r="AB178">
        <v>1159.46</v>
      </c>
      <c r="AC178">
        <v>525.74</v>
      </c>
      <c r="AD178">
        <v>0</v>
      </c>
      <c r="AE178">
        <v>0</v>
      </c>
      <c r="AF178">
        <v>1159.46</v>
      </c>
      <c r="AG178">
        <v>525.74</v>
      </c>
      <c r="AH178">
        <v>0</v>
      </c>
      <c r="AI178">
        <v>1</v>
      </c>
      <c r="AJ178">
        <v>1</v>
      </c>
      <c r="AK178">
        <v>1</v>
      </c>
      <c r="AL178">
        <v>1</v>
      </c>
      <c r="AN178">
        <v>0</v>
      </c>
      <c r="AO178">
        <v>1</v>
      </c>
      <c r="AP178">
        <v>0</v>
      </c>
      <c r="AQ178">
        <v>0</v>
      </c>
      <c r="AR178">
        <v>0</v>
      </c>
      <c r="AS178" t="s">
        <v>3</v>
      </c>
      <c r="AT178">
        <v>2.08</v>
      </c>
      <c r="AU178" t="s">
        <v>3</v>
      </c>
      <c r="AV178">
        <v>0</v>
      </c>
      <c r="AW178">
        <v>2</v>
      </c>
      <c r="AX178">
        <v>38215381</v>
      </c>
      <c r="AY178">
        <v>1</v>
      </c>
      <c r="AZ178">
        <v>0</v>
      </c>
      <c r="BA178">
        <v>175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CX178">
        <f>Y178*Source!I593</f>
        <v>0.35568000000000005</v>
      </c>
      <c r="CY178">
        <f>AB178</f>
        <v>1159.46</v>
      </c>
      <c r="CZ178">
        <f>AF178</f>
        <v>1159.46</v>
      </c>
      <c r="DA178">
        <f>AJ178</f>
        <v>1</v>
      </c>
      <c r="DB178">
        <f t="shared" si="35"/>
        <v>2411.6799999999998</v>
      </c>
      <c r="DC178">
        <f t="shared" si="36"/>
        <v>1093.54</v>
      </c>
    </row>
    <row r="179" spans="1:107" x14ac:dyDescent="0.2">
      <c r="A179">
        <f>ROW(Source!A593)</f>
        <v>593</v>
      </c>
      <c r="B179">
        <v>38214492</v>
      </c>
      <c r="C179">
        <v>38215371</v>
      </c>
      <c r="D179">
        <v>34879585</v>
      </c>
      <c r="E179">
        <v>1</v>
      </c>
      <c r="F179">
        <v>1</v>
      </c>
      <c r="G179">
        <v>25</v>
      </c>
      <c r="H179">
        <v>2</v>
      </c>
      <c r="I179" t="s">
        <v>467</v>
      </c>
      <c r="J179" t="s">
        <v>468</v>
      </c>
      <c r="K179" t="s">
        <v>469</v>
      </c>
      <c r="L179">
        <v>1368</v>
      </c>
      <c r="N179">
        <v>1011</v>
      </c>
      <c r="O179" t="s">
        <v>397</v>
      </c>
      <c r="P179" t="s">
        <v>397</v>
      </c>
      <c r="Q179">
        <v>1</v>
      </c>
      <c r="W179">
        <v>0</v>
      </c>
      <c r="X179">
        <v>1265029398</v>
      </c>
      <c r="Y179">
        <v>2.08</v>
      </c>
      <c r="AA179">
        <v>0</v>
      </c>
      <c r="AB179">
        <v>416.25</v>
      </c>
      <c r="AC179">
        <v>204.9</v>
      </c>
      <c r="AD179">
        <v>0</v>
      </c>
      <c r="AE179">
        <v>0</v>
      </c>
      <c r="AF179">
        <v>416.25</v>
      </c>
      <c r="AG179">
        <v>204.9</v>
      </c>
      <c r="AH179">
        <v>0</v>
      </c>
      <c r="AI179">
        <v>1</v>
      </c>
      <c r="AJ179">
        <v>1</v>
      </c>
      <c r="AK179">
        <v>1</v>
      </c>
      <c r="AL179">
        <v>1</v>
      </c>
      <c r="AN179">
        <v>0</v>
      </c>
      <c r="AO179">
        <v>1</v>
      </c>
      <c r="AP179">
        <v>0</v>
      </c>
      <c r="AQ179">
        <v>0</v>
      </c>
      <c r="AR179">
        <v>0</v>
      </c>
      <c r="AS179" t="s">
        <v>3</v>
      </c>
      <c r="AT179">
        <v>2.08</v>
      </c>
      <c r="AU179" t="s">
        <v>3</v>
      </c>
      <c r="AV179">
        <v>0</v>
      </c>
      <c r="AW179">
        <v>2</v>
      </c>
      <c r="AX179">
        <v>38215382</v>
      </c>
      <c r="AY179">
        <v>1</v>
      </c>
      <c r="AZ179">
        <v>0</v>
      </c>
      <c r="BA179">
        <v>176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CX179">
        <f>Y179*Source!I593</f>
        <v>0.35568000000000005</v>
      </c>
      <c r="CY179">
        <f>AB179</f>
        <v>416.25</v>
      </c>
      <c r="CZ179">
        <f>AF179</f>
        <v>416.25</v>
      </c>
      <c r="DA179">
        <f>AJ179</f>
        <v>1</v>
      </c>
      <c r="DB179">
        <f t="shared" si="35"/>
        <v>865.8</v>
      </c>
      <c r="DC179">
        <f t="shared" si="36"/>
        <v>426.19</v>
      </c>
    </row>
    <row r="180" spans="1:107" x14ac:dyDescent="0.2">
      <c r="A180">
        <f>ROW(Source!A593)</f>
        <v>593</v>
      </c>
      <c r="B180">
        <v>38214492</v>
      </c>
      <c r="C180">
        <v>38215371</v>
      </c>
      <c r="D180">
        <v>34879588</v>
      </c>
      <c r="E180">
        <v>1</v>
      </c>
      <c r="F180">
        <v>1</v>
      </c>
      <c r="G180">
        <v>25</v>
      </c>
      <c r="H180">
        <v>2</v>
      </c>
      <c r="I180" t="s">
        <v>470</v>
      </c>
      <c r="J180" t="s">
        <v>471</v>
      </c>
      <c r="K180" t="s">
        <v>472</v>
      </c>
      <c r="L180">
        <v>1368</v>
      </c>
      <c r="N180">
        <v>1011</v>
      </c>
      <c r="O180" t="s">
        <v>397</v>
      </c>
      <c r="P180" t="s">
        <v>397</v>
      </c>
      <c r="Q180">
        <v>1</v>
      </c>
      <c r="W180">
        <v>0</v>
      </c>
      <c r="X180">
        <v>-1802121576</v>
      </c>
      <c r="Y180">
        <v>0.81</v>
      </c>
      <c r="AA180">
        <v>0</v>
      </c>
      <c r="AB180">
        <v>1942.21</v>
      </c>
      <c r="AC180">
        <v>436.39</v>
      </c>
      <c r="AD180">
        <v>0</v>
      </c>
      <c r="AE180">
        <v>0</v>
      </c>
      <c r="AF180">
        <v>1942.21</v>
      </c>
      <c r="AG180">
        <v>436.39</v>
      </c>
      <c r="AH180">
        <v>0</v>
      </c>
      <c r="AI180">
        <v>1</v>
      </c>
      <c r="AJ180">
        <v>1</v>
      </c>
      <c r="AK180">
        <v>1</v>
      </c>
      <c r="AL180">
        <v>1</v>
      </c>
      <c r="AN180">
        <v>0</v>
      </c>
      <c r="AO180">
        <v>1</v>
      </c>
      <c r="AP180">
        <v>0</v>
      </c>
      <c r="AQ180">
        <v>0</v>
      </c>
      <c r="AR180">
        <v>0</v>
      </c>
      <c r="AS180" t="s">
        <v>3</v>
      </c>
      <c r="AT180">
        <v>0.81</v>
      </c>
      <c r="AU180" t="s">
        <v>3</v>
      </c>
      <c r="AV180">
        <v>0</v>
      </c>
      <c r="AW180">
        <v>2</v>
      </c>
      <c r="AX180">
        <v>38215383</v>
      </c>
      <c r="AY180">
        <v>1</v>
      </c>
      <c r="AZ180">
        <v>0</v>
      </c>
      <c r="BA180">
        <v>177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CX180">
        <f>Y180*Source!I593</f>
        <v>0.13851000000000002</v>
      </c>
      <c r="CY180">
        <f>AB180</f>
        <v>1942.21</v>
      </c>
      <c r="CZ180">
        <f>AF180</f>
        <v>1942.21</v>
      </c>
      <c r="DA180">
        <f>AJ180</f>
        <v>1</v>
      </c>
      <c r="DB180">
        <f t="shared" si="35"/>
        <v>1573.19</v>
      </c>
      <c r="DC180">
        <f t="shared" si="36"/>
        <v>353.48</v>
      </c>
    </row>
    <row r="181" spans="1:107" x14ac:dyDescent="0.2">
      <c r="A181">
        <f>ROW(Source!A593)</f>
        <v>593</v>
      </c>
      <c r="B181">
        <v>38214492</v>
      </c>
      <c r="C181">
        <v>38215371</v>
      </c>
      <c r="D181">
        <v>34879612</v>
      </c>
      <c r="E181">
        <v>1</v>
      </c>
      <c r="F181">
        <v>1</v>
      </c>
      <c r="G181">
        <v>25</v>
      </c>
      <c r="H181">
        <v>2</v>
      </c>
      <c r="I181" t="s">
        <v>473</v>
      </c>
      <c r="J181" t="s">
        <v>474</v>
      </c>
      <c r="K181" t="s">
        <v>475</v>
      </c>
      <c r="L181">
        <v>1368</v>
      </c>
      <c r="N181">
        <v>1011</v>
      </c>
      <c r="O181" t="s">
        <v>397</v>
      </c>
      <c r="P181" t="s">
        <v>397</v>
      </c>
      <c r="Q181">
        <v>1</v>
      </c>
      <c r="W181">
        <v>0</v>
      </c>
      <c r="X181">
        <v>-1453001133</v>
      </c>
      <c r="Y181">
        <v>1.94</v>
      </c>
      <c r="AA181">
        <v>0</v>
      </c>
      <c r="AB181">
        <v>1364.77</v>
      </c>
      <c r="AC181">
        <v>610.30999999999995</v>
      </c>
      <c r="AD181">
        <v>0</v>
      </c>
      <c r="AE181">
        <v>0</v>
      </c>
      <c r="AF181">
        <v>1364.77</v>
      </c>
      <c r="AG181">
        <v>610.30999999999995</v>
      </c>
      <c r="AH181">
        <v>0</v>
      </c>
      <c r="AI181">
        <v>1</v>
      </c>
      <c r="AJ181">
        <v>1</v>
      </c>
      <c r="AK181">
        <v>1</v>
      </c>
      <c r="AL181">
        <v>1</v>
      </c>
      <c r="AN181">
        <v>0</v>
      </c>
      <c r="AO181">
        <v>1</v>
      </c>
      <c r="AP181">
        <v>0</v>
      </c>
      <c r="AQ181">
        <v>0</v>
      </c>
      <c r="AR181">
        <v>0</v>
      </c>
      <c r="AS181" t="s">
        <v>3</v>
      </c>
      <c r="AT181">
        <v>1.94</v>
      </c>
      <c r="AU181" t="s">
        <v>3</v>
      </c>
      <c r="AV181">
        <v>0</v>
      </c>
      <c r="AW181">
        <v>2</v>
      </c>
      <c r="AX181">
        <v>38215384</v>
      </c>
      <c r="AY181">
        <v>1</v>
      </c>
      <c r="AZ181">
        <v>0</v>
      </c>
      <c r="BA181">
        <v>178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CX181">
        <f>Y181*Source!I593</f>
        <v>0.33174000000000003</v>
      </c>
      <c r="CY181">
        <f>AB181</f>
        <v>1364.77</v>
      </c>
      <c r="CZ181">
        <f>AF181</f>
        <v>1364.77</v>
      </c>
      <c r="DA181">
        <f>AJ181</f>
        <v>1</v>
      </c>
      <c r="DB181">
        <f t="shared" si="35"/>
        <v>2647.65</v>
      </c>
      <c r="DC181">
        <f t="shared" si="36"/>
        <v>1184</v>
      </c>
    </row>
    <row r="182" spans="1:107" x14ac:dyDescent="0.2">
      <c r="A182">
        <f>ROW(Source!A593)</f>
        <v>593</v>
      </c>
      <c r="B182">
        <v>38214492</v>
      </c>
      <c r="C182">
        <v>38215371</v>
      </c>
      <c r="D182">
        <v>34879578</v>
      </c>
      <c r="E182">
        <v>1</v>
      </c>
      <c r="F182">
        <v>1</v>
      </c>
      <c r="G182">
        <v>25</v>
      </c>
      <c r="H182">
        <v>2</v>
      </c>
      <c r="I182" t="s">
        <v>476</v>
      </c>
      <c r="J182" t="s">
        <v>477</v>
      </c>
      <c r="K182" t="s">
        <v>478</v>
      </c>
      <c r="L182">
        <v>1368</v>
      </c>
      <c r="N182">
        <v>1011</v>
      </c>
      <c r="O182" t="s">
        <v>397</v>
      </c>
      <c r="P182" t="s">
        <v>397</v>
      </c>
      <c r="Q182">
        <v>1</v>
      </c>
      <c r="W182">
        <v>0</v>
      </c>
      <c r="X182">
        <v>393556487</v>
      </c>
      <c r="Y182">
        <v>0.65</v>
      </c>
      <c r="AA182">
        <v>0</v>
      </c>
      <c r="AB182">
        <v>1179.56</v>
      </c>
      <c r="AC182">
        <v>439.28</v>
      </c>
      <c r="AD182">
        <v>0</v>
      </c>
      <c r="AE182">
        <v>0</v>
      </c>
      <c r="AF182">
        <v>1179.56</v>
      </c>
      <c r="AG182">
        <v>439.28</v>
      </c>
      <c r="AH182">
        <v>0</v>
      </c>
      <c r="AI182">
        <v>1</v>
      </c>
      <c r="AJ182">
        <v>1</v>
      </c>
      <c r="AK182">
        <v>1</v>
      </c>
      <c r="AL182">
        <v>1</v>
      </c>
      <c r="AN182">
        <v>0</v>
      </c>
      <c r="AO182">
        <v>1</v>
      </c>
      <c r="AP182">
        <v>0</v>
      </c>
      <c r="AQ182">
        <v>0</v>
      </c>
      <c r="AR182">
        <v>0</v>
      </c>
      <c r="AS182" t="s">
        <v>3</v>
      </c>
      <c r="AT182">
        <v>0.65</v>
      </c>
      <c r="AU182" t="s">
        <v>3</v>
      </c>
      <c r="AV182">
        <v>0</v>
      </c>
      <c r="AW182">
        <v>2</v>
      </c>
      <c r="AX182">
        <v>38215385</v>
      </c>
      <c r="AY182">
        <v>1</v>
      </c>
      <c r="AZ182">
        <v>0</v>
      </c>
      <c r="BA182">
        <v>179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CX182">
        <f>Y182*Source!I593</f>
        <v>0.11115000000000001</v>
      </c>
      <c r="CY182">
        <f>AB182</f>
        <v>1179.56</v>
      </c>
      <c r="CZ182">
        <f>AF182</f>
        <v>1179.56</v>
      </c>
      <c r="DA182">
        <f>AJ182</f>
        <v>1</v>
      </c>
      <c r="DB182">
        <f t="shared" si="35"/>
        <v>766.71</v>
      </c>
      <c r="DC182">
        <f t="shared" si="36"/>
        <v>285.52999999999997</v>
      </c>
    </row>
    <row r="183" spans="1:107" x14ac:dyDescent="0.2">
      <c r="A183">
        <f>ROW(Source!A593)</f>
        <v>593</v>
      </c>
      <c r="B183">
        <v>38214492</v>
      </c>
      <c r="C183">
        <v>38215371</v>
      </c>
      <c r="D183">
        <v>34881527</v>
      </c>
      <c r="E183">
        <v>1</v>
      </c>
      <c r="F183">
        <v>1</v>
      </c>
      <c r="G183">
        <v>25</v>
      </c>
      <c r="H183">
        <v>3</v>
      </c>
      <c r="I183" t="s">
        <v>479</v>
      </c>
      <c r="J183" t="s">
        <v>480</v>
      </c>
      <c r="K183" t="s">
        <v>481</v>
      </c>
      <c r="L183">
        <v>1339</v>
      </c>
      <c r="N183">
        <v>1007</v>
      </c>
      <c r="O183" t="s">
        <v>206</v>
      </c>
      <c r="P183" t="s">
        <v>206</v>
      </c>
      <c r="Q183">
        <v>1</v>
      </c>
      <c r="W183">
        <v>0</v>
      </c>
      <c r="X183">
        <v>189307774</v>
      </c>
      <c r="Y183">
        <v>110</v>
      </c>
      <c r="AA183">
        <v>590.78</v>
      </c>
      <c r="AB183">
        <v>0</v>
      </c>
      <c r="AC183">
        <v>0</v>
      </c>
      <c r="AD183">
        <v>0</v>
      </c>
      <c r="AE183">
        <v>590.78</v>
      </c>
      <c r="AF183">
        <v>0</v>
      </c>
      <c r="AG183">
        <v>0</v>
      </c>
      <c r="AH183">
        <v>0</v>
      </c>
      <c r="AI183">
        <v>1</v>
      </c>
      <c r="AJ183">
        <v>1</v>
      </c>
      <c r="AK183">
        <v>1</v>
      </c>
      <c r="AL183">
        <v>1</v>
      </c>
      <c r="AN183">
        <v>0</v>
      </c>
      <c r="AO183">
        <v>1</v>
      </c>
      <c r="AP183">
        <v>0</v>
      </c>
      <c r="AQ183">
        <v>0</v>
      </c>
      <c r="AR183">
        <v>0</v>
      </c>
      <c r="AS183" t="s">
        <v>3</v>
      </c>
      <c r="AT183">
        <v>110</v>
      </c>
      <c r="AU183" t="s">
        <v>3</v>
      </c>
      <c r="AV183">
        <v>0</v>
      </c>
      <c r="AW183">
        <v>2</v>
      </c>
      <c r="AX183">
        <v>38215386</v>
      </c>
      <c r="AY183">
        <v>1</v>
      </c>
      <c r="AZ183">
        <v>0</v>
      </c>
      <c r="BA183">
        <v>180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CX183">
        <f>Y183*Source!I593</f>
        <v>18.810000000000002</v>
      </c>
      <c r="CY183">
        <f>AA183</f>
        <v>590.78</v>
      </c>
      <c r="CZ183">
        <f>AE183</f>
        <v>590.78</v>
      </c>
      <c r="DA183">
        <f>AI183</f>
        <v>1</v>
      </c>
      <c r="DB183">
        <f t="shared" si="35"/>
        <v>64985.8</v>
      </c>
      <c r="DC183">
        <f t="shared" si="36"/>
        <v>0</v>
      </c>
    </row>
    <row r="184" spans="1:107" x14ac:dyDescent="0.2">
      <c r="A184">
        <f>ROW(Source!A593)</f>
        <v>593</v>
      </c>
      <c r="B184">
        <v>38214492</v>
      </c>
      <c r="C184">
        <v>38215371</v>
      </c>
      <c r="D184">
        <v>34882270</v>
      </c>
      <c r="E184">
        <v>1</v>
      </c>
      <c r="F184">
        <v>1</v>
      </c>
      <c r="G184">
        <v>25</v>
      </c>
      <c r="H184">
        <v>3</v>
      </c>
      <c r="I184" t="s">
        <v>482</v>
      </c>
      <c r="J184" t="s">
        <v>483</v>
      </c>
      <c r="K184" t="s">
        <v>484</v>
      </c>
      <c r="L184">
        <v>1339</v>
      </c>
      <c r="N184">
        <v>1007</v>
      </c>
      <c r="O184" t="s">
        <v>206</v>
      </c>
      <c r="P184" t="s">
        <v>206</v>
      </c>
      <c r="Q184">
        <v>1</v>
      </c>
      <c r="W184">
        <v>0</v>
      </c>
      <c r="X184">
        <v>-1250124927</v>
      </c>
      <c r="Y184">
        <v>5</v>
      </c>
      <c r="AA184">
        <v>33.729999999999997</v>
      </c>
      <c r="AB184">
        <v>0</v>
      </c>
      <c r="AC184">
        <v>0</v>
      </c>
      <c r="AD184">
        <v>0</v>
      </c>
      <c r="AE184">
        <v>33.729999999999997</v>
      </c>
      <c r="AF184">
        <v>0</v>
      </c>
      <c r="AG184">
        <v>0</v>
      </c>
      <c r="AH184">
        <v>0</v>
      </c>
      <c r="AI184">
        <v>1</v>
      </c>
      <c r="AJ184">
        <v>1</v>
      </c>
      <c r="AK184">
        <v>1</v>
      </c>
      <c r="AL184">
        <v>1</v>
      </c>
      <c r="AN184">
        <v>0</v>
      </c>
      <c r="AO184">
        <v>1</v>
      </c>
      <c r="AP184">
        <v>0</v>
      </c>
      <c r="AQ184">
        <v>0</v>
      </c>
      <c r="AR184">
        <v>0</v>
      </c>
      <c r="AS184" t="s">
        <v>3</v>
      </c>
      <c r="AT184">
        <v>5</v>
      </c>
      <c r="AU184" t="s">
        <v>3</v>
      </c>
      <c r="AV184">
        <v>0</v>
      </c>
      <c r="AW184">
        <v>2</v>
      </c>
      <c r="AX184">
        <v>38215387</v>
      </c>
      <c r="AY184">
        <v>1</v>
      </c>
      <c r="AZ184">
        <v>0</v>
      </c>
      <c r="BA184">
        <v>181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CX184">
        <f>Y184*Source!I593</f>
        <v>0.85500000000000009</v>
      </c>
      <c r="CY184">
        <f>AA184</f>
        <v>33.729999999999997</v>
      </c>
      <c r="CZ184">
        <f>AE184</f>
        <v>33.729999999999997</v>
      </c>
      <c r="DA184">
        <f>AI184</f>
        <v>1</v>
      </c>
      <c r="DB184">
        <f t="shared" si="35"/>
        <v>168.65</v>
      </c>
      <c r="DC184">
        <f t="shared" si="36"/>
        <v>0</v>
      </c>
    </row>
    <row r="185" spans="1:107" x14ac:dyDescent="0.2">
      <c r="A185">
        <f>ROW(Source!A594)</f>
        <v>594</v>
      </c>
      <c r="B185">
        <v>38214492</v>
      </c>
      <c r="C185">
        <v>38215388</v>
      </c>
      <c r="D185">
        <v>34867259</v>
      </c>
      <c r="E185">
        <v>25</v>
      </c>
      <c r="F185">
        <v>1</v>
      </c>
      <c r="G185">
        <v>25</v>
      </c>
      <c r="H185">
        <v>1</v>
      </c>
      <c r="I185" t="s">
        <v>391</v>
      </c>
      <c r="J185" t="s">
        <v>3</v>
      </c>
      <c r="K185" t="s">
        <v>392</v>
      </c>
      <c r="L185">
        <v>1191</v>
      </c>
      <c r="N185">
        <v>1013</v>
      </c>
      <c r="O185" t="s">
        <v>393</v>
      </c>
      <c r="P185" t="s">
        <v>393</v>
      </c>
      <c r="Q185">
        <v>1</v>
      </c>
      <c r="W185">
        <v>0</v>
      </c>
      <c r="X185">
        <v>476480486</v>
      </c>
      <c r="Y185">
        <v>0.37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1</v>
      </c>
      <c r="AK185">
        <v>1</v>
      </c>
      <c r="AL185">
        <v>1</v>
      </c>
      <c r="AN185">
        <v>0</v>
      </c>
      <c r="AO185">
        <v>1</v>
      </c>
      <c r="AP185">
        <v>0</v>
      </c>
      <c r="AQ185">
        <v>0</v>
      </c>
      <c r="AR185">
        <v>0</v>
      </c>
      <c r="AS185" t="s">
        <v>3</v>
      </c>
      <c r="AT185">
        <v>0.37</v>
      </c>
      <c r="AU185" t="s">
        <v>3</v>
      </c>
      <c r="AV185">
        <v>1</v>
      </c>
      <c r="AW185">
        <v>2</v>
      </c>
      <c r="AX185">
        <v>38215393</v>
      </c>
      <c r="AY185">
        <v>1</v>
      </c>
      <c r="AZ185">
        <v>0</v>
      </c>
      <c r="BA185">
        <v>182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CX185">
        <f>Y185*Source!I594</f>
        <v>0</v>
      </c>
      <c r="CY185">
        <f>AD185</f>
        <v>0</v>
      </c>
      <c r="CZ185">
        <f>AH185</f>
        <v>0</v>
      </c>
      <c r="DA185">
        <f>AL185</f>
        <v>1</v>
      </c>
      <c r="DB185">
        <f t="shared" si="35"/>
        <v>0</v>
      </c>
      <c r="DC185">
        <f t="shared" si="36"/>
        <v>0</v>
      </c>
    </row>
    <row r="186" spans="1:107" x14ac:dyDescent="0.2">
      <c r="A186">
        <f>ROW(Source!A594)</f>
        <v>594</v>
      </c>
      <c r="B186">
        <v>38214492</v>
      </c>
      <c r="C186">
        <v>38215388</v>
      </c>
      <c r="D186">
        <v>34879587</v>
      </c>
      <c r="E186">
        <v>1</v>
      </c>
      <c r="F186">
        <v>1</v>
      </c>
      <c r="G186">
        <v>25</v>
      </c>
      <c r="H186">
        <v>2</v>
      </c>
      <c r="I186" t="s">
        <v>485</v>
      </c>
      <c r="J186" t="s">
        <v>486</v>
      </c>
      <c r="K186" t="s">
        <v>487</v>
      </c>
      <c r="L186">
        <v>1368</v>
      </c>
      <c r="N186">
        <v>1011</v>
      </c>
      <c r="O186" t="s">
        <v>397</v>
      </c>
      <c r="P186" t="s">
        <v>397</v>
      </c>
      <c r="Q186">
        <v>1</v>
      </c>
      <c r="W186">
        <v>0</v>
      </c>
      <c r="X186">
        <v>-337346809</v>
      </c>
      <c r="Y186">
        <v>3.0000000000000001E-3</v>
      </c>
      <c r="AA186">
        <v>0</v>
      </c>
      <c r="AB186">
        <v>1236.3</v>
      </c>
      <c r="AC186">
        <v>469.98</v>
      </c>
      <c r="AD186">
        <v>0</v>
      </c>
      <c r="AE186">
        <v>0</v>
      </c>
      <c r="AF186">
        <v>1236.3</v>
      </c>
      <c r="AG186">
        <v>469.98</v>
      </c>
      <c r="AH186">
        <v>0</v>
      </c>
      <c r="AI186">
        <v>1</v>
      </c>
      <c r="AJ186">
        <v>1</v>
      </c>
      <c r="AK186">
        <v>1</v>
      </c>
      <c r="AL186">
        <v>1</v>
      </c>
      <c r="AN186">
        <v>0</v>
      </c>
      <c r="AO186">
        <v>1</v>
      </c>
      <c r="AP186">
        <v>0</v>
      </c>
      <c r="AQ186">
        <v>0</v>
      </c>
      <c r="AR186">
        <v>0</v>
      </c>
      <c r="AS186" t="s">
        <v>3</v>
      </c>
      <c r="AT186">
        <v>3.0000000000000001E-3</v>
      </c>
      <c r="AU186" t="s">
        <v>3</v>
      </c>
      <c r="AV186">
        <v>0</v>
      </c>
      <c r="AW186">
        <v>2</v>
      </c>
      <c r="AX186">
        <v>38215394</v>
      </c>
      <c r="AY186">
        <v>1</v>
      </c>
      <c r="AZ186">
        <v>0</v>
      </c>
      <c r="BA186">
        <v>183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CX186">
        <f>Y186*Source!I594</f>
        <v>0</v>
      </c>
      <c r="CY186">
        <f>AB186</f>
        <v>1236.3</v>
      </c>
      <c r="CZ186">
        <f>AF186</f>
        <v>1236.3</v>
      </c>
      <c r="DA186">
        <f>AJ186</f>
        <v>1</v>
      </c>
      <c r="DB186">
        <f t="shared" si="35"/>
        <v>3.71</v>
      </c>
      <c r="DC186">
        <f t="shared" si="36"/>
        <v>1.41</v>
      </c>
    </row>
    <row r="187" spans="1:107" x14ac:dyDescent="0.2">
      <c r="A187">
        <f>ROW(Source!A594)</f>
        <v>594</v>
      </c>
      <c r="B187">
        <v>38214492</v>
      </c>
      <c r="C187">
        <v>38215388</v>
      </c>
      <c r="D187">
        <v>34881528</v>
      </c>
      <c r="E187">
        <v>1</v>
      </c>
      <c r="F187">
        <v>1</v>
      </c>
      <c r="G187">
        <v>25</v>
      </c>
      <c r="H187">
        <v>3</v>
      </c>
      <c r="I187" t="s">
        <v>488</v>
      </c>
      <c r="J187" t="s">
        <v>489</v>
      </c>
      <c r="K187" t="s">
        <v>490</v>
      </c>
      <c r="L187">
        <v>1339</v>
      </c>
      <c r="N187">
        <v>1007</v>
      </c>
      <c r="O187" t="s">
        <v>206</v>
      </c>
      <c r="P187" t="s">
        <v>206</v>
      </c>
      <c r="Q187">
        <v>1</v>
      </c>
      <c r="W187">
        <v>0</v>
      </c>
      <c r="X187">
        <v>2043575967</v>
      </c>
      <c r="Y187">
        <v>0.105</v>
      </c>
      <c r="AA187">
        <v>590.78</v>
      </c>
      <c r="AB187">
        <v>0</v>
      </c>
      <c r="AC187">
        <v>0</v>
      </c>
      <c r="AD187">
        <v>0</v>
      </c>
      <c r="AE187">
        <v>590.78</v>
      </c>
      <c r="AF187">
        <v>0</v>
      </c>
      <c r="AG187">
        <v>0</v>
      </c>
      <c r="AH187">
        <v>0</v>
      </c>
      <c r="AI187">
        <v>1</v>
      </c>
      <c r="AJ187">
        <v>1</v>
      </c>
      <c r="AK187">
        <v>1</v>
      </c>
      <c r="AL187">
        <v>1</v>
      </c>
      <c r="AN187">
        <v>0</v>
      </c>
      <c r="AO187">
        <v>1</v>
      </c>
      <c r="AP187">
        <v>0</v>
      </c>
      <c r="AQ187">
        <v>0</v>
      </c>
      <c r="AR187">
        <v>0</v>
      </c>
      <c r="AS187" t="s">
        <v>3</v>
      </c>
      <c r="AT187">
        <v>0.105</v>
      </c>
      <c r="AU187" t="s">
        <v>3</v>
      </c>
      <c r="AV187">
        <v>0</v>
      </c>
      <c r="AW187">
        <v>2</v>
      </c>
      <c r="AX187">
        <v>38215395</v>
      </c>
      <c r="AY187">
        <v>1</v>
      </c>
      <c r="AZ187">
        <v>0</v>
      </c>
      <c r="BA187">
        <v>184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CX187">
        <f>Y187*Source!I594</f>
        <v>0</v>
      </c>
      <c r="CY187">
        <f>AA187</f>
        <v>590.78</v>
      </c>
      <c r="CZ187">
        <f>AE187</f>
        <v>590.78</v>
      </c>
      <c r="DA187">
        <f>AI187</f>
        <v>1</v>
      </c>
      <c r="DB187">
        <f t="shared" si="35"/>
        <v>62.03</v>
      </c>
      <c r="DC187">
        <f t="shared" si="36"/>
        <v>0</v>
      </c>
    </row>
    <row r="188" spans="1:107" x14ac:dyDescent="0.2">
      <c r="A188">
        <f>ROW(Source!A594)</f>
        <v>594</v>
      </c>
      <c r="B188">
        <v>38214492</v>
      </c>
      <c r="C188">
        <v>38215388</v>
      </c>
      <c r="D188">
        <v>34882270</v>
      </c>
      <c r="E188">
        <v>1</v>
      </c>
      <c r="F188">
        <v>1</v>
      </c>
      <c r="G188">
        <v>25</v>
      </c>
      <c r="H188">
        <v>3</v>
      </c>
      <c r="I188" t="s">
        <v>482</v>
      </c>
      <c r="J188" t="s">
        <v>483</v>
      </c>
      <c r="K188" t="s">
        <v>484</v>
      </c>
      <c r="L188">
        <v>1339</v>
      </c>
      <c r="N188">
        <v>1007</v>
      </c>
      <c r="O188" t="s">
        <v>206</v>
      </c>
      <c r="P188" t="s">
        <v>206</v>
      </c>
      <c r="Q188">
        <v>1</v>
      </c>
      <c r="W188">
        <v>0</v>
      </c>
      <c r="X188">
        <v>-1250124927</v>
      </c>
      <c r="Y188">
        <v>0.01</v>
      </c>
      <c r="AA188">
        <v>33.729999999999997</v>
      </c>
      <c r="AB188">
        <v>0</v>
      </c>
      <c r="AC188">
        <v>0</v>
      </c>
      <c r="AD188">
        <v>0</v>
      </c>
      <c r="AE188">
        <v>33.729999999999997</v>
      </c>
      <c r="AF188">
        <v>0</v>
      </c>
      <c r="AG188">
        <v>0</v>
      </c>
      <c r="AH188">
        <v>0</v>
      </c>
      <c r="AI188">
        <v>1</v>
      </c>
      <c r="AJ188">
        <v>1</v>
      </c>
      <c r="AK188">
        <v>1</v>
      </c>
      <c r="AL188">
        <v>1</v>
      </c>
      <c r="AN188">
        <v>0</v>
      </c>
      <c r="AO188">
        <v>1</v>
      </c>
      <c r="AP188">
        <v>0</v>
      </c>
      <c r="AQ188">
        <v>0</v>
      </c>
      <c r="AR188">
        <v>0</v>
      </c>
      <c r="AS188" t="s">
        <v>3</v>
      </c>
      <c r="AT188">
        <v>0.01</v>
      </c>
      <c r="AU188" t="s">
        <v>3</v>
      </c>
      <c r="AV188">
        <v>0</v>
      </c>
      <c r="AW188">
        <v>2</v>
      </c>
      <c r="AX188">
        <v>38215396</v>
      </c>
      <c r="AY188">
        <v>1</v>
      </c>
      <c r="AZ188">
        <v>0</v>
      </c>
      <c r="BA188">
        <v>185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CX188">
        <f>Y188*Source!I594</f>
        <v>0</v>
      </c>
      <c r="CY188">
        <f>AA188</f>
        <v>33.729999999999997</v>
      </c>
      <c r="CZ188">
        <f>AE188</f>
        <v>33.729999999999997</v>
      </c>
      <c r="DA188">
        <f>AI188</f>
        <v>1</v>
      </c>
      <c r="DB188">
        <f t="shared" si="35"/>
        <v>0.34</v>
      </c>
      <c r="DC188">
        <f t="shared" si="36"/>
        <v>0</v>
      </c>
    </row>
    <row r="189" spans="1:107" x14ac:dyDescent="0.2">
      <c r="A189">
        <f>ROW(Source!A768)</f>
        <v>768</v>
      </c>
      <c r="B189">
        <v>38214492</v>
      </c>
      <c r="C189">
        <v>38215743</v>
      </c>
      <c r="D189">
        <v>34867259</v>
      </c>
      <c r="E189">
        <v>25</v>
      </c>
      <c r="F189">
        <v>1</v>
      </c>
      <c r="G189">
        <v>25</v>
      </c>
      <c r="H189">
        <v>1</v>
      </c>
      <c r="I189" t="s">
        <v>391</v>
      </c>
      <c r="J189" t="s">
        <v>3</v>
      </c>
      <c r="K189" t="s">
        <v>392</v>
      </c>
      <c r="L189">
        <v>1191</v>
      </c>
      <c r="N189">
        <v>1013</v>
      </c>
      <c r="O189" t="s">
        <v>393</v>
      </c>
      <c r="P189" t="s">
        <v>393</v>
      </c>
      <c r="Q189">
        <v>1</v>
      </c>
      <c r="W189">
        <v>0</v>
      </c>
      <c r="X189">
        <v>476480486</v>
      </c>
      <c r="Y189">
        <v>3.39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1</v>
      </c>
      <c r="AJ189">
        <v>1</v>
      </c>
      <c r="AK189">
        <v>1</v>
      </c>
      <c r="AL189">
        <v>1</v>
      </c>
      <c r="AN189">
        <v>0</v>
      </c>
      <c r="AO189">
        <v>1</v>
      </c>
      <c r="AP189">
        <v>0</v>
      </c>
      <c r="AQ189">
        <v>0</v>
      </c>
      <c r="AR189">
        <v>0</v>
      </c>
      <c r="AS189" t="s">
        <v>3</v>
      </c>
      <c r="AT189">
        <v>3.39</v>
      </c>
      <c r="AU189" t="s">
        <v>3</v>
      </c>
      <c r="AV189">
        <v>1</v>
      </c>
      <c r="AW189">
        <v>2</v>
      </c>
      <c r="AX189">
        <v>38215747</v>
      </c>
      <c r="AY189">
        <v>1</v>
      </c>
      <c r="AZ189">
        <v>0</v>
      </c>
      <c r="BA189">
        <v>186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CX189">
        <f>Y189*Source!I768</f>
        <v>0.91377450000000005</v>
      </c>
      <c r="CY189">
        <f>AD189</f>
        <v>0</v>
      </c>
      <c r="CZ189">
        <f>AH189</f>
        <v>0</v>
      </c>
      <c r="DA189">
        <f>AL189</f>
        <v>1</v>
      </c>
      <c r="DB189">
        <f t="shared" si="35"/>
        <v>0</v>
      </c>
      <c r="DC189">
        <f t="shared" si="36"/>
        <v>0</v>
      </c>
    </row>
    <row r="190" spans="1:107" x14ac:dyDescent="0.2">
      <c r="A190">
        <f>ROW(Source!A768)</f>
        <v>768</v>
      </c>
      <c r="B190">
        <v>38214492</v>
      </c>
      <c r="C190">
        <v>38215743</v>
      </c>
      <c r="D190">
        <v>34879395</v>
      </c>
      <c r="E190">
        <v>1</v>
      </c>
      <c r="F190">
        <v>1</v>
      </c>
      <c r="G190">
        <v>25</v>
      </c>
      <c r="H190">
        <v>2</v>
      </c>
      <c r="I190" t="s">
        <v>455</v>
      </c>
      <c r="J190" t="s">
        <v>456</v>
      </c>
      <c r="K190" t="s">
        <v>457</v>
      </c>
      <c r="L190">
        <v>1368</v>
      </c>
      <c r="N190">
        <v>1011</v>
      </c>
      <c r="O190" t="s">
        <v>397</v>
      </c>
      <c r="P190" t="s">
        <v>397</v>
      </c>
      <c r="Q190">
        <v>1</v>
      </c>
      <c r="W190">
        <v>0</v>
      </c>
      <c r="X190">
        <v>-1331171294</v>
      </c>
      <c r="Y190">
        <v>9.27</v>
      </c>
      <c r="AA190">
        <v>0</v>
      </c>
      <c r="AB190">
        <v>675.33</v>
      </c>
      <c r="AC190">
        <v>529.01</v>
      </c>
      <c r="AD190">
        <v>0</v>
      </c>
      <c r="AE190">
        <v>0</v>
      </c>
      <c r="AF190">
        <v>675.33</v>
      </c>
      <c r="AG190">
        <v>529.01</v>
      </c>
      <c r="AH190">
        <v>0</v>
      </c>
      <c r="AI190">
        <v>1</v>
      </c>
      <c r="AJ190">
        <v>1</v>
      </c>
      <c r="AK190">
        <v>1</v>
      </c>
      <c r="AL190">
        <v>1</v>
      </c>
      <c r="AN190">
        <v>0</v>
      </c>
      <c r="AO190">
        <v>1</v>
      </c>
      <c r="AP190">
        <v>0</v>
      </c>
      <c r="AQ190">
        <v>0</v>
      </c>
      <c r="AR190">
        <v>0</v>
      </c>
      <c r="AS190" t="s">
        <v>3</v>
      </c>
      <c r="AT190">
        <v>9.27</v>
      </c>
      <c r="AU190" t="s">
        <v>3</v>
      </c>
      <c r="AV190">
        <v>0</v>
      </c>
      <c r="AW190">
        <v>2</v>
      </c>
      <c r="AX190">
        <v>38215748</v>
      </c>
      <c r="AY190">
        <v>1</v>
      </c>
      <c r="AZ190">
        <v>0</v>
      </c>
      <c r="BA190">
        <v>187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CX190">
        <f>Y190*Source!I768</f>
        <v>2.4987284999999999</v>
      </c>
      <c r="CY190">
        <f>AB190</f>
        <v>675.33</v>
      </c>
      <c r="CZ190">
        <f>AF190</f>
        <v>675.33</v>
      </c>
      <c r="DA190">
        <f>AJ190</f>
        <v>1</v>
      </c>
      <c r="DB190">
        <f t="shared" si="35"/>
        <v>6260.31</v>
      </c>
      <c r="DC190">
        <f t="shared" si="36"/>
        <v>4903.92</v>
      </c>
    </row>
    <row r="191" spans="1:107" x14ac:dyDescent="0.2">
      <c r="A191">
        <f>ROW(Source!A768)</f>
        <v>768</v>
      </c>
      <c r="B191">
        <v>38214492</v>
      </c>
      <c r="C191">
        <v>38215743</v>
      </c>
      <c r="D191">
        <v>34879407</v>
      </c>
      <c r="E191">
        <v>1</v>
      </c>
      <c r="F191">
        <v>1</v>
      </c>
      <c r="G191">
        <v>25</v>
      </c>
      <c r="H191">
        <v>2</v>
      </c>
      <c r="I191" t="s">
        <v>458</v>
      </c>
      <c r="J191" t="s">
        <v>459</v>
      </c>
      <c r="K191" t="s">
        <v>460</v>
      </c>
      <c r="L191">
        <v>1368</v>
      </c>
      <c r="N191">
        <v>1011</v>
      </c>
      <c r="O191" t="s">
        <v>397</v>
      </c>
      <c r="P191" t="s">
        <v>397</v>
      </c>
      <c r="Q191">
        <v>1</v>
      </c>
      <c r="W191">
        <v>0</v>
      </c>
      <c r="X191">
        <v>-1073508213</v>
      </c>
      <c r="Y191">
        <v>2.12</v>
      </c>
      <c r="AA191">
        <v>0</v>
      </c>
      <c r="AB191">
        <v>923.83</v>
      </c>
      <c r="AC191">
        <v>342.06</v>
      </c>
      <c r="AD191">
        <v>0</v>
      </c>
      <c r="AE191">
        <v>0</v>
      </c>
      <c r="AF191">
        <v>923.83</v>
      </c>
      <c r="AG191">
        <v>342.06</v>
      </c>
      <c r="AH191">
        <v>0</v>
      </c>
      <c r="AI191">
        <v>1</v>
      </c>
      <c r="AJ191">
        <v>1</v>
      </c>
      <c r="AK191">
        <v>1</v>
      </c>
      <c r="AL191">
        <v>1</v>
      </c>
      <c r="AN191">
        <v>0</v>
      </c>
      <c r="AO191">
        <v>1</v>
      </c>
      <c r="AP191">
        <v>0</v>
      </c>
      <c r="AQ191">
        <v>0</v>
      </c>
      <c r="AR191">
        <v>0</v>
      </c>
      <c r="AS191" t="s">
        <v>3</v>
      </c>
      <c r="AT191">
        <v>2.12</v>
      </c>
      <c r="AU191" t="s">
        <v>3</v>
      </c>
      <c r="AV191">
        <v>0</v>
      </c>
      <c r="AW191">
        <v>2</v>
      </c>
      <c r="AX191">
        <v>38215749</v>
      </c>
      <c r="AY191">
        <v>1</v>
      </c>
      <c r="AZ191">
        <v>0</v>
      </c>
      <c r="BA191">
        <v>188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CX191">
        <f>Y191*Source!I768</f>
        <v>0.57144600000000001</v>
      </c>
      <c r="CY191">
        <f>AB191</f>
        <v>923.83</v>
      </c>
      <c r="CZ191">
        <f>AF191</f>
        <v>923.83</v>
      </c>
      <c r="DA191">
        <f>AJ191</f>
        <v>1</v>
      </c>
      <c r="DB191">
        <f t="shared" si="35"/>
        <v>1958.52</v>
      </c>
      <c r="DC191">
        <f t="shared" si="36"/>
        <v>725.17</v>
      </c>
    </row>
    <row r="192" spans="1:107" x14ac:dyDescent="0.2">
      <c r="A192">
        <f>ROW(Source!A769)</f>
        <v>769</v>
      </c>
      <c r="B192">
        <v>38214492</v>
      </c>
      <c r="C192">
        <v>38215750</v>
      </c>
      <c r="D192">
        <v>34867259</v>
      </c>
      <c r="E192">
        <v>25</v>
      </c>
      <c r="F192">
        <v>1</v>
      </c>
      <c r="G192">
        <v>25</v>
      </c>
      <c r="H192">
        <v>1</v>
      </c>
      <c r="I192" t="s">
        <v>391</v>
      </c>
      <c r="J192" t="s">
        <v>3</v>
      </c>
      <c r="K192" t="s">
        <v>392</v>
      </c>
      <c r="L192">
        <v>1191</v>
      </c>
      <c r="N192">
        <v>1013</v>
      </c>
      <c r="O192" t="s">
        <v>393</v>
      </c>
      <c r="P192" t="s">
        <v>393</v>
      </c>
      <c r="Q192">
        <v>1</v>
      </c>
      <c r="W192">
        <v>0</v>
      </c>
      <c r="X192">
        <v>476480486</v>
      </c>
      <c r="Y192">
        <v>221.6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1</v>
      </c>
      <c r="AJ192">
        <v>1</v>
      </c>
      <c r="AK192">
        <v>1</v>
      </c>
      <c r="AL192">
        <v>1</v>
      </c>
      <c r="AN192">
        <v>0</v>
      </c>
      <c r="AO192">
        <v>1</v>
      </c>
      <c r="AP192">
        <v>0</v>
      </c>
      <c r="AQ192">
        <v>0</v>
      </c>
      <c r="AR192">
        <v>0</v>
      </c>
      <c r="AS192" t="s">
        <v>3</v>
      </c>
      <c r="AT192">
        <v>221.6</v>
      </c>
      <c r="AU192" t="s">
        <v>3</v>
      </c>
      <c r="AV192">
        <v>1</v>
      </c>
      <c r="AW192">
        <v>2</v>
      </c>
      <c r="AX192">
        <v>38215752</v>
      </c>
      <c r="AY192">
        <v>1</v>
      </c>
      <c r="AZ192">
        <v>0</v>
      </c>
      <c r="BA192">
        <v>189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CX192">
        <f>Y192*Source!I769</f>
        <v>6.6369199999999999</v>
      </c>
      <c r="CY192">
        <f>AD192</f>
        <v>0</v>
      </c>
      <c r="CZ192">
        <f>AH192</f>
        <v>0</v>
      </c>
      <c r="DA192">
        <f>AL192</f>
        <v>1</v>
      </c>
      <c r="DB192">
        <f t="shared" si="35"/>
        <v>0</v>
      </c>
      <c r="DC192">
        <f t="shared" si="36"/>
        <v>0</v>
      </c>
    </row>
    <row r="193" spans="1:107" x14ac:dyDescent="0.2">
      <c r="A193">
        <f>ROW(Source!A770)</f>
        <v>770</v>
      </c>
      <c r="B193">
        <v>38214492</v>
      </c>
      <c r="C193">
        <v>38215753</v>
      </c>
      <c r="D193">
        <v>34879386</v>
      </c>
      <c r="E193">
        <v>1</v>
      </c>
      <c r="F193">
        <v>1</v>
      </c>
      <c r="G193">
        <v>25</v>
      </c>
      <c r="H193">
        <v>2</v>
      </c>
      <c r="I193" t="s">
        <v>461</v>
      </c>
      <c r="J193" t="s">
        <v>462</v>
      </c>
      <c r="K193" t="s">
        <v>463</v>
      </c>
      <c r="L193">
        <v>1368</v>
      </c>
      <c r="N193">
        <v>1011</v>
      </c>
      <c r="O193" t="s">
        <v>397</v>
      </c>
      <c r="P193" t="s">
        <v>397</v>
      </c>
      <c r="Q193">
        <v>1</v>
      </c>
      <c r="W193">
        <v>0</v>
      </c>
      <c r="X193">
        <v>-202408269</v>
      </c>
      <c r="Y193">
        <v>5.3699999999999998E-2</v>
      </c>
      <c r="AA193">
        <v>0</v>
      </c>
      <c r="AB193">
        <v>1451.71</v>
      </c>
      <c r="AC193">
        <v>457.95</v>
      </c>
      <c r="AD193">
        <v>0</v>
      </c>
      <c r="AE193">
        <v>0</v>
      </c>
      <c r="AF193">
        <v>1451.71</v>
      </c>
      <c r="AG193">
        <v>457.95</v>
      </c>
      <c r="AH193">
        <v>0</v>
      </c>
      <c r="AI193">
        <v>1</v>
      </c>
      <c r="AJ193">
        <v>1</v>
      </c>
      <c r="AK193">
        <v>1</v>
      </c>
      <c r="AL193">
        <v>1</v>
      </c>
      <c r="AN193">
        <v>0</v>
      </c>
      <c r="AO193">
        <v>1</v>
      </c>
      <c r="AP193">
        <v>0</v>
      </c>
      <c r="AQ193">
        <v>0</v>
      </c>
      <c r="AR193">
        <v>0</v>
      </c>
      <c r="AS193" t="s">
        <v>3</v>
      </c>
      <c r="AT193">
        <v>5.3699999999999998E-2</v>
      </c>
      <c r="AU193" t="s">
        <v>3</v>
      </c>
      <c r="AV193">
        <v>0</v>
      </c>
      <c r="AW193">
        <v>2</v>
      </c>
      <c r="AX193">
        <v>38215755</v>
      </c>
      <c r="AY193">
        <v>1</v>
      </c>
      <c r="AZ193">
        <v>0</v>
      </c>
      <c r="BA193">
        <v>190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CX193">
        <f>Y193*Source!I770</f>
        <v>0.72374174999999996</v>
      </c>
      <c r="CY193">
        <f>AB193</f>
        <v>1451.71</v>
      </c>
      <c r="CZ193">
        <f>AF193</f>
        <v>1451.71</v>
      </c>
      <c r="DA193">
        <f>AJ193</f>
        <v>1</v>
      </c>
      <c r="DB193">
        <f t="shared" si="35"/>
        <v>77.959999999999994</v>
      </c>
      <c r="DC193">
        <f t="shared" si="36"/>
        <v>24.59</v>
      </c>
    </row>
    <row r="194" spans="1:107" x14ac:dyDescent="0.2">
      <c r="A194">
        <f>ROW(Source!A771)</f>
        <v>771</v>
      </c>
      <c r="B194">
        <v>38214492</v>
      </c>
      <c r="C194">
        <v>38215756</v>
      </c>
      <c r="D194">
        <v>34867259</v>
      </c>
      <c r="E194">
        <v>25</v>
      </c>
      <c r="F194">
        <v>1</v>
      </c>
      <c r="G194">
        <v>25</v>
      </c>
      <c r="H194">
        <v>1</v>
      </c>
      <c r="I194" t="s">
        <v>391</v>
      </c>
      <c r="J194" t="s">
        <v>3</v>
      </c>
      <c r="K194" t="s">
        <v>392</v>
      </c>
      <c r="L194">
        <v>1191</v>
      </c>
      <c r="N194">
        <v>1013</v>
      </c>
      <c r="O194" t="s">
        <v>393</v>
      </c>
      <c r="P194" t="s">
        <v>393</v>
      </c>
      <c r="Q194">
        <v>1</v>
      </c>
      <c r="W194">
        <v>0</v>
      </c>
      <c r="X194">
        <v>476480486</v>
      </c>
      <c r="Y194">
        <v>1.02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1</v>
      </c>
      <c r="AJ194">
        <v>1</v>
      </c>
      <c r="AK194">
        <v>1</v>
      </c>
      <c r="AL194">
        <v>1</v>
      </c>
      <c r="AN194">
        <v>0</v>
      </c>
      <c r="AO194">
        <v>1</v>
      </c>
      <c r="AP194">
        <v>0</v>
      </c>
      <c r="AQ194">
        <v>0</v>
      </c>
      <c r="AR194">
        <v>0</v>
      </c>
      <c r="AS194" t="s">
        <v>3</v>
      </c>
      <c r="AT194">
        <v>1.02</v>
      </c>
      <c r="AU194" t="s">
        <v>3</v>
      </c>
      <c r="AV194">
        <v>1</v>
      </c>
      <c r="AW194">
        <v>2</v>
      </c>
      <c r="AX194">
        <v>38215758</v>
      </c>
      <c r="AY194">
        <v>1</v>
      </c>
      <c r="AZ194">
        <v>0</v>
      </c>
      <c r="BA194">
        <v>191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CX194">
        <f>Y194*Source!I771</f>
        <v>4.5823499999999999</v>
      </c>
      <c r="CY194">
        <f>AD194</f>
        <v>0</v>
      </c>
      <c r="CZ194">
        <f>AH194</f>
        <v>0</v>
      </c>
      <c r="DA194">
        <f>AL194</f>
        <v>1</v>
      </c>
      <c r="DB194">
        <f t="shared" si="35"/>
        <v>0</v>
      </c>
      <c r="DC194">
        <f t="shared" si="36"/>
        <v>0</v>
      </c>
    </row>
    <row r="195" spans="1:107" x14ac:dyDescent="0.2">
      <c r="A195">
        <f>ROW(Source!A772)</f>
        <v>772</v>
      </c>
      <c r="B195">
        <v>38214492</v>
      </c>
      <c r="C195">
        <v>38215759</v>
      </c>
      <c r="D195">
        <v>34880178</v>
      </c>
      <c r="E195">
        <v>1</v>
      </c>
      <c r="F195">
        <v>1</v>
      </c>
      <c r="G195">
        <v>25</v>
      </c>
      <c r="H195">
        <v>2</v>
      </c>
      <c r="I195" t="s">
        <v>400</v>
      </c>
      <c r="J195" t="s">
        <v>401</v>
      </c>
      <c r="K195" t="s">
        <v>402</v>
      </c>
      <c r="L195">
        <v>1368</v>
      </c>
      <c r="N195">
        <v>1011</v>
      </c>
      <c r="O195" t="s">
        <v>397</v>
      </c>
      <c r="P195" t="s">
        <v>397</v>
      </c>
      <c r="Q195">
        <v>1</v>
      </c>
      <c r="W195">
        <v>0</v>
      </c>
      <c r="X195">
        <v>468658695</v>
      </c>
      <c r="Y195">
        <v>0.02</v>
      </c>
      <c r="AA195">
        <v>0</v>
      </c>
      <c r="AB195">
        <v>952.49</v>
      </c>
      <c r="AC195">
        <v>301.5</v>
      </c>
      <c r="AD195">
        <v>0</v>
      </c>
      <c r="AE195">
        <v>0</v>
      </c>
      <c r="AF195">
        <v>952.49</v>
      </c>
      <c r="AG195">
        <v>301.5</v>
      </c>
      <c r="AH195">
        <v>0</v>
      </c>
      <c r="AI195">
        <v>1</v>
      </c>
      <c r="AJ195">
        <v>1</v>
      </c>
      <c r="AK195">
        <v>1</v>
      </c>
      <c r="AL195">
        <v>1</v>
      </c>
      <c r="AN195">
        <v>0</v>
      </c>
      <c r="AO195">
        <v>1</v>
      </c>
      <c r="AP195">
        <v>0</v>
      </c>
      <c r="AQ195">
        <v>0</v>
      </c>
      <c r="AR195">
        <v>0</v>
      </c>
      <c r="AS195" t="s">
        <v>3</v>
      </c>
      <c r="AT195">
        <v>0.02</v>
      </c>
      <c r="AU195" t="s">
        <v>3</v>
      </c>
      <c r="AV195">
        <v>0</v>
      </c>
      <c r="AW195">
        <v>2</v>
      </c>
      <c r="AX195">
        <v>38215762</v>
      </c>
      <c r="AY195">
        <v>1</v>
      </c>
      <c r="AZ195">
        <v>0</v>
      </c>
      <c r="BA195">
        <v>192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CX195">
        <f>Y195*Source!I772</f>
        <v>0.26955000000000001</v>
      </c>
      <c r="CY195">
        <f t="shared" ref="CY195:CY200" si="37">AB195</f>
        <v>952.49</v>
      </c>
      <c r="CZ195">
        <f t="shared" ref="CZ195:CZ200" si="38">AF195</f>
        <v>952.49</v>
      </c>
      <c r="DA195">
        <f t="shared" ref="DA195:DA200" si="39">AJ195</f>
        <v>1</v>
      </c>
      <c r="DB195">
        <f t="shared" si="35"/>
        <v>19.05</v>
      </c>
      <c r="DC195">
        <f t="shared" si="36"/>
        <v>6.03</v>
      </c>
    </row>
    <row r="196" spans="1:107" x14ac:dyDescent="0.2">
      <c r="A196">
        <f>ROW(Source!A772)</f>
        <v>772</v>
      </c>
      <c r="B196">
        <v>38214492</v>
      </c>
      <c r="C196">
        <v>38215759</v>
      </c>
      <c r="D196">
        <v>34880179</v>
      </c>
      <c r="E196">
        <v>1</v>
      </c>
      <c r="F196">
        <v>1</v>
      </c>
      <c r="G196">
        <v>25</v>
      </c>
      <c r="H196">
        <v>2</v>
      </c>
      <c r="I196" t="s">
        <v>403</v>
      </c>
      <c r="J196" t="s">
        <v>404</v>
      </c>
      <c r="K196" t="s">
        <v>405</v>
      </c>
      <c r="L196">
        <v>1368</v>
      </c>
      <c r="N196">
        <v>1011</v>
      </c>
      <c r="O196" t="s">
        <v>397</v>
      </c>
      <c r="P196" t="s">
        <v>397</v>
      </c>
      <c r="Q196">
        <v>1</v>
      </c>
      <c r="W196">
        <v>0</v>
      </c>
      <c r="X196">
        <v>-1546163025</v>
      </c>
      <c r="Y196">
        <v>1.7999999999999999E-2</v>
      </c>
      <c r="AA196">
        <v>0</v>
      </c>
      <c r="AB196">
        <v>993.6</v>
      </c>
      <c r="AC196">
        <v>301.8</v>
      </c>
      <c r="AD196">
        <v>0</v>
      </c>
      <c r="AE196">
        <v>0</v>
      </c>
      <c r="AF196">
        <v>993.6</v>
      </c>
      <c r="AG196">
        <v>301.8</v>
      </c>
      <c r="AH196">
        <v>0</v>
      </c>
      <c r="AI196">
        <v>1</v>
      </c>
      <c r="AJ196">
        <v>1</v>
      </c>
      <c r="AK196">
        <v>1</v>
      </c>
      <c r="AL196">
        <v>1</v>
      </c>
      <c r="AN196">
        <v>0</v>
      </c>
      <c r="AO196">
        <v>1</v>
      </c>
      <c r="AP196">
        <v>0</v>
      </c>
      <c r="AQ196">
        <v>0</v>
      </c>
      <c r="AR196">
        <v>0</v>
      </c>
      <c r="AS196" t="s">
        <v>3</v>
      </c>
      <c r="AT196">
        <v>1.7999999999999999E-2</v>
      </c>
      <c r="AU196" t="s">
        <v>3</v>
      </c>
      <c r="AV196">
        <v>0</v>
      </c>
      <c r="AW196">
        <v>2</v>
      </c>
      <c r="AX196">
        <v>38215763</v>
      </c>
      <c r="AY196">
        <v>1</v>
      </c>
      <c r="AZ196">
        <v>0</v>
      </c>
      <c r="BA196">
        <v>193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CX196">
        <f>Y196*Source!I772</f>
        <v>0.24259499999999998</v>
      </c>
      <c r="CY196">
        <f t="shared" si="37"/>
        <v>993.6</v>
      </c>
      <c r="CZ196">
        <f t="shared" si="38"/>
        <v>993.6</v>
      </c>
      <c r="DA196">
        <f t="shared" si="39"/>
        <v>1</v>
      </c>
      <c r="DB196">
        <f t="shared" si="35"/>
        <v>17.88</v>
      </c>
      <c r="DC196">
        <f t="shared" si="36"/>
        <v>5.43</v>
      </c>
    </row>
    <row r="197" spans="1:107" x14ac:dyDescent="0.2">
      <c r="A197">
        <f>ROW(Source!A773)</f>
        <v>773</v>
      </c>
      <c r="B197">
        <v>38214492</v>
      </c>
      <c r="C197">
        <v>38215764</v>
      </c>
      <c r="D197">
        <v>34880178</v>
      </c>
      <c r="E197">
        <v>1</v>
      </c>
      <c r="F197">
        <v>1</v>
      </c>
      <c r="G197">
        <v>25</v>
      </c>
      <c r="H197">
        <v>2</v>
      </c>
      <c r="I197" t="s">
        <v>400</v>
      </c>
      <c r="J197" t="s">
        <v>401</v>
      </c>
      <c r="K197" t="s">
        <v>402</v>
      </c>
      <c r="L197">
        <v>1368</v>
      </c>
      <c r="N197">
        <v>1011</v>
      </c>
      <c r="O197" t="s">
        <v>397</v>
      </c>
      <c r="P197" t="s">
        <v>397</v>
      </c>
      <c r="Q197">
        <v>1</v>
      </c>
      <c r="W197">
        <v>0</v>
      </c>
      <c r="X197">
        <v>468658695</v>
      </c>
      <c r="Y197">
        <v>5.3999999999999999E-2</v>
      </c>
      <c r="AA197">
        <v>0</v>
      </c>
      <c r="AB197">
        <v>952.49</v>
      </c>
      <c r="AC197">
        <v>301.5</v>
      </c>
      <c r="AD197">
        <v>0</v>
      </c>
      <c r="AE197">
        <v>0</v>
      </c>
      <c r="AF197">
        <v>952.49</v>
      </c>
      <c r="AG197">
        <v>301.5</v>
      </c>
      <c r="AH197">
        <v>0</v>
      </c>
      <c r="AI197">
        <v>1</v>
      </c>
      <c r="AJ197">
        <v>1</v>
      </c>
      <c r="AK197">
        <v>1</v>
      </c>
      <c r="AL197">
        <v>1</v>
      </c>
      <c r="AN197">
        <v>0</v>
      </c>
      <c r="AO197">
        <v>1</v>
      </c>
      <c r="AP197">
        <v>0</v>
      </c>
      <c r="AQ197">
        <v>0</v>
      </c>
      <c r="AR197">
        <v>0</v>
      </c>
      <c r="AS197" t="s">
        <v>3</v>
      </c>
      <c r="AT197">
        <v>5.3999999999999999E-2</v>
      </c>
      <c r="AU197" t="s">
        <v>3</v>
      </c>
      <c r="AV197">
        <v>0</v>
      </c>
      <c r="AW197">
        <v>2</v>
      </c>
      <c r="AX197">
        <v>38215767</v>
      </c>
      <c r="AY197">
        <v>1</v>
      </c>
      <c r="AZ197">
        <v>0</v>
      </c>
      <c r="BA197">
        <v>194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CX197">
        <f>Y197*Source!I773</f>
        <v>0.24259499999999998</v>
      </c>
      <c r="CY197">
        <f t="shared" si="37"/>
        <v>952.49</v>
      </c>
      <c r="CZ197">
        <f t="shared" si="38"/>
        <v>952.49</v>
      </c>
      <c r="DA197">
        <f t="shared" si="39"/>
        <v>1</v>
      </c>
      <c r="DB197">
        <f t="shared" si="35"/>
        <v>51.43</v>
      </c>
      <c r="DC197">
        <f t="shared" si="36"/>
        <v>16.28</v>
      </c>
    </row>
    <row r="198" spans="1:107" x14ac:dyDescent="0.2">
      <c r="A198">
        <f>ROW(Source!A773)</f>
        <v>773</v>
      </c>
      <c r="B198">
        <v>38214492</v>
      </c>
      <c r="C198">
        <v>38215764</v>
      </c>
      <c r="D198">
        <v>34880179</v>
      </c>
      <c r="E198">
        <v>1</v>
      </c>
      <c r="F198">
        <v>1</v>
      </c>
      <c r="G198">
        <v>25</v>
      </c>
      <c r="H198">
        <v>2</v>
      </c>
      <c r="I198" t="s">
        <v>403</v>
      </c>
      <c r="J198" t="s">
        <v>404</v>
      </c>
      <c r="K198" t="s">
        <v>405</v>
      </c>
      <c r="L198">
        <v>1368</v>
      </c>
      <c r="N198">
        <v>1011</v>
      </c>
      <c r="O198" t="s">
        <v>397</v>
      </c>
      <c r="P198" t="s">
        <v>397</v>
      </c>
      <c r="Q198">
        <v>1</v>
      </c>
      <c r="W198">
        <v>0</v>
      </c>
      <c r="X198">
        <v>-1546163025</v>
      </c>
      <c r="Y198">
        <v>5.5E-2</v>
      </c>
      <c r="AA198">
        <v>0</v>
      </c>
      <c r="AB198">
        <v>993.6</v>
      </c>
      <c r="AC198">
        <v>301.8</v>
      </c>
      <c r="AD198">
        <v>0</v>
      </c>
      <c r="AE198">
        <v>0</v>
      </c>
      <c r="AF198">
        <v>993.6</v>
      </c>
      <c r="AG198">
        <v>301.8</v>
      </c>
      <c r="AH198">
        <v>0</v>
      </c>
      <c r="AI198">
        <v>1</v>
      </c>
      <c r="AJ198">
        <v>1</v>
      </c>
      <c r="AK198">
        <v>1</v>
      </c>
      <c r="AL198">
        <v>1</v>
      </c>
      <c r="AN198">
        <v>0</v>
      </c>
      <c r="AO198">
        <v>1</v>
      </c>
      <c r="AP198">
        <v>0</v>
      </c>
      <c r="AQ198">
        <v>0</v>
      </c>
      <c r="AR198">
        <v>0</v>
      </c>
      <c r="AS198" t="s">
        <v>3</v>
      </c>
      <c r="AT198">
        <v>5.5E-2</v>
      </c>
      <c r="AU198" t="s">
        <v>3</v>
      </c>
      <c r="AV198">
        <v>0</v>
      </c>
      <c r="AW198">
        <v>2</v>
      </c>
      <c r="AX198">
        <v>38215768</v>
      </c>
      <c r="AY198">
        <v>1</v>
      </c>
      <c r="AZ198">
        <v>0</v>
      </c>
      <c r="BA198">
        <v>195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CX198">
        <f>Y198*Source!I773</f>
        <v>0.24708749999999999</v>
      </c>
      <c r="CY198">
        <f t="shared" si="37"/>
        <v>993.6</v>
      </c>
      <c r="CZ198">
        <f t="shared" si="38"/>
        <v>993.6</v>
      </c>
      <c r="DA198">
        <f t="shared" si="39"/>
        <v>1</v>
      </c>
      <c r="DB198">
        <f t="shared" si="35"/>
        <v>54.65</v>
      </c>
      <c r="DC198">
        <f t="shared" si="36"/>
        <v>16.600000000000001</v>
      </c>
    </row>
    <row r="199" spans="1:107" x14ac:dyDescent="0.2">
      <c r="A199">
        <f>ROW(Source!A774)</f>
        <v>774</v>
      </c>
      <c r="B199">
        <v>38214492</v>
      </c>
      <c r="C199">
        <v>38215769</v>
      </c>
      <c r="D199">
        <v>34880178</v>
      </c>
      <c r="E199">
        <v>1</v>
      </c>
      <c r="F199">
        <v>1</v>
      </c>
      <c r="G199">
        <v>25</v>
      </c>
      <c r="H199">
        <v>2</v>
      </c>
      <c r="I199" t="s">
        <v>400</v>
      </c>
      <c r="J199" t="s">
        <v>401</v>
      </c>
      <c r="K199" t="s">
        <v>402</v>
      </c>
      <c r="L199">
        <v>1368</v>
      </c>
      <c r="N199">
        <v>1011</v>
      </c>
      <c r="O199" t="s">
        <v>397</v>
      </c>
      <c r="P199" t="s">
        <v>397</v>
      </c>
      <c r="Q199">
        <v>1</v>
      </c>
      <c r="W199">
        <v>0</v>
      </c>
      <c r="X199">
        <v>468658695</v>
      </c>
      <c r="Y199">
        <v>0.16</v>
      </c>
      <c r="AA199">
        <v>0</v>
      </c>
      <c r="AB199">
        <v>952.49</v>
      </c>
      <c r="AC199">
        <v>301.5</v>
      </c>
      <c r="AD199">
        <v>0</v>
      </c>
      <c r="AE199">
        <v>0</v>
      </c>
      <c r="AF199">
        <v>952.49</v>
      </c>
      <c r="AG199">
        <v>301.5</v>
      </c>
      <c r="AH199">
        <v>0</v>
      </c>
      <c r="AI199">
        <v>1</v>
      </c>
      <c r="AJ199">
        <v>1</v>
      </c>
      <c r="AK199">
        <v>1</v>
      </c>
      <c r="AL199">
        <v>1</v>
      </c>
      <c r="AN199">
        <v>0</v>
      </c>
      <c r="AO199">
        <v>1</v>
      </c>
      <c r="AP199">
        <v>1</v>
      </c>
      <c r="AQ199">
        <v>0</v>
      </c>
      <c r="AR199">
        <v>0</v>
      </c>
      <c r="AS199" t="s">
        <v>3</v>
      </c>
      <c r="AT199">
        <v>0.01</v>
      </c>
      <c r="AU199" t="s">
        <v>201</v>
      </c>
      <c r="AV199">
        <v>0</v>
      </c>
      <c r="AW199">
        <v>2</v>
      </c>
      <c r="AX199">
        <v>38215772</v>
      </c>
      <c r="AY199">
        <v>1</v>
      </c>
      <c r="AZ199">
        <v>0</v>
      </c>
      <c r="BA199">
        <v>196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CX199">
        <f>Y199*Source!I774</f>
        <v>2.8752</v>
      </c>
      <c r="CY199">
        <f t="shared" si="37"/>
        <v>952.49</v>
      </c>
      <c r="CZ199">
        <f t="shared" si="38"/>
        <v>952.49</v>
      </c>
      <c r="DA199">
        <f t="shared" si="39"/>
        <v>1</v>
      </c>
      <c r="DB199">
        <f>ROUND((ROUND(AT199*CZ199,2)*16),6)</f>
        <v>152.32</v>
      </c>
      <c r="DC199">
        <f>ROUND((ROUND(AT199*AG199,2)*16),6)</f>
        <v>48.32</v>
      </c>
    </row>
    <row r="200" spans="1:107" x14ac:dyDescent="0.2">
      <c r="A200">
        <f>ROW(Source!A774)</f>
        <v>774</v>
      </c>
      <c r="B200">
        <v>38214492</v>
      </c>
      <c r="C200">
        <v>38215769</v>
      </c>
      <c r="D200">
        <v>34880179</v>
      </c>
      <c r="E200">
        <v>1</v>
      </c>
      <c r="F200">
        <v>1</v>
      </c>
      <c r="G200">
        <v>25</v>
      </c>
      <c r="H200">
        <v>2</v>
      </c>
      <c r="I200" t="s">
        <v>403</v>
      </c>
      <c r="J200" t="s">
        <v>404</v>
      </c>
      <c r="K200" t="s">
        <v>405</v>
      </c>
      <c r="L200">
        <v>1368</v>
      </c>
      <c r="N200">
        <v>1011</v>
      </c>
      <c r="O200" t="s">
        <v>397</v>
      </c>
      <c r="P200" t="s">
        <v>397</v>
      </c>
      <c r="Q200">
        <v>1</v>
      </c>
      <c r="W200">
        <v>0</v>
      </c>
      <c r="X200">
        <v>-1546163025</v>
      </c>
      <c r="Y200">
        <v>0.128</v>
      </c>
      <c r="AA200">
        <v>0</v>
      </c>
      <c r="AB200">
        <v>993.6</v>
      </c>
      <c r="AC200">
        <v>301.8</v>
      </c>
      <c r="AD200">
        <v>0</v>
      </c>
      <c r="AE200">
        <v>0</v>
      </c>
      <c r="AF200">
        <v>993.6</v>
      </c>
      <c r="AG200">
        <v>301.8</v>
      </c>
      <c r="AH200">
        <v>0</v>
      </c>
      <c r="AI200">
        <v>1</v>
      </c>
      <c r="AJ200">
        <v>1</v>
      </c>
      <c r="AK200">
        <v>1</v>
      </c>
      <c r="AL200">
        <v>1</v>
      </c>
      <c r="AN200">
        <v>0</v>
      </c>
      <c r="AO200">
        <v>1</v>
      </c>
      <c r="AP200">
        <v>1</v>
      </c>
      <c r="AQ200">
        <v>0</v>
      </c>
      <c r="AR200">
        <v>0</v>
      </c>
      <c r="AS200" t="s">
        <v>3</v>
      </c>
      <c r="AT200">
        <v>8.0000000000000002E-3</v>
      </c>
      <c r="AU200" t="s">
        <v>201</v>
      </c>
      <c r="AV200">
        <v>0</v>
      </c>
      <c r="AW200">
        <v>2</v>
      </c>
      <c r="AX200">
        <v>38215773</v>
      </c>
      <c r="AY200">
        <v>1</v>
      </c>
      <c r="AZ200">
        <v>0</v>
      </c>
      <c r="BA200">
        <v>197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CX200">
        <f>Y200*Source!I774</f>
        <v>2.30016</v>
      </c>
      <c r="CY200">
        <f t="shared" si="37"/>
        <v>993.6</v>
      </c>
      <c r="CZ200">
        <f t="shared" si="38"/>
        <v>993.6</v>
      </c>
      <c r="DA200">
        <f t="shared" si="39"/>
        <v>1</v>
      </c>
      <c r="DB200">
        <f>ROUND((ROUND(AT200*CZ200,2)*16),6)</f>
        <v>127.2</v>
      </c>
      <c r="DC200">
        <f>ROUND((ROUND(AT200*AG200,2)*16),6)</f>
        <v>38.56</v>
      </c>
    </row>
    <row r="201" spans="1:107" x14ac:dyDescent="0.2">
      <c r="A201">
        <f>ROW(Source!A779)</f>
        <v>779</v>
      </c>
      <c r="B201">
        <v>38214492</v>
      </c>
      <c r="C201">
        <v>38215778</v>
      </c>
      <c r="D201">
        <v>34867259</v>
      </c>
      <c r="E201">
        <v>25</v>
      </c>
      <c r="F201">
        <v>1</v>
      </c>
      <c r="G201">
        <v>25</v>
      </c>
      <c r="H201">
        <v>1</v>
      </c>
      <c r="I201" t="s">
        <v>391</v>
      </c>
      <c r="J201" t="s">
        <v>3</v>
      </c>
      <c r="K201" t="s">
        <v>392</v>
      </c>
      <c r="L201">
        <v>1191</v>
      </c>
      <c r="N201">
        <v>1013</v>
      </c>
      <c r="O201" t="s">
        <v>393</v>
      </c>
      <c r="P201" t="s">
        <v>393</v>
      </c>
      <c r="Q201">
        <v>1</v>
      </c>
      <c r="W201">
        <v>0</v>
      </c>
      <c r="X201">
        <v>476480486</v>
      </c>
      <c r="Y201">
        <v>16.559999999999999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1</v>
      </c>
      <c r="AJ201">
        <v>1</v>
      </c>
      <c r="AK201">
        <v>1</v>
      </c>
      <c r="AL201">
        <v>1</v>
      </c>
      <c r="AN201">
        <v>0</v>
      </c>
      <c r="AO201">
        <v>1</v>
      </c>
      <c r="AP201">
        <v>0</v>
      </c>
      <c r="AQ201">
        <v>0</v>
      </c>
      <c r="AR201">
        <v>0</v>
      </c>
      <c r="AS201" t="s">
        <v>3</v>
      </c>
      <c r="AT201">
        <v>16.559999999999999</v>
      </c>
      <c r="AU201" t="s">
        <v>3</v>
      </c>
      <c r="AV201">
        <v>1</v>
      </c>
      <c r="AW201">
        <v>2</v>
      </c>
      <c r="AX201">
        <v>38215787</v>
      </c>
      <c r="AY201">
        <v>1</v>
      </c>
      <c r="AZ201">
        <v>0</v>
      </c>
      <c r="BA201">
        <v>198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CX201">
        <f>Y201*Source!I779</f>
        <v>4.9514399999999998</v>
      </c>
      <c r="CY201">
        <f>AD201</f>
        <v>0</v>
      </c>
      <c r="CZ201">
        <f>AH201</f>
        <v>0</v>
      </c>
      <c r="DA201">
        <f>AL201</f>
        <v>1</v>
      </c>
      <c r="DB201">
        <f t="shared" ref="DB201:DB217" si="40">ROUND(ROUND(AT201*CZ201,2),6)</f>
        <v>0</v>
      </c>
      <c r="DC201">
        <f t="shared" ref="DC201:DC217" si="41">ROUND(ROUND(AT201*AG201,2),6)</f>
        <v>0</v>
      </c>
    </row>
    <row r="202" spans="1:107" x14ac:dyDescent="0.2">
      <c r="A202">
        <f>ROW(Source!A779)</f>
        <v>779</v>
      </c>
      <c r="B202">
        <v>38214492</v>
      </c>
      <c r="C202">
        <v>38215778</v>
      </c>
      <c r="D202">
        <v>34879430</v>
      </c>
      <c r="E202">
        <v>1</v>
      </c>
      <c r="F202">
        <v>1</v>
      </c>
      <c r="G202">
        <v>25</v>
      </c>
      <c r="H202">
        <v>2</v>
      </c>
      <c r="I202" t="s">
        <v>464</v>
      </c>
      <c r="J202" t="s">
        <v>465</v>
      </c>
      <c r="K202" t="s">
        <v>466</v>
      </c>
      <c r="L202">
        <v>1368</v>
      </c>
      <c r="N202">
        <v>1011</v>
      </c>
      <c r="O202" t="s">
        <v>397</v>
      </c>
      <c r="P202" t="s">
        <v>397</v>
      </c>
      <c r="Q202">
        <v>1</v>
      </c>
      <c r="W202">
        <v>0</v>
      </c>
      <c r="X202">
        <v>2063784432</v>
      </c>
      <c r="Y202">
        <v>2.08</v>
      </c>
      <c r="AA202">
        <v>0</v>
      </c>
      <c r="AB202">
        <v>1159.46</v>
      </c>
      <c r="AC202">
        <v>525.74</v>
      </c>
      <c r="AD202">
        <v>0</v>
      </c>
      <c r="AE202">
        <v>0</v>
      </c>
      <c r="AF202">
        <v>1159.46</v>
      </c>
      <c r="AG202">
        <v>525.74</v>
      </c>
      <c r="AH202">
        <v>0</v>
      </c>
      <c r="AI202">
        <v>1</v>
      </c>
      <c r="AJ202">
        <v>1</v>
      </c>
      <c r="AK202">
        <v>1</v>
      </c>
      <c r="AL202">
        <v>1</v>
      </c>
      <c r="AN202">
        <v>0</v>
      </c>
      <c r="AO202">
        <v>1</v>
      </c>
      <c r="AP202">
        <v>0</v>
      </c>
      <c r="AQ202">
        <v>0</v>
      </c>
      <c r="AR202">
        <v>0</v>
      </c>
      <c r="AS202" t="s">
        <v>3</v>
      </c>
      <c r="AT202">
        <v>2.08</v>
      </c>
      <c r="AU202" t="s">
        <v>3</v>
      </c>
      <c r="AV202">
        <v>0</v>
      </c>
      <c r="AW202">
        <v>2</v>
      </c>
      <c r="AX202">
        <v>38215788</v>
      </c>
      <c r="AY202">
        <v>1</v>
      </c>
      <c r="AZ202">
        <v>0</v>
      </c>
      <c r="BA202">
        <v>199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CX202">
        <f>Y202*Source!I779</f>
        <v>0.62192000000000003</v>
      </c>
      <c r="CY202">
        <f>AB202</f>
        <v>1159.46</v>
      </c>
      <c r="CZ202">
        <f>AF202</f>
        <v>1159.46</v>
      </c>
      <c r="DA202">
        <f>AJ202</f>
        <v>1</v>
      </c>
      <c r="DB202">
        <f t="shared" si="40"/>
        <v>2411.6799999999998</v>
      </c>
      <c r="DC202">
        <f t="shared" si="41"/>
        <v>1093.54</v>
      </c>
    </row>
    <row r="203" spans="1:107" x14ac:dyDescent="0.2">
      <c r="A203">
        <f>ROW(Source!A779)</f>
        <v>779</v>
      </c>
      <c r="B203">
        <v>38214492</v>
      </c>
      <c r="C203">
        <v>38215778</v>
      </c>
      <c r="D203">
        <v>34879585</v>
      </c>
      <c r="E203">
        <v>1</v>
      </c>
      <c r="F203">
        <v>1</v>
      </c>
      <c r="G203">
        <v>25</v>
      </c>
      <c r="H203">
        <v>2</v>
      </c>
      <c r="I203" t="s">
        <v>467</v>
      </c>
      <c r="J203" t="s">
        <v>468</v>
      </c>
      <c r="K203" t="s">
        <v>469</v>
      </c>
      <c r="L203">
        <v>1368</v>
      </c>
      <c r="N203">
        <v>1011</v>
      </c>
      <c r="O203" t="s">
        <v>397</v>
      </c>
      <c r="P203" t="s">
        <v>397</v>
      </c>
      <c r="Q203">
        <v>1</v>
      </c>
      <c r="W203">
        <v>0</v>
      </c>
      <c r="X203">
        <v>1265029398</v>
      </c>
      <c r="Y203">
        <v>2.08</v>
      </c>
      <c r="AA203">
        <v>0</v>
      </c>
      <c r="AB203">
        <v>416.25</v>
      </c>
      <c r="AC203">
        <v>204.9</v>
      </c>
      <c r="AD203">
        <v>0</v>
      </c>
      <c r="AE203">
        <v>0</v>
      </c>
      <c r="AF203">
        <v>416.25</v>
      </c>
      <c r="AG203">
        <v>204.9</v>
      </c>
      <c r="AH203">
        <v>0</v>
      </c>
      <c r="AI203">
        <v>1</v>
      </c>
      <c r="AJ203">
        <v>1</v>
      </c>
      <c r="AK203">
        <v>1</v>
      </c>
      <c r="AL203">
        <v>1</v>
      </c>
      <c r="AN203">
        <v>0</v>
      </c>
      <c r="AO203">
        <v>1</v>
      </c>
      <c r="AP203">
        <v>0</v>
      </c>
      <c r="AQ203">
        <v>0</v>
      </c>
      <c r="AR203">
        <v>0</v>
      </c>
      <c r="AS203" t="s">
        <v>3</v>
      </c>
      <c r="AT203">
        <v>2.08</v>
      </c>
      <c r="AU203" t="s">
        <v>3</v>
      </c>
      <c r="AV203">
        <v>0</v>
      </c>
      <c r="AW203">
        <v>2</v>
      </c>
      <c r="AX203">
        <v>38215789</v>
      </c>
      <c r="AY203">
        <v>1</v>
      </c>
      <c r="AZ203">
        <v>0</v>
      </c>
      <c r="BA203">
        <v>200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CX203">
        <f>Y203*Source!I779</f>
        <v>0.62192000000000003</v>
      </c>
      <c r="CY203">
        <f>AB203</f>
        <v>416.25</v>
      </c>
      <c r="CZ203">
        <f>AF203</f>
        <v>416.25</v>
      </c>
      <c r="DA203">
        <f>AJ203</f>
        <v>1</v>
      </c>
      <c r="DB203">
        <f t="shared" si="40"/>
        <v>865.8</v>
      </c>
      <c r="DC203">
        <f t="shared" si="41"/>
        <v>426.19</v>
      </c>
    </row>
    <row r="204" spans="1:107" x14ac:dyDescent="0.2">
      <c r="A204">
        <f>ROW(Source!A779)</f>
        <v>779</v>
      </c>
      <c r="B204">
        <v>38214492</v>
      </c>
      <c r="C204">
        <v>38215778</v>
      </c>
      <c r="D204">
        <v>34879588</v>
      </c>
      <c r="E204">
        <v>1</v>
      </c>
      <c r="F204">
        <v>1</v>
      </c>
      <c r="G204">
        <v>25</v>
      </c>
      <c r="H204">
        <v>2</v>
      </c>
      <c r="I204" t="s">
        <v>470</v>
      </c>
      <c r="J204" t="s">
        <v>471</v>
      </c>
      <c r="K204" t="s">
        <v>472</v>
      </c>
      <c r="L204">
        <v>1368</v>
      </c>
      <c r="N204">
        <v>1011</v>
      </c>
      <c r="O204" t="s">
        <v>397</v>
      </c>
      <c r="P204" t="s">
        <v>397</v>
      </c>
      <c r="Q204">
        <v>1</v>
      </c>
      <c r="W204">
        <v>0</v>
      </c>
      <c r="X204">
        <v>-1802121576</v>
      </c>
      <c r="Y204">
        <v>0.81</v>
      </c>
      <c r="AA204">
        <v>0</v>
      </c>
      <c r="AB204">
        <v>1942.21</v>
      </c>
      <c r="AC204">
        <v>436.39</v>
      </c>
      <c r="AD204">
        <v>0</v>
      </c>
      <c r="AE204">
        <v>0</v>
      </c>
      <c r="AF204">
        <v>1942.21</v>
      </c>
      <c r="AG204">
        <v>436.39</v>
      </c>
      <c r="AH204">
        <v>0</v>
      </c>
      <c r="AI204">
        <v>1</v>
      </c>
      <c r="AJ204">
        <v>1</v>
      </c>
      <c r="AK204">
        <v>1</v>
      </c>
      <c r="AL204">
        <v>1</v>
      </c>
      <c r="AN204">
        <v>0</v>
      </c>
      <c r="AO204">
        <v>1</v>
      </c>
      <c r="AP204">
        <v>0</v>
      </c>
      <c r="AQ204">
        <v>0</v>
      </c>
      <c r="AR204">
        <v>0</v>
      </c>
      <c r="AS204" t="s">
        <v>3</v>
      </c>
      <c r="AT204">
        <v>0.81</v>
      </c>
      <c r="AU204" t="s">
        <v>3</v>
      </c>
      <c r="AV204">
        <v>0</v>
      </c>
      <c r="AW204">
        <v>2</v>
      </c>
      <c r="AX204">
        <v>38215790</v>
      </c>
      <c r="AY204">
        <v>1</v>
      </c>
      <c r="AZ204">
        <v>0</v>
      </c>
      <c r="BA204">
        <v>201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CX204">
        <f>Y204*Source!I779</f>
        <v>0.24219000000000002</v>
      </c>
      <c r="CY204">
        <f>AB204</f>
        <v>1942.21</v>
      </c>
      <c r="CZ204">
        <f>AF204</f>
        <v>1942.21</v>
      </c>
      <c r="DA204">
        <f>AJ204</f>
        <v>1</v>
      </c>
      <c r="DB204">
        <f t="shared" si="40"/>
        <v>1573.19</v>
      </c>
      <c r="DC204">
        <f t="shared" si="41"/>
        <v>353.48</v>
      </c>
    </row>
    <row r="205" spans="1:107" x14ac:dyDescent="0.2">
      <c r="A205">
        <f>ROW(Source!A779)</f>
        <v>779</v>
      </c>
      <c r="B205">
        <v>38214492</v>
      </c>
      <c r="C205">
        <v>38215778</v>
      </c>
      <c r="D205">
        <v>34879612</v>
      </c>
      <c r="E205">
        <v>1</v>
      </c>
      <c r="F205">
        <v>1</v>
      </c>
      <c r="G205">
        <v>25</v>
      </c>
      <c r="H205">
        <v>2</v>
      </c>
      <c r="I205" t="s">
        <v>473</v>
      </c>
      <c r="J205" t="s">
        <v>474</v>
      </c>
      <c r="K205" t="s">
        <v>475</v>
      </c>
      <c r="L205">
        <v>1368</v>
      </c>
      <c r="N205">
        <v>1011</v>
      </c>
      <c r="O205" t="s">
        <v>397</v>
      </c>
      <c r="P205" t="s">
        <v>397</v>
      </c>
      <c r="Q205">
        <v>1</v>
      </c>
      <c r="W205">
        <v>0</v>
      </c>
      <c r="X205">
        <v>-1453001133</v>
      </c>
      <c r="Y205">
        <v>1.94</v>
      </c>
      <c r="AA205">
        <v>0</v>
      </c>
      <c r="AB205">
        <v>1364.77</v>
      </c>
      <c r="AC205">
        <v>610.30999999999995</v>
      </c>
      <c r="AD205">
        <v>0</v>
      </c>
      <c r="AE205">
        <v>0</v>
      </c>
      <c r="AF205">
        <v>1364.77</v>
      </c>
      <c r="AG205">
        <v>610.30999999999995</v>
      </c>
      <c r="AH205">
        <v>0</v>
      </c>
      <c r="AI205">
        <v>1</v>
      </c>
      <c r="AJ205">
        <v>1</v>
      </c>
      <c r="AK205">
        <v>1</v>
      </c>
      <c r="AL205">
        <v>1</v>
      </c>
      <c r="AN205">
        <v>0</v>
      </c>
      <c r="AO205">
        <v>1</v>
      </c>
      <c r="AP205">
        <v>0</v>
      </c>
      <c r="AQ205">
        <v>0</v>
      </c>
      <c r="AR205">
        <v>0</v>
      </c>
      <c r="AS205" t="s">
        <v>3</v>
      </c>
      <c r="AT205">
        <v>1.94</v>
      </c>
      <c r="AU205" t="s">
        <v>3</v>
      </c>
      <c r="AV205">
        <v>0</v>
      </c>
      <c r="AW205">
        <v>2</v>
      </c>
      <c r="AX205">
        <v>38215791</v>
      </c>
      <c r="AY205">
        <v>1</v>
      </c>
      <c r="AZ205">
        <v>0</v>
      </c>
      <c r="BA205">
        <v>202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CX205">
        <f>Y205*Source!I779</f>
        <v>0.58005999999999991</v>
      </c>
      <c r="CY205">
        <f>AB205</f>
        <v>1364.77</v>
      </c>
      <c r="CZ205">
        <f>AF205</f>
        <v>1364.77</v>
      </c>
      <c r="DA205">
        <f>AJ205</f>
        <v>1</v>
      </c>
      <c r="DB205">
        <f t="shared" si="40"/>
        <v>2647.65</v>
      </c>
      <c r="DC205">
        <f t="shared" si="41"/>
        <v>1184</v>
      </c>
    </row>
    <row r="206" spans="1:107" x14ac:dyDescent="0.2">
      <c r="A206">
        <f>ROW(Source!A779)</f>
        <v>779</v>
      </c>
      <c r="B206">
        <v>38214492</v>
      </c>
      <c r="C206">
        <v>38215778</v>
      </c>
      <c r="D206">
        <v>34879578</v>
      </c>
      <c r="E206">
        <v>1</v>
      </c>
      <c r="F206">
        <v>1</v>
      </c>
      <c r="G206">
        <v>25</v>
      </c>
      <c r="H206">
        <v>2</v>
      </c>
      <c r="I206" t="s">
        <v>476</v>
      </c>
      <c r="J206" t="s">
        <v>477</v>
      </c>
      <c r="K206" t="s">
        <v>478</v>
      </c>
      <c r="L206">
        <v>1368</v>
      </c>
      <c r="N206">
        <v>1011</v>
      </c>
      <c r="O206" t="s">
        <v>397</v>
      </c>
      <c r="P206" t="s">
        <v>397</v>
      </c>
      <c r="Q206">
        <v>1</v>
      </c>
      <c r="W206">
        <v>0</v>
      </c>
      <c r="X206">
        <v>393556487</v>
      </c>
      <c r="Y206">
        <v>0.65</v>
      </c>
      <c r="AA206">
        <v>0</v>
      </c>
      <c r="AB206">
        <v>1179.56</v>
      </c>
      <c r="AC206">
        <v>439.28</v>
      </c>
      <c r="AD206">
        <v>0</v>
      </c>
      <c r="AE206">
        <v>0</v>
      </c>
      <c r="AF206">
        <v>1179.56</v>
      </c>
      <c r="AG206">
        <v>439.28</v>
      </c>
      <c r="AH206">
        <v>0</v>
      </c>
      <c r="AI206">
        <v>1</v>
      </c>
      <c r="AJ206">
        <v>1</v>
      </c>
      <c r="AK206">
        <v>1</v>
      </c>
      <c r="AL206">
        <v>1</v>
      </c>
      <c r="AN206">
        <v>0</v>
      </c>
      <c r="AO206">
        <v>1</v>
      </c>
      <c r="AP206">
        <v>0</v>
      </c>
      <c r="AQ206">
        <v>0</v>
      </c>
      <c r="AR206">
        <v>0</v>
      </c>
      <c r="AS206" t="s">
        <v>3</v>
      </c>
      <c r="AT206">
        <v>0.65</v>
      </c>
      <c r="AU206" t="s">
        <v>3</v>
      </c>
      <c r="AV206">
        <v>0</v>
      </c>
      <c r="AW206">
        <v>2</v>
      </c>
      <c r="AX206">
        <v>38215792</v>
      </c>
      <c r="AY206">
        <v>1</v>
      </c>
      <c r="AZ206">
        <v>0</v>
      </c>
      <c r="BA206">
        <v>203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CX206">
        <f>Y206*Source!I779</f>
        <v>0.19434999999999999</v>
      </c>
      <c r="CY206">
        <f>AB206</f>
        <v>1179.56</v>
      </c>
      <c r="CZ206">
        <f>AF206</f>
        <v>1179.56</v>
      </c>
      <c r="DA206">
        <f>AJ206</f>
        <v>1</v>
      </c>
      <c r="DB206">
        <f t="shared" si="40"/>
        <v>766.71</v>
      </c>
      <c r="DC206">
        <f t="shared" si="41"/>
        <v>285.52999999999997</v>
      </c>
    </row>
    <row r="207" spans="1:107" x14ac:dyDescent="0.2">
      <c r="A207">
        <f>ROW(Source!A779)</f>
        <v>779</v>
      </c>
      <c r="B207">
        <v>38214492</v>
      </c>
      <c r="C207">
        <v>38215778</v>
      </c>
      <c r="D207">
        <v>34881527</v>
      </c>
      <c r="E207">
        <v>1</v>
      </c>
      <c r="F207">
        <v>1</v>
      </c>
      <c r="G207">
        <v>25</v>
      </c>
      <c r="H207">
        <v>3</v>
      </c>
      <c r="I207" t="s">
        <v>479</v>
      </c>
      <c r="J207" t="s">
        <v>480</v>
      </c>
      <c r="K207" t="s">
        <v>481</v>
      </c>
      <c r="L207">
        <v>1339</v>
      </c>
      <c r="N207">
        <v>1007</v>
      </c>
      <c r="O207" t="s">
        <v>206</v>
      </c>
      <c r="P207" t="s">
        <v>206</v>
      </c>
      <c r="Q207">
        <v>1</v>
      </c>
      <c r="W207">
        <v>0</v>
      </c>
      <c r="X207">
        <v>189307774</v>
      </c>
      <c r="Y207">
        <v>110</v>
      </c>
      <c r="AA207">
        <v>590.78</v>
      </c>
      <c r="AB207">
        <v>0</v>
      </c>
      <c r="AC207">
        <v>0</v>
      </c>
      <c r="AD207">
        <v>0</v>
      </c>
      <c r="AE207">
        <v>590.78</v>
      </c>
      <c r="AF207">
        <v>0</v>
      </c>
      <c r="AG207">
        <v>0</v>
      </c>
      <c r="AH207">
        <v>0</v>
      </c>
      <c r="AI207">
        <v>1</v>
      </c>
      <c r="AJ207">
        <v>1</v>
      </c>
      <c r="AK207">
        <v>1</v>
      </c>
      <c r="AL207">
        <v>1</v>
      </c>
      <c r="AN207">
        <v>0</v>
      </c>
      <c r="AO207">
        <v>1</v>
      </c>
      <c r="AP207">
        <v>0</v>
      </c>
      <c r="AQ207">
        <v>0</v>
      </c>
      <c r="AR207">
        <v>0</v>
      </c>
      <c r="AS207" t="s">
        <v>3</v>
      </c>
      <c r="AT207">
        <v>110</v>
      </c>
      <c r="AU207" t="s">
        <v>3</v>
      </c>
      <c r="AV207">
        <v>0</v>
      </c>
      <c r="AW207">
        <v>2</v>
      </c>
      <c r="AX207">
        <v>38215793</v>
      </c>
      <c r="AY207">
        <v>1</v>
      </c>
      <c r="AZ207">
        <v>0</v>
      </c>
      <c r="BA207">
        <v>204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CX207">
        <f>Y207*Source!I779</f>
        <v>32.89</v>
      </c>
      <c r="CY207">
        <f>AA207</f>
        <v>590.78</v>
      </c>
      <c r="CZ207">
        <f>AE207</f>
        <v>590.78</v>
      </c>
      <c r="DA207">
        <f>AI207</f>
        <v>1</v>
      </c>
      <c r="DB207">
        <f t="shared" si="40"/>
        <v>64985.8</v>
      </c>
      <c r="DC207">
        <f t="shared" si="41"/>
        <v>0</v>
      </c>
    </row>
    <row r="208" spans="1:107" x14ac:dyDescent="0.2">
      <c r="A208">
        <f>ROW(Source!A779)</f>
        <v>779</v>
      </c>
      <c r="B208">
        <v>38214492</v>
      </c>
      <c r="C208">
        <v>38215778</v>
      </c>
      <c r="D208">
        <v>34882270</v>
      </c>
      <c r="E208">
        <v>1</v>
      </c>
      <c r="F208">
        <v>1</v>
      </c>
      <c r="G208">
        <v>25</v>
      </c>
      <c r="H208">
        <v>3</v>
      </c>
      <c r="I208" t="s">
        <v>482</v>
      </c>
      <c r="J208" t="s">
        <v>483</v>
      </c>
      <c r="K208" t="s">
        <v>484</v>
      </c>
      <c r="L208">
        <v>1339</v>
      </c>
      <c r="N208">
        <v>1007</v>
      </c>
      <c r="O208" t="s">
        <v>206</v>
      </c>
      <c r="P208" t="s">
        <v>206</v>
      </c>
      <c r="Q208">
        <v>1</v>
      </c>
      <c r="W208">
        <v>0</v>
      </c>
      <c r="X208">
        <v>-1250124927</v>
      </c>
      <c r="Y208">
        <v>5</v>
      </c>
      <c r="AA208">
        <v>33.729999999999997</v>
      </c>
      <c r="AB208">
        <v>0</v>
      </c>
      <c r="AC208">
        <v>0</v>
      </c>
      <c r="AD208">
        <v>0</v>
      </c>
      <c r="AE208">
        <v>33.729999999999997</v>
      </c>
      <c r="AF208">
        <v>0</v>
      </c>
      <c r="AG208">
        <v>0</v>
      </c>
      <c r="AH208">
        <v>0</v>
      </c>
      <c r="AI208">
        <v>1</v>
      </c>
      <c r="AJ208">
        <v>1</v>
      </c>
      <c r="AK208">
        <v>1</v>
      </c>
      <c r="AL208">
        <v>1</v>
      </c>
      <c r="AN208">
        <v>0</v>
      </c>
      <c r="AO208">
        <v>1</v>
      </c>
      <c r="AP208">
        <v>0</v>
      </c>
      <c r="AQ208">
        <v>0</v>
      </c>
      <c r="AR208">
        <v>0</v>
      </c>
      <c r="AS208" t="s">
        <v>3</v>
      </c>
      <c r="AT208">
        <v>5</v>
      </c>
      <c r="AU208" t="s">
        <v>3</v>
      </c>
      <c r="AV208">
        <v>0</v>
      </c>
      <c r="AW208">
        <v>2</v>
      </c>
      <c r="AX208">
        <v>38215794</v>
      </c>
      <c r="AY208">
        <v>1</v>
      </c>
      <c r="AZ208">
        <v>0</v>
      </c>
      <c r="BA208">
        <v>205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CX208">
        <f>Y208*Source!I779</f>
        <v>1.4949999999999999</v>
      </c>
      <c r="CY208">
        <f>AA208</f>
        <v>33.729999999999997</v>
      </c>
      <c r="CZ208">
        <f>AE208</f>
        <v>33.729999999999997</v>
      </c>
      <c r="DA208">
        <f>AI208</f>
        <v>1</v>
      </c>
      <c r="DB208">
        <f t="shared" si="40"/>
        <v>168.65</v>
      </c>
      <c r="DC208">
        <f t="shared" si="41"/>
        <v>0</v>
      </c>
    </row>
    <row r="209" spans="1:107" x14ac:dyDescent="0.2">
      <c r="A209">
        <f>ROW(Source!A780)</f>
        <v>780</v>
      </c>
      <c r="B209">
        <v>38214492</v>
      </c>
      <c r="C209">
        <v>38215795</v>
      </c>
      <c r="D209">
        <v>34867259</v>
      </c>
      <c r="E209">
        <v>25</v>
      </c>
      <c r="F209">
        <v>1</v>
      </c>
      <c r="G209">
        <v>25</v>
      </c>
      <c r="H209">
        <v>1</v>
      </c>
      <c r="I209" t="s">
        <v>391</v>
      </c>
      <c r="J209" t="s">
        <v>3</v>
      </c>
      <c r="K209" t="s">
        <v>392</v>
      </c>
      <c r="L209">
        <v>1191</v>
      </c>
      <c r="N209">
        <v>1013</v>
      </c>
      <c r="O209" t="s">
        <v>393</v>
      </c>
      <c r="P209" t="s">
        <v>393</v>
      </c>
      <c r="Q209">
        <v>1</v>
      </c>
      <c r="W209">
        <v>0</v>
      </c>
      <c r="X209">
        <v>476480486</v>
      </c>
      <c r="Y209">
        <v>0.37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1</v>
      </c>
      <c r="AJ209">
        <v>1</v>
      </c>
      <c r="AK209">
        <v>1</v>
      </c>
      <c r="AL209">
        <v>1</v>
      </c>
      <c r="AN209">
        <v>0</v>
      </c>
      <c r="AO209">
        <v>1</v>
      </c>
      <c r="AP209">
        <v>0</v>
      </c>
      <c r="AQ209">
        <v>0</v>
      </c>
      <c r="AR209">
        <v>0</v>
      </c>
      <c r="AS209" t="s">
        <v>3</v>
      </c>
      <c r="AT209">
        <v>0.37</v>
      </c>
      <c r="AU209" t="s">
        <v>3</v>
      </c>
      <c r="AV209">
        <v>1</v>
      </c>
      <c r="AW209">
        <v>2</v>
      </c>
      <c r="AX209">
        <v>38215800</v>
      </c>
      <c r="AY209">
        <v>1</v>
      </c>
      <c r="AZ209">
        <v>0</v>
      </c>
      <c r="BA209">
        <v>206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CX209">
        <f>Y209*Source!I780</f>
        <v>0</v>
      </c>
      <c r="CY209">
        <f>AD209</f>
        <v>0</v>
      </c>
      <c r="CZ209">
        <f>AH209</f>
        <v>0</v>
      </c>
      <c r="DA209">
        <f>AL209</f>
        <v>1</v>
      </c>
      <c r="DB209">
        <f t="shared" si="40"/>
        <v>0</v>
      </c>
      <c r="DC209">
        <f t="shared" si="41"/>
        <v>0</v>
      </c>
    </row>
    <row r="210" spans="1:107" x14ac:dyDescent="0.2">
      <c r="A210">
        <f>ROW(Source!A780)</f>
        <v>780</v>
      </c>
      <c r="B210">
        <v>38214492</v>
      </c>
      <c r="C210">
        <v>38215795</v>
      </c>
      <c r="D210">
        <v>34879587</v>
      </c>
      <c r="E210">
        <v>1</v>
      </c>
      <c r="F210">
        <v>1</v>
      </c>
      <c r="G210">
        <v>25</v>
      </c>
      <c r="H210">
        <v>2</v>
      </c>
      <c r="I210" t="s">
        <v>485</v>
      </c>
      <c r="J210" t="s">
        <v>486</v>
      </c>
      <c r="K210" t="s">
        <v>487</v>
      </c>
      <c r="L210">
        <v>1368</v>
      </c>
      <c r="N210">
        <v>1011</v>
      </c>
      <c r="O210" t="s">
        <v>397</v>
      </c>
      <c r="P210" t="s">
        <v>397</v>
      </c>
      <c r="Q210">
        <v>1</v>
      </c>
      <c r="W210">
        <v>0</v>
      </c>
      <c r="X210">
        <v>-337346809</v>
      </c>
      <c r="Y210">
        <v>3.0000000000000001E-3</v>
      </c>
      <c r="AA210">
        <v>0</v>
      </c>
      <c r="AB210">
        <v>1236.3</v>
      </c>
      <c r="AC210">
        <v>469.98</v>
      </c>
      <c r="AD210">
        <v>0</v>
      </c>
      <c r="AE210">
        <v>0</v>
      </c>
      <c r="AF210">
        <v>1236.3</v>
      </c>
      <c r="AG210">
        <v>469.98</v>
      </c>
      <c r="AH210">
        <v>0</v>
      </c>
      <c r="AI210">
        <v>1</v>
      </c>
      <c r="AJ210">
        <v>1</v>
      </c>
      <c r="AK210">
        <v>1</v>
      </c>
      <c r="AL210">
        <v>1</v>
      </c>
      <c r="AN210">
        <v>0</v>
      </c>
      <c r="AO210">
        <v>1</v>
      </c>
      <c r="AP210">
        <v>0</v>
      </c>
      <c r="AQ210">
        <v>0</v>
      </c>
      <c r="AR210">
        <v>0</v>
      </c>
      <c r="AS210" t="s">
        <v>3</v>
      </c>
      <c r="AT210">
        <v>3.0000000000000001E-3</v>
      </c>
      <c r="AU210" t="s">
        <v>3</v>
      </c>
      <c r="AV210">
        <v>0</v>
      </c>
      <c r="AW210">
        <v>2</v>
      </c>
      <c r="AX210">
        <v>38215801</v>
      </c>
      <c r="AY210">
        <v>1</v>
      </c>
      <c r="AZ210">
        <v>0</v>
      </c>
      <c r="BA210">
        <v>207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CX210">
        <f>Y210*Source!I780</f>
        <v>0</v>
      </c>
      <c r="CY210">
        <f>AB210</f>
        <v>1236.3</v>
      </c>
      <c r="CZ210">
        <f>AF210</f>
        <v>1236.3</v>
      </c>
      <c r="DA210">
        <f>AJ210</f>
        <v>1</v>
      </c>
      <c r="DB210">
        <f t="shared" si="40"/>
        <v>3.71</v>
      </c>
      <c r="DC210">
        <f t="shared" si="41"/>
        <v>1.41</v>
      </c>
    </row>
    <row r="211" spans="1:107" x14ac:dyDescent="0.2">
      <c r="A211">
        <f>ROW(Source!A780)</f>
        <v>780</v>
      </c>
      <c r="B211">
        <v>38214492</v>
      </c>
      <c r="C211">
        <v>38215795</v>
      </c>
      <c r="D211">
        <v>34881528</v>
      </c>
      <c r="E211">
        <v>1</v>
      </c>
      <c r="F211">
        <v>1</v>
      </c>
      <c r="G211">
        <v>25</v>
      </c>
      <c r="H211">
        <v>3</v>
      </c>
      <c r="I211" t="s">
        <v>488</v>
      </c>
      <c r="J211" t="s">
        <v>489</v>
      </c>
      <c r="K211" t="s">
        <v>490</v>
      </c>
      <c r="L211">
        <v>1339</v>
      </c>
      <c r="N211">
        <v>1007</v>
      </c>
      <c r="O211" t="s">
        <v>206</v>
      </c>
      <c r="P211" t="s">
        <v>206</v>
      </c>
      <c r="Q211">
        <v>1</v>
      </c>
      <c r="W211">
        <v>0</v>
      </c>
      <c r="X211">
        <v>2043575967</v>
      </c>
      <c r="Y211">
        <v>0.105</v>
      </c>
      <c r="AA211">
        <v>590.78</v>
      </c>
      <c r="AB211">
        <v>0</v>
      </c>
      <c r="AC211">
        <v>0</v>
      </c>
      <c r="AD211">
        <v>0</v>
      </c>
      <c r="AE211">
        <v>590.78</v>
      </c>
      <c r="AF211">
        <v>0</v>
      </c>
      <c r="AG211">
        <v>0</v>
      </c>
      <c r="AH211">
        <v>0</v>
      </c>
      <c r="AI211">
        <v>1</v>
      </c>
      <c r="AJ211">
        <v>1</v>
      </c>
      <c r="AK211">
        <v>1</v>
      </c>
      <c r="AL211">
        <v>1</v>
      </c>
      <c r="AN211">
        <v>0</v>
      </c>
      <c r="AO211">
        <v>1</v>
      </c>
      <c r="AP211">
        <v>0</v>
      </c>
      <c r="AQ211">
        <v>0</v>
      </c>
      <c r="AR211">
        <v>0</v>
      </c>
      <c r="AS211" t="s">
        <v>3</v>
      </c>
      <c r="AT211">
        <v>0.105</v>
      </c>
      <c r="AU211" t="s">
        <v>3</v>
      </c>
      <c r="AV211">
        <v>0</v>
      </c>
      <c r="AW211">
        <v>2</v>
      </c>
      <c r="AX211">
        <v>38215802</v>
      </c>
      <c r="AY211">
        <v>1</v>
      </c>
      <c r="AZ211">
        <v>0</v>
      </c>
      <c r="BA211">
        <v>208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CX211">
        <f>Y211*Source!I780</f>
        <v>0</v>
      </c>
      <c r="CY211">
        <f>AA211</f>
        <v>590.78</v>
      </c>
      <c r="CZ211">
        <f>AE211</f>
        <v>590.78</v>
      </c>
      <c r="DA211">
        <f>AI211</f>
        <v>1</v>
      </c>
      <c r="DB211">
        <f t="shared" si="40"/>
        <v>62.03</v>
      </c>
      <c r="DC211">
        <f t="shared" si="41"/>
        <v>0</v>
      </c>
    </row>
    <row r="212" spans="1:107" x14ac:dyDescent="0.2">
      <c r="A212">
        <f>ROW(Source!A780)</f>
        <v>780</v>
      </c>
      <c r="B212">
        <v>38214492</v>
      </c>
      <c r="C212">
        <v>38215795</v>
      </c>
      <c r="D212">
        <v>34882270</v>
      </c>
      <c r="E212">
        <v>1</v>
      </c>
      <c r="F212">
        <v>1</v>
      </c>
      <c r="G212">
        <v>25</v>
      </c>
      <c r="H212">
        <v>3</v>
      </c>
      <c r="I212" t="s">
        <v>482</v>
      </c>
      <c r="J212" t="s">
        <v>483</v>
      </c>
      <c r="K212" t="s">
        <v>484</v>
      </c>
      <c r="L212">
        <v>1339</v>
      </c>
      <c r="N212">
        <v>1007</v>
      </c>
      <c r="O212" t="s">
        <v>206</v>
      </c>
      <c r="P212" t="s">
        <v>206</v>
      </c>
      <c r="Q212">
        <v>1</v>
      </c>
      <c r="W212">
        <v>0</v>
      </c>
      <c r="X212">
        <v>-1250124927</v>
      </c>
      <c r="Y212">
        <v>0.01</v>
      </c>
      <c r="AA212">
        <v>33.729999999999997</v>
      </c>
      <c r="AB212">
        <v>0</v>
      </c>
      <c r="AC212">
        <v>0</v>
      </c>
      <c r="AD212">
        <v>0</v>
      </c>
      <c r="AE212">
        <v>33.729999999999997</v>
      </c>
      <c r="AF212">
        <v>0</v>
      </c>
      <c r="AG212">
        <v>0</v>
      </c>
      <c r="AH212">
        <v>0</v>
      </c>
      <c r="AI212">
        <v>1</v>
      </c>
      <c r="AJ212">
        <v>1</v>
      </c>
      <c r="AK212">
        <v>1</v>
      </c>
      <c r="AL212">
        <v>1</v>
      </c>
      <c r="AN212">
        <v>0</v>
      </c>
      <c r="AO212">
        <v>1</v>
      </c>
      <c r="AP212">
        <v>0</v>
      </c>
      <c r="AQ212">
        <v>0</v>
      </c>
      <c r="AR212">
        <v>0</v>
      </c>
      <c r="AS212" t="s">
        <v>3</v>
      </c>
      <c r="AT212">
        <v>0.01</v>
      </c>
      <c r="AU212" t="s">
        <v>3</v>
      </c>
      <c r="AV212">
        <v>0</v>
      </c>
      <c r="AW212">
        <v>2</v>
      </c>
      <c r="AX212">
        <v>38215803</v>
      </c>
      <c r="AY212">
        <v>1</v>
      </c>
      <c r="AZ212">
        <v>0</v>
      </c>
      <c r="BA212">
        <v>209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CX212">
        <f>Y212*Source!I780</f>
        <v>0</v>
      </c>
      <c r="CY212">
        <f>AA212</f>
        <v>33.729999999999997</v>
      </c>
      <c r="CZ212">
        <f>AE212</f>
        <v>33.729999999999997</v>
      </c>
      <c r="DA212">
        <f>AI212</f>
        <v>1</v>
      </c>
      <c r="DB212">
        <f t="shared" si="40"/>
        <v>0.34</v>
      </c>
      <c r="DC212">
        <f t="shared" si="41"/>
        <v>0</v>
      </c>
    </row>
    <row r="213" spans="1:107" x14ac:dyDescent="0.2">
      <c r="A213">
        <f>ROW(Source!A781)</f>
        <v>781</v>
      </c>
      <c r="B213">
        <v>38214492</v>
      </c>
      <c r="C213">
        <v>38215804</v>
      </c>
      <c r="D213">
        <v>34867259</v>
      </c>
      <c r="E213">
        <v>25</v>
      </c>
      <c r="F213">
        <v>1</v>
      </c>
      <c r="G213">
        <v>25</v>
      </c>
      <c r="H213">
        <v>1</v>
      </c>
      <c r="I213" t="s">
        <v>391</v>
      </c>
      <c r="J213" t="s">
        <v>3</v>
      </c>
      <c r="K213" t="s">
        <v>392</v>
      </c>
      <c r="L213">
        <v>1191</v>
      </c>
      <c r="N213">
        <v>1013</v>
      </c>
      <c r="O213" t="s">
        <v>393</v>
      </c>
      <c r="P213" t="s">
        <v>393</v>
      </c>
      <c r="Q213">
        <v>1</v>
      </c>
      <c r="W213">
        <v>0</v>
      </c>
      <c r="X213">
        <v>476480486</v>
      </c>
      <c r="Y213">
        <v>87.4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1</v>
      </c>
      <c r="AJ213">
        <v>1</v>
      </c>
      <c r="AK213">
        <v>1</v>
      </c>
      <c r="AL213">
        <v>1</v>
      </c>
      <c r="AN213">
        <v>0</v>
      </c>
      <c r="AO213">
        <v>1</v>
      </c>
      <c r="AP213">
        <v>0</v>
      </c>
      <c r="AQ213">
        <v>0</v>
      </c>
      <c r="AR213">
        <v>0</v>
      </c>
      <c r="AS213" t="s">
        <v>3</v>
      </c>
      <c r="AT213">
        <v>87.4</v>
      </c>
      <c r="AU213" t="s">
        <v>3</v>
      </c>
      <c r="AV213">
        <v>1</v>
      </c>
      <c r="AW213">
        <v>2</v>
      </c>
      <c r="AX213">
        <v>38215810</v>
      </c>
      <c r="AY213">
        <v>1</v>
      </c>
      <c r="AZ213">
        <v>0</v>
      </c>
      <c r="BA213">
        <v>210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CX213">
        <f>Y213*Source!I781</f>
        <v>0</v>
      </c>
      <c r="CY213">
        <f>AD213</f>
        <v>0</v>
      </c>
      <c r="CZ213">
        <f>AH213</f>
        <v>0</v>
      </c>
      <c r="DA213">
        <f>AL213</f>
        <v>1</v>
      </c>
      <c r="DB213">
        <f t="shared" si="40"/>
        <v>0</v>
      </c>
      <c r="DC213">
        <f t="shared" si="41"/>
        <v>0</v>
      </c>
    </row>
    <row r="214" spans="1:107" x14ac:dyDescent="0.2">
      <c r="A214">
        <f>ROW(Source!A781)</f>
        <v>781</v>
      </c>
      <c r="B214">
        <v>38214492</v>
      </c>
      <c r="C214">
        <v>38215804</v>
      </c>
      <c r="D214">
        <v>34879517</v>
      </c>
      <c r="E214">
        <v>1</v>
      </c>
      <c r="F214">
        <v>1</v>
      </c>
      <c r="G214">
        <v>25</v>
      </c>
      <c r="H214">
        <v>2</v>
      </c>
      <c r="I214" t="s">
        <v>406</v>
      </c>
      <c r="J214" t="s">
        <v>407</v>
      </c>
      <c r="K214" t="s">
        <v>408</v>
      </c>
      <c r="L214">
        <v>1368</v>
      </c>
      <c r="N214">
        <v>1011</v>
      </c>
      <c r="O214" t="s">
        <v>397</v>
      </c>
      <c r="P214" t="s">
        <v>397</v>
      </c>
      <c r="Q214">
        <v>1</v>
      </c>
      <c r="W214">
        <v>0</v>
      </c>
      <c r="X214">
        <v>-1063871118</v>
      </c>
      <c r="Y214">
        <v>19</v>
      </c>
      <c r="AA214">
        <v>0</v>
      </c>
      <c r="AB214">
        <v>31.01</v>
      </c>
      <c r="AC214">
        <v>1.29</v>
      </c>
      <c r="AD214">
        <v>0</v>
      </c>
      <c r="AE214">
        <v>0</v>
      </c>
      <c r="AF214">
        <v>31.01</v>
      </c>
      <c r="AG214">
        <v>1.29</v>
      </c>
      <c r="AH214">
        <v>0</v>
      </c>
      <c r="AI214">
        <v>1</v>
      </c>
      <c r="AJ214">
        <v>1</v>
      </c>
      <c r="AK214">
        <v>1</v>
      </c>
      <c r="AL214">
        <v>1</v>
      </c>
      <c r="AN214">
        <v>0</v>
      </c>
      <c r="AO214">
        <v>1</v>
      </c>
      <c r="AP214">
        <v>0</v>
      </c>
      <c r="AQ214">
        <v>0</v>
      </c>
      <c r="AR214">
        <v>0</v>
      </c>
      <c r="AS214" t="s">
        <v>3</v>
      </c>
      <c r="AT214">
        <v>19</v>
      </c>
      <c r="AU214" t="s">
        <v>3</v>
      </c>
      <c r="AV214">
        <v>0</v>
      </c>
      <c r="AW214">
        <v>2</v>
      </c>
      <c r="AX214">
        <v>38215811</v>
      </c>
      <c r="AY214">
        <v>1</v>
      </c>
      <c r="AZ214">
        <v>0</v>
      </c>
      <c r="BA214">
        <v>211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CX214">
        <f>Y214*Source!I781</f>
        <v>0</v>
      </c>
      <c r="CY214">
        <f>AB214</f>
        <v>31.01</v>
      </c>
      <c r="CZ214">
        <f>AF214</f>
        <v>31.01</v>
      </c>
      <c r="DA214">
        <f>AJ214</f>
        <v>1</v>
      </c>
      <c r="DB214">
        <f t="shared" si="40"/>
        <v>589.19000000000005</v>
      </c>
      <c r="DC214">
        <f t="shared" si="41"/>
        <v>24.51</v>
      </c>
    </row>
    <row r="215" spans="1:107" x14ac:dyDescent="0.2">
      <c r="A215">
        <f>ROW(Source!A781)</f>
        <v>781</v>
      </c>
      <c r="B215">
        <v>38214492</v>
      </c>
      <c r="C215">
        <v>38215804</v>
      </c>
      <c r="D215">
        <v>34881323</v>
      </c>
      <c r="E215">
        <v>1</v>
      </c>
      <c r="F215">
        <v>1</v>
      </c>
      <c r="G215">
        <v>25</v>
      </c>
      <c r="H215">
        <v>3</v>
      </c>
      <c r="I215" t="s">
        <v>409</v>
      </c>
      <c r="J215" t="s">
        <v>410</v>
      </c>
      <c r="K215" t="s">
        <v>411</v>
      </c>
      <c r="L215">
        <v>1348</v>
      </c>
      <c r="N215">
        <v>1009</v>
      </c>
      <c r="O215" t="s">
        <v>30</v>
      </c>
      <c r="P215" t="s">
        <v>30</v>
      </c>
      <c r="Q215">
        <v>1000</v>
      </c>
      <c r="W215">
        <v>0</v>
      </c>
      <c r="X215">
        <v>-220406470</v>
      </c>
      <c r="Y215">
        <v>3.3E-3</v>
      </c>
      <c r="AA215">
        <v>103472.53</v>
      </c>
      <c r="AB215">
        <v>0</v>
      </c>
      <c r="AC215">
        <v>0</v>
      </c>
      <c r="AD215">
        <v>0</v>
      </c>
      <c r="AE215">
        <v>103472.53</v>
      </c>
      <c r="AF215">
        <v>0</v>
      </c>
      <c r="AG215">
        <v>0</v>
      </c>
      <c r="AH215">
        <v>0</v>
      </c>
      <c r="AI215">
        <v>1</v>
      </c>
      <c r="AJ215">
        <v>1</v>
      </c>
      <c r="AK215">
        <v>1</v>
      </c>
      <c r="AL215">
        <v>1</v>
      </c>
      <c r="AN215">
        <v>0</v>
      </c>
      <c r="AO215">
        <v>1</v>
      </c>
      <c r="AP215">
        <v>0</v>
      </c>
      <c r="AQ215">
        <v>0</v>
      </c>
      <c r="AR215">
        <v>0</v>
      </c>
      <c r="AS215" t="s">
        <v>3</v>
      </c>
      <c r="AT215">
        <v>3.3E-3</v>
      </c>
      <c r="AU215" t="s">
        <v>3</v>
      </c>
      <c r="AV215">
        <v>0</v>
      </c>
      <c r="AW215">
        <v>2</v>
      </c>
      <c r="AX215">
        <v>38215812</v>
      </c>
      <c r="AY215">
        <v>1</v>
      </c>
      <c r="AZ215">
        <v>0</v>
      </c>
      <c r="BA215">
        <v>212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CX215">
        <f>Y215*Source!I781</f>
        <v>0</v>
      </c>
      <c r="CY215">
        <f>AA215</f>
        <v>103472.53</v>
      </c>
      <c r="CZ215">
        <f>AE215</f>
        <v>103472.53</v>
      </c>
      <c r="DA215">
        <f>AI215</f>
        <v>1</v>
      </c>
      <c r="DB215">
        <f t="shared" si="40"/>
        <v>341.46</v>
      </c>
      <c r="DC215">
        <f t="shared" si="41"/>
        <v>0</v>
      </c>
    </row>
    <row r="216" spans="1:107" x14ac:dyDescent="0.2">
      <c r="A216">
        <f>ROW(Source!A781)</f>
        <v>781</v>
      </c>
      <c r="B216">
        <v>38214492</v>
      </c>
      <c r="C216">
        <v>38215804</v>
      </c>
      <c r="D216">
        <v>34882179</v>
      </c>
      <c r="E216">
        <v>1</v>
      </c>
      <c r="F216">
        <v>1</v>
      </c>
      <c r="G216">
        <v>25</v>
      </c>
      <c r="H216">
        <v>3</v>
      </c>
      <c r="I216" t="s">
        <v>412</v>
      </c>
      <c r="J216" t="s">
        <v>413</v>
      </c>
      <c r="K216" t="s">
        <v>414</v>
      </c>
      <c r="L216">
        <v>1348</v>
      </c>
      <c r="N216">
        <v>1009</v>
      </c>
      <c r="O216" t="s">
        <v>30</v>
      </c>
      <c r="P216" t="s">
        <v>30</v>
      </c>
      <c r="Q216">
        <v>1000</v>
      </c>
      <c r="W216">
        <v>0</v>
      </c>
      <c r="X216">
        <v>-475338610</v>
      </c>
      <c r="Y216">
        <v>1.4E-3</v>
      </c>
      <c r="AA216">
        <v>110728.72</v>
      </c>
      <c r="AB216">
        <v>0</v>
      </c>
      <c r="AC216">
        <v>0</v>
      </c>
      <c r="AD216">
        <v>0</v>
      </c>
      <c r="AE216">
        <v>110728.72</v>
      </c>
      <c r="AF216">
        <v>0</v>
      </c>
      <c r="AG216">
        <v>0</v>
      </c>
      <c r="AH216">
        <v>0</v>
      </c>
      <c r="AI216">
        <v>1</v>
      </c>
      <c r="AJ216">
        <v>1</v>
      </c>
      <c r="AK216">
        <v>1</v>
      </c>
      <c r="AL216">
        <v>1</v>
      </c>
      <c r="AN216">
        <v>0</v>
      </c>
      <c r="AO216">
        <v>1</v>
      </c>
      <c r="AP216">
        <v>0</v>
      </c>
      <c r="AQ216">
        <v>0</v>
      </c>
      <c r="AR216">
        <v>0</v>
      </c>
      <c r="AS216" t="s">
        <v>3</v>
      </c>
      <c r="AT216">
        <v>1.4E-3</v>
      </c>
      <c r="AU216" t="s">
        <v>3</v>
      </c>
      <c r="AV216">
        <v>0</v>
      </c>
      <c r="AW216">
        <v>2</v>
      </c>
      <c r="AX216">
        <v>38215813</v>
      </c>
      <c r="AY216">
        <v>1</v>
      </c>
      <c r="AZ216">
        <v>0</v>
      </c>
      <c r="BA216">
        <v>213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CX216">
        <f>Y216*Source!I781</f>
        <v>0</v>
      </c>
      <c r="CY216">
        <f>AA216</f>
        <v>110728.72</v>
      </c>
      <c r="CZ216">
        <f>AE216</f>
        <v>110728.72</v>
      </c>
      <c r="DA216">
        <f>AI216</f>
        <v>1</v>
      </c>
      <c r="DB216">
        <f t="shared" si="40"/>
        <v>155.02000000000001</v>
      </c>
      <c r="DC216">
        <f t="shared" si="41"/>
        <v>0</v>
      </c>
    </row>
    <row r="217" spans="1:107" x14ac:dyDescent="0.2">
      <c r="A217">
        <f>ROW(Source!A781)</f>
        <v>781</v>
      </c>
      <c r="B217">
        <v>38214492</v>
      </c>
      <c r="C217">
        <v>38215804</v>
      </c>
      <c r="D217">
        <v>34884265</v>
      </c>
      <c r="E217">
        <v>1</v>
      </c>
      <c r="F217">
        <v>1</v>
      </c>
      <c r="G217">
        <v>25</v>
      </c>
      <c r="H217">
        <v>3</v>
      </c>
      <c r="I217" t="s">
        <v>415</v>
      </c>
      <c r="J217" t="s">
        <v>416</v>
      </c>
      <c r="K217" t="s">
        <v>417</v>
      </c>
      <c r="L217">
        <v>1348</v>
      </c>
      <c r="N217">
        <v>1009</v>
      </c>
      <c r="O217" t="s">
        <v>30</v>
      </c>
      <c r="P217" t="s">
        <v>30</v>
      </c>
      <c r="Q217">
        <v>1000</v>
      </c>
      <c r="W217">
        <v>0</v>
      </c>
      <c r="X217">
        <v>927048313</v>
      </c>
      <c r="Y217">
        <v>1</v>
      </c>
      <c r="AA217">
        <v>74995.210000000006</v>
      </c>
      <c r="AB217">
        <v>0</v>
      </c>
      <c r="AC217">
        <v>0</v>
      </c>
      <c r="AD217">
        <v>0</v>
      </c>
      <c r="AE217">
        <v>74995.210000000006</v>
      </c>
      <c r="AF217">
        <v>0</v>
      </c>
      <c r="AG217">
        <v>0</v>
      </c>
      <c r="AH217">
        <v>0</v>
      </c>
      <c r="AI217">
        <v>1</v>
      </c>
      <c r="AJ217">
        <v>1</v>
      </c>
      <c r="AK217">
        <v>1</v>
      </c>
      <c r="AL217">
        <v>1</v>
      </c>
      <c r="AN217">
        <v>0</v>
      </c>
      <c r="AO217">
        <v>1</v>
      </c>
      <c r="AP217">
        <v>0</v>
      </c>
      <c r="AQ217">
        <v>0</v>
      </c>
      <c r="AR217">
        <v>0</v>
      </c>
      <c r="AS217" t="s">
        <v>3</v>
      </c>
      <c r="AT217">
        <v>1</v>
      </c>
      <c r="AU217" t="s">
        <v>3</v>
      </c>
      <c r="AV217">
        <v>0</v>
      </c>
      <c r="AW217">
        <v>2</v>
      </c>
      <c r="AX217">
        <v>38215814</v>
      </c>
      <c r="AY217">
        <v>1</v>
      </c>
      <c r="AZ217">
        <v>0</v>
      </c>
      <c r="BA217">
        <v>214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CX217">
        <f>Y217*Source!I781</f>
        <v>0</v>
      </c>
      <c r="CY217">
        <f>AA217</f>
        <v>74995.210000000006</v>
      </c>
      <c r="CZ217">
        <f>AE217</f>
        <v>74995.210000000006</v>
      </c>
      <c r="DA217">
        <f>AI217</f>
        <v>1</v>
      </c>
      <c r="DB217">
        <f t="shared" si="40"/>
        <v>74995.210000000006</v>
      </c>
      <c r="DC217">
        <f t="shared" si="41"/>
        <v>0</v>
      </c>
    </row>
    <row r="218" spans="1:107" x14ac:dyDescent="0.2">
      <c r="A218">
        <f>ROW(Source!A889)</f>
        <v>889</v>
      </c>
      <c r="B218">
        <v>38214492</v>
      </c>
      <c r="C218">
        <v>38215987</v>
      </c>
      <c r="D218">
        <v>34867259</v>
      </c>
      <c r="E218">
        <v>25</v>
      </c>
      <c r="F218">
        <v>1</v>
      </c>
      <c r="G218">
        <v>25</v>
      </c>
      <c r="H218">
        <v>1</v>
      </c>
      <c r="I218" t="s">
        <v>391</v>
      </c>
      <c r="J218" t="s">
        <v>3</v>
      </c>
      <c r="K218" t="s">
        <v>392</v>
      </c>
      <c r="L218">
        <v>1191</v>
      </c>
      <c r="N218">
        <v>1013</v>
      </c>
      <c r="O218" t="s">
        <v>393</v>
      </c>
      <c r="P218" t="s">
        <v>393</v>
      </c>
      <c r="Q218">
        <v>1</v>
      </c>
      <c r="W218">
        <v>0</v>
      </c>
      <c r="X218">
        <v>476480486</v>
      </c>
      <c r="Y218">
        <v>3.73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1</v>
      </c>
      <c r="AJ218">
        <v>1</v>
      </c>
      <c r="AK218">
        <v>1</v>
      </c>
      <c r="AL218">
        <v>1</v>
      </c>
      <c r="AN218">
        <v>0</v>
      </c>
      <c r="AO218">
        <v>1</v>
      </c>
      <c r="AP218">
        <v>1</v>
      </c>
      <c r="AQ218">
        <v>0</v>
      </c>
      <c r="AR218">
        <v>0</v>
      </c>
      <c r="AS218" t="s">
        <v>3</v>
      </c>
      <c r="AT218">
        <v>18.649999999999999</v>
      </c>
      <c r="AU218" t="s">
        <v>33</v>
      </c>
      <c r="AV218">
        <v>1</v>
      </c>
      <c r="AW218">
        <v>2</v>
      </c>
      <c r="AX218">
        <v>38215992</v>
      </c>
      <c r="AY218">
        <v>1</v>
      </c>
      <c r="AZ218">
        <v>0</v>
      </c>
      <c r="BA218">
        <v>215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CX218">
        <f>Y218*Source!I889</f>
        <v>159.94240000000002</v>
      </c>
      <c r="CY218">
        <f>AD218</f>
        <v>0</v>
      </c>
      <c r="CZ218">
        <f>AH218</f>
        <v>0</v>
      </c>
      <c r="DA218">
        <f>AL218</f>
        <v>1</v>
      </c>
      <c r="DB218">
        <f>ROUND((ROUND(AT218*CZ218,2)*0.2),6)</f>
        <v>0</v>
      </c>
      <c r="DC218">
        <f>ROUND((ROUND(AT218*AG218,2)*0.2),6)</f>
        <v>0</v>
      </c>
    </row>
    <row r="219" spans="1:107" x14ac:dyDescent="0.2">
      <c r="A219">
        <f>ROW(Source!A889)</f>
        <v>889</v>
      </c>
      <c r="B219">
        <v>38214492</v>
      </c>
      <c r="C219">
        <v>38215987</v>
      </c>
      <c r="D219">
        <v>34881348</v>
      </c>
      <c r="E219">
        <v>1</v>
      </c>
      <c r="F219">
        <v>1</v>
      </c>
      <c r="G219">
        <v>25</v>
      </c>
      <c r="H219">
        <v>3</v>
      </c>
      <c r="I219" t="s">
        <v>491</v>
      </c>
      <c r="J219" t="s">
        <v>492</v>
      </c>
      <c r="K219" t="s">
        <v>493</v>
      </c>
      <c r="L219">
        <v>1348</v>
      </c>
      <c r="N219">
        <v>1009</v>
      </c>
      <c r="O219" t="s">
        <v>30</v>
      </c>
      <c r="P219" t="s">
        <v>30</v>
      </c>
      <c r="Q219">
        <v>1000</v>
      </c>
      <c r="W219">
        <v>0</v>
      </c>
      <c r="X219">
        <v>993024992</v>
      </c>
      <c r="Y219">
        <v>0</v>
      </c>
      <c r="AA219">
        <v>52914.53</v>
      </c>
      <c r="AB219">
        <v>0</v>
      </c>
      <c r="AC219">
        <v>0</v>
      </c>
      <c r="AD219">
        <v>0</v>
      </c>
      <c r="AE219">
        <v>52914.53</v>
      </c>
      <c r="AF219">
        <v>0</v>
      </c>
      <c r="AG219">
        <v>0</v>
      </c>
      <c r="AH219">
        <v>0</v>
      </c>
      <c r="AI219">
        <v>1</v>
      </c>
      <c r="AJ219">
        <v>1</v>
      </c>
      <c r="AK219">
        <v>1</v>
      </c>
      <c r="AL219">
        <v>1</v>
      </c>
      <c r="AN219">
        <v>0</v>
      </c>
      <c r="AO219">
        <v>1</v>
      </c>
      <c r="AP219">
        <v>1</v>
      </c>
      <c r="AQ219">
        <v>0</v>
      </c>
      <c r="AR219">
        <v>0</v>
      </c>
      <c r="AS219" t="s">
        <v>3</v>
      </c>
      <c r="AT219">
        <v>1.132E-2</v>
      </c>
      <c r="AU219" t="s">
        <v>32</v>
      </c>
      <c r="AV219">
        <v>0</v>
      </c>
      <c r="AW219">
        <v>2</v>
      </c>
      <c r="AX219">
        <v>38215993</v>
      </c>
      <c r="AY219">
        <v>1</v>
      </c>
      <c r="AZ219">
        <v>0</v>
      </c>
      <c r="BA219">
        <v>216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CX219">
        <f>Y219*Source!I889</f>
        <v>0</v>
      </c>
      <c r="CY219">
        <f>AA219</f>
        <v>52914.53</v>
      </c>
      <c r="CZ219">
        <f>AE219</f>
        <v>52914.53</v>
      </c>
      <c r="DA219">
        <f>AI219</f>
        <v>1</v>
      </c>
      <c r="DB219">
        <f>ROUND((ROUND(AT219*CZ219,2)*0),6)</f>
        <v>0</v>
      </c>
      <c r="DC219">
        <f>ROUND((ROUND(AT219*AG219,2)*0),6)</f>
        <v>0</v>
      </c>
    </row>
    <row r="220" spans="1:107" x14ac:dyDescent="0.2">
      <c r="A220">
        <f>ROW(Source!A889)</f>
        <v>889</v>
      </c>
      <c r="B220">
        <v>38214492</v>
      </c>
      <c r="C220">
        <v>38215987</v>
      </c>
      <c r="D220">
        <v>34880974</v>
      </c>
      <c r="E220">
        <v>1</v>
      </c>
      <c r="F220">
        <v>1</v>
      </c>
      <c r="G220">
        <v>25</v>
      </c>
      <c r="H220">
        <v>3</v>
      </c>
      <c r="I220" t="s">
        <v>347</v>
      </c>
      <c r="J220" t="s">
        <v>349</v>
      </c>
      <c r="K220" t="s">
        <v>348</v>
      </c>
      <c r="L220">
        <v>1339</v>
      </c>
      <c r="N220">
        <v>1007</v>
      </c>
      <c r="O220" t="s">
        <v>206</v>
      </c>
      <c r="P220" t="s">
        <v>206</v>
      </c>
      <c r="Q220">
        <v>1</v>
      </c>
      <c r="W220">
        <v>0</v>
      </c>
      <c r="X220">
        <v>1463256945</v>
      </c>
      <c r="Y220">
        <v>0</v>
      </c>
      <c r="AA220">
        <v>6701.58</v>
      </c>
      <c r="AB220">
        <v>0</v>
      </c>
      <c r="AC220">
        <v>0</v>
      </c>
      <c r="AD220">
        <v>0</v>
      </c>
      <c r="AE220">
        <v>6701.58</v>
      </c>
      <c r="AF220">
        <v>0</v>
      </c>
      <c r="AG220">
        <v>0</v>
      </c>
      <c r="AH220">
        <v>0</v>
      </c>
      <c r="AI220">
        <v>1</v>
      </c>
      <c r="AJ220">
        <v>1</v>
      </c>
      <c r="AK220">
        <v>1</v>
      </c>
      <c r="AL220">
        <v>1</v>
      </c>
      <c r="AN220">
        <v>0</v>
      </c>
      <c r="AO220">
        <v>1</v>
      </c>
      <c r="AP220">
        <v>1</v>
      </c>
      <c r="AQ220">
        <v>0</v>
      </c>
      <c r="AR220">
        <v>0</v>
      </c>
      <c r="AS220" t="s">
        <v>3</v>
      </c>
      <c r="AT220">
        <v>3.01</v>
      </c>
      <c r="AU220" t="s">
        <v>32</v>
      </c>
      <c r="AV220">
        <v>0</v>
      </c>
      <c r="AW220">
        <v>2</v>
      </c>
      <c r="AX220">
        <v>38215994</v>
      </c>
      <c r="AY220">
        <v>1</v>
      </c>
      <c r="AZ220">
        <v>0</v>
      </c>
      <c r="BA220">
        <v>217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CX220">
        <f>Y220*Source!I889</f>
        <v>0</v>
      </c>
      <c r="CY220">
        <f>AA220</f>
        <v>6701.58</v>
      </c>
      <c r="CZ220">
        <f>AE220</f>
        <v>6701.58</v>
      </c>
      <c r="DA220">
        <f>AI220</f>
        <v>1</v>
      </c>
      <c r="DB220">
        <f>ROUND((ROUND(AT220*CZ220,2)*0),6)</f>
        <v>0</v>
      </c>
      <c r="DC220">
        <f>ROUND((ROUND(AT220*AG220,2)*0),6)</f>
        <v>0</v>
      </c>
    </row>
    <row r="221" spans="1:107" x14ac:dyDescent="0.2">
      <c r="A221">
        <f>ROW(Source!A889)</f>
        <v>889</v>
      </c>
      <c r="B221">
        <v>38214492</v>
      </c>
      <c r="C221">
        <v>38215987</v>
      </c>
      <c r="D221">
        <v>34880975</v>
      </c>
      <c r="E221">
        <v>1</v>
      </c>
      <c r="F221">
        <v>1</v>
      </c>
      <c r="G221">
        <v>25</v>
      </c>
      <c r="H221">
        <v>3</v>
      </c>
      <c r="I221" t="s">
        <v>494</v>
      </c>
      <c r="J221" t="s">
        <v>495</v>
      </c>
      <c r="K221" t="s">
        <v>496</v>
      </c>
      <c r="L221">
        <v>1339</v>
      </c>
      <c r="N221">
        <v>1007</v>
      </c>
      <c r="O221" t="s">
        <v>206</v>
      </c>
      <c r="P221" t="s">
        <v>206</v>
      </c>
      <c r="Q221">
        <v>1</v>
      </c>
      <c r="W221">
        <v>0</v>
      </c>
      <c r="X221">
        <v>1121281230</v>
      </c>
      <c r="Y221">
        <v>0</v>
      </c>
      <c r="AA221">
        <v>6697.08</v>
      </c>
      <c r="AB221">
        <v>0</v>
      </c>
      <c r="AC221">
        <v>0</v>
      </c>
      <c r="AD221">
        <v>0</v>
      </c>
      <c r="AE221">
        <v>6697.08</v>
      </c>
      <c r="AF221">
        <v>0</v>
      </c>
      <c r="AG221">
        <v>0</v>
      </c>
      <c r="AH221">
        <v>0</v>
      </c>
      <c r="AI221">
        <v>1</v>
      </c>
      <c r="AJ221">
        <v>1</v>
      </c>
      <c r="AK221">
        <v>1</v>
      </c>
      <c r="AL221">
        <v>1</v>
      </c>
      <c r="AN221">
        <v>0</v>
      </c>
      <c r="AO221">
        <v>1</v>
      </c>
      <c r="AP221">
        <v>1</v>
      </c>
      <c r="AQ221">
        <v>0</v>
      </c>
      <c r="AR221">
        <v>0</v>
      </c>
      <c r="AS221" t="s">
        <v>3</v>
      </c>
      <c r="AT221">
        <v>0.72</v>
      </c>
      <c r="AU221" t="s">
        <v>32</v>
      </c>
      <c r="AV221">
        <v>0</v>
      </c>
      <c r="AW221">
        <v>2</v>
      </c>
      <c r="AX221">
        <v>38215995</v>
      </c>
      <c r="AY221">
        <v>1</v>
      </c>
      <c r="AZ221">
        <v>0</v>
      </c>
      <c r="BA221">
        <v>218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CX221">
        <f>Y221*Source!I889</f>
        <v>0</v>
      </c>
      <c r="CY221">
        <f>AA221</f>
        <v>6697.08</v>
      </c>
      <c r="CZ221">
        <f>AE221</f>
        <v>6697.08</v>
      </c>
      <c r="DA221">
        <f>AI221</f>
        <v>1</v>
      </c>
      <c r="DB221">
        <f>ROUND((ROUND(AT221*CZ221,2)*0),6)</f>
        <v>0</v>
      </c>
      <c r="DC221">
        <f>ROUND((ROUND(AT221*AG221,2)*0),6)</f>
        <v>0</v>
      </c>
    </row>
    <row r="222" spans="1:107" x14ac:dyDescent="0.2">
      <c r="A222">
        <f>ROW(Source!A890)</f>
        <v>890</v>
      </c>
      <c r="B222">
        <v>38214492</v>
      </c>
      <c r="C222">
        <v>38215996</v>
      </c>
      <c r="D222">
        <v>34867259</v>
      </c>
      <c r="E222">
        <v>25</v>
      </c>
      <c r="F222">
        <v>1</v>
      </c>
      <c r="G222">
        <v>25</v>
      </c>
      <c r="H222">
        <v>1</v>
      </c>
      <c r="I222" t="s">
        <v>391</v>
      </c>
      <c r="J222" t="s">
        <v>3</v>
      </c>
      <c r="K222" t="s">
        <v>392</v>
      </c>
      <c r="L222">
        <v>1191</v>
      </c>
      <c r="N222">
        <v>1013</v>
      </c>
      <c r="O222" t="s">
        <v>393</v>
      </c>
      <c r="P222" t="s">
        <v>393</v>
      </c>
      <c r="Q222">
        <v>1</v>
      </c>
      <c r="W222">
        <v>0</v>
      </c>
      <c r="X222">
        <v>476480486</v>
      </c>
      <c r="Y222">
        <v>15.15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1</v>
      </c>
      <c r="AJ222">
        <v>1</v>
      </c>
      <c r="AK222">
        <v>1</v>
      </c>
      <c r="AL222">
        <v>1</v>
      </c>
      <c r="AN222">
        <v>0</v>
      </c>
      <c r="AO222">
        <v>1</v>
      </c>
      <c r="AP222">
        <v>0</v>
      </c>
      <c r="AQ222">
        <v>0</v>
      </c>
      <c r="AR222">
        <v>0</v>
      </c>
      <c r="AS222" t="s">
        <v>3</v>
      </c>
      <c r="AT222">
        <v>15.15</v>
      </c>
      <c r="AU222" t="s">
        <v>3</v>
      </c>
      <c r="AV222">
        <v>1</v>
      </c>
      <c r="AW222">
        <v>2</v>
      </c>
      <c r="AX222">
        <v>38216000</v>
      </c>
      <c r="AY222">
        <v>1</v>
      </c>
      <c r="AZ222">
        <v>0</v>
      </c>
      <c r="BA222">
        <v>219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CX222">
        <f>Y222*Source!I890</f>
        <v>47.722499999999997</v>
      </c>
      <c r="CY222">
        <f>AD222</f>
        <v>0</v>
      </c>
      <c r="CZ222">
        <f>AH222</f>
        <v>0</v>
      </c>
      <c r="DA222">
        <f>AL222</f>
        <v>1</v>
      </c>
      <c r="DB222">
        <f t="shared" ref="DB222:DB232" si="42">ROUND(ROUND(AT222*CZ222,2),6)</f>
        <v>0</v>
      </c>
      <c r="DC222">
        <f t="shared" ref="DC222:DC232" si="43">ROUND(ROUND(AT222*AG222,2),6)</f>
        <v>0</v>
      </c>
    </row>
    <row r="223" spans="1:107" x14ac:dyDescent="0.2">
      <c r="A223">
        <f>ROW(Source!A890)</f>
        <v>890</v>
      </c>
      <c r="B223">
        <v>38214492</v>
      </c>
      <c r="C223">
        <v>38215996</v>
      </c>
      <c r="D223">
        <v>34880230</v>
      </c>
      <c r="E223">
        <v>1</v>
      </c>
      <c r="F223">
        <v>1</v>
      </c>
      <c r="G223">
        <v>25</v>
      </c>
      <c r="H223">
        <v>2</v>
      </c>
      <c r="I223" t="s">
        <v>394</v>
      </c>
      <c r="J223" t="s">
        <v>395</v>
      </c>
      <c r="K223" t="s">
        <v>396</v>
      </c>
      <c r="L223">
        <v>1368</v>
      </c>
      <c r="N223">
        <v>1011</v>
      </c>
      <c r="O223" t="s">
        <v>397</v>
      </c>
      <c r="P223" t="s">
        <v>397</v>
      </c>
      <c r="Q223">
        <v>1</v>
      </c>
      <c r="W223">
        <v>0</v>
      </c>
      <c r="X223">
        <v>1675990774</v>
      </c>
      <c r="Y223">
        <v>0.01</v>
      </c>
      <c r="AA223">
        <v>0</v>
      </c>
      <c r="AB223">
        <v>6.28</v>
      </c>
      <c r="AC223">
        <v>0.01</v>
      </c>
      <c r="AD223">
        <v>0</v>
      </c>
      <c r="AE223">
        <v>0</v>
      </c>
      <c r="AF223">
        <v>6.28</v>
      </c>
      <c r="AG223">
        <v>0.01</v>
      </c>
      <c r="AH223">
        <v>0</v>
      </c>
      <c r="AI223">
        <v>1</v>
      </c>
      <c r="AJ223">
        <v>1</v>
      </c>
      <c r="AK223">
        <v>1</v>
      </c>
      <c r="AL223">
        <v>1</v>
      </c>
      <c r="AN223">
        <v>0</v>
      </c>
      <c r="AO223">
        <v>1</v>
      </c>
      <c r="AP223">
        <v>0</v>
      </c>
      <c r="AQ223">
        <v>0</v>
      </c>
      <c r="AR223">
        <v>0</v>
      </c>
      <c r="AS223" t="s">
        <v>3</v>
      </c>
      <c r="AT223">
        <v>0.01</v>
      </c>
      <c r="AU223" t="s">
        <v>3</v>
      </c>
      <c r="AV223">
        <v>0</v>
      </c>
      <c r="AW223">
        <v>2</v>
      </c>
      <c r="AX223">
        <v>38216001</v>
      </c>
      <c r="AY223">
        <v>1</v>
      </c>
      <c r="AZ223">
        <v>0</v>
      </c>
      <c r="BA223">
        <v>220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CX223">
        <f>Y223*Source!I890</f>
        <v>3.15E-2</v>
      </c>
      <c r="CY223">
        <f>AB223</f>
        <v>6.28</v>
      </c>
      <c r="CZ223">
        <f>AF223</f>
        <v>6.28</v>
      </c>
      <c r="DA223">
        <f>AJ223</f>
        <v>1</v>
      </c>
      <c r="DB223">
        <f t="shared" si="42"/>
        <v>0.06</v>
      </c>
      <c r="DC223">
        <f t="shared" si="43"/>
        <v>0</v>
      </c>
    </row>
    <row r="224" spans="1:107" x14ac:dyDescent="0.2">
      <c r="A224">
        <f>ROW(Source!A890)</f>
        <v>890</v>
      </c>
      <c r="B224">
        <v>38214492</v>
      </c>
      <c r="C224">
        <v>38215996</v>
      </c>
      <c r="D224">
        <v>34869071</v>
      </c>
      <c r="E224">
        <v>25</v>
      </c>
      <c r="F224">
        <v>1</v>
      </c>
      <c r="G224">
        <v>25</v>
      </c>
      <c r="H224">
        <v>3</v>
      </c>
      <c r="I224" t="s">
        <v>398</v>
      </c>
      <c r="J224" t="s">
        <v>3</v>
      </c>
      <c r="K224" t="s">
        <v>399</v>
      </c>
      <c r="L224">
        <v>1348</v>
      </c>
      <c r="N224">
        <v>1009</v>
      </c>
      <c r="O224" t="s">
        <v>30</v>
      </c>
      <c r="P224" t="s">
        <v>30</v>
      </c>
      <c r="Q224">
        <v>1000</v>
      </c>
      <c r="W224">
        <v>0</v>
      </c>
      <c r="X224">
        <v>1489638031</v>
      </c>
      <c r="Y224">
        <v>0.65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1</v>
      </c>
      <c r="AJ224">
        <v>1</v>
      </c>
      <c r="AK224">
        <v>1</v>
      </c>
      <c r="AL224">
        <v>1</v>
      </c>
      <c r="AN224">
        <v>0</v>
      </c>
      <c r="AO224">
        <v>1</v>
      </c>
      <c r="AP224">
        <v>0</v>
      </c>
      <c r="AQ224">
        <v>0</v>
      </c>
      <c r="AR224">
        <v>0</v>
      </c>
      <c r="AS224" t="s">
        <v>3</v>
      </c>
      <c r="AT224">
        <v>0.65</v>
      </c>
      <c r="AU224" t="s">
        <v>3</v>
      </c>
      <c r="AV224">
        <v>0</v>
      </c>
      <c r="AW224">
        <v>2</v>
      </c>
      <c r="AX224">
        <v>38216002</v>
      </c>
      <c r="AY224">
        <v>1</v>
      </c>
      <c r="AZ224">
        <v>0</v>
      </c>
      <c r="BA224">
        <v>221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CX224">
        <f>Y224*Source!I890</f>
        <v>2.0474999999999999</v>
      </c>
      <c r="CY224">
        <f>AA224</f>
        <v>0</v>
      </c>
      <c r="CZ224">
        <f>AE224</f>
        <v>0</v>
      </c>
      <c r="DA224">
        <f>AI224</f>
        <v>1</v>
      </c>
      <c r="DB224">
        <f t="shared" si="42"/>
        <v>0</v>
      </c>
      <c r="DC224">
        <f t="shared" si="43"/>
        <v>0</v>
      </c>
    </row>
    <row r="225" spans="1:107" x14ac:dyDescent="0.2">
      <c r="A225">
        <f>ROW(Source!A891)</f>
        <v>891</v>
      </c>
      <c r="B225">
        <v>38214492</v>
      </c>
      <c r="C225">
        <v>38216003</v>
      </c>
      <c r="D225">
        <v>34867259</v>
      </c>
      <c r="E225">
        <v>25</v>
      </c>
      <c r="F225">
        <v>1</v>
      </c>
      <c r="G225">
        <v>25</v>
      </c>
      <c r="H225">
        <v>1</v>
      </c>
      <c r="I225" t="s">
        <v>391</v>
      </c>
      <c r="J225" t="s">
        <v>3</v>
      </c>
      <c r="K225" t="s">
        <v>392</v>
      </c>
      <c r="L225">
        <v>1191</v>
      </c>
      <c r="N225">
        <v>1013</v>
      </c>
      <c r="O225" t="s">
        <v>393</v>
      </c>
      <c r="P225" t="s">
        <v>393</v>
      </c>
      <c r="Q225">
        <v>1</v>
      </c>
      <c r="W225">
        <v>0</v>
      </c>
      <c r="X225">
        <v>476480486</v>
      </c>
      <c r="Y225">
        <v>7.67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1</v>
      </c>
      <c r="AJ225">
        <v>1</v>
      </c>
      <c r="AK225">
        <v>1</v>
      </c>
      <c r="AL225">
        <v>1</v>
      </c>
      <c r="AN225">
        <v>0</v>
      </c>
      <c r="AO225">
        <v>1</v>
      </c>
      <c r="AP225">
        <v>0</v>
      </c>
      <c r="AQ225">
        <v>0</v>
      </c>
      <c r="AR225">
        <v>0</v>
      </c>
      <c r="AS225" t="s">
        <v>3</v>
      </c>
      <c r="AT225">
        <v>7.67</v>
      </c>
      <c r="AU225" t="s">
        <v>3</v>
      </c>
      <c r="AV225">
        <v>1</v>
      </c>
      <c r="AW225">
        <v>2</v>
      </c>
      <c r="AX225">
        <v>38216006</v>
      </c>
      <c r="AY225">
        <v>1</v>
      </c>
      <c r="AZ225">
        <v>0</v>
      </c>
      <c r="BA225">
        <v>222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CX225">
        <f>Y225*Source!I891</f>
        <v>48.012942119999998</v>
      </c>
      <c r="CY225">
        <f>AD225</f>
        <v>0</v>
      </c>
      <c r="CZ225">
        <f>AH225</f>
        <v>0</v>
      </c>
      <c r="DA225">
        <f>AL225</f>
        <v>1</v>
      </c>
      <c r="DB225">
        <f t="shared" si="42"/>
        <v>0</v>
      </c>
      <c r="DC225">
        <f t="shared" si="43"/>
        <v>0</v>
      </c>
    </row>
    <row r="226" spans="1:107" x14ac:dyDescent="0.2">
      <c r="A226">
        <f>ROW(Source!A891)</f>
        <v>891</v>
      </c>
      <c r="B226">
        <v>38214492</v>
      </c>
      <c r="C226">
        <v>38216003</v>
      </c>
      <c r="D226">
        <v>34869071</v>
      </c>
      <c r="E226">
        <v>25</v>
      </c>
      <c r="F226">
        <v>1</v>
      </c>
      <c r="G226">
        <v>25</v>
      </c>
      <c r="H226">
        <v>3</v>
      </c>
      <c r="I226" t="s">
        <v>398</v>
      </c>
      <c r="J226" t="s">
        <v>3</v>
      </c>
      <c r="K226" t="s">
        <v>399</v>
      </c>
      <c r="L226">
        <v>1348</v>
      </c>
      <c r="N226">
        <v>1009</v>
      </c>
      <c r="O226" t="s">
        <v>30</v>
      </c>
      <c r="P226" t="s">
        <v>30</v>
      </c>
      <c r="Q226">
        <v>1000</v>
      </c>
      <c r="W226">
        <v>0</v>
      </c>
      <c r="X226">
        <v>1489638031</v>
      </c>
      <c r="Y226">
        <v>0.7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1</v>
      </c>
      <c r="AJ226">
        <v>1</v>
      </c>
      <c r="AK226">
        <v>1</v>
      </c>
      <c r="AL226">
        <v>1</v>
      </c>
      <c r="AN226">
        <v>0</v>
      </c>
      <c r="AO226">
        <v>1</v>
      </c>
      <c r="AP226">
        <v>0</v>
      </c>
      <c r="AQ226">
        <v>0</v>
      </c>
      <c r="AR226">
        <v>0</v>
      </c>
      <c r="AS226" t="s">
        <v>3</v>
      </c>
      <c r="AT226">
        <v>0.7</v>
      </c>
      <c r="AU226" t="s">
        <v>3</v>
      </c>
      <c r="AV226">
        <v>0</v>
      </c>
      <c r="AW226">
        <v>2</v>
      </c>
      <c r="AX226">
        <v>38216007</v>
      </c>
      <c r="AY226">
        <v>1</v>
      </c>
      <c r="AZ226">
        <v>0</v>
      </c>
      <c r="BA226">
        <v>223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CX226">
        <f>Y226*Source!I891</f>
        <v>4.3818851999999993</v>
      </c>
      <c r="CY226">
        <f>AA226</f>
        <v>0</v>
      </c>
      <c r="CZ226">
        <f>AE226</f>
        <v>0</v>
      </c>
      <c r="DA226">
        <f>AI226</f>
        <v>1</v>
      </c>
      <c r="DB226">
        <f t="shared" si="42"/>
        <v>0</v>
      </c>
      <c r="DC226">
        <f t="shared" si="43"/>
        <v>0</v>
      </c>
    </row>
    <row r="227" spans="1:107" x14ac:dyDescent="0.2">
      <c r="A227">
        <f>ROW(Source!A892)</f>
        <v>892</v>
      </c>
      <c r="B227">
        <v>38214492</v>
      </c>
      <c r="C227">
        <v>38216008</v>
      </c>
      <c r="D227">
        <v>34879386</v>
      </c>
      <c r="E227">
        <v>1</v>
      </c>
      <c r="F227">
        <v>1</v>
      </c>
      <c r="G227">
        <v>25</v>
      </c>
      <c r="H227">
        <v>2</v>
      </c>
      <c r="I227" t="s">
        <v>461</v>
      </c>
      <c r="J227" t="s">
        <v>462</v>
      </c>
      <c r="K227" t="s">
        <v>463</v>
      </c>
      <c r="L227">
        <v>1368</v>
      </c>
      <c r="N227">
        <v>1011</v>
      </c>
      <c r="O227" t="s">
        <v>397</v>
      </c>
      <c r="P227" t="s">
        <v>397</v>
      </c>
      <c r="Q227">
        <v>1</v>
      </c>
      <c r="W227">
        <v>0</v>
      </c>
      <c r="X227">
        <v>-202408269</v>
      </c>
      <c r="Y227">
        <v>5.3699999999999998E-2</v>
      </c>
      <c r="AA227">
        <v>0</v>
      </c>
      <c r="AB227">
        <v>1451.71</v>
      </c>
      <c r="AC227">
        <v>457.95</v>
      </c>
      <c r="AD227">
        <v>0</v>
      </c>
      <c r="AE227">
        <v>0</v>
      </c>
      <c r="AF227">
        <v>1451.71</v>
      </c>
      <c r="AG227">
        <v>457.95</v>
      </c>
      <c r="AH227">
        <v>0</v>
      </c>
      <c r="AI227">
        <v>1</v>
      </c>
      <c r="AJ227">
        <v>1</v>
      </c>
      <c r="AK227">
        <v>1</v>
      </c>
      <c r="AL227">
        <v>1</v>
      </c>
      <c r="AN227">
        <v>0</v>
      </c>
      <c r="AO227">
        <v>1</v>
      </c>
      <c r="AP227">
        <v>0</v>
      </c>
      <c r="AQ227">
        <v>0</v>
      </c>
      <c r="AR227">
        <v>0</v>
      </c>
      <c r="AS227" t="s">
        <v>3</v>
      </c>
      <c r="AT227">
        <v>5.3699999999999998E-2</v>
      </c>
      <c r="AU227" t="s">
        <v>3</v>
      </c>
      <c r="AV227">
        <v>0</v>
      </c>
      <c r="AW227">
        <v>2</v>
      </c>
      <c r="AX227">
        <v>38216010</v>
      </c>
      <c r="AY227">
        <v>1</v>
      </c>
      <c r="AZ227">
        <v>0</v>
      </c>
      <c r="BA227">
        <v>224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CX227">
        <f>Y227*Source!I892</f>
        <v>3.8021104673999999</v>
      </c>
      <c r="CY227">
        <f>AB227</f>
        <v>1451.71</v>
      </c>
      <c r="CZ227">
        <f>AF227</f>
        <v>1451.71</v>
      </c>
      <c r="DA227">
        <f>AJ227</f>
        <v>1</v>
      </c>
      <c r="DB227">
        <f t="shared" si="42"/>
        <v>77.959999999999994</v>
      </c>
      <c r="DC227">
        <f t="shared" si="43"/>
        <v>24.59</v>
      </c>
    </row>
    <row r="228" spans="1:107" x14ac:dyDescent="0.2">
      <c r="A228">
        <f>ROW(Source!A893)</f>
        <v>893</v>
      </c>
      <c r="B228">
        <v>38214492</v>
      </c>
      <c r="C228">
        <v>38216011</v>
      </c>
      <c r="D228">
        <v>34867259</v>
      </c>
      <c r="E228">
        <v>25</v>
      </c>
      <c r="F228">
        <v>1</v>
      </c>
      <c r="G228">
        <v>25</v>
      </c>
      <c r="H228">
        <v>1</v>
      </c>
      <c r="I228" t="s">
        <v>391</v>
      </c>
      <c r="J228" t="s">
        <v>3</v>
      </c>
      <c r="K228" t="s">
        <v>392</v>
      </c>
      <c r="L228">
        <v>1191</v>
      </c>
      <c r="N228">
        <v>1013</v>
      </c>
      <c r="O228" t="s">
        <v>393</v>
      </c>
      <c r="P228" t="s">
        <v>393</v>
      </c>
      <c r="Q228">
        <v>1</v>
      </c>
      <c r="W228">
        <v>0</v>
      </c>
      <c r="X228">
        <v>476480486</v>
      </c>
      <c r="Y228">
        <v>1.02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1</v>
      </c>
      <c r="AJ228">
        <v>1</v>
      </c>
      <c r="AK228">
        <v>1</v>
      </c>
      <c r="AL228">
        <v>1</v>
      </c>
      <c r="AN228">
        <v>0</v>
      </c>
      <c r="AO228">
        <v>1</v>
      </c>
      <c r="AP228">
        <v>0</v>
      </c>
      <c r="AQ228">
        <v>0</v>
      </c>
      <c r="AR228">
        <v>0</v>
      </c>
      <c r="AS228" t="s">
        <v>3</v>
      </c>
      <c r="AT228">
        <v>1.02</v>
      </c>
      <c r="AU228" t="s">
        <v>3</v>
      </c>
      <c r="AV228">
        <v>1</v>
      </c>
      <c r="AW228">
        <v>2</v>
      </c>
      <c r="AX228">
        <v>38216013</v>
      </c>
      <c r="AY228">
        <v>1</v>
      </c>
      <c r="AZ228">
        <v>0</v>
      </c>
      <c r="BA228">
        <v>225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CX228">
        <f>Y228*Source!I893</f>
        <v>8.0243175600000001</v>
      </c>
      <c r="CY228">
        <f>AD228</f>
        <v>0</v>
      </c>
      <c r="CZ228">
        <f>AH228</f>
        <v>0</v>
      </c>
      <c r="DA228">
        <f>AL228</f>
        <v>1</v>
      </c>
      <c r="DB228">
        <f t="shared" si="42"/>
        <v>0</v>
      </c>
      <c r="DC228">
        <f t="shared" si="43"/>
        <v>0</v>
      </c>
    </row>
    <row r="229" spans="1:107" x14ac:dyDescent="0.2">
      <c r="A229">
        <f>ROW(Source!A894)</f>
        <v>894</v>
      </c>
      <c r="B229">
        <v>38214492</v>
      </c>
      <c r="C229">
        <v>38216014</v>
      </c>
      <c r="D229">
        <v>34880178</v>
      </c>
      <c r="E229">
        <v>1</v>
      </c>
      <c r="F229">
        <v>1</v>
      </c>
      <c r="G229">
        <v>25</v>
      </c>
      <c r="H229">
        <v>2</v>
      </c>
      <c r="I229" t="s">
        <v>400</v>
      </c>
      <c r="J229" t="s">
        <v>401</v>
      </c>
      <c r="K229" t="s">
        <v>402</v>
      </c>
      <c r="L229">
        <v>1368</v>
      </c>
      <c r="N229">
        <v>1011</v>
      </c>
      <c r="O229" t="s">
        <v>397</v>
      </c>
      <c r="P229" t="s">
        <v>397</v>
      </c>
      <c r="Q229">
        <v>1</v>
      </c>
      <c r="W229">
        <v>0</v>
      </c>
      <c r="X229">
        <v>468658695</v>
      </c>
      <c r="Y229">
        <v>0.02</v>
      </c>
      <c r="AA229">
        <v>0</v>
      </c>
      <c r="AB229">
        <v>952.49</v>
      </c>
      <c r="AC229">
        <v>301.5</v>
      </c>
      <c r="AD229">
        <v>0</v>
      </c>
      <c r="AE229">
        <v>0</v>
      </c>
      <c r="AF229">
        <v>952.49</v>
      </c>
      <c r="AG229">
        <v>301.5</v>
      </c>
      <c r="AH229">
        <v>0</v>
      </c>
      <c r="AI229">
        <v>1</v>
      </c>
      <c r="AJ229">
        <v>1</v>
      </c>
      <c r="AK229">
        <v>1</v>
      </c>
      <c r="AL229">
        <v>1</v>
      </c>
      <c r="AN229">
        <v>0</v>
      </c>
      <c r="AO229">
        <v>1</v>
      </c>
      <c r="AP229">
        <v>0</v>
      </c>
      <c r="AQ229">
        <v>0</v>
      </c>
      <c r="AR229">
        <v>0</v>
      </c>
      <c r="AS229" t="s">
        <v>3</v>
      </c>
      <c r="AT229">
        <v>0.02</v>
      </c>
      <c r="AU229" t="s">
        <v>3</v>
      </c>
      <c r="AV229">
        <v>0</v>
      </c>
      <c r="AW229">
        <v>2</v>
      </c>
      <c r="AX229">
        <v>38216017</v>
      </c>
      <c r="AY229">
        <v>1</v>
      </c>
      <c r="AZ229">
        <v>0</v>
      </c>
      <c r="BA229">
        <v>226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CX229">
        <f>Y229*Source!I894</f>
        <v>1.41605604</v>
      </c>
      <c r="CY229">
        <f t="shared" ref="CY229:CY234" si="44">AB229</f>
        <v>952.49</v>
      </c>
      <c r="CZ229">
        <f t="shared" ref="CZ229:CZ234" si="45">AF229</f>
        <v>952.49</v>
      </c>
      <c r="DA229">
        <f t="shared" ref="DA229:DA234" si="46">AJ229</f>
        <v>1</v>
      </c>
      <c r="DB229">
        <f t="shared" si="42"/>
        <v>19.05</v>
      </c>
      <c r="DC229">
        <f t="shared" si="43"/>
        <v>6.03</v>
      </c>
    </row>
    <row r="230" spans="1:107" x14ac:dyDescent="0.2">
      <c r="A230">
        <f>ROW(Source!A894)</f>
        <v>894</v>
      </c>
      <c r="B230">
        <v>38214492</v>
      </c>
      <c r="C230">
        <v>38216014</v>
      </c>
      <c r="D230">
        <v>34880179</v>
      </c>
      <c r="E230">
        <v>1</v>
      </c>
      <c r="F230">
        <v>1</v>
      </c>
      <c r="G230">
        <v>25</v>
      </c>
      <c r="H230">
        <v>2</v>
      </c>
      <c r="I230" t="s">
        <v>403</v>
      </c>
      <c r="J230" t="s">
        <v>404</v>
      </c>
      <c r="K230" t="s">
        <v>405</v>
      </c>
      <c r="L230">
        <v>1368</v>
      </c>
      <c r="N230">
        <v>1011</v>
      </c>
      <c r="O230" t="s">
        <v>397</v>
      </c>
      <c r="P230" t="s">
        <v>397</v>
      </c>
      <c r="Q230">
        <v>1</v>
      </c>
      <c r="W230">
        <v>0</v>
      </c>
      <c r="X230">
        <v>-1546163025</v>
      </c>
      <c r="Y230">
        <v>1.7999999999999999E-2</v>
      </c>
      <c r="AA230">
        <v>0</v>
      </c>
      <c r="AB230">
        <v>993.6</v>
      </c>
      <c r="AC230">
        <v>301.8</v>
      </c>
      <c r="AD230">
        <v>0</v>
      </c>
      <c r="AE230">
        <v>0</v>
      </c>
      <c r="AF230">
        <v>993.6</v>
      </c>
      <c r="AG230">
        <v>301.8</v>
      </c>
      <c r="AH230">
        <v>0</v>
      </c>
      <c r="AI230">
        <v>1</v>
      </c>
      <c r="AJ230">
        <v>1</v>
      </c>
      <c r="AK230">
        <v>1</v>
      </c>
      <c r="AL230">
        <v>1</v>
      </c>
      <c r="AN230">
        <v>0</v>
      </c>
      <c r="AO230">
        <v>1</v>
      </c>
      <c r="AP230">
        <v>0</v>
      </c>
      <c r="AQ230">
        <v>0</v>
      </c>
      <c r="AR230">
        <v>0</v>
      </c>
      <c r="AS230" t="s">
        <v>3</v>
      </c>
      <c r="AT230">
        <v>1.7999999999999999E-2</v>
      </c>
      <c r="AU230" t="s">
        <v>3</v>
      </c>
      <c r="AV230">
        <v>0</v>
      </c>
      <c r="AW230">
        <v>2</v>
      </c>
      <c r="AX230">
        <v>38216018</v>
      </c>
      <c r="AY230">
        <v>1</v>
      </c>
      <c r="AZ230">
        <v>0</v>
      </c>
      <c r="BA230">
        <v>227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CX230">
        <f>Y230*Source!I894</f>
        <v>1.274450436</v>
      </c>
      <c r="CY230">
        <f t="shared" si="44"/>
        <v>993.6</v>
      </c>
      <c r="CZ230">
        <f t="shared" si="45"/>
        <v>993.6</v>
      </c>
      <c r="DA230">
        <f t="shared" si="46"/>
        <v>1</v>
      </c>
      <c r="DB230">
        <f t="shared" si="42"/>
        <v>17.88</v>
      </c>
      <c r="DC230">
        <f t="shared" si="43"/>
        <v>5.43</v>
      </c>
    </row>
    <row r="231" spans="1:107" x14ac:dyDescent="0.2">
      <c r="A231">
        <f>ROW(Source!A895)</f>
        <v>895</v>
      </c>
      <c r="B231">
        <v>38214492</v>
      </c>
      <c r="C231">
        <v>38216019</v>
      </c>
      <c r="D231">
        <v>34880178</v>
      </c>
      <c r="E231">
        <v>1</v>
      </c>
      <c r="F231">
        <v>1</v>
      </c>
      <c r="G231">
        <v>25</v>
      </c>
      <c r="H231">
        <v>2</v>
      </c>
      <c r="I231" t="s">
        <v>400</v>
      </c>
      <c r="J231" t="s">
        <v>401</v>
      </c>
      <c r="K231" t="s">
        <v>402</v>
      </c>
      <c r="L231">
        <v>1368</v>
      </c>
      <c r="N231">
        <v>1011</v>
      </c>
      <c r="O231" t="s">
        <v>397</v>
      </c>
      <c r="P231" t="s">
        <v>397</v>
      </c>
      <c r="Q231">
        <v>1</v>
      </c>
      <c r="W231">
        <v>0</v>
      </c>
      <c r="X231">
        <v>468658695</v>
      </c>
      <c r="Y231">
        <v>5.3999999999999999E-2</v>
      </c>
      <c r="AA231">
        <v>0</v>
      </c>
      <c r="AB231">
        <v>952.49</v>
      </c>
      <c r="AC231">
        <v>301.5</v>
      </c>
      <c r="AD231">
        <v>0</v>
      </c>
      <c r="AE231">
        <v>0</v>
      </c>
      <c r="AF231">
        <v>952.49</v>
      </c>
      <c r="AG231">
        <v>301.5</v>
      </c>
      <c r="AH231">
        <v>0</v>
      </c>
      <c r="AI231">
        <v>1</v>
      </c>
      <c r="AJ231">
        <v>1</v>
      </c>
      <c r="AK231">
        <v>1</v>
      </c>
      <c r="AL231">
        <v>1</v>
      </c>
      <c r="AN231">
        <v>0</v>
      </c>
      <c r="AO231">
        <v>1</v>
      </c>
      <c r="AP231">
        <v>0</v>
      </c>
      <c r="AQ231">
        <v>0</v>
      </c>
      <c r="AR231">
        <v>0</v>
      </c>
      <c r="AS231" t="s">
        <v>3</v>
      </c>
      <c r="AT231">
        <v>5.3999999999999999E-2</v>
      </c>
      <c r="AU231" t="s">
        <v>3</v>
      </c>
      <c r="AV231">
        <v>0</v>
      </c>
      <c r="AW231">
        <v>2</v>
      </c>
      <c r="AX231">
        <v>38216022</v>
      </c>
      <c r="AY231">
        <v>1</v>
      </c>
      <c r="AZ231">
        <v>0</v>
      </c>
      <c r="BA231">
        <v>228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CX231">
        <f>Y231*Source!I895</f>
        <v>0.42481681199999999</v>
      </c>
      <c r="CY231">
        <f t="shared" si="44"/>
        <v>952.49</v>
      </c>
      <c r="CZ231">
        <f t="shared" si="45"/>
        <v>952.49</v>
      </c>
      <c r="DA231">
        <f t="shared" si="46"/>
        <v>1</v>
      </c>
      <c r="DB231">
        <f t="shared" si="42"/>
        <v>51.43</v>
      </c>
      <c r="DC231">
        <f t="shared" si="43"/>
        <v>16.28</v>
      </c>
    </row>
    <row r="232" spans="1:107" x14ac:dyDescent="0.2">
      <c r="A232">
        <f>ROW(Source!A895)</f>
        <v>895</v>
      </c>
      <c r="B232">
        <v>38214492</v>
      </c>
      <c r="C232">
        <v>38216019</v>
      </c>
      <c r="D232">
        <v>34880179</v>
      </c>
      <c r="E232">
        <v>1</v>
      </c>
      <c r="F232">
        <v>1</v>
      </c>
      <c r="G232">
        <v>25</v>
      </c>
      <c r="H232">
        <v>2</v>
      </c>
      <c r="I232" t="s">
        <v>403</v>
      </c>
      <c r="J232" t="s">
        <v>404</v>
      </c>
      <c r="K232" t="s">
        <v>405</v>
      </c>
      <c r="L232">
        <v>1368</v>
      </c>
      <c r="N232">
        <v>1011</v>
      </c>
      <c r="O232" t="s">
        <v>397</v>
      </c>
      <c r="P232" t="s">
        <v>397</v>
      </c>
      <c r="Q232">
        <v>1</v>
      </c>
      <c r="W232">
        <v>0</v>
      </c>
      <c r="X232">
        <v>-1546163025</v>
      </c>
      <c r="Y232">
        <v>5.5E-2</v>
      </c>
      <c r="AA232">
        <v>0</v>
      </c>
      <c r="AB232">
        <v>993.6</v>
      </c>
      <c r="AC232">
        <v>301.8</v>
      </c>
      <c r="AD232">
        <v>0</v>
      </c>
      <c r="AE232">
        <v>0</v>
      </c>
      <c r="AF232">
        <v>993.6</v>
      </c>
      <c r="AG232">
        <v>301.8</v>
      </c>
      <c r="AH232">
        <v>0</v>
      </c>
      <c r="AI232">
        <v>1</v>
      </c>
      <c r="AJ232">
        <v>1</v>
      </c>
      <c r="AK232">
        <v>1</v>
      </c>
      <c r="AL232">
        <v>1</v>
      </c>
      <c r="AN232">
        <v>0</v>
      </c>
      <c r="AO232">
        <v>1</v>
      </c>
      <c r="AP232">
        <v>0</v>
      </c>
      <c r="AQ232">
        <v>0</v>
      </c>
      <c r="AR232">
        <v>0</v>
      </c>
      <c r="AS232" t="s">
        <v>3</v>
      </c>
      <c r="AT232">
        <v>5.5E-2</v>
      </c>
      <c r="AU232" t="s">
        <v>3</v>
      </c>
      <c r="AV232">
        <v>0</v>
      </c>
      <c r="AW232">
        <v>2</v>
      </c>
      <c r="AX232">
        <v>38216023</v>
      </c>
      <c r="AY232">
        <v>1</v>
      </c>
      <c r="AZ232">
        <v>0</v>
      </c>
      <c r="BA232">
        <v>229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CX232">
        <f>Y232*Source!I895</f>
        <v>0.43268378999999996</v>
      </c>
      <c r="CY232">
        <f t="shared" si="44"/>
        <v>993.6</v>
      </c>
      <c r="CZ232">
        <f t="shared" si="45"/>
        <v>993.6</v>
      </c>
      <c r="DA232">
        <f t="shared" si="46"/>
        <v>1</v>
      </c>
      <c r="DB232">
        <f t="shared" si="42"/>
        <v>54.65</v>
      </c>
      <c r="DC232">
        <f t="shared" si="43"/>
        <v>16.600000000000001</v>
      </c>
    </row>
    <row r="233" spans="1:107" x14ac:dyDescent="0.2">
      <c r="A233">
        <f>ROW(Source!A896)</f>
        <v>896</v>
      </c>
      <c r="B233">
        <v>38214492</v>
      </c>
      <c r="C233">
        <v>38216024</v>
      </c>
      <c r="D233">
        <v>34880178</v>
      </c>
      <c r="E233">
        <v>1</v>
      </c>
      <c r="F233">
        <v>1</v>
      </c>
      <c r="G233">
        <v>25</v>
      </c>
      <c r="H233">
        <v>2</v>
      </c>
      <c r="I233" t="s">
        <v>400</v>
      </c>
      <c r="J233" t="s">
        <v>401</v>
      </c>
      <c r="K233" t="s">
        <v>402</v>
      </c>
      <c r="L233">
        <v>1368</v>
      </c>
      <c r="N233">
        <v>1011</v>
      </c>
      <c r="O233" t="s">
        <v>397</v>
      </c>
      <c r="P233" t="s">
        <v>397</v>
      </c>
      <c r="Q233">
        <v>1</v>
      </c>
      <c r="W233">
        <v>0</v>
      </c>
      <c r="X233">
        <v>468658695</v>
      </c>
      <c r="Y233">
        <v>0.24</v>
      </c>
      <c r="AA233">
        <v>0</v>
      </c>
      <c r="AB233">
        <v>952.49</v>
      </c>
      <c r="AC233">
        <v>301.5</v>
      </c>
      <c r="AD233">
        <v>0</v>
      </c>
      <c r="AE233">
        <v>0</v>
      </c>
      <c r="AF233">
        <v>952.49</v>
      </c>
      <c r="AG233">
        <v>301.5</v>
      </c>
      <c r="AH233">
        <v>0</v>
      </c>
      <c r="AI233">
        <v>1</v>
      </c>
      <c r="AJ233">
        <v>1</v>
      </c>
      <c r="AK233">
        <v>1</v>
      </c>
      <c r="AL233">
        <v>1</v>
      </c>
      <c r="AN233">
        <v>0</v>
      </c>
      <c r="AO233">
        <v>1</v>
      </c>
      <c r="AP233">
        <v>1</v>
      </c>
      <c r="AQ233">
        <v>0</v>
      </c>
      <c r="AR233">
        <v>0</v>
      </c>
      <c r="AS233" t="s">
        <v>3</v>
      </c>
      <c r="AT233">
        <v>0.01</v>
      </c>
      <c r="AU233" t="s">
        <v>328</v>
      </c>
      <c r="AV233">
        <v>0</v>
      </c>
      <c r="AW233">
        <v>2</v>
      </c>
      <c r="AX233">
        <v>38216027</v>
      </c>
      <c r="AY233">
        <v>1</v>
      </c>
      <c r="AZ233">
        <v>0</v>
      </c>
      <c r="BA233">
        <v>230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CX233">
        <f>Y233*Source!I896</f>
        <v>18.880747199999998</v>
      </c>
      <c r="CY233">
        <f t="shared" si="44"/>
        <v>952.49</v>
      </c>
      <c r="CZ233">
        <f t="shared" si="45"/>
        <v>952.49</v>
      </c>
      <c r="DA233">
        <f t="shared" si="46"/>
        <v>1</v>
      </c>
      <c r="DB233">
        <f>ROUND((ROUND(AT233*CZ233,2)*24),6)</f>
        <v>228.48</v>
      </c>
      <c r="DC233">
        <f>ROUND((ROUND(AT233*AG233,2)*24),6)</f>
        <v>72.48</v>
      </c>
    </row>
    <row r="234" spans="1:107" x14ac:dyDescent="0.2">
      <c r="A234">
        <f>ROW(Source!A896)</f>
        <v>896</v>
      </c>
      <c r="B234">
        <v>38214492</v>
      </c>
      <c r="C234">
        <v>38216024</v>
      </c>
      <c r="D234">
        <v>34880179</v>
      </c>
      <c r="E234">
        <v>1</v>
      </c>
      <c r="F234">
        <v>1</v>
      </c>
      <c r="G234">
        <v>25</v>
      </c>
      <c r="H234">
        <v>2</v>
      </c>
      <c r="I234" t="s">
        <v>403</v>
      </c>
      <c r="J234" t="s">
        <v>404</v>
      </c>
      <c r="K234" t="s">
        <v>405</v>
      </c>
      <c r="L234">
        <v>1368</v>
      </c>
      <c r="N234">
        <v>1011</v>
      </c>
      <c r="O234" t="s">
        <v>397</v>
      </c>
      <c r="P234" t="s">
        <v>397</v>
      </c>
      <c r="Q234">
        <v>1</v>
      </c>
      <c r="W234">
        <v>0</v>
      </c>
      <c r="X234">
        <v>-1546163025</v>
      </c>
      <c r="Y234">
        <v>0.192</v>
      </c>
      <c r="AA234">
        <v>0</v>
      </c>
      <c r="AB234">
        <v>993.6</v>
      </c>
      <c r="AC234">
        <v>301.8</v>
      </c>
      <c r="AD234">
        <v>0</v>
      </c>
      <c r="AE234">
        <v>0</v>
      </c>
      <c r="AF234">
        <v>993.6</v>
      </c>
      <c r="AG234">
        <v>301.8</v>
      </c>
      <c r="AH234">
        <v>0</v>
      </c>
      <c r="AI234">
        <v>1</v>
      </c>
      <c r="AJ234">
        <v>1</v>
      </c>
      <c r="AK234">
        <v>1</v>
      </c>
      <c r="AL234">
        <v>1</v>
      </c>
      <c r="AN234">
        <v>0</v>
      </c>
      <c r="AO234">
        <v>1</v>
      </c>
      <c r="AP234">
        <v>1</v>
      </c>
      <c r="AQ234">
        <v>0</v>
      </c>
      <c r="AR234">
        <v>0</v>
      </c>
      <c r="AS234" t="s">
        <v>3</v>
      </c>
      <c r="AT234">
        <v>8.0000000000000002E-3</v>
      </c>
      <c r="AU234" t="s">
        <v>328</v>
      </c>
      <c r="AV234">
        <v>0</v>
      </c>
      <c r="AW234">
        <v>2</v>
      </c>
      <c r="AX234">
        <v>38216028</v>
      </c>
      <c r="AY234">
        <v>1</v>
      </c>
      <c r="AZ234">
        <v>0</v>
      </c>
      <c r="BA234">
        <v>231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CX234">
        <f>Y234*Source!I896</f>
        <v>15.104597760000001</v>
      </c>
      <c r="CY234">
        <f t="shared" si="44"/>
        <v>993.6</v>
      </c>
      <c r="CZ234">
        <f t="shared" si="45"/>
        <v>993.6</v>
      </c>
      <c r="DA234">
        <f t="shared" si="46"/>
        <v>1</v>
      </c>
      <c r="DB234">
        <f>ROUND((ROUND(AT234*CZ234,2)*24),6)</f>
        <v>190.8</v>
      </c>
      <c r="DC234">
        <f>ROUND((ROUND(AT234*AG234,2)*24),6)</f>
        <v>57.84</v>
      </c>
    </row>
    <row r="235" spans="1:107" x14ac:dyDescent="0.2">
      <c r="A235">
        <f>ROW(Source!A934)</f>
        <v>934</v>
      </c>
      <c r="B235">
        <v>38214492</v>
      </c>
      <c r="C235">
        <v>38216087</v>
      </c>
      <c r="D235">
        <v>34867259</v>
      </c>
      <c r="E235">
        <v>25</v>
      </c>
      <c r="F235">
        <v>1</v>
      </c>
      <c r="G235">
        <v>25</v>
      </c>
      <c r="H235">
        <v>1</v>
      </c>
      <c r="I235" t="s">
        <v>391</v>
      </c>
      <c r="J235" t="s">
        <v>3</v>
      </c>
      <c r="K235" t="s">
        <v>392</v>
      </c>
      <c r="L235">
        <v>1191</v>
      </c>
      <c r="N235">
        <v>1013</v>
      </c>
      <c r="O235" t="s">
        <v>393</v>
      </c>
      <c r="P235" t="s">
        <v>393</v>
      </c>
      <c r="Q235">
        <v>1</v>
      </c>
      <c r="W235">
        <v>0</v>
      </c>
      <c r="X235">
        <v>476480486</v>
      </c>
      <c r="Y235">
        <v>15.15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1</v>
      </c>
      <c r="AJ235">
        <v>1</v>
      </c>
      <c r="AK235">
        <v>1</v>
      </c>
      <c r="AL235">
        <v>1</v>
      </c>
      <c r="AN235">
        <v>0</v>
      </c>
      <c r="AO235">
        <v>1</v>
      </c>
      <c r="AP235">
        <v>0</v>
      </c>
      <c r="AQ235">
        <v>0</v>
      </c>
      <c r="AR235">
        <v>0</v>
      </c>
      <c r="AS235" t="s">
        <v>3</v>
      </c>
      <c r="AT235">
        <v>15.15</v>
      </c>
      <c r="AU235" t="s">
        <v>3</v>
      </c>
      <c r="AV235">
        <v>1</v>
      </c>
      <c r="AW235">
        <v>2</v>
      </c>
      <c r="AX235">
        <v>38216091</v>
      </c>
      <c r="AY235">
        <v>1</v>
      </c>
      <c r="AZ235">
        <v>0</v>
      </c>
      <c r="BA235">
        <v>232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CX235">
        <f>Y235*Source!I934</f>
        <v>51.207000000000001</v>
      </c>
      <c r="CY235">
        <f>AD235</f>
        <v>0</v>
      </c>
      <c r="CZ235">
        <f>AH235</f>
        <v>0</v>
      </c>
      <c r="DA235">
        <f>AL235</f>
        <v>1</v>
      </c>
      <c r="DB235">
        <f>ROUND(ROUND(AT235*CZ235,2),6)</f>
        <v>0</v>
      </c>
      <c r="DC235">
        <f>ROUND(ROUND(AT235*AG235,2),6)</f>
        <v>0</v>
      </c>
    </row>
    <row r="236" spans="1:107" x14ac:dyDescent="0.2">
      <c r="A236">
        <f>ROW(Source!A934)</f>
        <v>934</v>
      </c>
      <c r="B236">
        <v>38214492</v>
      </c>
      <c r="C236">
        <v>38216087</v>
      </c>
      <c r="D236">
        <v>34880230</v>
      </c>
      <c r="E236">
        <v>1</v>
      </c>
      <c r="F236">
        <v>1</v>
      </c>
      <c r="G236">
        <v>25</v>
      </c>
      <c r="H236">
        <v>2</v>
      </c>
      <c r="I236" t="s">
        <v>394</v>
      </c>
      <c r="J236" t="s">
        <v>395</v>
      </c>
      <c r="K236" t="s">
        <v>396</v>
      </c>
      <c r="L236">
        <v>1368</v>
      </c>
      <c r="N236">
        <v>1011</v>
      </c>
      <c r="O236" t="s">
        <v>397</v>
      </c>
      <c r="P236" t="s">
        <v>397</v>
      </c>
      <c r="Q236">
        <v>1</v>
      </c>
      <c r="W236">
        <v>0</v>
      </c>
      <c r="X236">
        <v>1675990774</v>
      </c>
      <c r="Y236">
        <v>0.01</v>
      </c>
      <c r="AA236">
        <v>0</v>
      </c>
      <c r="AB236">
        <v>6.28</v>
      </c>
      <c r="AC236">
        <v>0.01</v>
      </c>
      <c r="AD236">
        <v>0</v>
      </c>
      <c r="AE236">
        <v>0</v>
      </c>
      <c r="AF236">
        <v>6.28</v>
      </c>
      <c r="AG236">
        <v>0.01</v>
      </c>
      <c r="AH236">
        <v>0</v>
      </c>
      <c r="AI236">
        <v>1</v>
      </c>
      <c r="AJ236">
        <v>1</v>
      </c>
      <c r="AK236">
        <v>1</v>
      </c>
      <c r="AL236">
        <v>1</v>
      </c>
      <c r="AN236">
        <v>0</v>
      </c>
      <c r="AO236">
        <v>1</v>
      </c>
      <c r="AP236">
        <v>0</v>
      </c>
      <c r="AQ236">
        <v>0</v>
      </c>
      <c r="AR236">
        <v>0</v>
      </c>
      <c r="AS236" t="s">
        <v>3</v>
      </c>
      <c r="AT236">
        <v>0.01</v>
      </c>
      <c r="AU236" t="s">
        <v>3</v>
      </c>
      <c r="AV236">
        <v>0</v>
      </c>
      <c r="AW236">
        <v>2</v>
      </c>
      <c r="AX236">
        <v>38216092</v>
      </c>
      <c r="AY236">
        <v>1</v>
      </c>
      <c r="AZ236">
        <v>0</v>
      </c>
      <c r="BA236">
        <v>233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CX236">
        <f>Y236*Source!I934</f>
        <v>3.3799999999999997E-2</v>
      </c>
      <c r="CY236">
        <f>AB236</f>
        <v>6.28</v>
      </c>
      <c r="CZ236">
        <f>AF236</f>
        <v>6.28</v>
      </c>
      <c r="DA236">
        <f>AJ236</f>
        <v>1</v>
      </c>
      <c r="DB236">
        <f>ROUND(ROUND(AT236*CZ236,2),6)</f>
        <v>0.06</v>
      </c>
      <c r="DC236">
        <f>ROUND(ROUND(AT236*AG236,2),6)</f>
        <v>0</v>
      </c>
    </row>
    <row r="237" spans="1:107" x14ac:dyDescent="0.2">
      <c r="A237">
        <f>ROW(Source!A934)</f>
        <v>934</v>
      </c>
      <c r="B237">
        <v>38214492</v>
      </c>
      <c r="C237">
        <v>38216087</v>
      </c>
      <c r="D237">
        <v>34869071</v>
      </c>
      <c r="E237">
        <v>25</v>
      </c>
      <c r="F237">
        <v>1</v>
      </c>
      <c r="G237">
        <v>25</v>
      </c>
      <c r="H237">
        <v>3</v>
      </c>
      <c r="I237" t="s">
        <v>398</v>
      </c>
      <c r="J237" t="s">
        <v>3</v>
      </c>
      <c r="K237" t="s">
        <v>399</v>
      </c>
      <c r="L237">
        <v>1348</v>
      </c>
      <c r="N237">
        <v>1009</v>
      </c>
      <c r="O237" t="s">
        <v>30</v>
      </c>
      <c r="P237" t="s">
        <v>30</v>
      </c>
      <c r="Q237">
        <v>1000</v>
      </c>
      <c r="W237">
        <v>0</v>
      </c>
      <c r="X237">
        <v>1489638031</v>
      </c>
      <c r="Y237">
        <v>0.65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1</v>
      </c>
      <c r="AJ237">
        <v>1</v>
      </c>
      <c r="AK237">
        <v>1</v>
      </c>
      <c r="AL237">
        <v>1</v>
      </c>
      <c r="AN237">
        <v>0</v>
      </c>
      <c r="AO237">
        <v>1</v>
      </c>
      <c r="AP237">
        <v>0</v>
      </c>
      <c r="AQ237">
        <v>0</v>
      </c>
      <c r="AR237">
        <v>0</v>
      </c>
      <c r="AS237" t="s">
        <v>3</v>
      </c>
      <c r="AT237">
        <v>0.65</v>
      </c>
      <c r="AU237" t="s">
        <v>3</v>
      </c>
      <c r="AV237">
        <v>0</v>
      </c>
      <c r="AW237">
        <v>2</v>
      </c>
      <c r="AX237">
        <v>38216093</v>
      </c>
      <c r="AY237">
        <v>1</v>
      </c>
      <c r="AZ237">
        <v>0</v>
      </c>
      <c r="BA237">
        <v>234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CX237">
        <f>Y237*Source!I934</f>
        <v>2.1970000000000001</v>
      </c>
      <c r="CY237">
        <f>AA237</f>
        <v>0</v>
      </c>
      <c r="CZ237">
        <f>AE237</f>
        <v>0</v>
      </c>
      <c r="DA237">
        <f>AI237</f>
        <v>1</v>
      </c>
      <c r="DB237">
        <f>ROUND(ROUND(AT237*CZ237,2),6)</f>
        <v>0</v>
      </c>
      <c r="DC237">
        <f>ROUND(ROUND(AT237*AG237,2),6)</f>
        <v>0</v>
      </c>
    </row>
    <row r="238" spans="1:107" x14ac:dyDescent="0.2">
      <c r="A238">
        <f>ROW(Source!A935)</f>
        <v>935</v>
      </c>
      <c r="B238">
        <v>38214492</v>
      </c>
      <c r="C238">
        <v>38216094</v>
      </c>
      <c r="D238">
        <v>34867259</v>
      </c>
      <c r="E238">
        <v>25</v>
      </c>
      <c r="F238">
        <v>1</v>
      </c>
      <c r="G238">
        <v>25</v>
      </c>
      <c r="H238">
        <v>1</v>
      </c>
      <c r="I238" t="s">
        <v>391</v>
      </c>
      <c r="J238" t="s">
        <v>3</v>
      </c>
      <c r="K238" t="s">
        <v>392</v>
      </c>
      <c r="L238">
        <v>1191</v>
      </c>
      <c r="N238">
        <v>1013</v>
      </c>
      <c r="O238" t="s">
        <v>393</v>
      </c>
      <c r="P238" t="s">
        <v>393</v>
      </c>
      <c r="Q238">
        <v>1</v>
      </c>
      <c r="W238">
        <v>0</v>
      </c>
      <c r="X238">
        <v>476480486</v>
      </c>
      <c r="Y238">
        <v>32.479999999999997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1</v>
      </c>
      <c r="AJ238">
        <v>1</v>
      </c>
      <c r="AK238">
        <v>1</v>
      </c>
      <c r="AL238">
        <v>1</v>
      </c>
      <c r="AN238">
        <v>0</v>
      </c>
      <c r="AO238">
        <v>1</v>
      </c>
      <c r="AP238">
        <v>0</v>
      </c>
      <c r="AQ238">
        <v>0</v>
      </c>
      <c r="AR238">
        <v>0</v>
      </c>
      <c r="AS238" t="s">
        <v>3</v>
      </c>
      <c r="AT238">
        <v>32.479999999999997</v>
      </c>
      <c r="AU238" t="s">
        <v>3</v>
      </c>
      <c r="AV238">
        <v>1</v>
      </c>
      <c r="AW238">
        <v>2</v>
      </c>
      <c r="AX238">
        <v>38216098</v>
      </c>
      <c r="AY238">
        <v>1</v>
      </c>
      <c r="AZ238">
        <v>0</v>
      </c>
      <c r="BA238">
        <v>235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CX238">
        <f>Y238*Source!I935</f>
        <v>109.78239999999998</v>
      </c>
      <c r="CY238">
        <f>AD238</f>
        <v>0</v>
      </c>
      <c r="CZ238">
        <f>AH238</f>
        <v>0</v>
      </c>
      <c r="DA238">
        <f>AL238</f>
        <v>1</v>
      </c>
      <c r="DB238">
        <f>ROUND(ROUND(AT238*CZ238,2),6)</f>
        <v>0</v>
      </c>
      <c r="DC238">
        <f>ROUND(ROUND(AT238*AG238,2),6)</f>
        <v>0</v>
      </c>
    </row>
    <row r="239" spans="1:107" x14ac:dyDescent="0.2">
      <c r="A239">
        <f>ROW(Source!A935)</f>
        <v>935</v>
      </c>
      <c r="B239">
        <v>38214492</v>
      </c>
      <c r="C239">
        <v>38216094</v>
      </c>
      <c r="D239">
        <v>34881348</v>
      </c>
      <c r="E239">
        <v>1</v>
      </c>
      <c r="F239">
        <v>1</v>
      </c>
      <c r="G239">
        <v>25</v>
      </c>
      <c r="H239">
        <v>3</v>
      </c>
      <c r="I239" t="s">
        <v>491</v>
      </c>
      <c r="J239" t="s">
        <v>492</v>
      </c>
      <c r="K239" t="s">
        <v>493</v>
      </c>
      <c r="L239">
        <v>1348</v>
      </c>
      <c r="N239">
        <v>1009</v>
      </c>
      <c r="O239" t="s">
        <v>30</v>
      </c>
      <c r="P239" t="s">
        <v>30</v>
      </c>
      <c r="Q239">
        <v>1000</v>
      </c>
      <c r="W239">
        <v>0</v>
      </c>
      <c r="X239">
        <v>993024992</v>
      </c>
      <c r="Y239">
        <v>0</v>
      </c>
      <c r="AA239">
        <v>52914.53</v>
      </c>
      <c r="AB239">
        <v>0</v>
      </c>
      <c r="AC239">
        <v>0</v>
      </c>
      <c r="AD239">
        <v>0</v>
      </c>
      <c r="AE239">
        <v>52914.53</v>
      </c>
      <c r="AF239">
        <v>0</v>
      </c>
      <c r="AG239">
        <v>0</v>
      </c>
      <c r="AH239">
        <v>0</v>
      </c>
      <c r="AI239">
        <v>1</v>
      </c>
      <c r="AJ239">
        <v>1</v>
      </c>
      <c r="AK239">
        <v>1</v>
      </c>
      <c r="AL239">
        <v>1</v>
      </c>
      <c r="AN239">
        <v>0</v>
      </c>
      <c r="AO239">
        <v>1</v>
      </c>
      <c r="AP239">
        <v>1</v>
      </c>
      <c r="AQ239">
        <v>0</v>
      </c>
      <c r="AR239">
        <v>0</v>
      </c>
      <c r="AS239" t="s">
        <v>3</v>
      </c>
      <c r="AT239">
        <v>1.2800000000000001E-3</v>
      </c>
      <c r="AU239" t="s">
        <v>32</v>
      </c>
      <c r="AV239">
        <v>0</v>
      </c>
      <c r="AW239">
        <v>2</v>
      </c>
      <c r="AX239">
        <v>38216099</v>
      </c>
      <c r="AY239">
        <v>1</v>
      </c>
      <c r="AZ239">
        <v>0</v>
      </c>
      <c r="BA239">
        <v>236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CX239">
        <f>Y239*Source!I935</f>
        <v>0</v>
      </c>
      <c r="CY239">
        <f>AA239</f>
        <v>52914.53</v>
      </c>
      <c r="CZ239">
        <f>AE239</f>
        <v>52914.53</v>
      </c>
      <c r="DA239">
        <f>AI239</f>
        <v>1</v>
      </c>
      <c r="DB239">
        <f>ROUND((ROUND(AT239*CZ239,2)*0),6)</f>
        <v>0</v>
      </c>
      <c r="DC239">
        <f>ROUND((ROUND(AT239*AG239,2)*0),6)</f>
        <v>0</v>
      </c>
    </row>
    <row r="240" spans="1:107" x14ac:dyDescent="0.2">
      <c r="A240">
        <f>ROW(Source!A935)</f>
        <v>935</v>
      </c>
      <c r="B240">
        <v>38214492</v>
      </c>
      <c r="C240">
        <v>38216094</v>
      </c>
      <c r="D240">
        <v>34885373</v>
      </c>
      <c r="E240">
        <v>1</v>
      </c>
      <c r="F240">
        <v>1</v>
      </c>
      <c r="G240">
        <v>25</v>
      </c>
      <c r="H240">
        <v>3</v>
      </c>
      <c r="I240" t="s">
        <v>497</v>
      </c>
      <c r="J240" t="s">
        <v>498</v>
      </c>
      <c r="K240" t="s">
        <v>499</v>
      </c>
      <c r="L240">
        <v>1327</v>
      </c>
      <c r="N240">
        <v>1005</v>
      </c>
      <c r="O240" t="s">
        <v>225</v>
      </c>
      <c r="P240" t="s">
        <v>225</v>
      </c>
      <c r="Q240">
        <v>1</v>
      </c>
      <c r="W240">
        <v>0</v>
      </c>
      <c r="X240">
        <v>1850622100</v>
      </c>
      <c r="Y240">
        <v>0</v>
      </c>
      <c r="AA240">
        <v>240.26</v>
      </c>
      <c r="AB240">
        <v>0</v>
      </c>
      <c r="AC240">
        <v>0</v>
      </c>
      <c r="AD240">
        <v>0</v>
      </c>
      <c r="AE240">
        <v>240.26</v>
      </c>
      <c r="AF240">
        <v>0</v>
      </c>
      <c r="AG240">
        <v>0</v>
      </c>
      <c r="AH240">
        <v>0</v>
      </c>
      <c r="AI240">
        <v>1</v>
      </c>
      <c r="AJ240">
        <v>1</v>
      </c>
      <c r="AK240">
        <v>1</v>
      </c>
      <c r="AL240">
        <v>1</v>
      </c>
      <c r="AN240">
        <v>0</v>
      </c>
      <c r="AO240">
        <v>1</v>
      </c>
      <c r="AP240">
        <v>1</v>
      </c>
      <c r="AQ240">
        <v>0</v>
      </c>
      <c r="AR240">
        <v>0</v>
      </c>
      <c r="AS240" t="s">
        <v>3</v>
      </c>
      <c r="AT240">
        <v>88.5</v>
      </c>
      <c r="AU240" t="s">
        <v>32</v>
      </c>
      <c r="AV240">
        <v>0</v>
      </c>
      <c r="AW240">
        <v>2</v>
      </c>
      <c r="AX240">
        <v>38216100</v>
      </c>
      <c r="AY240">
        <v>1</v>
      </c>
      <c r="AZ240">
        <v>0</v>
      </c>
      <c r="BA240">
        <v>237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CX240">
        <f>Y240*Source!I935</f>
        <v>0</v>
      </c>
      <c r="CY240">
        <f>AA240</f>
        <v>240.26</v>
      </c>
      <c r="CZ240">
        <f>AE240</f>
        <v>240.26</v>
      </c>
      <c r="DA240">
        <f>AI240</f>
        <v>1</v>
      </c>
      <c r="DB240">
        <f>ROUND((ROUND(AT240*CZ240,2)*0),6)</f>
        <v>0</v>
      </c>
      <c r="DC240">
        <f>ROUND((ROUND(AT240*AG240,2)*0),6)</f>
        <v>0</v>
      </c>
    </row>
    <row r="241" spans="1:107" x14ac:dyDescent="0.2">
      <c r="A241">
        <f>ROW(Source!A936)</f>
        <v>936</v>
      </c>
      <c r="B241">
        <v>38214492</v>
      </c>
      <c r="C241">
        <v>38216101</v>
      </c>
      <c r="D241">
        <v>34867259</v>
      </c>
      <c r="E241">
        <v>25</v>
      </c>
      <c r="F241">
        <v>1</v>
      </c>
      <c r="G241">
        <v>25</v>
      </c>
      <c r="H241">
        <v>1</v>
      </c>
      <c r="I241" t="s">
        <v>391</v>
      </c>
      <c r="J241" t="s">
        <v>3</v>
      </c>
      <c r="K241" t="s">
        <v>392</v>
      </c>
      <c r="L241">
        <v>1191</v>
      </c>
      <c r="N241">
        <v>1013</v>
      </c>
      <c r="O241" t="s">
        <v>393</v>
      </c>
      <c r="P241" t="s">
        <v>393</v>
      </c>
      <c r="Q241">
        <v>1</v>
      </c>
      <c r="W241">
        <v>0</v>
      </c>
      <c r="X241">
        <v>476480486</v>
      </c>
      <c r="Y241">
        <v>37.03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1</v>
      </c>
      <c r="AJ241">
        <v>1</v>
      </c>
      <c r="AK241">
        <v>1</v>
      </c>
      <c r="AL241">
        <v>1</v>
      </c>
      <c r="AN241">
        <v>0</v>
      </c>
      <c r="AO241">
        <v>1</v>
      </c>
      <c r="AP241">
        <v>0</v>
      </c>
      <c r="AQ241">
        <v>0</v>
      </c>
      <c r="AR241">
        <v>0</v>
      </c>
      <c r="AS241" t="s">
        <v>3</v>
      </c>
      <c r="AT241">
        <v>37.03</v>
      </c>
      <c r="AU241" t="s">
        <v>3</v>
      </c>
      <c r="AV241">
        <v>1</v>
      </c>
      <c r="AW241">
        <v>2</v>
      </c>
      <c r="AX241">
        <v>38661895</v>
      </c>
      <c r="AY241">
        <v>1</v>
      </c>
      <c r="AZ241">
        <v>0</v>
      </c>
      <c r="BA241">
        <v>238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CX241">
        <f>Y241*Source!I936</f>
        <v>231.80172708000001</v>
      </c>
      <c r="CY241">
        <f>AD241</f>
        <v>0</v>
      </c>
      <c r="CZ241">
        <f>AH241</f>
        <v>0</v>
      </c>
      <c r="DA241">
        <f>AL241</f>
        <v>1</v>
      </c>
      <c r="DB241">
        <f t="shared" ref="DB241:DB268" si="47">ROUND(ROUND(AT241*CZ241,2),6)</f>
        <v>0</v>
      </c>
      <c r="DC241">
        <f t="shared" ref="DC241:DC268" si="48">ROUND(ROUND(AT241*AG241,2),6)</f>
        <v>0</v>
      </c>
    </row>
    <row r="242" spans="1:107" x14ac:dyDescent="0.2">
      <c r="A242">
        <f>ROW(Source!A936)</f>
        <v>936</v>
      </c>
      <c r="B242">
        <v>38214492</v>
      </c>
      <c r="C242">
        <v>38216101</v>
      </c>
      <c r="D242">
        <v>34880227</v>
      </c>
      <c r="E242">
        <v>1</v>
      </c>
      <c r="F242">
        <v>1</v>
      </c>
      <c r="G242">
        <v>25</v>
      </c>
      <c r="H242">
        <v>2</v>
      </c>
      <c r="I242" t="s">
        <v>500</v>
      </c>
      <c r="J242" t="s">
        <v>501</v>
      </c>
      <c r="K242" t="s">
        <v>502</v>
      </c>
      <c r="L242">
        <v>1368</v>
      </c>
      <c r="N242">
        <v>1011</v>
      </c>
      <c r="O242" t="s">
        <v>397</v>
      </c>
      <c r="P242" t="s">
        <v>397</v>
      </c>
      <c r="Q242">
        <v>1</v>
      </c>
      <c r="W242">
        <v>0</v>
      </c>
      <c r="X242">
        <v>-114073091</v>
      </c>
      <c r="Y242">
        <v>0.4</v>
      </c>
      <c r="AA242">
        <v>0</v>
      </c>
      <c r="AB242">
        <v>3.96</v>
      </c>
      <c r="AC242">
        <v>0.01</v>
      </c>
      <c r="AD242">
        <v>0</v>
      </c>
      <c r="AE242">
        <v>0</v>
      </c>
      <c r="AF242">
        <v>3.96</v>
      </c>
      <c r="AG242">
        <v>0.01</v>
      </c>
      <c r="AH242">
        <v>0</v>
      </c>
      <c r="AI242">
        <v>1</v>
      </c>
      <c r="AJ242">
        <v>1</v>
      </c>
      <c r="AK242">
        <v>1</v>
      </c>
      <c r="AL242">
        <v>1</v>
      </c>
      <c r="AN242">
        <v>0</v>
      </c>
      <c r="AO242">
        <v>1</v>
      </c>
      <c r="AP242">
        <v>0</v>
      </c>
      <c r="AQ242">
        <v>0</v>
      </c>
      <c r="AR242">
        <v>0</v>
      </c>
      <c r="AS242" t="s">
        <v>3</v>
      </c>
      <c r="AT242">
        <v>0.4</v>
      </c>
      <c r="AU242" t="s">
        <v>3</v>
      </c>
      <c r="AV242">
        <v>0</v>
      </c>
      <c r="AW242">
        <v>2</v>
      </c>
      <c r="AX242">
        <v>38661896</v>
      </c>
      <c r="AY242">
        <v>1</v>
      </c>
      <c r="AZ242">
        <v>0</v>
      </c>
      <c r="BA242">
        <v>239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CX242">
        <f>Y242*Source!I936</f>
        <v>2.5039344000000003</v>
      </c>
      <c r="CY242">
        <f>AB242</f>
        <v>3.96</v>
      </c>
      <c r="CZ242">
        <f>AF242</f>
        <v>3.96</v>
      </c>
      <c r="DA242">
        <f>AJ242</f>
        <v>1</v>
      </c>
      <c r="DB242">
        <f t="shared" si="47"/>
        <v>1.58</v>
      </c>
      <c r="DC242">
        <f t="shared" si="48"/>
        <v>0</v>
      </c>
    </row>
    <row r="243" spans="1:107" x14ac:dyDescent="0.2">
      <c r="A243">
        <f>ROW(Source!A936)</f>
        <v>936</v>
      </c>
      <c r="B243">
        <v>38214492</v>
      </c>
      <c r="C243">
        <v>38216101</v>
      </c>
      <c r="D243">
        <v>34881348</v>
      </c>
      <c r="E243">
        <v>1</v>
      </c>
      <c r="F243">
        <v>1</v>
      </c>
      <c r="G243">
        <v>25</v>
      </c>
      <c r="H243">
        <v>3</v>
      </c>
      <c r="I243" t="s">
        <v>491</v>
      </c>
      <c r="J243" t="s">
        <v>503</v>
      </c>
      <c r="K243" t="s">
        <v>493</v>
      </c>
      <c r="L243">
        <v>1348</v>
      </c>
      <c r="N243">
        <v>1009</v>
      </c>
      <c r="O243" t="s">
        <v>30</v>
      </c>
      <c r="P243" t="s">
        <v>30</v>
      </c>
      <c r="Q243">
        <v>1000</v>
      </c>
      <c r="W243">
        <v>0</v>
      </c>
      <c r="X243">
        <v>-509512801</v>
      </c>
      <c r="Y243">
        <v>1.6000000000000001E-3</v>
      </c>
      <c r="AA243">
        <v>52914.53</v>
      </c>
      <c r="AB243">
        <v>0</v>
      </c>
      <c r="AC243">
        <v>0</v>
      </c>
      <c r="AD243">
        <v>0</v>
      </c>
      <c r="AE243">
        <v>52914.53</v>
      </c>
      <c r="AF243">
        <v>0</v>
      </c>
      <c r="AG243">
        <v>0</v>
      </c>
      <c r="AH243">
        <v>0</v>
      </c>
      <c r="AI243">
        <v>1</v>
      </c>
      <c r="AJ243">
        <v>1</v>
      </c>
      <c r="AK243">
        <v>1</v>
      </c>
      <c r="AL243">
        <v>1</v>
      </c>
      <c r="AN243">
        <v>0</v>
      </c>
      <c r="AO243">
        <v>1</v>
      </c>
      <c r="AP243">
        <v>0</v>
      </c>
      <c r="AQ243">
        <v>0</v>
      </c>
      <c r="AR243">
        <v>0</v>
      </c>
      <c r="AS243" t="s">
        <v>3</v>
      </c>
      <c r="AT243">
        <v>1.6000000000000001E-3</v>
      </c>
      <c r="AU243" t="s">
        <v>3</v>
      </c>
      <c r="AV243">
        <v>0</v>
      </c>
      <c r="AW243">
        <v>2</v>
      </c>
      <c r="AX243">
        <v>38661897</v>
      </c>
      <c r="AY243">
        <v>1</v>
      </c>
      <c r="AZ243">
        <v>0</v>
      </c>
      <c r="BA243">
        <v>240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CX243">
        <f>Y243*Source!I936</f>
        <v>1.00157376E-2</v>
      </c>
      <c r="CY243">
        <f>AA243</f>
        <v>52914.53</v>
      </c>
      <c r="CZ243">
        <f>AE243</f>
        <v>52914.53</v>
      </c>
      <c r="DA243">
        <f>AI243</f>
        <v>1</v>
      </c>
      <c r="DB243">
        <f t="shared" si="47"/>
        <v>84.66</v>
      </c>
      <c r="DC243">
        <f t="shared" si="48"/>
        <v>0</v>
      </c>
    </row>
    <row r="244" spans="1:107" x14ac:dyDescent="0.2">
      <c r="A244">
        <f>ROW(Source!A936)</f>
        <v>936</v>
      </c>
      <c r="B244">
        <v>38214492</v>
      </c>
      <c r="C244">
        <v>38216101</v>
      </c>
      <c r="D244">
        <v>34880532</v>
      </c>
      <c r="E244">
        <v>1</v>
      </c>
      <c r="F244">
        <v>1</v>
      </c>
      <c r="G244">
        <v>25</v>
      </c>
      <c r="H244">
        <v>3</v>
      </c>
      <c r="I244" t="s">
        <v>504</v>
      </c>
      <c r="J244" t="s">
        <v>505</v>
      </c>
      <c r="K244" t="s">
        <v>506</v>
      </c>
      <c r="L244">
        <v>1327</v>
      </c>
      <c r="N244">
        <v>1005</v>
      </c>
      <c r="O244" t="s">
        <v>225</v>
      </c>
      <c r="P244" t="s">
        <v>225</v>
      </c>
      <c r="Q244">
        <v>1</v>
      </c>
      <c r="W244">
        <v>0</v>
      </c>
      <c r="X244">
        <v>1019555630</v>
      </c>
      <c r="Y244">
        <v>21</v>
      </c>
      <c r="AA244">
        <v>28.19</v>
      </c>
      <c r="AB244">
        <v>0</v>
      </c>
      <c r="AC244">
        <v>0</v>
      </c>
      <c r="AD244">
        <v>0</v>
      </c>
      <c r="AE244">
        <v>28.19</v>
      </c>
      <c r="AF244">
        <v>0</v>
      </c>
      <c r="AG244">
        <v>0</v>
      </c>
      <c r="AH244">
        <v>0</v>
      </c>
      <c r="AI244">
        <v>1</v>
      </c>
      <c r="AJ244">
        <v>1</v>
      </c>
      <c r="AK244">
        <v>1</v>
      </c>
      <c r="AL244">
        <v>1</v>
      </c>
      <c r="AN244">
        <v>0</v>
      </c>
      <c r="AO244">
        <v>1</v>
      </c>
      <c r="AP244">
        <v>0</v>
      </c>
      <c r="AQ244">
        <v>0</v>
      </c>
      <c r="AR244">
        <v>0</v>
      </c>
      <c r="AS244" t="s">
        <v>3</v>
      </c>
      <c r="AT244">
        <v>21</v>
      </c>
      <c r="AU244" t="s">
        <v>3</v>
      </c>
      <c r="AV244">
        <v>0</v>
      </c>
      <c r="AW244">
        <v>2</v>
      </c>
      <c r="AX244">
        <v>38661898</v>
      </c>
      <c r="AY244">
        <v>1</v>
      </c>
      <c r="AZ244">
        <v>0</v>
      </c>
      <c r="BA244">
        <v>241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CX244">
        <f>Y244*Source!I936</f>
        <v>131.45655600000001</v>
      </c>
      <c r="CY244">
        <f>AA244</f>
        <v>28.19</v>
      </c>
      <c r="CZ244">
        <f>AE244</f>
        <v>28.19</v>
      </c>
      <c r="DA244">
        <f>AI244</f>
        <v>1</v>
      </c>
      <c r="DB244">
        <f t="shared" si="47"/>
        <v>591.99</v>
      </c>
      <c r="DC244">
        <f t="shared" si="48"/>
        <v>0</v>
      </c>
    </row>
    <row r="245" spans="1:107" x14ac:dyDescent="0.2">
      <c r="A245">
        <f>ROW(Source!A936)</f>
        <v>936</v>
      </c>
      <c r="B245">
        <v>38214492</v>
      </c>
      <c r="C245">
        <v>38216101</v>
      </c>
      <c r="D245">
        <v>34880908</v>
      </c>
      <c r="E245">
        <v>1</v>
      </c>
      <c r="F245">
        <v>1</v>
      </c>
      <c r="G245">
        <v>25</v>
      </c>
      <c r="H245">
        <v>3</v>
      </c>
      <c r="I245" t="s">
        <v>507</v>
      </c>
      <c r="J245" t="s">
        <v>508</v>
      </c>
      <c r="K245" t="s">
        <v>509</v>
      </c>
      <c r="L245">
        <v>1348</v>
      </c>
      <c r="N245">
        <v>1009</v>
      </c>
      <c r="O245" t="s">
        <v>30</v>
      </c>
      <c r="P245" t="s">
        <v>30</v>
      </c>
      <c r="Q245">
        <v>1000</v>
      </c>
      <c r="W245">
        <v>0</v>
      </c>
      <c r="X245">
        <v>-1662483098</v>
      </c>
      <c r="Y245">
        <v>3.3999999999999998E-3</v>
      </c>
      <c r="AA245">
        <v>254205.88</v>
      </c>
      <c r="AB245">
        <v>0</v>
      </c>
      <c r="AC245">
        <v>0</v>
      </c>
      <c r="AD245">
        <v>0</v>
      </c>
      <c r="AE245">
        <v>254205.88</v>
      </c>
      <c r="AF245">
        <v>0</v>
      </c>
      <c r="AG245">
        <v>0</v>
      </c>
      <c r="AH245">
        <v>0</v>
      </c>
      <c r="AI245">
        <v>1</v>
      </c>
      <c r="AJ245">
        <v>1</v>
      </c>
      <c r="AK245">
        <v>1</v>
      </c>
      <c r="AL245">
        <v>1</v>
      </c>
      <c r="AN245">
        <v>0</v>
      </c>
      <c r="AO245">
        <v>1</v>
      </c>
      <c r="AP245">
        <v>0</v>
      </c>
      <c r="AQ245">
        <v>0</v>
      </c>
      <c r="AR245">
        <v>0</v>
      </c>
      <c r="AS245" t="s">
        <v>3</v>
      </c>
      <c r="AT245">
        <v>3.3999999999999998E-3</v>
      </c>
      <c r="AU245" t="s">
        <v>3</v>
      </c>
      <c r="AV245">
        <v>0</v>
      </c>
      <c r="AW245">
        <v>2</v>
      </c>
      <c r="AX245">
        <v>38661899</v>
      </c>
      <c r="AY245">
        <v>1</v>
      </c>
      <c r="AZ245">
        <v>0</v>
      </c>
      <c r="BA245">
        <v>242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CX245">
        <f>Y245*Source!I936</f>
        <v>2.1283442399999998E-2</v>
      </c>
      <c r="CY245">
        <f>AA245</f>
        <v>254205.88</v>
      </c>
      <c r="CZ245">
        <f>AE245</f>
        <v>254205.88</v>
      </c>
      <c r="DA245">
        <f>AI245</f>
        <v>1</v>
      </c>
      <c r="DB245">
        <f t="shared" si="47"/>
        <v>864.3</v>
      </c>
      <c r="DC245">
        <f t="shared" si="48"/>
        <v>0</v>
      </c>
    </row>
    <row r="246" spans="1:107" x14ac:dyDescent="0.2">
      <c r="A246">
        <f>ROW(Source!A936)</f>
        <v>936</v>
      </c>
      <c r="B246">
        <v>38214492</v>
      </c>
      <c r="C246">
        <v>38216101</v>
      </c>
      <c r="D246">
        <v>34885438</v>
      </c>
      <c r="E246">
        <v>1</v>
      </c>
      <c r="F246">
        <v>1</v>
      </c>
      <c r="G246">
        <v>25</v>
      </c>
      <c r="H246">
        <v>3</v>
      </c>
      <c r="I246" t="s">
        <v>339</v>
      </c>
      <c r="J246" t="s">
        <v>341</v>
      </c>
      <c r="K246" t="s">
        <v>340</v>
      </c>
      <c r="L246">
        <v>1339</v>
      </c>
      <c r="N246">
        <v>1007</v>
      </c>
      <c r="O246" t="s">
        <v>206</v>
      </c>
      <c r="P246" t="s">
        <v>206</v>
      </c>
      <c r="Q246">
        <v>1</v>
      </c>
      <c r="W246">
        <v>1</v>
      </c>
      <c r="X246">
        <v>-115606</v>
      </c>
      <c r="Y246">
        <v>-0.82</v>
      </c>
      <c r="AA246">
        <v>7499.67</v>
      </c>
      <c r="AB246">
        <v>0</v>
      </c>
      <c r="AC246">
        <v>0</v>
      </c>
      <c r="AD246">
        <v>0</v>
      </c>
      <c r="AE246">
        <v>7499.67</v>
      </c>
      <c r="AF246">
        <v>0</v>
      </c>
      <c r="AG246">
        <v>0</v>
      </c>
      <c r="AH246">
        <v>0</v>
      </c>
      <c r="AI246">
        <v>1</v>
      </c>
      <c r="AJ246">
        <v>1</v>
      </c>
      <c r="AK246">
        <v>1</v>
      </c>
      <c r="AL246">
        <v>1</v>
      </c>
      <c r="AN246">
        <v>0</v>
      </c>
      <c r="AO246">
        <v>1</v>
      </c>
      <c r="AP246">
        <v>0</v>
      </c>
      <c r="AQ246">
        <v>0</v>
      </c>
      <c r="AR246">
        <v>0</v>
      </c>
      <c r="AS246" t="s">
        <v>3</v>
      </c>
      <c r="AT246">
        <v>-0.82</v>
      </c>
      <c r="AU246" t="s">
        <v>3</v>
      </c>
      <c r="AV246">
        <v>0</v>
      </c>
      <c r="AW246">
        <v>2</v>
      </c>
      <c r="AX246">
        <v>38661900</v>
      </c>
      <c r="AY246">
        <v>1</v>
      </c>
      <c r="AZ246">
        <v>6144</v>
      </c>
      <c r="BA246">
        <v>243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CX246">
        <f>Y246*Source!I936</f>
        <v>-5.1330655199999997</v>
      </c>
      <c r="CY246">
        <f>AA246</f>
        <v>7499.67</v>
      </c>
      <c r="CZ246">
        <f>AE246</f>
        <v>7499.67</v>
      </c>
      <c r="DA246">
        <f>AI246</f>
        <v>1</v>
      </c>
      <c r="DB246">
        <f t="shared" si="47"/>
        <v>-6149.73</v>
      </c>
      <c r="DC246">
        <f t="shared" si="48"/>
        <v>0</v>
      </c>
    </row>
    <row r="247" spans="1:107" x14ac:dyDescent="0.2">
      <c r="A247">
        <f>ROW(Source!A940)</f>
        <v>940</v>
      </c>
      <c r="B247">
        <v>38214492</v>
      </c>
      <c r="C247">
        <v>38216102</v>
      </c>
      <c r="D247">
        <v>34867259</v>
      </c>
      <c r="E247">
        <v>25</v>
      </c>
      <c r="F247">
        <v>1</v>
      </c>
      <c r="G247">
        <v>25</v>
      </c>
      <c r="H247">
        <v>1</v>
      </c>
      <c r="I247" t="s">
        <v>391</v>
      </c>
      <c r="J247" t="s">
        <v>3</v>
      </c>
      <c r="K247" t="s">
        <v>392</v>
      </c>
      <c r="L247">
        <v>1191</v>
      </c>
      <c r="N247">
        <v>1013</v>
      </c>
      <c r="O247" t="s">
        <v>393</v>
      </c>
      <c r="P247" t="s">
        <v>393</v>
      </c>
      <c r="Q247">
        <v>1</v>
      </c>
      <c r="W247">
        <v>0</v>
      </c>
      <c r="X247">
        <v>476480486</v>
      </c>
      <c r="Y247">
        <v>18.649999999999999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1</v>
      </c>
      <c r="AJ247">
        <v>1</v>
      </c>
      <c r="AK247">
        <v>1</v>
      </c>
      <c r="AL247">
        <v>1</v>
      </c>
      <c r="AN247">
        <v>0</v>
      </c>
      <c r="AO247">
        <v>1</v>
      </c>
      <c r="AP247">
        <v>0</v>
      </c>
      <c r="AQ247">
        <v>0</v>
      </c>
      <c r="AR247">
        <v>0</v>
      </c>
      <c r="AS247" t="s">
        <v>3</v>
      </c>
      <c r="AT247">
        <v>18.649999999999999</v>
      </c>
      <c r="AU247" t="s">
        <v>3</v>
      </c>
      <c r="AV247">
        <v>1</v>
      </c>
      <c r="AW247">
        <v>2</v>
      </c>
      <c r="AX247">
        <v>38216106</v>
      </c>
      <c r="AY247">
        <v>1</v>
      </c>
      <c r="AZ247">
        <v>0</v>
      </c>
      <c r="BA247">
        <v>244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CX247">
        <f>Y247*Source!I940</f>
        <v>799.71199999999999</v>
      </c>
      <c r="CY247">
        <f>AD247</f>
        <v>0</v>
      </c>
      <c r="CZ247">
        <f>AH247</f>
        <v>0</v>
      </c>
      <c r="DA247">
        <f>AL247</f>
        <v>1</v>
      </c>
      <c r="DB247">
        <f t="shared" si="47"/>
        <v>0</v>
      </c>
      <c r="DC247">
        <f t="shared" si="48"/>
        <v>0</v>
      </c>
    </row>
    <row r="248" spans="1:107" x14ac:dyDescent="0.2">
      <c r="A248">
        <f>ROW(Source!A940)</f>
        <v>940</v>
      </c>
      <c r="B248">
        <v>38214492</v>
      </c>
      <c r="C248">
        <v>38216102</v>
      </c>
      <c r="D248">
        <v>34881348</v>
      </c>
      <c r="E248">
        <v>1</v>
      </c>
      <c r="F248">
        <v>1</v>
      </c>
      <c r="G248">
        <v>25</v>
      </c>
      <c r="H248">
        <v>3</v>
      </c>
      <c r="I248" t="s">
        <v>491</v>
      </c>
      <c r="J248" t="s">
        <v>492</v>
      </c>
      <c r="K248" t="s">
        <v>493</v>
      </c>
      <c r="L248">
        <v>1348</v>
      </c>
      <c r="N248">
        <v>1009</v>
      </c>
      <c r="O248" t="s">
        <v>30</v>
      </c>
      <c r="P248" t="s">
        <v>30</v>
      </c>
      <c r="Q248">
        <v>1000</v>
      </c>
      <c r="W248">
        <v>0</v>
      </c>
      <c r="X248">
        <v>993024992</v>
      </c>
      <c r="Y248">
        <v>1.132E-2</v>
      </c>
      <c r="AA248">
        <v>52914.53</v>
      </c>
      <c r="AB248">
        <v>0</v>
      </c>
      <c r="AC248">
        <v>0</v>
      </c>
      <c r="AD248">
        <v>0</v>
      </c>
      <c r="AE248">
        <v>52914.53</v>
      </c>
      <c r="AF248">
        <v>0</v>
      </c>
      <c r="AG248">
        <v>0</v>
      </c>
      <c r="AH248">
        <v>0</v>
      </c>
      <c r="AI248">
        <v>1</v>
      </c>
      <c r="AJ248">
        <v>1</v>
      </c>
      <c r="AK248">
        <v>1</v>
      </c>
      <c r="AL248">
        <v>1</v>
      </c>
      <c r="AN248">
        <v>0</v>
      </c>
      <c r="AO248">
        <v>1</v>
      </c>
      <c r="AP248">
        <v>0</v>
      </c>
      <c r="AQ248">
        <v>0</v>
      </c>
      <c r="AR248">
        <v>0</v>
      </c>
      <c r="AS248" t="s">
        <v>3</v>
      </c>
      <c r="AT248">
        <v>1.132E-2</v>
      </c>
      <c r="AU248" t="s">
        <v>3</v>
      </c>
      <c r="AV248">
        <v>0</v>
      </c>
      <c r="AW248">
        <v>2</v>
      </c>
      <c r="AX248">
        <v>38216107</v>
      </c>
      <c r="AY248">
        <v>1</v>
      </c>
      <c r="AZ248">
        <v>0</v>
      </c>
      <c r="BA248">
        <v>245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CX248">
        <f>Y248*Source!I940</f>
        <v>0.48540160000000004</v>
      </c>
      <c r="CY248">
        <f>AA248</f>
        <v>52914.53</v>
      </c>
      <c r="CZ248">
        <f>AE248</f>
        <v>52914.53</v>
      </c>
      <c r="DA248">
        <f>AI248</f>
        <v>1</v>
      </c>
      <c r="DB248">
        <f t="shared" si="47"/>
        <v>598.99</v>
      </c>
      <c r="DC248">
        <f t="shared" si="48"/>
        <v>0</v>
      </c>
    </row>
    <row r="249" spans="1:107" x14ac:dyDescent="0.2">
      <c r="A249">
        <f>ROW(Source!A940)</f>
        <v>940</v>
      </c>
      <c r="B249">
        <v>38214492</v>
      </c>
      <c r="C249">
        <v>38216102</v>
      </c>
      <c r="D249">
        <v>34880974</v>
      </c>
      <c r="E249">
        <v>1</v>
      </c>
      <c r="F249">
        <v>1</v>
      </c>
      <c r="G249">
        <v>25</v>
      </c>
      <c r="H249">
        <v>3</v>
      </c>
      <c r="I249" t="s">
        <v>347</v>
      </c>
      <c r="J249" t="s">
        <v>349</v>
      </c>
      <c r="K249" t="s">
        <v>348</v>
      </c>
      <c r="L249">
        <v>1339</v>
      </c>
      <c r="N249">
        <v>1007</v>
      </c>
      <c r="O249" t="s">
        <v>206</v>
      </c>
      <c r="P249" t="s">
        <v>206</v>
      </c>
      <c r="Q249">
        <v>1</v>
      </c>
      <c r="W249">
        <v>1</v>
      </c>
      <c r="X249">
        <v>1463256945</v>
      </c>
      <c r="Y249">
        <v>-3.01</v>
      </c>
      <c r="AA249">
        <v>6701.58</v>
      </c>
      <c r="AB249">
        <v>0</v>
      </c>
      <c r="AC249">
        <v>0</v>
      </c>
      <c r="AD249">
        <v>0</v>
      </c>
      <c r="AE249">
        <v>6701.58</v>
      </c>
      <c r="AF249">
        <v>0</v>
      </c>
      <c r="AG249">
        <v>0</v>
      </c>
      <c r="AH249">
        <v>0</v>
      </c>
      <c r="AI249">
        <v>1</v>
      </c>
      <c r="AJ249">
        <v>1</v>
      </c>
      <c r="AK249">
        <v>1</v>
      </c>
      <c r="AL249">
        <v>1</v>
      </c>
      <c r="AN249">
        <v>0</v>
      </c>
      <c r="AO249">
        <v>1</v>
      </c>
      <c r="AP249">
        <v>0</v>
      </c>
      <c r="AQ249">
        <v>0</v>
      </c>
      <c r="AR249">
        <v>0</v>
      </c>
      <c r="AS249" t="s">
        <v>3</v>
      </c>
      <c r="AT249">
        <v>-3.01</v>
      </c>
      <c r="AU249" t="s">
        <v>3</v>
      </c>
      <c r="AV249">
        <v>0</v>
      </c>
      <c r="AW249">
        <v>2</v>
      </c>
      <c r="AX249">
        <v>38216108</v>
      </c>
      <c r="AY249">
        <v>1</v>
      </c>
      <c r="AZ249">
        <v>6144</v>
      </c>
      <c r="BA249">
        <v>246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CX249">
        <f>Y249*Source!I940</f>
        <v>-129.06880000000001</v>
      </c>
      <c r="CY249">
        <f>AA249</f>
        <v>6701.58</v>
      </c>
      <c r="CZ249">
        <f>AE249</f>
        <v>6701.58</v>
      </c>
      <c r="DA249">
        <f>AI249</f>
        <v>1</v>
      </c>
      <c r="DB249">
        <f t="shared" si="47"/>
        <v>-20171.759999999998</v>
      </c>
      <c r="DC249">
        <f t="shared" si="48"/>
        <v>0</v>
      </c>
    </row>
    <row r="250" spans="1:107" x14ac:dyDescent="0.2">
      <c r="A250">
        <f>ROW(Source!A940)</f>
        <v>940</v>
      </c>
      <c r="B250">
        <v>38214492</v>
      </c>
      <c r="C250">
        <v>38216102</v>
      </c>
      <c r="D250">
        <v>34880975</v>
      </c>
      <c r="E250">
        <v>1</v>
      </c>
      <c r="F250">
        <v>1</v>
      </c>
      <c r="G250">
        <v>25</v>
      </c>
      <c r="H250">
        <v>3</v>
      </c>
      <c r="I250" t="s">
        <v>494</v>
      </c>
      <c r="J250" t="s">
        <v>495</v>
      </c>
      <c r="K250" t="s">
        <v>496</v>
      </c>
      <c r="L250">
        <v>1339</v>
      </c>
      <c r="N250">
        <v>1007</v>
      </c>
      <c r="O250" t="s">
        <v>206</v>
      </c>
      <c r="P250" t="s">
        <v>206</v>
      </c>
      <c r="Q250">
        <v>1</v>
      </c>
      <c r="W250">
        <v>0</v>
      </c>
      <c r="X250">
        <v>1121281230</v>
      </c>
      <c r="Y250">
        <v>0.72</v>
      </c>
      <c r="AA250">
        <v>6697.08</v>
      </c>
      <c r="AB250">
        <v>0</v>
      </c>
      <c r="AC250">
        <v>0</v>
      </c>
      <c r="AD250">
        <v>0</v>
      </c>
      <c r="AE250">
        <v>6697.08</v>
      </c>
      <c r="AF250">
        <v>0</v>
      </c>
      <c r="AG250">
        <v>0</v>
      </c>
      <c r="AH250">
        <v>0</v>
      </c>
      <c r="AI250">
        <v>1</v>
      </c>
      <c r="AJ250">
        <v>1</v>
      </c>
      <c r="AK250">
        <v>1</v>
      </c>
      <c r="AL250">
        <v>1</v>
      </c>
      <c r="AN250">
        <v>0</v>
      </c>
      <c r="AO250">
        <v>1</v>
      </c>
      <c r="AP250">
        <v>0</v>
      </c>
      <c r="AQ250">
        <v>0</v>
      </c>
      <c r="AR250">
        <v>0</v>
      </c>
      <c r="AS250" t="s">
        <v>3</v>
      </c>
      <c r="AT250">
        <v>0.72</v>
      </c>
      <c r="AU250" t="s">
        <v>3</v>
      </c>
      <c r="AV250">
        <v>0</v>
      </c>
      <c r="AW250">
        <v>2</v>
      </c>
      <c r="AX250">
        <v>38216109</v>
      </c>
      <c r="AY250">
        <v>1</v>
      </c>
      <c r="AZ250">
        <v>0</v>
      </c>
      <c r="BA250">
        <v>247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CX250">
        <f>Y250*Source!I940</f>
        <v>30.8736</v>
      </c>
      <c r="CY250">
        <f>AA250</f>
        <v>6697.08</v>
      </c>
      <c r="CZ250">
        <f>AE250</f>
        <v>6697.08</v>
      </c>
      <c r="DA250">
        <f>AI250</f>
        <v>1</v>
      </c>
      <c r="DB250">
        <f t="shared" si="47"/>
        <v>4821.8999999999996</v>
      </c>
      <c r="DC250">
        <f t="shared" si="48"/>
        <v>0</v>
      </c>
    </row>
    <row r="251" spans="1:107" x14ac:dyDescent="0.2">
      <c r="A251">
        <f>ROW(Source!A940)</f>
        <v>940</v>
      </c>
      <c r="B251">
        <v>38214492</v>
      </c>
      <c r="C251">
        <v>38216102</v>
      </c>
      <c r="D251">
        <v>34885386</v>
      </c>
      <c r="E251">
        <v>1</v>
      </c>
      <c r="F251">
        <v>1</v>
      </c>
      <c r="G251">
        <v>25</v>
      </c>
      <c r="H251">
        <v>3</v>
      </c>
      <c r="I251" t="s">
        <v>351</v>
      </c>
      <c r="J251" t="s">
        <v>353</v>
      </c>
      <c r="K251" t="s">
        <v>352</v>
      </c>
      <c r="L251">
        <v>1339</v>
      </c>
      <c r="N251">
        <v>1007</v>
      </c>
      <c r="O251" t="s">
        <v>206</v>
      </c>
      <c r="P251" t="s">
        <v>206</v>
      </c>
      <c r="Q251">
        <v>1</v>
      </c>
      <c r="W251">
        <v>0</v>
      </c>
      <c r="X251">
        <v>-108478875</v>
      </c>
      <c r="Y251">
        <v>0</v>
      </c>
      <c r="AA251">
        <v>33945.129999999997</v>
      </c>
      <c r="AB251">
        <v>0</v>
      </c>
      <c r="AC251">
        <v>0</v>
      </c>
      <c r="AD251">
        <v>0</v>
      </c>
      <c r="AE251">
        <v>33945.129999999997</v>
      </c>
      <c r="AF251">
        <v>0</v>
      </c>
      <c r="AG251">
        <v>0</v>
      </c>
      <c r="AH251">
        <v>0</v>
      </c>
      <c r="AI251">
        <v>1</v>
      </c>
      <c r="AJ251">
        <v>1</v>
      </c>
      <c r="AK251">
        <v>1</v>
      </c>
      <c r="AL251">
        <v>1</v>
      </c>
      <c r="AN251">
        <v>0</v>
      </c>
      <c r="AO251">
        <v>0</v>
      </c>
      <c r="AP251">
        <v>0</v>
      </c>
      <c r="AQ251">
        <v>0</v>
      </c>
      <c r="AR251">
        <v>0</v>
      </c>
      <c r="AS251" t="s">
        <v>3</v>
      </c>
      <c r="AT251">
        <v>0</v>
      </c>
      <c r="AU251" t="s">
        <v>3</v>
      </c>
      <c r="AV251">
        <v>0</v>
      </c>
      <c r="AW251">
        <v>1</v>
      </c>
      <c r="AX251">
        <v>-1</v>
      </c>
      <c r="AY251">
        <v>0</v>
      </c>
      <c r="AZ251">
        <v>0</v>
      </c>
      <c r="BA251" t="s">
        <v>3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CX251">
        <f>Y251*Source!I940</f>
        <v>0</v>
      </c>
      <c r="CY251">
        <f>AA251</f>
        <v>33945.129999999997</v>
      </c>
      <c r="CZ251">
        <f>AE251</f>
        <v>33945.129999999997</v>
      </c>
      <c r="DA251">
        <f>AI251</f>
        <v>1</v>
      </c>
      <c r="DB251">
        <f t="shared" si="47"/>
        <v>0</v>
      </c>
      <c r="DC251">
        <f t="shared" si="48"/>
        <v>0</v>
      </c>
    </row>
    <row r="252" spans="1:107" x14ac:dyDescent="0.2">
      <c r="A252">
        <f>ROW(Source!A944)</f>
        <v>944</v>
      </c>
      <c r="B252">
        <v>38214492</v>
      </c>
      <c r="C252">
        <v>38216114</v>
      </c>
      <c r="D252">
        <v>34867259</v>
      </c>
      <c r="E252">
        <v>25</v>
      </c>
      <c r="F252">
        <v>1</v>
      </c>
      <c r="G252">
        <v>25</v>
      </c>
      <c r="H252">
        <v>1</v>
      </c>
      <c r="I252" t="s">
        <v>391</v>
      </c>
      <c r="J252" t="s">
        <v>3</v>
      </c>
      <c r="K252" t="s">
        <v>392</v>
      </c>
      <c r="L252">
        <v>1191</v>
      </c>
      <c r="N252">
        <v>1013</v>
      </c>
      <c r="O252" t="s">
        <v>393</v>
      </c>
      <c r="P252" t="s">
        <v>393</v>
      </c>
      <c r="Q252">
        <v>1</v>
      </c>
      <c r="W252">
        <v>0</v>
      </c>
      <c r="X252">
        <v>476480486</v>
      </c>
      <c r="Y252">
        <v>103.62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1</v>
      </c>
      <c r="AJ252">
        <v>1</v>
      </c>
      <c r="AK252">
        <v>1</v>
      </c>
      <c r="AL252">
        <v>1</v>
      </c>
      <c r="AN252">
        <v>0</v>
      </c>
      <c r="AO252">
        <v>1</v>
      </c>
      <c r="AP252">
        <v>0</v>
      </c>
      <c r="AQ252">
        <v>0</v>
      </c>
      <c r="AR252">
        <v>0</v>
      </c>
      <c r="AS252" t="s">
        <v>3</v>
      </c>
      <c r="AT252">
        <v>103.62</v>
      </c>
      <c r="AU252" t="s">
        <v>3</v>
      </c>
      <c r="AV252">
        <v>1</v>
      </c>
      <c r="AW252">
        <v>2</v>
      </c>
      <c r="AX252">
        <v>38216123</v>
      </c>
      <c r="AY252">
        <v>1</v>
      </c>
      <c r="AZ252">
        <v>0</v>
      </c>
      <c r="BA252">
        <v>248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CX252">
        <f>Y252*Source!I944</f>
        <v>326.40300000000002</v>
      </c>
      <c r="CY252">
        <f>AD252</f>
        <v>0</v>
      </c>
      <c r="CZ252">
        <f>AH252</f>
        <v>0</v>
      </c>
      <c r="DA252">
        <f>AL252</f>
        <v>1</v>
      </c>
      <c r="DB252">
        <f t="shared" si="47"/>
        <v>0</v>
      </c>
      <c r="DC252">
        <f t="shared" si="48"/>
        <v>0</v>
      </c>
    </row>
    <row r="253" spans="1:107" x14ac:dyDescent="0.2">
      <c r="A253">
        <f>ROW(Source!A944)</f>
        <v>944</v>
      </c>
      <c r="B253">
        <v>38214492</v>
      </c>
      <c r="C253">
        <v>38216114</v>
      </c>
      <c r="D253">
        <v>34880291</v>
      </c>
      <c r="E253">
        <v>1</v>
      </c>
      <c r="F253">
        <v>1</v>
      </c>
      <c r="G253">
        <v>25</v>
      </c>
      <c r="H253">
        <v>2</v>
      </c>
      <c r="I253" t="s">
        <v>510</v>
      </c>
      <c r="J253" t="s">
        <v>511</v>
      </c>
      <c r="K253" t="s">
        <v>512</v>
      </c>
      <c r="L253">
        <v>1368</v>
      </c>
      <c r="N253">
        <v>1011</v>
      </c>
      <c r="O253" t="s">
        <v>397</v>
      </c>
      <c r="P253" t="s">
        <v>397</v>
      </c>
      <c r="Q253">
        <v>1</v>
      </c>
      <c r="W253">
        <v>0</v>
      </c>
      <c r="X253">
        <v>-2126916458</v>
      </c>
      <c r="Y253">
        <v>7.25</v>
      </c>
      <c r="AA253">
        <v>0</v>
      </c>
      <c r="AB253">
        <v>7.67</v>
      </c>
      <c r="AC253">
        <v>0.93</v>
      </c>
      <c r="AD253">
        <v>0</v>
      </c>
      <c r="AE253">
        <v>0</v>
      </c>
      <c r="AF253">
        <v>7.67</v>
      </c>
      <c r="AG253">
        <v>0.93</v>
      </c>
      <c r="AH253">
        <v>0</v>
      </c>
      <c r="AI253">
        <v>1</v>
      </c>
      <c r="AJ253">
        <v>1</v>
      </c>
      <c r="AK253">
        <v>1</v>
      </c>
      <c r="AL253">
        <v>1</v>
      </c>
      <c r="AN253">
        <v>0</v>
      </c>
      <c r="AO253">
        <v>1</v>
      </c>
      <c r="AP253">
        <v>0</v>
      </c>
      <c r="AQ253">
        <v>0</v>
      </c>
      <c r="AR253">
        <v>0</v>
      </c>
      <c r="AS253" t="s">
        <v>3</v>
      </c>
      <c r="AT253">
        <v>7.25</v>
      </c>
      <c r="AU253" t="s">
        <v>3</v>
      </c>
      <c r="AV253">
        <v>0</v>
      </c>
      <c r="AW253">
        <v>2</v>
      </c>
      <c r="AX253">
        <v>38216124</v>
      </c>
      <c r="AY253">
        <v>1</v>
      </c>
      <c r="AZ253">
        <v>0</v>
      </c>
      <c r="BA253">
        <v>249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CX253">
        <f>Y253*Source!I944</f>
        <v>22.837499999999999</v>
      </c>
      <c r="CY253">
        <f>AB253</f>
        <v>7.67</v>
      </c>
      <c r="CZ253">
        <f>AF253</f>
        <v>7.67</v>
      </c>
      <c r="DA253">
        <f>AJ253</f>
        <v>1</v>
      </c>
      <c r="DB253">
        <f t="shared" si="47"/>
        <v>55.61</v>
      </c>
      <c r="DC253">
        <f t="shared" si="48"/>
        <v>6.74</v>
      </c>
    </row>
    <row r="254" spans="1:107" x14ac:dyDescent="0.2">
      <c r="A254">
        <f>ROW(Source!A944)</f>
        <v>944</v>
      </c>
      <c r="B254">
        <v>38214492</v>
      </c>
      <c r="C254">
        <v>38216114</v>
      </c>
      <c r="D254">
        <v>34880230</v>
      </c>
      <c r="E254">
        <v>1</v>
      </c>
      <c r="F254">
        <v>1</v>
      </c>
      <c r="G254">
        <v>25</v>
      </c>
      <c r="H254">
        <v>2</v>
      </c>
      <c r="I254" t="s">
        <v>394</v>
      </c>
      <c r="J254" t="s">
        <v>395</v>
      </c>
      <c r="K254" t="s">
        <v>396</v>
      </c>
      <c r="L254">
        <v>1368</v>
      </c>
      <c r="N254">
        <v>1011</v>
      </c>
      <c r="O254" t="s">
        <v>397</v>
      </c>
      <c r="P254" t="s">
        <v>397</v>
      </c>
      <c r="Q254">
        <v>1</v>
      </c>
      <c r="W254">
        <v>0</v>
      </c>
      <c r="X254">
        <v>1675990774</v>
      </c>
      <c r="Y254">
        <v>2</v>
      </c>
      <c r="AA254">
        <v>0</v>
      </c>
      <c r="AB254">
        <v>6.28</v>
      </c>
      <c r="AC254">
        <v>0.01</v>
      </c>
      <c r="AD254">
        <v>0</v>
      </c>
      <c r="AE254">
        <v>0</v>
      </c>
      <c r="AF254">
        <v>6.28</v>
      </c>
      <c r="AG254">
        <v>0.01</v>
      </c>
      <c r="AH254">
        <v>0</v>
      </c>
      <c r="AI254">
        <v>1</v>
      </c>
      <c r="AJ254">
        <v>1</v>
      </c>
      <c r="AK254">
        <v>1</v>
      </c>
      <c r="AL254">
        <v>1</v>
      </c>
      <c r="AN254">
        <v>0</v>
      </c>
      <c r="AO254">
        <v>1</v>
      </c>
      <c r="AP254">
        <v>0</v>
      </c>
      <c r="AQ254">
        <v>0</v>
      </c>
      <c r="AR254">
        <v>0</v>
      </c>
      <c r="AS254" t="s">
        <v>3</v>
      </c>
      <c r="AT254">
        <v>2</v>
      </c>
      <c r="AU254" t="s">
        <v>3</v>
      </c>
      <c r="AV254">
        <v>0</v>
      </c>
      <c r="AW254">
        <v>2</v>
      </c>
      <c r="AX254">
        <v>38216125</v>
      </c>
      <c r="AY254">
        <v>1</v>
      </c>
      <c r="AZ254">
        <v>0</v>
      </c>
      <c r="BA254">
        <v>250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CX254">
        <f>Y254*Source!I944</f>
        <v>6.3</v>
      </c>
      <c r="CY254">
        <f>AB254</f>
        <v>6.28</v>
      </c>
      <c r="CZ254">
        <f>AF254</f>
        <v>6.28</v>
      </c>
      <c r="DA254">
        <f>AJ254</f>
        <v>1</v>
      </c>
      <c r="DB254">
        <f t="shared" si="47"/>
        <v>12.56</v>
      </c>
      <c r="DC254">
        <f t="shared" si="48"/>
        <v>0.02</v>
      </c>
    </row>
    <row r="255" spans="1:107" x14ac:dyDescent="0.2">
      <c r="A255">
        <f>ROW(Source!A944)</f>
        <v>944</v>
      </c>
      <c r="B255">
        <v>38214492</v>
      </c>
      <c r="C255">
        <v>38216114</v>
      </c>
      <c r="D255">
        <v>34881323</v>
      </c>
      <c r="E255">
        <v>1</v>
      </c>
      <c r="F255">
        <v>1</v>
      </c>
      <c r="G255">
        <v>25</v>
      </c>
      <c r="H255">
        <v>3</v>
      </c>
      <c r="I255" t="s">
        <v>409</v>
      </c>
      <c r="J255" t="s">
        <v>410</v>
      </c>
      <c r="K255" t="s">
        <v>411</v>
      </c>
      <c r="L255">
        <v>1348</v>
      </c>
      <c r="N255">
        <v>1009</v>
      </c>
      <c r="O255" t="s">
        <v>30</v>
      </c>
      <c r="P255" t="s">
        <v>30</v>
      </c>
      <c r="Q255">
        <v>1000</v>
      </c>
      <c r="W255">
        <v>0</v>
      </c>
      <c r="X255">
        <v>-220406470</v>
      </c>
      <c r="Y255">
        <v>3.0700000000000002E-2</v>
      </c>
      <c r="AA255">
        <v>103472.53</v>
      </c>
      <c r="AB255">
        <v>0</v>
      </c>
      <c r="AC255">
        <v>0</v>
      </c>
      <c r="AD255">
        <v>0</v>
      </c>
      <c r="AE255">
        <v>103472.53</v>
      </c>
      <c r="AF255">
        <v>0</v>
      </c>
      <c r="AG255">
        <v>0</v>
      </c>
      <c r="AH255">
        <v>0</v>
      </c>
      <c r="AI255">
        <v>1</v>
      </c>
      <c r="AJ255">
        <v>1</v>
      </c>
      <c r="AK255">
        <v>1</v>
      </c>
      <c r="AL255">
        <v>1</v>
      </c>
      <c r="AN255">
        <v>0</v>
      </c>
      <c r="AO255">
        <v>1</v>
      </c>
      <c r="AP255">
        <v>0</v>
      </c>
      <c r="AQ255">
        <v>0</v>
      </c>
      <c r="AR255">
        <v>0</v>
      </c>
      <c r="AS255" t="s">
        <v>3</v>
      </c>
      <c r="AT255">
        <v>3.0700000000000002E-2</v>
      </c>
      <c r="AU255" t="s">
        <v>3</v>
      </c>
      <c r="AV255">
        <v>0</v>
      </c>
      <c r="AW255">
        <v>2</v>
      </c>
      <c r="AX255">
        <v>38216126</v>
      </c>
      <c r="AY255">
        <v>1</v>
      </c>
      <c r="AZ255">
        <v>0</v>
      </c>
      <c r="BA255">
        <v>251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CX255">
        <f>Y255*Source!I944</f>
        <v>9.6704999999999999E-2</v>
      </c>
      <c r="CY255">
        <f>AA255</f>
        <v>103472.53</v>
      </c>
      <c r="CZ255">
        <f>AE255</f>
        <v>103472.53</v>
      </c>
      <c r="DA255">
        <f>AI255</f>
        <v>1</v>
      </c>
      <c r="DB255">
        <f t="shared" si="47"/>
        <v>3176.61</v>
      </c>
      <c r="DC255">
        <f t="shared" si="48"/>
        <v>0</v>
      </c>
    </row>
    <row r="256" spans="1:107" x14ac:dyDescent="0.2">
      <c r="A256">
        <f>ROW(Source!A944)</f>
        <v>944</v>
      </c>
      <c r="B256">
        <v>38214492</v>
      </c>
      <c r="C256">
        <v>38216114</v>
      </c>
      <c r="D256">
        <v>34881348</v>
      </c>
      <c r="E256">
        <v>1</v>
      </c>
      <c r="F256">
        <v>1</v>
      </c>
      <c r="G256">
        <v>25</v>
      </c>
      <c r="H256">
        <v>3</v>
      </c>
      <c r="I256" t="s">
        <v>491</v>
      </c>
      <c r="J256" t="s">
        <v>492</v>
      </c>
      <c r="K256" t="s">
        <v>493</v>
      </c>
      <c r="L256">
        <v>1348</v>
      </c>
      <c r="N256">
        <v>1009</v>
      </c>
      <c r="O256" t="s">
        <v>30</v>
      </c>
      <c r="P256" t="s">
        <v>30</v>
      </c>
      <c r="Q256">
        <v>1000</v>
      </c>
      <c r="W256">
        <v>0</v>
      </c>
      <c r="X256">
        <v>993024992</v>
      </c>
      <c r="Y256">
        <v>5.5999999999999999E-3</v>
      </c>
      <c r="AA256">
        <v>52914.53</v>
      </c>
      <c r="AB256">
        <v>0</v>
      </c>
      <c r="AC256">
        <v>0</v>
      </c>
      <c r="AD256">
        <v>0</v>
      </c>
      <c r="AE256">
        <v>52914.53</v>
      </c>
      <c r="AF256">
        <v>0</v>
      </c>
      <c r="AG256">
        <v>0</v>
      </c>
      <c r="AH256">
        <v>0</v>
      </c>
      <c r="AI256">
        <v>1</v>
      </c>
      <c r="AJ256">
        <v>1</v>
      </c>
      <c r="AK256">
        <v>1</v>
      </c>
      <c r="AL256">
        <v>1</v>
      </c>
      <c r="AN256">
        <v>0</v>
      </c>
      <c r="AO256">
        <v>1</v>
      </c>
      <c r="AP256">
        <v>0</v>
      </c>
      <c r="AQ256">
        <v>0</v>
      </c>
      <c r="AR256">
        <v>0</v>
      </c>
      <c r="AS256" t="s">
        <v>3</v>
      </c>
      <c r="AT256">
        <v>5.5999999999999999E-3</v>
      </c>
      <c r="AU256" t="s">
        <v>3</v>
      </c>
      <c r="AV256">
        <v>0</v>
      </c>
      <c r="AW256">
        <v>2</v>
      </c>
      <c r="AX256">
        <v>38216127</v>
      </c>
      <c r="AY256">
        <v>1</v>
      </c>
      <c r="AZ256">
        <v>0</v>
      </c>
      <c r="BA256">
        <v>252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CX256">
        <f>Y256*Source!I944</f>
        <v>1.7639999999999999E-2</v>
      </c>
      <c r="CY256">
        <f>AA256</f>
        <v>52914.53</v>
      </c>
      <c r="CZ256">
        <f>AE256</f>
        <v>52914.53</v>
      </c>
      <c r="DA256">
        <f>AI256</f>
        <v>1</v>
      </c>
      <c r="DB256">
        <f t="shared" si="47"/>
        <v>296.32</v>
      </c>
      <c r="DC256">
        <f t="shared" si="48"/>
        <v>0</v>
      </c>
    </row>
    <row r="257" spans="1:107" x14ac:dyDescent="0.2">
      <c r="A257">
        <f>ROW(Source!A944)</f>
        <v>944</v>
      </c>
      <c r="B257">
        <v>38214492</v>
      </c>
      <c r="C257">
        <v>38216114</v>
      </c>
      <c r="D257">
        <v>34880909</v>
      </c>
      <c r="E257">
        <v>1</v>
      </c>
      <c r="F257">
        <v>1</v>
      </c>
      <c r="G257">
        <v>25</v>
      </c>
      <c r="H257">
        <v>3</v>
      </c>
      <c r="I257" t="s">
        <v>513</v>
      </c>
      <c r="J257" t="s">
        <v>514</v>
      </c>
      <c r="K257" t="s">
        <v>515</v>
      </c>
      <c r="L257">
        <v>1348</v>
      </c>
      <c r="N257">
        <v>1009</v>
      </c>
      <c r="O257" t="s">
        <v>30</v>
      </c>
      <c r="P257" t="s">
        <v>30</v>
      </c>
      <c r="Q257">
        <v>1000</v>
      </c>
      <c r="W257">
        <v>0</v>
      </c>
      <c r="X257">
        <v>279366352</v>
      </c>
      <c r="Y257">
        <v>2.5999999999999999E-3</v>
      </c>
      <c r="AA257">
        <v>91119.2</v>
      </c>
      <c r="AB257">
        <v>0</v>
      </c>
      <c r="AC257">
        <v>0</v>
      </c>
      <c r="AD257">
        <v>0</v>
      </c>
      <c r="AE257">
        <v>91119.2</v>
      </c>
      <c r="AF257">
        <v>0</v>
      </c>
      <c r="AG257">
        <v>0</v>
      </c>
      <c r="AH257">
        <v>0</v>
      </c>
      <c r="AI257">
        <v>1</v>
      </c>
      <c r="AJ257">
        <v>1</v>
      </c>
      <c r="AK257">
        <v>1</v>
      </c>
      <c r="AL257">
        <v>1</v>
      </c>
      <c r="AN257">
        <v>0</v>
      </c>
      <c r="AO257">
        <v>1</v>
      </c>
      <c r="AP257">
        <v>0</v>
      </c>
      <c r="AQ257">
        <v>0</v>
      </c>
      <c r="AR257">
        <v>0</v>
      </c>
      <c r="AS257" t="s">
        <v>3</v>
      </c>
      <c r="AT257">
        <v>2.5999999999999999E-3</v>
      </c>
      <c r="AU257" t="s">
        <v>3</v>
      </c>
      <c r="AV257">
        <v>0</v>
      </c>
      <c r="AW257">
        <v>2</v>
      </c>
      <c r="AX257">
        <v>38216128</v>
      </c>
      <c r="AY257">
        <v>1</v>
      </c>
      <c r="AZ257">
        <v>0</v>
      </c>
      <c r="BA257">
        <v>253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CX257">
        <f>Y257*Source!I944</f>
        <v>8.1899999999999994E-3</v>
      </c>
      <c r="CY257">
        <f>AA257</f>
        <v>91119.2</v>
      </c>
      <c r="CZ257">
        <f>AE257</f>
        <v>91119.2</v>
      </c>
      <c r="DA257">
        <f>AI257</f>
        <v>1</v>
      </c>
      <c r="DB257">
        <f t="shared" si="47"/>
        <v>236.91</v>
      </c>
      <c r="DC257">
        <f t="shared" si="48"/>
        <v>0</v>
      </c>
    </row>
    <row r="258" spans="1:107" x14ac:dyDescent="0.2">
      <c r="A258">
        <f>ROW(Source!A944)</f>
        <v>944</v>
      </c>
      <c r="B258">
        <v>38214492</v>
      </c>
      <c r="C258">
        <v>38216114</v>
      </c>
      <c r="D258">
        <v>34880929</v>
      </c>
      <c r="E258">
        <v>1</v>
      </c>
      <c r="F258">
        <v>1</v>
      </c>
      <c r="G258">
        <v>25</v>
      </c>
      <c r="H258">
        <v>3</v>
      </c>
      <c r="I258" t="s">
        <v>516</v>
      </c>
      <c r="J258" t="s">
        <v>517</v>
      </c>
      <c r="K258" t="s">
        <v>518</v>
      </c>
      <c r="L258">
        <v>1339</v>
      </c>
      <c r="N258">
        <v>1007</v>
      </c>
      <c r="O258" t="s">
        <v>206</v>
      </c>
      <c r="P258" t="s">
        <v>206</v>
      </c>
      <c r="Q258">
        <v>1</v>
      </c>
      <c r="W258">
        <v>0</v>
      </c>
      <c r="X258">
        <v>437522416</v>
      </c>
      <c r="Y258">
        <v>1.0900000000000001</v>
      </c>
      <c r="AA258">
        <v>9064.07</v>
      </c>
      <c r="AB258">
        <v>0</v>
      </c>
      <c r="AC258">
        <v>0</v>
      </c>
      <c r="AD258">
        <v>0</v>
      </c>
      <c r="AE258">
        <v>9064.07</v>
      </c>
      <c r="AF258">
        <v>0</v>
      </c>
      <c r="AG258">
        <v>0</v>
      </c>
      <c r="AH258">
        <v>0</v>
      </c>
      <c r="AI258">
        <v>1</v>
      </c>
      <c r="AJ258">
        <v>1</v>
      </c>
      <c r="AK258">
        <v>1</v>
      </c>
      <c r="AL258">
        <v>1</v>
      </c>
      <c r="AN258">
        <v>0</v>
      </c>
      <c r="AO258">
        <v>1</v>
      </c>
      <c r="AP258">
        <v>0</v>
      </c>
      <c r="AQ258">
        <v>0</v>
      </c>
      <c r="AR258">
        <v>0</v>
      </c>
      <c r="AS258" t="s">
        <v>3</v>
      </c>
      <c r="AT258">
        <v>1.0900000000000001</v>
      </c>
      <c r="AU258" t="s">
        <v>3</v>
      </c>
      <c r="AV258">
        <v>0</v>
      </c>
      <c r="AW258">
        <v>2</v>
      </c>
      <c r="AX258">
        <v>38216129</v>
      </c>
      <c r="AY258">
        <v>1</v>
      </c>
      <c r="AZ258">
        <v>0</v>
      </c>
      <c r="BA258">
        <v>254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CX258">
        <f>Y258*Source!I944</f>
        <v>3.4335</v>
      </c>
      <c r="CY258">
        <f>AA258</f>
        <v>9064.07</v>
      </c>
      <c r="CZ258">
        <f>AE258</f>
        <v>9064.07</v>
      </c>
      <c r="DA258">
        <f>AI258</f>
        <v>1</v>
      </c>
      <c r="DB258">
        <f t="shared" si="47"/>
        <v>9879.84</v>
      </c>
      <c r="DC258">
        <f t="shared" si="48"/>
        <v>0</v>
      </c>
    </row>
    <row r="259" spans="1:107" x14ac:dyDescent="0.2">
      <c r="A259">
        <f>ROW(Source!A944)</f>
        <v>944</v>
      </c>
      <c r="B259">
        <v>38214492</v>
      </c>
      <c r="C259">
        <v>38216114</v>
      </c>
      <c r="D259">
        <v>34880931</v>
      </c>
      <c r="E259">
        <v>1</v>
      </c>
      <c r="F259">
        <v>1</v>
      </c>
      <c r="G259">
        <v>25</v>
      </c>
      <c r="H259">
        <v>3</v>
      </c>
      <c r="I259" t="s">
        <v>519</v>
      </c>
      <c r="J259" t="s">
        <v>520</v>
      </c>
      <c r="K259" t="s">
        <v>521</v>
      </c>
      <c r="L259">
        <v>1339</v>
      </c>
      <c r="N259">
        <v>1007</v>
      </c>
      <c r="O259" t="s">
        <v>206</v>
      </c>
      <c r="P259" t="s">
        <v>206</v>
      </c>
      <c r="Q259">
        <v>1</v>
      </c>
      <c r="W259">
        <v>0</v>
      </c>
      <c r="X259">
        <v>-2021759097</v>
      </c>
      <c r="Y259">
        <v>1.34</v>
      </c>
      <c r="AA259">
        <v>6425.33</v>
      </c>
      <c r="AB259">
        <v>0</v>
      </c>
      <c r="AC259">
        <v>0</v>
      </c>
      <c r="AD259">
        <v>0</v>
      </c>
      <c r="AE259">
        <v>6425.33</v>
      </c>
      <c r="AF259">
        <v>0</v>
      </c>
      <c r="AG259">
        <v>0</v>
      </c>
      <c r="AH259">
        <v>0</v>
      </c>
      <c r="AI259">
        <v>1</v>
      </c>
      <c r="AJ259">
        <v>1</v>
      </c>
      <c r="AK259">
        <v>1</v>
      </c>
      <c r="AL259">
        <v>1</v>
      </c>
      <c r="AN259">
        <v>0</v>
      </c>
      <c r="AO259">
        <v>1</v>
      </c>
      <c r="AP259">
        <v>0</v>
      </c>
      <c r="AQ259">
        <v>0</v>
      </c>
      <c r="AR259">
        <v>0</v>
      </c>
      <c r="AS259" t="s">
        <v>3</v>
      </c>
      <c r="AT259">
        <v>1.34</v>
      </c>
      <c r="AU259" t="s">
        <v>3</v>
      </c>
      <c r="AV259">
        <v>0</v>
      </c>
      <c r="AW259">
        <v>2</v>
      </c>
      <c r="AX259">
        <v>38216130</v>
      </c>
      <c r="AY259">
        <v>1</v>
      </c>
      <c r="AZ259">
        <v>0</v>
      </c>
      <c r="BA259">
        <v>255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CX259">
        <f>Y259*Source!I944</f>
        <v>4.2210000000000001</v>
      </c>
      <c r="CY259">
        <f>AA259</f>
        <v>6425.33</v>
      </c>
      <c r="CZ259">
        <f>AE259</f>
        <v>6425.33</v>
      </c>
      <c r="DA259">
        <f>AI259</f>
        <v>1</v>
      </c>
      <c r="DB259">
        <f t="shared" si="47"/>
        <v>8609.94</v>
      </c>
      <c r="DC259">
        <f t="shared" si="48"/>
        <v>0</v>
      </c>
    </row>
    <row r="260" spans="1:107" x14ac:dyDescent="0.2">
      <c r="A260">
        <f>ROW(Source!A945)</f>
        <v>945</v>
      </c>
      <c r="B260">
        <v>38214492</v>
      </c>
      <c r="C260">
        <v>38216131</v>
      </c>
      <c r="D260">
        <v>34867259</v>
      </c>
      <c r="E260">
        <v>25</v>
      </c>
      <c r="F260">
        <v>1</v>
      </c>
      <c r="G260">
        <v>25</v>
      </c>
      <c r="H260">
        <v>1</v>
      </c>
      <c r="I260" t="s">
        <v>391</v>
      </c>
      <c r="J260" t="s">
        <v>3</v>
      </c>
      <c r="K260" t="s">
        <v>392</v>
      </c>
      <c r="L260">
        <v>1191</v>
      </c>
      <c r="N260">
        <v>1013</v>
      </c>
      <c r="O260" t="s">
        <v>393</v>
      </c>
      <c r="P260" t="s">
        <v>393</v>
      </c>
      <c r="Q260">
        <v>1</v>
      </c>
      <c r="W260">
        <v>0</v>
      </c>
      <c r="X260">
        <v>476480486</v>
      </c>
      <c r="Y260">
        <v>25.07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1</v>
      </c>
      <c r="AJ260">
        <v>1</v>
      </c>
      <c r="AK260">
        <v>1</v>
      </c>
      <c r="AL260">
        <v>1</v>
      </c>
      <c r="AN260">
        <v>0</v>
      </c>
      <c r="AO260">
        <v>1</v>
      </c>
      <c r="AP260">
        <v>0</v>
      </c>
      <c r="AQ260">
        <v>0</v>
      </c>
      <c r="AR260">
        <v>0</v>
      </c>
      <c r="AS260" t="s">
        <v>3</v>
      </c>
      <c r="AT260">
        <v>25.07</v>
      </c>
      <c r="AU260" t="s">
        <v>3</v>
      </c>
      <c r="AV260">
        <v>1</v>
      </c>
      <c r="AW260">
        <v>2</v>
      </c>
      <c r="AX260">
        <v>38216137</v>
      </c>
      <c r="AY260">
        <v>1</v>
      </c>
      <c r="AZ260">
        <v>0</v>
      </c>
      <c r="BA260">
        <v>256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CX260">
        <f>Y260*Source!I945</f>
        <v>39.485250000000001</v>
      </c>
      <c r="CY260">
        <f>AD260</f>
        <v>0</v>
      </c>
      <c r="CZ260">
        <f>AH260</f>
        <v>0</v>
      </c>
      <c r="DA260">
        <f>AL260</f>
        <v>1</v>
      </c>
      <c r="DB260">
        <f t="shared" si="47"/>
        <v>0</v>
      </c>
      <c r="DC260">
        <f t="shared" si="48"/>
        <v>0</v>
      </c>
    </row>
    <row r="261" spans="1:107" x14ac:dyDescent="0.2">
      <c r="A261">
        <f>ROW(Source!A945)</f>
        <v>945</v>
      </c>
      <c r="B261">
        <v>38214492</v>
      </c>
      <c r="C261">
        <v>38216131</v>
      </c>
      <c r="D261">
        <v>34879869</v>
      </c>
      <c r="E261">
        <v>1</v>
      </c>
      <c r="F261">
        <v>1</v>
      </c>
      <c r="G261">
        <v>25</v>
      </c>
      <c r="H261">
        <v>2</v>
      </c>
      <c r="I261" t="s">
        <v>522</v>
      </c>
      <c r="J261" t="s">
        <v>523</v>
      </c>
      <c r="K261" t="s">
        <v>524</v>
      </c>
      <c r="L261">
        <v>1368</v>
      </c>
      <c r="N261">
        <v>1011</v>
      </c>
      <c r="O261" t="s">
        <v>397</v>
      </c>
      <c r="P261" t="s">
        <v>397</v>
      </c>
      <c r="Q261">
        <v>1</v>
      </c>
      <c r="W261">
        <v>0</v>
      </c>
      <c r="X261">
        <v>1083206858</v>
      </c>
      <c r="Y261">
        <v>3.25</v>
      </c>
      <c r="AA261">
        <v>0</v>
      </c>
      <c r="AB261">
        <v>40.94</v>
      </c>
      <c r="AC261">
        <v>0.17</v>
      </c>
      <c r="AD261">
        <v>0</v>
      </c>
      <c r="AE261">
        <v>0</v>
      </c>
      <c r="AF261">
        <v>40.94</v>
      </c>
      <c r="AG261">
        <v>0.17</v>
      </c>
      <c r="AH261">
        <v>0</v>
      </c>
      <c r="AI261">
        <v>1</v>
      </c>
      <c r="AJ261">
        <v>1</v>
      </c>
      <c r="AK261">
        <v>1</v>
      </c>
      <c r="AL261">
        <v>1</v>
      </c>
      <c r="AN261">
        <v>0</v>
      </c>
      <c r="AO261">
        <v>1</v>
      </c>
      <c r="AP261">
        <v>0</v>
      </c>
      <c r="AQ261">
        <v>0</v>
      </c>
      <c r="AR261">
        <v>0</v>
      </c>
      <c r="AS261" t="s">
        <v>3</v>
      </c>
      <c r="AT261">
        <v>3.25</v>
      </c>
      <c r="AU261" t="s">
        <v>3</v>
      </c>
      <c r="AV261">
        <v>0</v>
      </c>
      <c r="AW261">
        <v>2</v>
      </c>
      <c r="AX261">
        <v>38216138</v>
      </c>
      <c r="AY261">
        <v>1</v>
      </c>
      <c r="AZ261">
        <v>0</v>
      </c>
      <c r="BA261">
        <v>257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CX261">
        <f>Y261*Source!I945</f>
        <v>5.1187499999999995</v>
      </c>
      <c r="CY261">
        <f>AB261</f>
        <v>40.94</v>
      </c>
      <c r="CZ261">
        <f>AF261</f>
        <v>40.94</v>
      </c>
      <c r="DA261">
        <f>AJ261</f>
        <v>1</v>
      </c>
      <c r="DB261">
        <f t="shared" si="47"/>
        <v>133.06</v>
      </c>
      <c r="DC261">
        <f t="shared" si="48"/>
        <v>0.55000000000000004</v>
      </c>
    </row>
    <row r="262" spans="1:107" x14ac:dyDescent="0.2">
      <c r="A262">
        <f>ROW(Source!A945)</f>
        <v>945</v>
      </c>
      <c r="B262">
        <v>38214492</v>
      </c>
      <c r="C262">
        <v>38216131</v>
      </c>
      <c r="D262">
        <v>34882640</v>
      </c>
      <c r="E262">
        <v>1</v>
      </c>
      <c r="F262">
        <v>1</v>
      </c>
      <c r="G262">
        <v>25</v>
      </c>
      <c r="H262">
        <v>3</v>
      </c>
      <c r="I262" t="s">
        <v>525</v>
      </c>
      <c r="J262" t="s">
        <v>526</v>
      </c>
      <c r="K262" t="s">
        <v>527</v>
      </c>
      <c r="L262">
        <v>1348</v>
      </c>
      <c r="N262">
        <v>1009</v>
      </c>
      <c r="O262" t="s">
        <v>30</v>
      </c>
      <c r="P262" t="s">
        <v>30</v>
      </c>
      <c r="Q262">
        <v>1000</v>
      </c>
      <c r="W262">
        <v>0</v>
      </c>
      <c r="X262">
        <v>144217631</v>
      </c>
      <c r="Y262">
        <v>5.4999999999999997E-3</v>
      </c>
      <c r="AA262">
        <v>25931.93</v>
      </c>
      <c r="AB262">
        <v>0</v>
      </c>
      <c r="AC262">
        <v>0</v>
      </c>
      <c r="AD262">
        <v>0</v>
      </c>
      <c r="AE262">
        <v>25931.93</v>
      </c>
      <c r="AF262">
        <v>0</v>
      </c>
      <c r="AG262">
        <v>0</v>
      </c>
      <c r="AH262">
        <v>0</v>
      </c>
      <c r="AI262">
        <v>1</v>
      </c>
      <c r="AJ262">
        <v>1</v>
      </c>
      <c r="AK262">
        <v>1</v>
      </c>
      <c r="AL262">
        <v>1</v>
      </c>
      <c r="AN262">
        <v>0</v>
      </c>
      <c r="AO262">
        <v>1</v>
      </c>
      <c r="AP262">
        <v>0</v>
      </c>
      <c r="AQ262">
        <v>0</v>
      </c>
      <c r="AR262">
        <v>0</v>
      </c>
      <c r="AS262" t="s">
        <v>3</v>
      </c>
      <c r="AT262">
        <v>5.4999999999999997E-3</v>
      </c>
      <c r="AU262" t="s">
        <v>3</v>
      </c>
      <c r="AV262">
        <v>0</v>
      </c>
      <c r="AW262">
        <v>2</v>
      </c>
      <c r="AX262">
        <v>38216139</v>
      </c>
      <c r="AY262">
        <v>1</v>
      </c>
      <c r="AZ262">
        <v>0</v>
      </c>
      <c r="BA262">
        <v>258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CX262">
        <f>Y262*Source!I945</f>
        <v>8.6625000000000001E-3</v>
      </c>
      <c r="CY262">
        <f t="shared" ref="CY262:CY268" si="49">AA262</f>
        <v>25931.93</v>
      </c>
      <c r="CZ262">
        <f t="shared" ref="CZ262:CZ268" si="50">AE262</f>
        <v>25931.93</v>
      </c>
      <c r="DA262">
        <f t="shared" ref="DA262:DA268" si="51">AI262</f>
        <v>1</v>
      </c>
      <c r="DB262">
        <f t="shared" si="47"/>
        <v>142.63</v>
      </c>
      <c r="DC262">
        <f t="shared" si="48"/>
        <v>0</v>
      </c>
    </row>
    <row r="263" spans="1:107" x14ac:dyDescent="0.2">
      <c r="A263">
        <f>ROW(Source!A945)</f>
        <v>945</v>
      </c>
      <c r="B263">
        <v>38214492</v>
      </c>
      <c r="C263">
        <v>38216131</v>
      </c>
      <c r="D263">
        <v>34880728</v>
      </c>
      <c r="E263">
        <v>1</v>
      </c>
      <c r="F263">
        <v>1</v>
      </c>
      <c r="G263">
        <v>25</v>
      </c>
      <c r="H263">
        <v>3</v>
      </c>
      <c r="I263" t="s">
        <v>528</v>
      </c>
      <c r="J263" t="s">
        <v>529</v>
      </c>
      <c r="K263" t="s">
        <v>530</v>
      </c>
      <c r="L263">
        <v>1348</v>
      </c>
      <c r="N263">
        <v>1009</v>
      </c>
      <c r="O263" t="s">
        <v>30</v>
      </c>
      <c r="P263" t="s">
        <v>30</v>
      </c>
      <c r="Q263">
        <v>1000</v>
      </c>
      <c r="W263">
        <v>0</v>
      </c>
      <c r="X263">
        <v>-1947677072</v>
      </c>
      <c r="Y263">
        <v>2.9899999999999999E-2</v>
      </c>
      <c r="AA263">
        <v>70348.09</v>
      </c>
      <c r="AB263">
        <v>0</v>
      </c>
      <c r="AC263">
        <v>0</v>
      </c>
      <c r="AD263">
        <v>0</v>
      </c>
      <c r="AE263">
        <v>70348.09</v>
      </c>
      <c r="AF263">
        <v>0</v>
      </c>
      <c r="AG263">
        <v>0</v>
      </c>
      <c r="AH263">
        <v>0</v>
      </c>
      <c r="AI263">
        <v>1</v>
      </c>
      <c r="AJ263">
        <v>1</v>
      </c>
      <c r="AK263">
        <v>1</v>
      </c>
      <c r="AL263">
        <v>1</v>
      </c>
      <c r="AN263">
        <v>0</v>
      </c>
      <c r="AO263">
        <v>1</v>
      </c>
      <c r="AP263">
        <v>0</v>
      </c>
      <c r="AQ263">
        <v>0</v>
      </c>
      <c r="AR263">
        <v>0</v>
      </c>
      <c r="AS263" t="s">
        <v>3</v>
      </c>
      <c r="AT263">
        <v>2.9899999999999999E-2</v>
      </c>
      <c r="AU263" t="s">
        <v>3</v>
      </c>
      <c r="AV263">
        <v>0</v>
      </c>
      <c r="AW263">
        <v>2</v>
      </c>
      <c r="AX263">
        <v>38216140</v>
      </c>
      <c r="AY263">
        <v>1</v>
      </c>
      <c r="AZ263">
        <v>0</v>
      </c>
      <c r="BA263">
        <v>259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CX263">
        <f>Y263*Source!I945</f>
        <v>4.7092499999999995E-2</v>
      </c>
      <c r="CY263">
        <f t="shared" si="49"/>
        <v>70348.09</v>
      </c>
      <c r="CZ263">
        <f t="shared" si="50"/>
        <v>70348.09</v>
      </c>
      <c r="DA263">
        <f t="shared" si="51"/>
        <v>1</v>
      </c>
      <c r="DB263">
        <f t="shared" si="47"/>
        <v>2103.41</v>
      </c>
      <c r="DC263">
        <f t="shared" si="48"/>
        <v>0</v>
      </c>
    </row>
    <row r="264" spans="1:107" x14ac:dyDescent="0.2">
      <c r="A264">
        <f>ROW(Source!A945)</f>
        <v>945</v>
      </c>
      <c r="B264">
        <v>38214492</v>
      </c>
      <c r="C264">
        <v>38216131</v>
      </c>
      <c r="D264">
        <v>34880768</v>
      </c>
      <c r="E264">
        <v>1</v>
      </c>
      <c r="F264">
        <v>1</v>
      </c>
      <c r="G264">
        <v>25</v>
      </c>
      <c r="H264">
        <v>3</v>
      </c>
      <c r="I264" t="s">
        <v>531</v>
      </c>
      <c r="J264" t="s">
        <v>532</v>
      </c>
      <c r="K264" t="s">
        <v>533</v>
      </c>
      <c r="L264">
        <v>1346</v>
      </c>
      <c r="N264">
        <v>1009</v>
      </c>
      <c r="O264" t="s">
        <v>534</v>
      </c>
      <c r="P264" t="s">
        <v>534</v>
      </c>
      <c r="Q264">
        <v>1</v>
      </c>
      <c r="W264">
        <v>0</v>
      </c>
      <c r="X264">
        <v>-932985438</v>
      </c>
      <c r="Y264">
        <v>9.4600000000000009</v>
      </c>
      <c r="AA264">
        <v>80.150000000000006</v>
      </c>
      <c r="AB264">
        <v>0</v>
      </c>
      <c r="AC264">
        <v>0</v>
      </c>
      <c r="AD264">
        <v>0</v>
      </c>
      <c r="AE264">
        <v>80.150000000000006</v>
      </c>
      <c r="AF264">
        <v>0</v>
      </c>
      <c r="AG264">
        <v>0</v>
      </c>
      <c r="AH264">
        <v>0</v>
      </c>
      <c r="AI264">
        <v>1</v>
      </c>
      <c r="AJ264">
        <v>1</v>
      </c>
      <c r="AK264">
        <v>1</v>
      </c>
      <c r="AL264">
        <v>1</v>
      </c>
      <c r="AN264">
        <v>0</v>
      </c>
      <c r="AO264">
        <v>1</v>
      </c>
      <c r="AP264">
        <v>0</v>
      </c>
      <c r="AQ264">
        <v>0</v>
      </c>
      <c r="AR264">
        <v>0</v>
      </c>
      <c r="AS264" t="s">
        <v>3</v>
      </c>
      <c r="AT264">
        <v>9.4600000000000009</v>
      </c>
      <c r="AU264" t="s">
        <v>3</v>
      </c>
      <c r="AV264">
        <v>0</v>
      </c>
      <c r="AW264">
        <v>2</v>
      </c>
      <c r="AX264">
        <v>38216141</v>
      </c>
      <c r="AY264">
        <v>1</v>
      </c>
      <c r="AZ264">
        <v>0</v>
      </c>
      <c r="BA264">
        <v>260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CX264">
        <f>Y264*Source!I945</f>
        <v>14.899500000000002</v>
      </c>
      <c r="CY264">
        <f t="shared" si="49"/>
        <v>80.150000000000006</v>
      </c>
      <c r="CZ264">
        <f t="shared" si="50"/>
        <v>80.150000000000006</v>
      </c>
      <c r="DA264">
        <f t="shared" si="51"/>
        <v>1</v>
      </c>
      <c r="DB264">
        <f t="shared" si="47"/>
        <v>758.22</v>
      </c>
      <c r="DC264">
        <f t="shared" si="48"/>
        <v>0</v>
      </c>
    </row>
    <row r="265" spans="1:107" x14ac:dyDescent="0.2">
      <c r="A265">
        <f>ROW(Source!A946)</f>
        <v>946</v>
      </c>
      <c r="B265">
        <v>38214492</v>
      </c>
      <c r="C265">
        <v>38216142</v>
      </c>
      <c r="D265">
        <v>22863459</v>
      </c>
      <c r="E265">
        <v>1</v>
      </c>
      <c r="F265">
        <v>1</v>
      </c>
      <c r="G265">
        <v>25</v>
      </c>
      <c r="H265">
        <v>3</v>
      </c>
      <c r="I265" t="s">
        <v>366</v>
      </c>
      <c r="J265" t="s">
        <v>368</v>
      </c>
      <c r="K265" t="s">
        <v>367</v>
      </c>
      <c r="L265">
        <v>1339</v>
      </c>
      <c r="N265">
        <v>1007</v>
      </c>
      <c r="O265" t="s">
        <v>206</v>
      </c>
      <c r="P265" t="s">
        <v>206</v>
      </c>
      <c r="Q265">
        <v>1</v>
      </c>
      <c r="W265">
        <v>1</v>
      </c>
      <c r="X265">
        <v>-1402776850</v>
      </c>
      <c r="Y265">
        <v>-0.96</v>
      </c>
      <c r="AA265">
        <v>5578.47</v>
      </c>
      <c r="AB265">
        <v>0</v>
      </c>
      <c r="AC265">
        <v>0</v>
      </c>
      <c r="AD265">
        <v>0</v>
      </c>
      <c r="AE265">
        <v>5578.47</v>
      </c>
      <c r="AF265">
        <v>0</v>
      </c>
      <c r="AG265">
        <v>0</v>
      </c>
      <c r="AH265">
        <v>0</v>
      </c>
      <c r="AI265">
        <v>1</v>
      </c>
      <c r="AJ265">
        <v>1</v>
      </c>
      <c r="AK265">
        <v>1</v>
      </c>
      <c r="AL265">
        <v>1</v>
      </c>
      <c r="AN265">
        <v>0</v>
      </c>
      <c r="AO265">
        <v>1</v>
      </c>
      <c r="AP265">
        <v>0</v>
      </c>
      <c r="AQ265">
        <v>0</v>
      </c>
      <c r="AR265">
        <v>0</v>
      </c>
      <c r="AS265" t="s">
        <v>3</v>
      </c>
      <c r="AT265">
        <v>-0.96</v>
      </c>
      <c r="AU265" t="s">
        <v>3</v>
      </c>
      <c r="AV265">
        <v>0</v>
      </c>
      <c r="AW265">
        <v>1</v>
      </c>
      <c r="AX265">
        <v>-1</v>
      </c>
      <c r="AY265">
        <v>0</v>
      </c>
      <c r="AZ265">
        <v>0</v>
      </c>
      <c r="BA265" t="s">
        <v>3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CX265">
        <f>Y265*Source!I946</f>
        <v>0</v>
      </c>
      <c r="CY265">
        <f t="shared" si="49"/>
        <v>5578.47</v>
      </c>
      <c r="CZ265">
        <f t="shared" si="50"/>
        <v>5578.47</v>
      </c>
      <c r="DA265">
        <f t="shared" si="51"/>
        <v>1</v>
      </c>
      <c r="DB265">
        <f t="shared" si="47"/>
        <v>-5355.33</v>
      </c>
      <c r="DC265">
        <f t="shared" si="48"/>
        <v>0</v>
      </c>
    </row>
    <row r="266" spans="1:107" x14ac:dyDescent="0.2">
      <c r="A266">
        <f>ROW(Source!A946)</f>
        <v>946</v>
      </c>
      <c r="B266">
        <v>38214492</v>
      </c>
      <c r="C266">
        <v>38216142</v>
      </c>
      <c r="D266">
        <v>28284014</v>
      </c>
      <c r="E266">
        <v>1</v>
      </c>
      <c r="F266">
        <v>1</v>
      </c>
      <c r="G266">
        <v>25</v>
      </c>
      <c r="H266">
        <v>3</v>
      </c>
      <c r="I266" t="s">
        <v>370</v>
      </c>
      <c r="J266" t="s">
        <v>372</v>
      </c>
      <c r="K266" t="s">
        <v>371</v>
      </c>
      <c r="L266">
        <v>1339</v>
      </c>
      <c r="N266">
        <v>1007</v>
      </c>
      <c r="O266" t="s">
        <v>206</v>
      </c>
      <c r="P266" t="s">
        <v>206</v>
      </c>
      <c r="Q266">
        <v>1</v>
      </c>
      <c r="W266">
        <v>0</v>
      </c>
      <c r="X266">
        <v>1091102540</v>
      </c>
      <c r="Y266">
        <v>0.96</v>
      </c>
      <c r="AA266">
        <v>6277.99</v>
      </c>
      <c r="AB266">
        <v>0</v>
      </c>
      <c r="AC266">
        <v>0</v>
      </c>
      <c r="AD266">
        <v>0</v>
      </c>
      <c r="AE266">
        <v>6277.99</v>
      </c>
      <c r="AF266">
        <v>0</v>
      </c>
      <c r="AG266">
        <v>0</v>
      </c>
      <c r="AH266">
        <v>0</v>
      </c>
      <c r="AI266">
        <v>1</v>
      </c>
      <c r="AJ266">
        <v>1</v>
      </c>
      <c r="AK266">
        <v>1</v>
      </c>
      <c r="AL266">
        <v>1</v>
      </c>
      <c r="AN266">
        <v>0</v>
      </c>
      <c r="AO266">
        <v>0</v>
      </c>
      <c r="AP266">
        <v>0</v>
      </c>
      <c r="AQ266">
        <v>0</v>
      </c>
      <c r="AR266">
        <v>0</v>
      </c>
      <c r="AS266" t="s">
        <v>3</v>
      </c>
      <c r="AT266">
        <v>0.96</v>
      </c>
      <c r="AU266" t="s">
        <v>3</v>
      </c>
      <c r="AV266">
        <v>0</v>
      </c>
      <c r="AW266">
        <v>1</v>
      </c>
      <c r="AX266">
        <v>-1</v>
      </c>
      <c r="AY266">
        <v>0</v>
      </c>
      <c r="AZ266">
        <v>0</v>
      </c>
      <c r="BA266" t="s">
        <v>3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CX266">
        <f>Y266*Source!I946</f>
        <v>0</v>
      </c>
      <c r="CY266">
        <f t="shared" si="49"/>
        <v>6277.99</v>
      </c>
      <c r="CZ266">
        <f t="shared" si="50"/>
        <v>6277.99</v>
      </c>
      <c r="DA266">
        <f t="shared" si="51"/>
        <v>1</v>
      </c>
      <c r="DB266">
        <f t="shared" si="47"/>
        <v>6026.87</v>
      </c>
      <c r="DC266">
        <f t="shared" si="48"/>
        <v>0</v>
      </c>
    </row>
    <row r="267" spans="1:107" x14ac:dyDescent="0.2">
      <c r="A267">
        <f>ROW(Source!A949)</f>
        <v>949</v>
      </c>
      <c r="B267">
        <v>38214492</v>
      </c>
      <c r="C267">
        <v>38216147</v>
      </c>
      <c r="D267">
        <v>22863460</v>
      </c>
      <c r="E267">
        <v>1</v>
      </c>
      <c r="F267">
        <v>1</v>
      </c>
      <c r="G267">
        <v>25</v>
      </c>
      <c r="H267">
        <v>3</v>
      </c>
      <c r="I267" t="s">
        <v>370</v>
      </c>
      <c r="J267" t="s">
        <v>377</v>
      </c>
      <c r="K267" t="s">
        <v>371</v>
      </c>
      <c r="L267">
        <v>1339</v>
      </c>
      <c r="N267">
        <v>1007</v>
      </c>
      <c r="O267" t="s">
        <v>206</v>
      </c>
      <c r="P267" t="s">
        <v>206</v>
      </c>
      <c r="Q267">
        <v>1</v>
      </c>
      <c r="W267">
        <v>0</v>
      </c>
      <c r="X267">
        <v>-1853239055</v>
      </c>
      <c r="Y267">
        <v>1.05</v>
      </c>
      <c r="AA267">
        <v>5558.53</v>
      </c>
      <c r="AB267">
        <v>0</v>
      </c>
      <c r="AC267">
        <v>0</v>
      </c>
      <c r="AD267">
        <v>0</v>
      </c>
      <c r="AE267">
        <v>5558.53</v>
      </c>
      <c r="AF267">
        <v>0</v>
      </c>
      <c r="AG267">
        <v>0</v>
      </c>
      <c r="AH267">
        <v>0</v>
      </c>
      <c r="AI267">
        <v>1</v>
      </c>
      <c r="AJ267">
        <v>1</v>
      </c>
      <c r="AK267">
        <v>1</v>
      </c>
      <c r="AL267">
        <v>1</v>
      </c>
      <c r="AN267">
        <v>0</v>
      </c>
      <c r="AO267">
        <v>0</v>
      </c>
      <c r="AP267">
        <v>0</v>
      </c>
      <c r="AQ267">
        <v>0</v>
      </c>
      <c r="AR267">
        <v>0</v>
      </c>
      <c r="AS267" t="s">
        <v>3</v>
      </c>
      <c r="AT267">
        <v>1.05</v>
      </c>
      <c r="AU267" t="s">
        <v>3</v>
      </c>
      <c r="AV267">
        <v>0</v>
      </c>
      <c r="AW267">
        <v>1</v>
      </c>
      <c r="AX267">
        <v>-1</v>
      </c>
      <c r="AY267">
        <v>0</v>
      </c>
      <c r="AZ267">
        <v>0</v>
      </c>
      <c r="BA267" t="s">
        <v>3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CX267">
        <f>Y267*Source!I949</f>
        <v>0</v>
      </c>
      <c r="CY267">
        <f t="shared" si="49"/>
        <v>5558.53</v>
      </c>
      <c r="CZ267">
        <f t="shared" si="50"/>
        <v>5558.53</v>
      </c>
      <c r="DA267">
        <f t="shared" si="51"/>
        <v>1</v>
      </c>
      <c r="DB267">
        <f t="shared" si="47"/>
        <v>5836.46</v>
      </c>
      <c r="DC267">
        <f t="shared" si="48"/>
        <v>0</v>
      </c>
    </row>
    <row r="268" spans="1:107" x14ac:dyDescent="0.2">
      <c r="A268">
        <f>ROW(Source!A949)</f>
        <v>949</v>
      </c>
      <c r="B268">
        <v>38214492</v>
      </c>
      <c r="C268">
        <v>38216147</v>
      </c>
      <c r="D268">
        <v>22863452</v>
      </c>
      <c r="E268">
        <v>1</v>
      </c>
      <c r="F268">
        <v>1</v>
      </c>
      <c r="G268">
        <v>25</v>
      </c>
      <c r="H268">
        <v>3</v>
      </c>
      <c r="I268" t="s">
        <v>379</v>
      </c>
      <c r="J268" t="s">
        <v>381</v>
      </c>
      <c r="K268" t="s">
        <v>380</v>
      </c>
      <c r="L268">
        <v>1339</v>
      </c>
      <c r="N268">
        <v>1007</v>
      </c>
      <c r="O268" t="s">
        <v>206</v>
      </c>
      <c r="P268" t="s">
        <v>206</v>
      </c>
      <c r="Q268">
        <v>1</v>
      </c>
      <c r="W268">
        <v>1</v>
      </c>
      <c r="X268">
        <v>1778666910</v>
      </c>
      <c r="Y268">
        <v>-1.02</v>
      </c>
      <c r="AA268">
        <v>6773.64</v>
      </c>
      <c r="AB268">
        <v>0</v>
      </c>
      <c r="AC268">
        <v>0</v>
      </c>
      <c r="AD268">
        <v>0</v>
      </c>
      <c r="AE268">
        <v>6773.64</v>
      </c>
      <c r="AF268">
        <v>0</v>
      </c>
      <c r="AG268">
        <v>0</v>
      </c>
      <c r="AH268">
        <v>0</v>
      </c>
      <c r="AI268">
        <v>1</v>
      </c>
      <c r="AJ268">
        <v>1</v>
      </c>
      <c r="AK268">
        <v>1</v>
      </c>
      <c r="AL268">
        <v>1</v>
      </c>
      <c r="AN268">
        <v>0</v>
      </c>
      <c r="AO268">
        <v>1</v>
      </c>
      <c r="AP268">
        <v>0</v>
      </c>
      <c r="AQ268">
        <v>0</v>
      </c>
      <c r="AR268">
        <v>0</v>
      </c>
      <c r="AS268" t="s">
        <v>3</v>
      </c>
      <c r="AT268">
        <v>-1.02</v>
      </c>
      <c r="AU268" t="s">
        <v>3</v>
      </c>
      <c r="AV268">
        <v>0</v>
      </c>
      <c r="AW268">
        <v>1</v>
      </c>
      <c r="AX268">
        <v>-1</v>
      </c>
      <c r="AY268">
        <v>0</v>
      </c>
      <c r="AZ268">
        <v>0</v>
      </c>
      <c r="BA268" t="s">
        <v>3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CX268">
        <f>Y268*Source!I949</f>
        <v>0</v>
      </c>
      <c r="CY268">
        <f t="shared" si="49"/>
        <v>6773.64</v>
      </c>
      <c r="CZ268">
        <f t="shared" si="50"/>
        <v>6773.64</v>
      </c>
      <c r="DA268">
        <f t="shared" si="51"/>
        <v>1</v>
      </c>
      <c r="DB268">
        <f t="shared" si="47"/>
        <v>-6909.11</v>
      </c>
      <c r="DC268">
        <f t="shared" si="48"/>
        <v>0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0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44" x14ac:dyDescent="0.2">
      <c r="A1">
        <f>ROW(Source!A32)</f>
        <v>32</v>
      </c>
      <c r="B1">
        <v>38214665</v>
      </c>
      <c r="C1">
        <v>38214661</v>
      </c>
      <c r="D1">
        <v>34867259</v>
      </c>
      <c r="E1">
        <v>25</v>
      </c>
      <c r="F1">
        <v>1</v>
      </c>
      <c r="G1">
        <v>25</v>
      </c>
      <c r="H1">
        <v>1</v>
      </c>
      <c r="I1" t="s">
        <v>391</v>
      </c>
      <c r="J1" t="s">
        <v>3</v>
      </c>
      <c r="K1" t="s">
        <v>392</v>
      </c>
      <c r="L1">
        <v>1191</v>
      </c>
      <c r="N1">
        <v>1013</v>
      </c>
      <c r="O1" t="s">
        <v>393</v>
      </c>
      <c r="P1" t="s">
        <v>393</v>
      </c>
      <c r="Q1">
        <v>1</v>
      </c>
      <c r="X1">
        <v>15.15</v>
      </c>
      <c r="Y1">
        <v>0</v>
      </c>
      <c r="Z1">
        <v>0</v>
      </c>
      <c r="AA1">
        <v>0</v>
      </c>
      <c r="AB1">
        <v>0</v>
      </c>
      <c r="AC1">
        <v>0</v>
      </c>
      <c r="AD1">
        <v>1</v>
      </c>
      <c r="AE1">
        <v>1</v>
      </c>
      <c r="AF1" t="s">
        <v>3</v>
      </c>
      <c r="AG1">
        <v>15.15</v>
      </c>
      <c r="AH1">
        <v>2</v>
      </c>
      <c r="AI1">
        <v>38214662</v>
      </c>
      <c r="AJ1">
        <v>1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</row>
    <row r="2" spans="1:44" x14ac:dyDescent="0.2">
      <c r="A2">
        <f>ROW(Source!A32)</f>
        <v>32</v>
      </c>
      <c r="B2">
        <v>38214666</v>
      </c>
      <c r="C2">
        <v>38214661</v>
      </c>
      <c r="D2">
        <v>34880230</v>
      </c>
      <c r="E2">
        <v>1</v>
      </c>
      <c r="F2">
        <v>1</v>
      </c>
      <c r="G2">
        <v>25</v>
      </c>
      <c r="H2">
        <v>2</v>
      </c>
      <c r="I2" t="s">
        <v>394</v>
      </c>
      <c r="J2" t="s">
        <v>395</v>
      </c>
      <c r="K2" t="s">
        <v>396</v>
      </c>
      <c r="L2">
        <v>1368</v>
      </c>
      <c r="N2">
        <v>1011</v>
      </c>
      <c r="O2" t="s">
        <v>397</v>
      </c>
      <c r="P2" t="s">
        <v>397</v>
      </c>
      <c r="Q2">
        <v>1</v>
      </c>
      <c r="X2">
        <v>0.01</v>
      </c>
      <c r="Y2">
        <v>0</v>
      </c>
      <c r="Z2">
        <v>5.77</v>
      </c>
      <c r="AA2">
        <v>0.96</v>
      </c>
      <c r="AB2">
        <v>0</v>
      </c>
      <c r="AC2">
        <v>0</v>
      </c>
      <c r="AD2">
        <v>1</v>
      </c>
      <c r="AE2">
        <v>0</v>
      </c>
      <c r="AF2" t="s">
        <v>3</v>
      </c>
      <c r="AG2">
        <v>0.01</v>
      </c>
      <c r="AH2">
        <v>2</v>
      </c>
      <c r="AI2">
        <v>38214663</v>
      </c>
      <c r="AJ2">
        <v>2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2">
      <c r="A3">
        <f>ROW(Source!A32)</f>
        <v>32</v>
      </c>
      <c r="B3">
        <v>38214667</v>
      </c>
      <c r="C3">
        <v>38214661</v>
      </c>
      <c r="D3">
        <v>34869071</v>
      </c>
      <c r="E3">
        <v>25</v>
      </c>
      <c r="F3">
        <v>1</v>
      </c>
      <c r="G3">
        <v>25</v>
      </c>
      <c r="H3">
        <v>3</v>
      </c>
      <c r="I3" t="s">
        <v>398</v>
      </c>
      <c r="J3" t="s">
        <v>3</v>
      </c>
      <c r="K3" t="s">
        <v>399</v>
      </c>
      <c r="L3">
        <v>1348</v>
      </c>
      <c r="N3">
        <v>1009</v>
      </c>
      <c r="O3" t="s">
        <v>30</v>
      </c>
      <c r="P3" t="s">
        <v>30</v>
      </c>
      <c r="Q3">
        <v>1000</v>
      </c>
      <c r="X3">
        <v>0.65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 t="s">
        <v>3</v>
      </c>
      <c r="AG3">
        <v>0.65</v>
      </c>
      <c r="AH3">
        <v>2</v>
      </c>
      <c r="AI3">
        <v>38214664</v>
      </c>
      <c r="AJ3">
        <v>3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">
      <c r="A4">
        <f>ROW(Source!A34)</f>
        <v>34</v>
      </c>
      <c r="B4">
        <v>38214671</v>
      </c>
      <c r="C4">
        <v>38214669</v>
      </c>
      <c r="D4">
        <v>34867259</v>
      </c>
      <c r="E4">
        <v>25</v>
      </c>
      <c r="F4">
        <v>1</v>
      </c>
      <c r="G4">
        <v>25</v>
      </c>
      <c r="H4">
        <v>1</v>
      </c>
      <c r="I4" t="s">
        <v>391</v>
      </c>
      <c r="J4" t="s">
        <v>3</v>
      </c>
      <c r="K4" t="s">
        <v>392</v>
      </c>
      <c r="L4">
        <v>1191</v>
      </c>
      <c r="N4">
        <v>1013</v>
      </c>
      <c r="O4" t="s">
        <v>393</v>
      </c>
      <c r="P4" t="s">
        <v>393</v>
      </c>
      <c r="Q4">
        <v>1</v>
      </c>
      <c r="X4">
        <v>1.02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1</v>
      </c>
      <c r="AF4" t="s">
        <v>3</v>
      </c>
      <c r="AG4">
        <v>1.02</v>
      </c>
      <c r="AH4">
        <v>2</v>
      </c>
      <c r="AI4">
        <v>38214670</v>
      </c>
      <c r="AJ4">
        <v>4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">
      <c r="A5">
        <f>ROW(Source!A35)</f>
        <v>35</v>
      </c>
      <c r="B5">
        <v>38214675</v>
      </c>
      <c r="C5">
        <v>38214672</v>
      </c>
      <c r="D5">
        <v>34880178</v>
      </c>
      <c r="E5">
        <v>1</v>
      </c>
      <c r="F5">
        <v>1</v>
      </c>
      <c r="G5">
        <v>25</v>
      </c>
      <c r="H5">
        <v>2</v>
      </c>
      <c r="I5" t="s">
        <v>400</v>
      </c>
      <c r="J5" t="s">
        <v>401</v>
      </c>
      <c r="K5" t="s">
        <v>402</v>
      </c>
      <c r="L5">
        <v>1368</v>
      </c>
      <c r="N5">
        <v>1011</v>
      </c>
      <c r="O5" t="s">
        <v>397</v>
      </c>
      <c r="P5" t="s">
        <v>397</v>
      </c>
      <c r="Q5">
        <v>1</v>
      </c>
      <c r="X5">
        <v>0.02</v>
      </c>
      <c r="Y5">
        <v>0</v>
      </c>
      <c r="Z5">
        <v>905.74</v>
      </c>
      <c r="AA5">
        <v>271.23</v>
      </c>
      <c r="AB5">
        <v>0</v>
      </c>
      <c r="AC5">
        <v>0</v>
      </c>
      <c r="AD5">
        <v>1</v>
      </c>
      <c r="AE5">
        <v>0</v>
      </c>
      <c r="AF5" t="s">
        <v>3</v>
      </c>
      <c r="AG5">
        <v>0.02</v>
      </c>
      <c r="AH5">
        <v>2</v>
      </c>
      <c r="AI5">
        <v>38214673</v>
      </c>
      <c r="AJ5">
        <v>5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">
      <c r="A6">
        <f>ROW(Source!A35)</f>
        <v>35</v>
      </c>
      <c r="B6">
        <v>38214676</v>
      </c>
      <c r="C6">
        <v>38214672</v>
      </c>
      <c r="D6">
        <v>34880179</v>
      </c>
      <c r="E6">
        <v>1</v>
      </c>
      <c r="F6">
        <v>1</v>
      </c>
      <c r="G6">
        <v>25</v>
      </c>
      <c r="H6">
        <v>2</v>
      </c>
      <c r="I6" t="s">
        <v>403</v>
      </c>
      <c r="J6" t="s">
        <v>404</v>
      </c>
      <c r="K6" t="s">
        <v>405</v>
      </c>
      <c r="L6">
        <v>1368</v>
      </c>
      <c r="N6">
        <v>1011</v>
      </c>
      <c r="O6" t="s">
        <v>397</v>
      </c>
      <c r="P6" t="s">
        <v>397</v>
      </c>
      <c r="Q6">
        <v>1</v>
      </c>
      <c r="X6">
        <v>1.7999999999999999E-2</v>
      </c>
      <c r="Y6">
        <v>0</v>
      </c>
      <c r="Z6">
        <v>950.87</v>
      </c>
      <c r="AA6">
        <v>271.5</v>
      </c>
      <c r="AB6">
        <v>0</v>
      </c>
      <c r="AC6">
        <v>0</v>
      </c>
      <c r="AD6">
        <v>1</v>
      </c>
      <c r="AE6">
        <v>0</v>
      </c>
      <c r="AF6" t="s">
        <v>3</v>
      </c>
      <c r="AG6">
        <v>1.7999999999999999E-2</v>
      </c>
      <c r="AH6">
        <v>2</v>
      </c>
      <c r="AI6">
        <v>38214674</v>
      </c>
      <c r="AJ6">
        <v>6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">
      <c r="A7">
        <f>ROW(Source!A36)</f>
        <v>36</v>
      </c>
      <c r="B7">
        <v>38214680</v>
      </c>
      <c r="C7">
        <v>38214677</v>
      </c>
      <c r="D7">
        <v>34880178</v>
      </c>
      <c r="E7">
        <v>1</v>
      </c>
      <c r="F7">
        <v>1</v>
      </c>
      <c r="G7">
        <v>25</v>
      </c>
      <c r="H7">
        <v>2</v>
      </c>
      <c r="I7" t="s">
        <v>400</v>
      </c>
      <c r="J7" t="s">
        <v>401</v>
      </c>
      <c r="K7" t="s">
        <v>402</v>
      </c>
      <c r="L7">
        <v>1368</v>
      </c>
      <c r="N7">
        <v>1011</v>
      </c>
      <c r="O7" t="s">
        <v>397</v>
      </c>
      <c r="P7" t="s">
        <v>397</v>
      </c>
      <c r="Q7">
        <v>1</v>
      </c>
      <c r="X7">
        <v>5.3999999999999999E-2</v>
      </c>
      <c r="Y7">
        <v>0</v>
      </c>
      <c r="Z7">
        <v>905.74</v>
      </c>
      <c r="AA7">
        <v>271.23</v>
      </c>
      <c r="AB7">
        <v>0</v>
      </c>
      <c r="AC7">
        <v>0</v>
      </c>
      <c r="AD7">
        <v>1</v>
      </c>
      <c r="AE7">
        <v>0</v>
      </c>
      <c r="AF7" t="s">
        <v>3</v>
      </c>
      <c r="AG7">
        <v>5.3999999999999999E-2</v>
      </c>
      <c r="AH7">
        <v>2</v>
      </c>
      <c r="AI7">
        <v>38214678</v>
      </c>
      <c r="AJ7">
        <v>7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">
      <c r="A8">
        <f>ROW(Source!A36)</f>
        <v>36</v>
      </c>
      <c r="B8">
        <v>38214681</v>
      </c>
      <c r="C8">
        <v>38214677</v>
      </c>
      <c r="D8">
        <v>34880179</v>
      </c>
      <c r="E8">
        <v>1</v>
      </c>
      <c r="F8">
        <v>1</v>
      </c>
      <c r="G8">
        <v>25</v>
      </c>
      <c r="H8">
        <v>2</v>
      </c>
      <c r="I8" t="s">
        <v>403</v>
      </c>
      <c r="J8" t="s">
        <v>404</v>
      </c>
      <c r="K8" t="s">
        <v>405</v>
      </c>
      <c r="L8">
        <v>1368</v>
      </c>
      <c r="N8">
        <v>1011</v>
      </c>
      <c r="O8" t="s">
        <v>397</v>
      </c>
      <c r="P8" t="s">
        <v>397</v>
      </c>
      <c r="Q8">
        <v>1</v>
      </c>
      <c r="X8">
        <v>5.5E-2</v>
      </c>
      <c r="Y8">
        <v>0</v>
      </c>
      <c r="Z8">
        <v>950.87</v>
      </c>
      <c r="AA8">
        <v>271.5</v>
      </c>
      <c r="AB8">
        <v>0</v>
      </c>
      <c r="AC8">
        <v>0</v>
      </c>
      <c r="AD8">
        <v>1</v>
      </c>
      <c r="AE8">
        <v>0</v>
      </c>
      <c r="AF8" t="s">
        <v>3</v>
      </c>
      <c r="AG8">
        <v>5.5E-2</v>
      </c>
      <c r="AH8">
        <v>2</v>
      </c>
      <c r="AI8">
        <v>38214679</v>
      </c>
      <c r="AJ8">
        <v>8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">
      <c r="A9">
        <f>ROW(Source!A37)</f>
        <v>37</v>
      </c>
      <c r="B9">
        <v>38214685</v>
      </c>
      <c r="C9">
        <v>38214682</v>
      </c>
      <c r="D9">
        <v>34880178</v>
      </c>
      <c r="E9">
        <v>1</v>
      </c>
      <c r="F9">
        <v>1</v>
      </c>
      <c r="G9">
        <v>25</v>
      </c>
      <c r="H9">
        <v>2</v>
      </c>
      <c r="I9" t="s">
        <v>400</v>
      </c>
      <c r="J9" t="s">
        <v>401</v>
      </c>
      <c r="K9" t="s">
        <v>402</v>
      </c>
      <c r="L9">
        <v>1368</v>
      </c>
      <c r="N9">
        <v>1011</v>
      </c>
      <c r="O9" t="s">
        <v>397</v>
      </c>
      <c r="P9" t="s">
        <v>397</v>
      </c>
      <c r="Q9">
        <v>1</v>
      </c>
      <c r="X9">
        <v>0.01</v>
      </c>
      <c r="Y9">
        <v>0</v>
      </c>
      <c r="Z9">
        <v>905.74</v>
      </c>
      <c r="AA9">
        <v>271.23</v>
      </c>
      <c r="AB9">
        <v>0</v>
      </c>
      <c r="AC9">
        <v>0</v>
      </c>
      <c r="AD9">
        <v>1</v>
      </c>
      <c r="AE9">
        <v>0</v>
      </c>
      <c r="AF9" t="s">
        <v>51</v>
      </c>
      <c r="AG9">
        <v>0.25</v>
      </c>
      <c r="AH9">
        <v>2</v>
      </c>
      <c r="AI9">
        <v>38214683</v>
      </c>
      <c r="AJ9">
        <v>9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">
      <c r="A10">
        <f>ROW(Source!A37)</f>
        <v>37</v>
      </c>
      <c r="B10">
        <v>38214686</v>
      </c>
      <c r="C10">
        <v>38214682</v>
      </c>
      <c r="D10">
        <v>34880179</v>
      </c>
      <c r="E10">
        <v>1</v>
      </c>
      <c r="F10">
        <v>1</v>
      </c>
      <c r="G10">
        <v>25</v>
      </c>
      <c r="H10">
        <v>2</v>
      </c>
      <c r="I10" t="s">
        <v>403</v>
      </c>
      <c r="J10" t="s">
        <v>404</v>
      </c>
      <c r="K10" t="s">
        <v>405</v>
      </c>
      <c r="L10">
        <v>1368</v>
      </c>
      <c r="N10">
        <v>1011</v>
      </c>
      <c r="O10" t="s">
        <v>397</v>
      </c>
      <c r="P10" t="s">
        <v>397</v>
      </c>
      <c r="Q10">
        <v>1</v>
      </c>
      <c r="X10">
        <v>8.0000000000000002E-3</v>
      </c>
      <c r="Y10">
        <v>0</v>
      </c>
      <c r="Z10">
        <v>950.87</v>
      </c>
      <c r="AA10">
        <v>271.5</v>
      </c>
      <c r="AB10">
        <v>0</v>
      </c>
      <c r="AC10">
        <v>0</v>
      </c>
      <c r="AD10">
        <v>1</v>
      </c>
      <c r="AE10">
        <v>0</v>
      </c>
      <c r="AF10" t="s">
        <v>51</v>
      </c>
      <c r="AG10">
        <v>0.2</v>
      </c>
      <c r="AH10">
        <v>2</v>
      </c>
      <c r="AI10">
        <v>38214684</v>
      </c>
      <c r="AJ10">
        <v>10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">
      <c r="A11">
        <f>ROW(Source!A74)</f>
        <v>74</v>
      </c>
      <c r="B11">
        <v>38214750</v>
      </c>
      <c r="C11">
        <v>38214744</v>
      </c>
      <c r="D11">
        <v>34867259</v>
      </c>
      <c r="E11">
        <v>25</v>
      </c>
      <c r="F11">
        <v>1</v>
      </c>
      <c r="G11">
        <v>25</v>
      </c>
      <c r="H11">
        <v>1</v>
      </c>
      <c r="I11" t="s">
        <v>391</v>
      </c>
      <c r="J11" t="s">
        <v>3</v>
      </c>
      <c r="K11" t="s">
        <v>392</v>
      </c>
      <c r="L11">
        <v>1191</v>
      </c>
      <c r="N11">
        <v>1013</v>
      </c>
      <c r="O11" t="s">
        <v>393</v>
      </c>
      <c r="P11" t="s">
        <v>393</v>
      </c>
      <c r="Q11">
        <v>1</v>
      </c>
      <c r="X11">
        <v>87.4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1</v>
      </c>
      <c r="AF11" t="s">
        <v>3</v>
      </c>
      <c r="AG11">
        <v>87.4</v>
      </c>
      <c r="AH11">
        <v>2</v>
      </c>
      <c r="AI11">
        <v>38214745</v>
      </c>
      <c r="AJ11">
        <v>11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2">
      <c r="A12">
        <f>ROW(Source!A74)</f>
        <v>74</v>
      </c>
      <c r="B12">
        <v>38214751</v>
      </c>
      <c r="C12">
        <v>38214744</v>
      </c>
      <c r="D12">
        <v>34879517</v>
      </c>
      <c r="E12">
        <v>1</v>
      </c>
      <c r="F12">
        <v>1</v>
      </c>
      <c r="G12">
        <v>25</v>
      </c>
      <c r="H12">
        <v>2</v>
      </c>
      <c r="I12" t="s">
        <v>406</v>
      </c>
      <c r="J12" t="s">
        <v>407</v>
      </c>
      <c r="K12" t="s">
        <v>408</v>
      </c>
      <c r="L12">
        <v>1368</v>
      </c>
      <c r="N12">
        <v>1011</v>
      </c>
      <c r="O12" t="s">
        <v>397</v>
      </c>
      <c r="P12" t="s">
        <v>397</v>
      </c>
      <c r="Q12">
        <v>1</v>
      </c>
      <c r="X12">
        <v>19</v>
      </c>
      <c r="Y12">
        <v>0</v>
      </c>
      <c r="Z12">
        <v>31.01</v>
      </c>
      <c r="AA12">
        <v>1.29</v>
      </c>
      <c r="AB12">
        <v>0</v>
      </c>
      <c r="AC12">
        <v>0</v>
      </c>
      <c r="AD12">
        <v>1</v>
      </c>
      <c r="AE12">
        <v>0</v>
      </c>
      <c r="AF12" t="s">
        <v>3</v>
      </c>
      <c r="AG12">
        <v>19</v>
      </c>
      <c r="AH12">
        <v>2</v>
      </c>
      <c r="AI12">
        <v>38214746</v>
      </c>
      <c r="AJ12">
        <v>12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2">
      <c r="A13">
        <f>ROW(Source!A74)</f>
        <v>74</v>
      </c>
      <c r="B13">
        <v>38214752</v>
      </c>
      <c r="C13">
        <v>38214744</v>
      </c>
      <c r="D13">
        <v>34881323</v>
      </c>
      <c r="E13">
        <v>1</v>
      </c>
      <c r="F13">
        <v>1</v>
      </c>
      <c r="G13">
        <v>25</v>
      </c>
      <c r="H13">
        <v>3</v>
      </c>
      <c r="I13" t="s">
        <v>409</v>
      </c>
      <c r="J13" t="s">
        <v>410</v>
      </c>
      <c r="K13" t="s">
        <v>411</v>
      </c>
      <c r="L13">
        <v>1348</v>
      </c>
      <c r="N13">
        <v>1009</v>
      </c>
      <c r="O13" t="s">
        <v>30</v>
      </c>
      <c r="P13" t="s">
        <v>30</v>
      </c>
      <c r="Q13">
        <v>1000</v>
      </c>
      <c r="X13">
        <v>3.3E-3</v>
      </c>
      <c r="Y13">
        <v>103472.53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 t="s">
        <v>32</v>
      </c>
      <c r="AG13">
        <v>0</v>
      </c>
      <c r="AH13">
        <v>2</v>
      </c>
      <c r="AI13">
        <v>38214747</v>
      </c>
      <c r="AJ13">
        <v>13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2">
      <c r="A14">
        <f>ROW(Source!A74)</f>
        <v>74</v>
      </c>
      <c r="B14">
        <v>38214753</v>
      </c>
      <c r="C14">
        <v>38214744</v>
      </c>
      <c r="D14">
        <v>34882179</v>
      </c>
      <c r="E14">
        <v>1</v>
      </c>
      <c r="F14">
        <v>1</v>
      </c>
      <c r="G14">
        <v>25</v>
      </c>
      <c r="H14">
        <v>3</v>
      </c>
      <c r="I14" t="s">
        <v>412</v>
      </c>
      <c r="J14" t="s">
        <v>413</v>
      </c>
      <c r="K14" t="s">
        <v>414</v>
      </c>
      <c r="L14">
        <v>1348</v>
      </c>
      <c r="N14">
        <v>1009</v>
      </c>
      <c r="O14" t="s">
        <v>30</v>
      </c>
      <c r="P14" t="s">
        <v>30</v>
      </c>
      <c r="Q14">
        <v>1000</v>
      </c>
      <c r="X14">
        <v>1.4E-3</v>
      </c>
      <c r="Y14">
        <v>110728.72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 t="s">
        <v>32</v>
      </c>
      <c r="AG14">
        <v>0</v>
      </c>
      <c r="AH14">
        <v>2</v>
      </c>
      <c r="AI14">
        <v>38214748</v>
      </c>
      <c r="AJ14">
        <v>14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2">
      <c r="A15">
        <f>ROW(Source!A74)</f>
        <v>74</v>
      </c>
      <c r="B15">
        <v>38214754</v>
      </c>
      <c r="C15">
        <v>38214744</v>
      </c>
      <c r="D15">
        <v>34884265</v>
      </c>
      <c r="E15">
        <v>1</v>
      </c>
      <c r="F15">
        <v>1</v>
      </c>
      <c r="G15">
        <v>25</v>
      </c>
      <c r="H15">
        <v>3</v>
      </c>
      <c r="I15" t="s">
        <v>415</v>
      </c>
      <c r="J15" t="s">
        <v>416</v>
      </c>
      <c r="K15" t="s">
        <v>417</v>
      </c>
      <c r="L15">
        <v>1348</v>
      </c>
      <c r="N15">
        <v>1009</v>
      </c>
      <c r="O15" t="s">
        <v>30</v>
      </c>
      <c r="P15" t="s">
        <v>30</v>
      </c>
      <c r="Q15">
        <v>1000</v>
      </c>
      <c r="X15">
        <v>1</v>
      </c>
      <c r="Y15">
        <v>74995.210000000006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 t="s">
        <v>32</v>
      </c>
      <c r="AG15">
        <v>0</v>
      </c>
      <c r="AH15">
        <v>2</v>
      </c>
      <c r="AI15">
        <v>38214749</v>
      </c>
      <c r="AJ15">
        <v>15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2">
      <c r="A16">
        <f>ROW(Source!A75)</f>
        <v>75</v>
      </c>
      <c r="B16">
        <v>38214759</v>
      </c>
      <c r="C16">
        <v>38214755</v>
      </c>
      <c r="D16">
        <v>34867259</v>
      </c>
      <c r="E16">
        <v>25</v>
      </c>
      <c r="F16">
        <v>1</v>
      </c>
      <c r="G16">
        <v>25</v>
      </c>
      <c r="H16">
        <v>1</v>
      </c>
      <c r="I16" t="s">
        <v>391</v>
      </c>
      <c r="J16" t="s">
        <v>3</v>
      </c>
      <c r="K16" t="s">
        <v>392</v>
      </c>
      <c r="L16">
        <v>1191</v>
      </c>
      <c r="N16">
        <v>1013</v>
      </c>
      <c r="O16" t="s">
        <v>393</v>
      </c>
      <c r="P16" t="s">
        <v>393</v>
      </c>
      <c r="Q16">
        <v>1</v>
      </c>
      <c r="X16">
        <v>342.54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1</v>
      </c>
      <c r="AF16" t="s">
        <v>3</v>
      </c>
      <c r="AG16">
        <v>342.54</v>
      </c>
      <c r="AH16">
        <v>2</v>
      </c>
      <c r="AI16">
        <v>38214756</v>
      </c>
      <c r="AJ16">
        <v>16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 x14ac:dyDescent="0.2">
      <c r="A17">
        <f>ROW(Source!A75)</f>
        <v>75</v>
      </c>
      <c r="B17">
        <v>38214760</v>
      </c>
      <c r="C17">
        <v>38214755</v>
      </c>
      <c r="D17">
        <v>34879709</v>
      </c>
      <c r="E17">
        <v>1</v>
      </c>
      <c r="F17">
        <v>1</v>
      </c>
      <c r="G17">
        <v>25</v>
      </c>
      <c r="H17">
        <v>2</v>
      </c>
      <c r="I17" t="s">
        <v>418</v>
      </c>
      <c r="J17" t="s">
        <v>419</v>
      </c>
      <c r="K17" t="s">
        <v>420</v>
      </c>
      <c r="L17">
        <v>1368</v>
      </c>
      <c r="N17">
        <v>1011</v>
      </c>
      <c r="O17" t="s">
        <v>397</v>
      </c>
      <c r="P17" t="s">
        <v>397</v>
      </c>
      <c r="Q17">
        <v>1</v>
      </c>
      <c r="X17">
        <v>13.75</v>
      </c>
      <c r="Y17">
        <v>0</v>
      </c>
      <c r="Z17">
        <v>1166.96</v>
      </c>
      <c r="AA17">
        <v>545.5</v>
      </c>
      <c r="AB17">
        <v>0</v>
      </c>
      <c r="AC17">
        <v>0</v>
      </c>
      <c r="AD17">
        <v>1</v>
      </c>
      <c r="AE17">
        <v>0</v>
      </c>
      <c r="AF17" t="s">
        <v>3</v>
      </c>
      <c r="AG17">
        <v>13.75</v>
      </c>
      <c r="AH17">
        <v>2</v>
      </c>
      <c r="AI17">
        <v>38214757</v>
      </c>
      <c r="AJ17">
        <v>17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 x14ac:dyDescent="0.2">
      <c r="A18">
        <f>ROW(Source!A75)</f>
        <v>75</v>
      </c>
      <c r="B18">
        <v>38214761</v>
      </c>
      <c r="C18">
        <v>38214755</v>
      </c>
      <c r="D18">
        <v>34881316</v>
      </c>
      <c r="E18">
        <v>1</v>
      </c>
      <c r="F18">
        <v>1</v>
      </c>
      <c r="G18">
        <v>25</v>
      </c>
      <c r="H18">
        <v>3</v>
      </c>
      <c r="I18" t="s">
        <v>138</v>
      </c>
      <c r="J18" t="s">
        <v>421</v>
      </c>
      <c r="K18" t="s">
        <v>139</v>
      </c>
      <c r="L18">
        <v>1348</v>
      </c>
      <c r="N18">
        <v>1009</v>
      </c>
      <c r="O18" t="s">
        <v>30</v>
      </c>
      <c r="P18" t="s">
        <v>30</v>
      </c>
      <c r="Q18">
        <v>1000</v>
      </c>
      <c r="X18">
        <v>4.8000000000000001E-2</v>
      </c>
      <c r="Y18">
        <v>137107.03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 t="s">
        <v>3</v>
      </c>
      <c r="AG18">
        <v>4.8000000000000001E-2</v>
      </c>
      <c r="AH18">
        <v>2</v>
      </c>
      <c r="AI18">
        <v>38214758</v>
      </c>
      <c r="AJ18">
        <v>18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 x14ac:dyDescent="0.2">
      <c r="A19">
        <f>ROW(Source!A75)</f>
        <v>75</v>
      </c>
      <c r="B19">
        <v>38214762</v>
      </c>
      <c r="C19">
        <v>38214755</v>
      </c>
      <c r="D19">
        <v>34885016</v>
      </c>
      <c r="E19">
        <v>1</v>
      </c>
      <c r="F19">
        <v>1</v>
      </c>
      <c r="G19">
        <v>25</v>
      </c>
      <c r="H19">
        <v>3</v>
      </c>
      <c r="I19" t="s">
        <v>125</v>
      </c>
      <c r="J19" t="s">
        <v>127</v>
      </c>
      <c r="K19" t="s">
        <v>126</v>
      </c>
      <c r="L19">
        <v>1354</v>
      </c>
      <c r="N19">
        <v>1010</v>
      </c>
      <c r="O19" t="s">
        <v>123</v>
      </c>
      <c r="P19" t="s">
        <v>123</v>
      </c>
      <c r="Q19">
        <v>1</v>
      </c>
      <c r="X19">
        <v>100</v>
      </c>
      <c r="Y19">
        <v>1587.07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 t="s">
        <v>3</v>
      </c>
      <c r="AG19">
        <v>100</v>
      </c>
      <c r="AH19">
        <v>2</v>
      </c>
      <c r="AI19">
        <v>38214767</v>
      </c>
      <c r="AJ19">
        <v>19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 x14ac:dyDescent="0.2">
      <c r="A20">
        <f>ROW(Source!A75)</f>
        <v>75</v>
      </c>
      <c r="B20">
        <v>38214763</v>
      </c>
      <c r="C20">
        <v>38214755</v>
      </c>
      <c r="D20">
        <v>34868092</v>
      </c>
      <c r="E20">
        <v>25</v>
      </c>
      <c r="F20">
        <v>1</v>
      </c>
      <c r="G20">
        <v>25</v>
      </c>
      <c r="H20">
        <v>3</v>
      </c>
      <c r="I20" t="s">
        <v>121</v>
      </c>
      <c r="J20" t="s">
        <v>3</v>
      </c>
      <c r="K20" t="s">
        <v>122</v>
      </c>
      <c r="L20">
        <v>1354</v>
      </c>
      <c r="N20">
        <v>1010</v>
      </c>
      <c r="O20" t="s">
        <v>123</v>
      </c>
      <c r="P20" t="s">
        <v>123</v>
      </c>
      <c r="Q20">
        <v>1</v>
      </c>
      <c r="X20">
        <v>100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 t="s">
        <v>3</v>
      </c>
      <c r="AG20">
        <v>100</v>
      </c>
      <c r="AH20">
        <v>2</v>
      </c>
      <c r="AI20">
        <v>38214765</v>
      </c>
      <c r="AJ20">
        <v>20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 x14ac:dyDescent="0.2">
      <c r="A21">
        <f>ROW(Source!A83)</f>
        <v>83</v>
      </c>
      <c r="B21">
        <v>38214780</v>
      </c>
      <c r="C21">
        <v>38214776</v>
      </c>
      <c r="D21">
        <v>34867259</v>
      </c>
      <c r="E21">
        <v>25</v>
      </c>
      <c r="F21">
        <v>1</v>
      </c>
      <c r="G21">
        <v>25</v>
      </c>
      <c r="H21">
        <v>1</v>
      </c>
      <c r="I21" t="s">
        <v>391</v>
      </c>
      <c r="J21" t="s">
        <v>3</v>
      </c>
      <c r="K21" t="s">
        <v>392</v>
      </c>
      <c r="L21">
        <v>1191</v>
      </c>
      <c r="N21">
        <v>1013</v>
      </c>
      <c r="O21" t="s">
        <v>393</v>
      </c>
      <c r="P21" t="s">
        <v>393</v>
      </c>
      <c r="Q21">
        <v>1</v>
      </c>
      <c r="X21">
        <v>342.54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1</v>
      </c>
      <c r="AF21" t="s">
        <v>3</v>
      </c>
      <c r="AG21">
        <v>342.54</v>
      </c>
      <c r="AH21">
        <v>2</v>
      </c>
      <c r="AI21">
        <v>38214777</v>
      </c>
      <c r="AJ21">
        <v>24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 x14ac:dyDescent="0.2">
      <c r="A22">
        <f>ROW(Source!A83)</f>
        <v>83</v>
      </c>
      <c r="B22">
        <v>38214781</v>
      </c>
      <c r="C22">
        <v>38214776</v>
      </c>
      <c r="D22">
        <v>34879709</v>
      </c>
      <c r="E22">
        <v>1</v>
      </c>
      <c r="F22">
        <v>1</v>
      </c>
      <c r="G22">
        <v>25</v>
      </c>
      <c r="H22">
        <v>2</v>
      </c>
      <c r="I22" t="s">
        <v>418</v>
      </c>
      <c r="J22" t="s">
        <v>419</v>
      </c>
      <c r="K22" t="s">
        <v>420</v>
      </c>
      <c r="L22">
        <v>1368</v>
      </c>
      <c r="N22">
        <v>1011</v>
      </c>
      <c r="O22" t="s">
        <v>397</v>
      </c>
      <c r="P22" t="s">
        <v>397</v>
      </c>
      <c r="Q22">
        <v>1</v>
      </c>
      <c r="X22">
        <v>13.75</v>
      </c>
      <c r="Y22">
        <v>0</v>
      </c>
      <c r="Z22">
        <v>1166.96</v>
      </c>
      <c r="AA22">
        <v>545.5</v>
      </c>
      <c r="AB22">
        <v>0</v>
      </c>
      <c r="AC22">
        <v>0</v>
      </c>
      <c r="AD22">
        <v>1</v>
      </c>
      <c r="AE22">
        <v>0</v>
      </c>
      <c r="AF22" t="s">
        <v>3</v>
      </c>
      <c r="AG22">
        <v>13.75</v>
      </c>
      <c r="AH22">
        <v>2</v>
      </c>
      <c r="AI22">
        <v>38214778</v>
      </c>
      <c r="AJ22">
        <v>25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 x14ac:dyDescent="0.2">
      <c r="A23">
        <f>ROW(Source!A83)</f>
        <v>83</v>
      </c>
      <c r="B23">
        <v>38214782</v>
      </c>
      <c r="C23">
        <v>38214776</v>
      </c>
      <c r="D23">
        <v>34881316</v>
      </c>
      <c r="E23">
        <v>1</v>
      </c>
      <c r="F23">
        <v>1</v>
      </c>
      <c r="G23">
        <v>25</v>
      </c>
      <c r="H23">
        <v>3</v>
      </c>
      <c r="I23" t="s">
        <v>138</v>
      </c>
      <c r="J23" t="s">
        <v>421</v>
      </c>
      <c r="K23" t="s">
        <v>139</v>
      </c>
      <c r="L23">
        <v>1348</v>
      </c>
      <c r="N23">
        <v>1009</v>
      </c>
      <c r="O23" t="s">
        <v>30</v>
      </c>
      <c r="P23" t="s">
        <v>30</v>
      </c>
      <c r="Q23">
        <v>1000</v>
      </c>
      <c r="X23">
        <v>4.8000000000000001E-2</v>
      </c>
      <c r="Y23">
        <v>137107.03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 t="s">
        <v>3</v>
      </c>
      <c r="AG23">
        <v>4.8000000000000001E-2</v>
      </c>
      <c r="AH23">
        <v>2</v>
      </c>
      <c r="AI23">
        <v>38214779</v>
      </c>
      <c r="AJ23">
        <v>26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 x14ac:dyDescent="0.2">
      <c r="A24">
        <f>ROW(Source!A83)</f>
        <v>83</v>
      </c>
      <c r="B24">
        <v>38214783</v>
      </c>
      <c r="C24">
        <v>38214776</v>
      </c>
      <c r="D24">
        <v>34885016</v>
      </c>
      <c r="E24">
        <v>1</v>
      </c>
      <c r="F24">
        <v>1</v>
      </c>
      <c r="G24">
        <v>25</v>
      </c>
      <c r="H24">
        <v>3</v>
      </c>
      <c r="I24" t="s">
        <v>125</v>
      </c>
      <c r="J24" t="s">
        <v>127</v>
      </c>
      <c r="K24" t="s">
        <v>126</v>
      </c>
      <c r="L24">
        <v>1354</v>
      </c>
      <c r="N24">
        <v>1010</v>
      </c>
      <c r="O24" t="s">
        <v>123</v>
      </c>
      <c r="P24" t="s">
        <v>123</v>
      </c>
      <c r="Q24">
        <v>1</v>
      </c>
      <c r="X24">
        <v>100</v>
      </c>
      <c r="Y24">
        <v>1587.07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 t="s">
        <v>3</v>
      </c>
      <c r="AG24">
        <v>100</v>
      </c>
      <c r="AH24">
        <v>2</v>
      </c>
      <c r="AI24">
        <v>38214788</v>
      </c>
      <c r="AJ24">
        <v>27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 x14ac:dyDescent="0.2">
      <c r="A25">
        <f>ROW(Source!A83)</f>
        <v>83</v>
      </c>
      <c r="B25">
        <v>38214784</v>
      </c>
      <c r="C25">
        <v>38214776</v>
      </c>
      <c r="D25">
        <v>34868092</v>
      </c>
      <c r="E25">
        <v>25</v>
      </c>
      <c r="F25">
        <v>1</v>
      </c>
      <c r="G25">
        <v>25</v>
      </c>
      <c r="H25">
        <v>3</v>
      </c>
      <c r="I25" t="s">
        <v>121</v>
      </c>
      <c r="J25" t="s">
        <v>3</v>
      </c>
      <c r="K25" t="s">
        <v>122</v>
      </c>
      <c r="L25">
        <v>1354</v>
      </c>
      <c r="N25">
        <v>1010</v>
      </c>
      <c r="O25" t="s">
        <v>123</v>
      </c>
      <c r="P25" t="s">
        <v>123</v>
      </c>
      <c r="Q25">
        <v>1</v>
      </c>
      <c r="X25">
        <v>100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 t="s">
        <v>3</v>
      </c>
      <c r="AG25">
        <v>100</v>
      </c>
      <c r="AH25">
        <v>2</v>
      </c>
      <c r="AI25">
        <v>38214786</v>
      </c>
      <c r="AJ25">
        <v>28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 x14ac:dyDescent="0.2">
      <c r="A26">
        <f>ROW(Source!A128)</f>
        <v>128</v>
      </c>
      <c r="B26">
        <v>38216501</v>
      </c>
      <c r="C26">
        <v>38216490</v>
      </c>
      <c r="D26">
        <v>34867259</v>
      </c>
      <c r="E26">
        <v>25</v>
      </c>
      <c r="F26">
        <v>1</v>
      </c>
      <c r="G26">
        <v>25</v>
      </c>
      <c r="H26">
        <v>1</v>
      </c>
      <c r="I26" t="s">
        <v>391</v>
      </c>
      <c r="J26" t="s">
        <v>3</v>
      </c>
      <c r="K26" t="s">
        <v>392</v>
      </c>
      <c r="L26">
        <v>1191</v>
      </c>
      <c r="N26">
        <v>1013</v>
      </c>
      <c r="O26" t="s">
        <v>393</v>
      </c>
      <c r="P26" t="s">
        <v>393</v>
      </c>
      <c r="Q26">
        <v>1</v>
      </c>
      <c r="X26">
        <v>340.81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1</v>
      </c>
      <c r="AF26" t="s">
        <v>3</v>
      </c>
      <c r="AG26">
        <v>340.81</v>
      </c>
      <c r="AH26">
        <v>2</v>
      </c>
      <c r="AI26">
        <v>38216491</v>
      </c>
      <c r="AJ26">
        <v>29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 x14ac:dyDescent="0.2">
      <c r="A27">
        <f>ROW(Source!A128)</f>
        <v>128</v>
      </c>
      <c r="B27">
        <v>38216502</v>
      </c>
      <c r="C27">
        <v>38216490</v>
      </c>
      <c r="D27">
        <v>34879840</v>
      </c>
      <c r="E27">
        <v>1</v>
      </c>
      <c r="F27">
        <v>1</v>
      </c>
      <c r="G27">
        <v>25</v>
      </c>
      <c r="H27">
        <v>2</v>
      </c>
      <c r="I27" t="s">
        <v>422</v>
      </c>
      <c r="J27" t="s">
        <v>423</v>
      </c>
      <c r="K27" t="s">
        <v>424</v>
      </c>
      <c r="L27">
        <v>1368</v>
      </c>
      <c r="N27">
        <v>1011</v>
      </c>
      <c r="O27" t="s">
        <v>397</v>
      </c>
      <c r="P27" t="s">
        <v>397</v>
      </c>
      <c r="Q27">
        <v>1</v>
      </c>
      <c r="X27">
        <v>39</v>
      </c>
      <c r="Y27">
        <v>0</v>
      </c>
      <c r="Z27">
        <v>337.61</v>
      </c>
      <c r="AA27">
        <v>6.68</v>
      </c>
      <c r="AB27">
        <v>0</v>
      </c>
      <c r="AC27">
        <v>0</v>
      </c>
      <c r="AD27">
        <v>1</v>
      </c>
      <c r="AE27">
        <v>0</v>
      </c>
      <c r="AF27" t="s">
        <v>3</v>
      </c>
      <c r="AG27">
        <v>39</v>
      </c>
      <c r="AH27">
        <v>2</v>
      </c>
      <c r="AI27">
        <v>38216492</v>
      </c>
      <c r="AJ27">
        <v>30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44" x14ac:dyDescent="0.2">
      <c r="A28">
        <f>ROW(Source!A128)</f>
        <v>128</v>
      </c>
      <c r="B28">
        <v>38216503</v>
      </c>
      <c r="C28">
        <v>38216490</v>
      </c>
      <c r="D28">
        <v>34880219</v>
      </c>
      <c r="E28">
        <v>1</v>
      </c>
      <c r="F28">
        <v>1</v>
      </c>
      <c r="G28">
        <v>25</v>
      </c>
      <c r="H28">
        <v>2</v>
      </c>
      <c r="I28" t="s">
        <v>425</v>
      </c>
      <c r="J28" t="s">
        <v>426</v>
      </c>
      <c r="K28" t="s">
        <v>427</v>
      </c>
      <c r="L28">
        <v>1368</v>
      </c>
      <c r="N28">
        <v>1011</v>
      </c>
      <c r="O28" t="s">
        <v>397</v>
      </c>
      <c r="P28" t="s">
        <v>397</v>
      </c>
      <c r="Q28">
        <v>1</v>
      </c>
      <c r="X28">
        <v>0.52</v>
      </c>
      <c r="Y28">
        <v>0</v>
      </c>
      <c r="Z28">
        <v>5.82</v>
      </c>
      <c r="AA28">
        <v>0.02</v>
      </c>
      <c r="AB28">
        <v>0</v>
      </c>
      <c r="AC28">
        <v>0</v>
      </c>
      <c r="AD28">
        <v>1</v>
      </c>
      <c r="AE28">
        <v>0</v>
      </c>
      <c r="AF28" t="s">
        <v>3</v>
      </c>
      <c r="AG28">
        <v>0.52</v>
      </c>
      <c r="AH28">
        <v>2</v>
      </c>
      <c r="AI28">
        <v>38216493</v>
      </c>
      <c r="AJ28">
        <v>31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 x14ac:dyDescent="0.2">
      <c r="A29">
        <f>ROW(Source!A128)</f>
        <v>128</v>
      </c>
      <c r="B29">
        <v>38216504</v>
      </c>
      <c r="C29">
        <v>38216490</v>
      </c>
      <c r="D29">
        <v>34879672</v>
      </c>
      <c r="E29">
        <v>1</v>
      </c>
      <c r="F29">
        <v>1</v>
      </c>
      <c r="G29">
        <v>25</v>
      </c>
      <c r="H29">
        <v>2</v>
      </c>
      <c r="I29" t="s">
        <v>428</v>
      </c>
      <c r="J29" t="s">
        <v>429</v>
      </c>
      <c r="K29" t="s">
        <v>430</v>
      </c>
      <c r="L29">
        <v>1368</v>
      </c>
      <c r="N29">
        <v>1011</v>
      </c>
      <c r="O29" t="s">
        <v>397</v>
      </c>
      <c r="P29" t="s">
        <v>397</v>
      </c>
      <c r="Q29">
        <v>1</v>
      </c>
      <c r="X29">
        <v>32.909999999999997</v>
      </c>
      <c r="Y29">
        <v>0</v>
      </c>
      <c r="Z29">
        <v>10.62</v>
      </c>
      <c r="AA29">
        <v>2.82</v>
      </c>
      <c r="AB29">
        <v>0</v>
      </c>
      <c r="AC29">
        <v>0</v>
      </c>
      <c r="AD29">
        <v>1</v>
      </c>
      <c r="AE29">
        <v>0</v>
      </c>
      <c r="AF29" t="s">
        <v>3</v>
      </c>
      <c r="AG29">
        <v>32.909999999999997</v>
      </c>
      <c r="AH29">
        <v>2</v>
      </c>
      <c r="AI29">
        <v>38216494</v>
      </c>
      <c r="AJ29">
        <v>32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 x14ac:dyDescent="0.2">
      <c r="A30">
        <f>ROW(Source!A128)</f>
        <v>128</v>
      </c>
      <c r="B30">
        <v>38216505</v>
      </c>
      <c r="C30">
        <v>38216490</v>
      </c>
      <c r="D30">
        <v>34879710</v>
      </c>
      <c r="E30">
        <v>1</v>
      </c>
      <c r="F30">
        <v>1</v>
      </c>
      <c r="G30">
        <v>25</v>
      </c>
      <c r="H30">
        <v>2</v>
      </c>
      <c r="I30" t="s">
        <v>431</v>
      </c>
      <c r="J30" t="s">
        <v>432</v>
      </c>
      <c r="K30" t="s">
        <v>433</v>
      </c>
      <c r="L30">
        <v>1368</v>
      </c>
      <c r="N30">
        <v>1011</v>
      </c>
      <c r="O30" t="s">
        <v>397</v>
      </c>
      <c r="P30" t="s">
        <v>397</v>
      </c>
      <c r="Q30">
        <v>1</v>
      </c>
      <c r="X30">
        <v>5.49</v>
      </c>
      <c r="Y30">
        <v>0</v>
      </c>
      <c r="Z30">
        <v>1180.29</v>
      </c>
      <c r="AA30">
        <v>586.89</v>
      </c>
      <c r="AB30">
        <v>0</v>
      </c>
      <c r="AC30">
        <v>0</v>
      </c>
      <c r="AD30">
        <v>1</v>
      </c>
      <c r="AE30">
        <v>0</v>
      </c>
      <c r="AF30" t="s">
        <v>3</v>
      </c>
      <c r="AG30">
        <v>5.49</v>
      </c>
      <c r="AH30">
        <v>2</v>
      </c>
      <c r="AI30">
        <v>38216495</v>
      </c>
      <c r="AJ30">
        <v>33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 x14ac:dyDescent="0.2">
      <c r="A31">
        <f>ROW(Source!A128)</f>
        <v>128</v>
      </c>
      <c r="B31">
        <v>38216506</v>
      </c>
      <c r="C31">
        <v>38216490</v>
      </c>
      <c r="D31">
        <v>34881558</v>
      </c>
      <c r="E31">
        <v>1</v>
      </c>
      <c r="F31">
        <v>1</v>
      </c>
      <c r="G31">
        <v>25</v>
      </c>
      <c r="H31">
        <v>3</v>
      </c>
      <c r="I31" t="s">
        <v>434</v>
      </c>
      <c r="J31" t="s">
        <v>435</v>
      </c>
      <c r="K31" t="s">
        <v>436</v>
      </c>
      <c r="L31">
        <v>1339</v>
      </c>
      <c r="N31">
        <v>1007</v>
      </c>
      <c r="O31" t="s">
        <v>206</v>
      </c>
      <c r="P31" t="s">
        <v>206</v>
      </c>
      <c r="Q31">
        <v>1</v>
      </c>
      <c r="X31">
        <v>0.31</v>
      </c>
      <c r="Y31">
        <v>2248.25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 t="s">
        <v>3</v>
      </c>
      <c r="AG31">
        <v>0.31</v>
      </c>
      <c r="AH31">
        <v>2</v>
      </c>
      <c r="AI31">
        <v>38216496</v>
      </c>
      <c r="AJ31">
        <v>34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 x14ac:dyDescent="0.2">
      <c r="A32">
        <f>ROW(Source!A128)</f>
        <v>128</v>
      </c>
      <c r="B32">
        <v>38216507</v>
      </c>
      <c r="C32">
        <v>38216490</v>
      </c>
      <c r="D32">
        <v>34882179</v>
      </c>
      <c r="E32">
        <v>1</v>
      </c>
      <c r="F32">
        <v>1</v>
      </c>
      <c r="G32">
        <v>25</v>
      </c>
      <c r="H32">
        <v>3</v>
      </c>
      <c r="I32" t="s">
        <v>412</v>
      </c>
      <c r="J32" t="s">
        <v>413</v>
      </c>
      <c r="K32" t="s">
        <v>414</v>
      </c>
      <c r="L32">
        <v>1348</v>
      </c>
      <c r="N32">
        <v>1009</v>
      </c>
      <c r="O32" t="s">
        <v>30</v>
      </c>
      <c r="P32" t="s">
        <v>30</v>
      </c>
      <c r="Q32">
        <v>1000</v>
      </c>
      <c r="X32">
        <v>7.0000000000000001E-3</v>
      </c>
      <c r="Y32">
        <v>110728.72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 t="s">
        <v>3</v>
      </c>
      <c r="AG32">
        <v>7.0000000000000001E-3</v>
      </c>
      <c r="AH32">
        <v>2</v>
      </c>
      <c r="AI32">
        <v>38216497</v>
      </c>
      <c r="AJ32">
        <v>35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 x14ac:dyDescent="0.2">
      <c r="A33">
        <f>ROW(Source!A128)</f>
        <v>128</v>
      </c>
      <c r="B33">
        <v>38216508</v>
      </c>
      <c r="C33">
        <v>38216490</v>
      </c>
      <c r="D33">
        <v>34883227</v>
      </c>
      <c r="E33">
        <v>1</v>
      </c>
      <c r="F33">
        <v>1</v>
      </c>
      <c r="G33">
        <v>25</v>
      </c>
      <c r="H33">
        <v>3</v>
      </c>
      <c r="I33" t="s">
        <v>437</v>
      </c>
      <c r="J33" t="s">
        <v>438</v>
      </c>
      <c r="K33" t="s">
        <v>439</v>
      </c>
      <c r="L33">
        <v>1339</v>
      </c>
      <c r="N33">
        <v>1007</v>
      </c>
      <c r="O33" t="s">
        <v>206</v>
      </c>
      <c r="P33" t="s">
        <v>206</v>
      </c>
      <c r="Q33">
        <v>1</v>
      </c>
      <c r="X33">
        <v>3.25</v>
      </c>
      <c r="Y33">
        <v>4082.17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 t="s">
        <v>3</v>
      </c>
      <c r="AG33">
        <v>3.25</v>
      </c>
      <c r="AH33">
        <v>2</v>
      </c>
      <c r="AI33">
        <v>38216498</v>
      </c>
      <c r="AJ33">
        <v>36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2">
      <c r="A34">
        <f>ROW(Source!A128)</f>
        <v>128</v>
      </c>
      <c r="B34">
        <v>38216509</v>
      </c>
      <c r="C34">
        <v>38216490</v>
      </c>
      <c r="D34">
        <v>34884932</v>
      </c>
      <c r="E34">
        <v>1</v>
      </c>
      <c r="F34">
        <v>1</v>
      </c>
      <c r="G34">
        <v>25</v>
      </c>
      <c r="H34">
        <v>3</v>
      </c>
      <c r="I34" t="s">
        <v>440</v>
      </c>
      <c r="J34" t="s">
        <v>441</v>
      </c>
      <c r="K34" t="s">
        <v>442</v>
      </c>
      <c r="L34">
        <v>1301</v>
      </c>
      <c r="N34">
        <v>1003</v>
      </c>
      <c r="O34" t="s">
        <v>384</v>
      </c>
      <c r="P34" t="s">
        <v>384</v>
      </c>
      <c r="Q34">
        <v>1</v>
      </c>
      <c r="X34">
        <v>87</v>
      </c>
      <c r="Y34">
        <v>4886.66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 t="s">
        <v>3</v>
      </c>
      <c r="AG34">
        <v>87</v>
      </c>
      <c r="AH34">
        <v>2</v>
      </c>
      <c r="AI34">
        <v>38216499</v>
      </c>
      <c r="AJ34">
        <v>37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 x14ac:dyDescent="0.2">
      <c r="A35">
        <f>ROW(Source!A128)</f>
        <v>128</v>
      </c>
      <c r="B35">
        <v>38216510</v>
      </c>
      <c r="C35">
        <v>38216490</v>
      </c>
      <c r="D35">
        <v>34884933</v>
      </c>
      <c r="E35">
        <v>1</v>
      </c>
      <c r="F35">
        <v>1</v>
      </c>
      <c r="G35">
        <v>25</v>
      </c>
      <c r="H35">
        <v>3</v>
      </c>
      <c r="I35" t="s">
        <v>443</v>
      </c>
      <c r="J35" t="s">
        <v>444</v>
      </c>
      <c r="K35" t="s">
        <v>445</v>
      </c>
      <c r="L35">
        <v>1354</v>
      </c>
      <c r="N35">
        <v>1010</v>
      </c>
      <c r="O35" t="s">
        <v>123</v>
      </c>
      <c r="P35" t="s">
        <v>123</v>
      </c>
      <c r="Q35">
        <v>1</v>
      </c>
      <c r="X35">
        <v>38</v>
      </c>
      <c r="Y35">
        <v>2843.73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 t="s">
        <v>3</v>
      </c>
      <c r="AG35">
        <v>38</v>
      </c>
      <c r="AH35">
        <v>2</v>
      </c>
      <c r="AI35">
        <v>38216500</v>
      </c>
      <c r="AJ35">
        <v>38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44" x14ac:dyDescent="0.2">
      <c r="A36">
        <f>ROW(Source!A129)</f>
        <v>129</v>
      </c>
      <c r="B36">
        <v>38216518</v>
      </c>
      <c r="C36">
        <v>38216511</v>
      </c>
      <c r="D36">
        <v>34867259</v>
      </c>
      <c r="E36">
        <v>25</v>
      </c>
      <c r="F36">
        <v>1</v>
      </c>
      <c r="G36">
        <v>25</v>
      </c>
      <c r="H36">
        <v>1</v>
      </c>
      <c r="I36" t="s">
        <v>391</v>
      </c>
      <c r="J36" t="s">
        <v>3</v>
      </c>
      <c r="K36" t="s">
        <v>392</v>
      </c>
      <c r="L36">
        <v>1191</v>
      </c>
      <c r="N36">
        <v>1013</v>
      </c>
      <c r="O36" t="s">
        <v>393</v>
      </c>
      <c r="P36" t="s">
        <v>393</v>
      </c>
      <c r="Q36">
        <v>1</v>
      </c>
      <c r="X36">
        <v>2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1</v>
      </c>
      <c r="AF36" t="s">
        <v>3</v>
      </c>
      <c r="AG36">
        <v>2</v>
      </c>
      <c r="AH36">
        <v>2</v>
      </c>
      <c r="AI36">
        <v>38216512</v>
      </c>
      <c r="AJ36">
        <v>39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 x14ac:dyDescent="0.2">
      <c r="A37">
        <f>ROW(Source!A129)</f>
        <v>129</v>
      </c>
      <c r="B37">
        <v>38216519</v>
      </c>
      <c r="C37">
        <v>38216511</v>
      </c>
      <c r="D37">
        <v>34879835</v>
      </c>
      <c r="E37">
        <v>1</v>
      </c>
      <c r="F37">
        <v>1</v>
      </c>
      <c r="G37">
        <v>25</v>
      </c>
      <c r="H37">
        <v>2</v>
      </c>
      <c r="I37" t="s">
        <v>446</v>
      </c>
      <c r="J37" t="s">
        <v>447</v>
      </c>
      <c r="K37" t="s">
        <v>448</v>
      </c>
      <c r="L37">
        <v>1368</v>
      </c>
      <c r="N37">
        <v>1011</v>
      </c>
      <c r="O37" t="s">
        <v>397</v>
      </c>
      <c r="P37" t="s">
        <v>397</v>
      </c>
      <c r="Q37">
        <v>1</v>
      </c>
      <c r="X37">
        <v>0.2</v>
      </c>
      <c r="Y37">
        <v>0</v>
      </c>
      <c r="Z37">
        <v>55</v>
      </c>
      <c r="AA37">
        <v>0.05</v>
      </c>
      <c r="AB37">
        <v>0</v>
      </c>
      <c r="AC37">
        <v>0</v>
      </c>
      <c r="AD37">
        <v>1</v>
      </c>
      <c r="AE37">
        <v>0</v>
      </c>
      <c r="AF37" t="s">
        <v>3</v>
      </c>
      <c r="AG37">
        <v>0.2</v>
      </c>
      <c r="AH37">
        <v>2</v>
      </c>
      <c r="AI37">
        <v>38216513</v>
      </c>
      <c r="AJ37">
        <v>40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 x14ac:dyDescent="0.2">
      <c r="A38">
        <f>ROW(Source!A129)</f>
        <v>129</v>
      </c>
      <c r="B38">
        <v>38216520</v>
      </c>
      <c r="C38">
        <v>38216511</v>
      </c>
      <c r="D38">
        <v>34880186</v>
      </c>
      <c r="E38">
        <v>1</v>
      </c>
      <c r="F38">
        <v>1</v>
      </c>
      <c r="G38">
        <v>25</v>
      </c>
      <c r="H38">
        <v>2</v>
      </c>
      <c r="I38" t="s">
        <v>449</v>
      </c>
      <c r="J38" t="s">
        <v>450</v>
      </c>
      <c r="K38" t="s">
        <v>451</v>
      </c>
      <c r="L38">
        <v>1368</v>
      </c>
      <c r="N38">
        <v>1011</v>
      </c>
      <c r="O38" t="s">
        <v>397</v>
      </c>
      <c r="P38" t="s">
        <v>397</v>
      </c>
      <c r="Q38">
        <v>1</v>
      </c>
      <c r="X38">
        <v>1</v>
      </c>
      <c r="Y38">
        <v>0</v>
      </c>
      <c r="Z38">
        <v>619.44000000000005</v>
      </c>
      <c r="AA38">
        <v>393.66</v>
      </c>
      <c r="AB38">
        <v>0</v>
      </c>
      <c r="AC38">
        <v>0</v>
      </c>
      <c r="AD38">
        <v>1</v>
      </c>
      <c r="AE38">
        <v>0</v>
      </c>
      <c r="AF38" t="s">
        <v>3</v>
      </c>
      <c r="AG38">
        <v>1</v>
      </c>
      <c r="AH38">
        <v>2</v>
      </c>
      <c r="AI38">
        <v>38216514</v>
      </c>
      <c r="AJ38">
        <v>41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44" x14ac:dyDescent="0.2">
      <c r="A39">
        <f>ROW(Source!A129)</f>
        <v>129</v>
      </c>
      <c r="B39">
        <v>38216521</v>
      </c>
      <c r="C39">
        <v>38216511</v>
      </c>
      <c r="D39">
        <v>34880219</v>
      </c>
      <c r="E39">
        <v>1</v>
      </c>
      <c r="F39">
        <v>1</v>
      </c>
      <c r="G39">
        <v>25</v>
      </c>
      <c r="H39">
        <v>2</v>
      </c>
      <c r="I39" t="s">
        <v>425</v>
      </c>
      <c r="J39" t="s">
        <v>426</v>
      </c>
      <c r="K39" t="s">
        <v>427</v>
      </c>
      <c r="L39">
        <v>1368</v>
      </c>
      <c r="N39">
        <v>1011</v>
      </c>
      <c r="O39" t="s">
        <v>397</v>
      </c>
      <c r="P39" t="s">
        <v>397</v>
      </c>
      <c r="Q39">
        <v>1</v>
      </c>
      <c r="X39">
        <v>0.1</v>
      </c>
      <c r="Y39">
        <v>0</v>
      </c>
      <c r="Z39">
        <v>5.82</v>
      </c>
      <c r="AA39">
        <v>0.02</v>
      </c>
      <c r="AB39">
        <v>0</v>
      </c>
      <c r="AC39">
        <v>0</v>
      </c>
      <c r="AD39">
        <v>1</v>
      </c>
      <c r="AE39">
        <v>0</v>
      </c>
      <c r="AF39" t="s">
        <v>3</v>
      </c>
      <c r="AG39">
        <v>0.1</v>
      </c>
      <c r="AH39">
        <v>2</v>
      </c>
      <c r="AI39">
        <v>38216515</v>
      </c>
      <c r="AJ39">
        <v>42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4" x14ac:dyDescent="0.2">
      <c r="A40">
        <f>ROW(Source!A129)</f>
        <v>129</v>
      </c>
      <c r="B40">
        <v>38216522</v>
      </c>
      <c r="C40">
        <v>38216511</v>
      </c>
      <c r="D40">
        <v>34882179</v>
      </c>
      <c r="E40">
        <v>1</v>
      </c>
      <c r="F40">
        <v>1</v>
      </c>
      <c r="G40">
        <v>25</v>
      </c>
      <c r="H40">
        <v>3</v>
      </c>
      <c r="I40" t="s">
        <v>412</v>
      </c>
      <c r="J40" t="s">
        <v>413</v>
      </c>
      <c r="K40" t="s">
        <v>414</v>
      </c>
      <c r="L40">
        <v>1348</v>
      </c>
      <c r="N40">
        <v>1009</v>
      </c>
      <c r="O40" t="s">
        <v>30</v>
      </c>
      <c r="P40" t="s">
        <v>30</v>
      </c>
      <c r="Q40">
        <v>1000</v>
      </c>
      <c r="X40">
        <v>5.0000000000000002E-5</v>
      </c>
      <c r="Y40">
        <v>110728.72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 t="s">
        <v>3</v>
      </c>
      <c r="AG40">
        <v>5.0000000000000002E-5</v>
      </c>
      <c r="AH40">
        <v>2</v>
      </c>
      <c r="AI40">
        <v>38216516</v>
      </c>
      <c r="AJ40">
        <v>43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1:44" x14ac:dyDescent="0.2">
      <c r="A41">
        <f>ROW(Source!A129)</f>
        <v>129</v>
      </c>
      <c r="B41">
        <v>38216523</v>
      </c>
      <c r="C41">
        <v>38216511</v>
      </c>
      <c r="D41">
        <v>34885071</v>
      </c>
      <c r="E41">
        <v>1</v>
      </c>
      <c r="F41">
        <v>1</v>
      </c>
      <c r="G41">
        <v>25</v>
      </c>
      <c r="H41">
        <v>3</v>
      </c>
      <c r="I41" t="s">
        <v>452</v>
      </c>
      <c r="J41" t="s">
        <v>453</v>
      </c>
      <c r="K41" t="s">
        <v>454</v>
      </c>
      <c r="L41">
        <v>1354</v>
      </c>
      <c r="N41">
        <v>1010</v>
      </c>
      <c r="O41" t="s">
        <v>123</v>
      </c>
      <c r="P41" t="s">
        <v>123</v>
      </c>
      <c r="Q41">
        <v>1</v>
      </c>
      <c r="X41">
        <v>1</v>
      </c>
      <c r="Y41">
        <v>52.44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 t="s">
        <v>3</v>
      </c>
      <c r="AG41">
        <v>1</v>
      </c>
      <c r="AH41">
        <v>2</v>
      </c>
      <c r="AI41">
        <v>38216517</v>
      </c>
      <c r="AJ41">
        <v>44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1:44" x14ac:dyDescent="0.2">
      <c r="A42">
        <f>ROW(Source!A166)</f>
        <v>166</v>
      </c>
      <c r="B42">
        <v>38214932</v>
      </c>
      <c r="C42">
        <v>38214928</v>
      </c>
      <c r="D42">
        <v>34867259</v>
      </c>
      <c r="E42">
        <v>25</v>
      </c>
      <c r="F42">
        <v>1</v>
      </c>
      <c r="G42">
        <v>25</v>
      </c>
      <c r="H42">
        <v>1</v>
      </c>
      <c r="I42" t="s">
        <v>391</v>
      </c>
      <c r="J42" t="s">
        <v>3</v>
      </c>
      <c r="K42" t="s">
        <v>392</v>
      </c>
      <c r="L42">
        <v>1191</v>
      </c>
      <c r="N42">
        <v>1013</v>
      </c>
      <c r="O42" t="s">
        <v>393</v>
      </c>
      <c r="P42" t="s">
        <v>393</v>
      </c>
      <c r="Q42">
        <v>1</v>
      </c>
      <c r="X42">
        <v>3.39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1</v>
      </c>
      <c r="AF42" t="s">
        <v>3</v>
      </c>
      <c r="AG42">
        <v>3.39</v>
      </c>
      <c r="AH42">
        <v>2</v>
      </c>
      <c r="AI42">
        <v>38214929</v>
      </c>
      <c r="AJ42">
        <v>45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 x14ac:dyDescent="0.2">
      <c r="A43">
        <f>ROW(Source!A166)</f>
        <v>166</v>
      </c>
      <c r="B43">
        <v>38214933</v>
      </c>
      <c r="C43">
        <v>38214928</v>
      </c>
      <c r="D43">
        <v>34879395</v>
      </c>
      <c r="E43">
        <v>1</v>
      </c>
      <c r="F43">
        <v>1</v>
      </c>
      <c r="G43">
        <v>25</v>
      </c>
      <c r="H43">
        <v>2</v>
      </c>
      <c r="I43" t="s">
        <v>455</v>
      </c>
      <c r="J43" t="s">
        <v>456</v>
      </c>
      <c r="K43" t="s">
        <v>457</v>
      </c>
      <c r="L43">
        <v>1368</v>
      </c>
      <c r="N43">
        <v>1011</v>
      </c>
      <c r="O43" t="s">
        <v>397</v>
      </c>
      <c r="P43" t="s">
        <v>397</v>
      </c>
      <c r="Q43">
        <v>1</v>
      </c>
      <c r="X43">
        <v>9.27</v>
      </c>
      <c r="Y43">
        <v>0</v>
      </c>
      <c r="Z43">
        <v>561.44000000000005</v>
      </c>
      <c r="AA43">
        <v>421.15</v>
      </c>
      <c r="AB43">
        <v>0</v>
      </c>
      <c r="AC43">
        <v>0</v>
      </c>
      <c r="AD43">
        <v>1</v>
      </c>
      <c r="AE43">
        <v>0</v>
      </c>
      <c r="AF43" t="s">
        <v>3</v>
      </c>
      <c r="AG43">
        <v>9.27</v>
      </c>
      <c r="AH43">
        <v>2</v>
      </c>
      <c r="AI43">
        <v>38214930</v>
      </c>
      <c r="AJ43">
        <v>46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 x14ac:dyDescent="0.2">
      <c r="A44">
        <f>ROW(Source!A166)</f>
        <v>166</v>
      </c>
      <c r="B44">
        <v>38214934</v>
      </c>
      <c r="C44">
        <v>38214928</v>
      </c>
      <c r="D44">
        <v>34879407</v>
      </c>
      <c r="E44">
        <v>1</v>
      </c>
      <c r="F44">
        <v>1</v>
      </c>
      <c r="G44">
        <v>25</v>
      </c>
      <c r="H44">
        <v>2</v>
      </c>
      <c r="I44" t="s">
        <v>458</v>
      </c>
      <c r="J44" t="s">
        <v>459</v>
      </c>
      <c r="K44" t="s">
        <v>460</v>
      </c>
      <c r="L44">
        <v>1368</v>
      </c>
      <c r="N44">
        <v>1011</v>
      </c>
      <c r="O44" t="s">
        <v>397</v>
      </c>
      <c r="P44" t="s">
        <v>397</v>
      </c>
      <c r="Q44">
        <v>1</v>
      </c>
      <c r="X44">
        <v>2.12</v>
      </c>
      <c r="Y44">
        <v>0</v>
      </c>
      <c r="Z44">
        <v>741.47</v>
      </c>
      <c r="AA44">
        <v>377.09</v>
      </c>
      <c r="AB44">
        <v>0</v>
      </c>
      <c r="AC44">
        <v>0</v>
      </c>
      <c r="AD44">
        <v>1</v>
      </c>
      <c r="AE44">
        <v>0</v>
      </c>
      <c r="AF44" t="s">
        <v>3</v>
      </c>
      <c r="AG44">
        <v>2.12</v>
      </c>
      <c r="AH44">
        <v>2</v>
      </c>
      <c r="AI44">
        <v>38214931</v>
      </c>
      <c r="AJ44">
        <v>47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 x14ac:dyDescent="0.2">
      <c r="A45">
        <f>ROW(Source!A167)</f>
        <v>167</v>
      </c>
      <c r="B45">
        <v>38214937</v>
      </c>
      <c r="C45">
        <v>38214935</v>
      </c>
      <c r="D45">
        <v>34867259</v>
      </c>
      <c r="E45">
        <v>25</v>
      </c>
      <c r="F45">
        <v>1</v>
      </c>
      <c r="G45">
        <v>25</v>
      </c>
      <c r="H45">
        <v>1</v>
      </c>
      <c r="I45" t="s">
        <v>391</v>
      </c>
      <c r="J45" t="s">
        <v>3</v>
      </c>
      <c r="K45" t="s">
        <v>392</v>
      </c>
      <c r="L45">
        <v>1191</v>
      </c>
      <c r="N45">
        <v>1013</v>
      </c>
      <c r="O45" t="s">
        <v>393</v>
      </c>
      <c r="P45" t="s">
        <v>393</v>
      </c>
      <c r="Q45">
        <v>1</v>
      </c>
      <c r="X45">
        <v>221.6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1</v>
      </c>
      <c r="AF45" t="s">
        <v>3</v>
      </c>
      <c r="AG45">
        <v>221.6</v>
      </c>
      <c r="AH45">
        <v>2</v>
      </c>
      <c r="AI45">
        <v>38214936</v>
      </c>
      <c r="AJ45">
        <v>48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 x14ac:dyDescent="0.2">
      <c r="A46">
        <f>ROW(Source!A168)</f>
        <v>168</v>
      </c>
      <c r="B46">
        <v>38214940</v>
      </c>
      <c r="C46">
        <v>38214938</v>
      </c>
      <c r="D46">
        <v>34879386</v>
      </c>
      <c r="E46">
        <v>1</v>
      </c>
      <c r="F46">
        <v>1</v>
      </c>
      <c r="G46">
        <v>25</v>
      </c>
      <c r="H46">
        <v>2</v>
      </c>
      <c r="I46" t="s">
        <v>461</v>
      </c>
      <c r="J46" t="s">
        <v>462</v>
      </c>
      <c r="K46" t="s">
        <v>463</v>
      </c>
      <c r="L46">
        <v>1368</v>
      </c>
      <c r="N46">
        <v>1011</v>
      </c>
      <c r="O46" t="s">
        <v>397</v>
      </c>
      <c r="P46" t="s">
        <v>397</v>
      </c>
      <c r="Q46">
        <v>1</v>
      </c>
      <c r="X46">
        <v>5.3699999999999998E-2</v>
      </c>
      <c r="Y46">
        <v>0</v>
      </c>
      <c r="Z46">
        <v>1367.15</v>
      </c>
      <c r="AA46">
        <v>410.31</v>
      </c>
      <c r="AB46">
        <v>0</v>
      </c>
      <c r="AC46">
        <v>0</v>
      </c>
      <c r="AD46">
        <v>1</v>
      </c>
      <c r="AE46">
        <v>0</v>
      </c>
      <c r="AF46" t="s">
        <v>3</v>
      </c>
      <c r="AG46">
        <v>5.3699999999999998E-2</v>
      </c>
      <c r="AH46">
        <v>2</v>
      </c>
      <c r="AI46">
        <v>38214939</v>
      </c>
      <c r="AJ46">
        <v>49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 x14ac:dyDescent="0.2">
      <c r="A47">
        <f>ROW(Source!A169)</f>
        <v>169</v>
      </c>
      <c r="B47">
        <v>38214943</v>
      </c>
      <c r="C47">
        <v>38214941</v>
      </c>
      <c r="D47">
        <v>34867259</v>
      </c>
      <c r="E47">
        <v>25</v>
      </c>
      <c r="F47">
        <v>1</v>
      </c>
      <c r="G47">
        <v>25</v>
      </c>
      <c r="H47">
        <v>1</v>
      </c>
      <c r="I47" t="s">
        <v>391</v>
      </c>
      <c r="J47" t="s">
        <v>3</v>
      </c>
      <c r="K47" t="s">
        <v>392</v>
      </c>
      <c r="L47">
        <v>1191</v>
      </c>
      <c r="N47">
        <v>1013</v>
      </c>
      <c r="O47" t="s">
        <v>393</v>
      </c>
      <c r="P47" t="s">
        <v>393</v>
      </c>
      <c r="Q47">
        <v>1</v>
      </c>
      <c r="X47">
        <v>1.02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1</v>
      </c>
      <c r="AF47" t="s">
        <v>3</v>
      </c>
      <c r="AG47">
        <v>1.02</v>
      </c>
      <c r="AH47">
        <v>2</v>
      </c>
      <c r="AI47">
        <v>38214942</v>
      </c>
      <c r="AJ47">
        <v>50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 x14ac:dyDescent="0.2">
      <c r="A48">
        <f>ROW(Source!A170)</f>
        <v>170</v>
      </c>
      <c r="B48">
        <v>38214947</v>
      </c>
      <c r="C48">
        <v>38214944</v>
      </c>
      <c r="D48">
        <v>34880178</v>
      </c>
      <c r="E48">
        <v>1</v>
      </c>
      <c r="F48">
        <v>1</v>
      </c>
      <c r="G48">
        <v>25</v>
      </c>
      <c r="H48">
        <v>2</v>
      </c>
      <c r="I48" t="s">
        <v>400</v>
      </c>
      <c r="J48" t="s">
        <v>401</v>
      </c>
      <c r="K48" t="s">
        <v>402</v>
      </c>
      <c r="L48">
        <v>1368</v>
      </c>
      <c r="N48">
        <v>1011</v>
      </c>
      <c r="O48" t="s">
        <v>397</v>
      </c>
      <c r="P48" t="s">
        <v>397</v>
      </c>
      <c r="Q48">
        <v>1</v>
      </c>
      <c r="X48">
        <v>0.02</v>
      </c>
      <c r="Y48">
        <v>0</v>
      </c>
      <c r="Z48">
        <v>905.74</v>
      </c>
      <c r="AA48">
        <v>271.23</v>
      </c>
      <c r="AB48">
        <v>0</v>
      </c>
      <c r="AC48">
        <v>0</v>
      </c>
      <c r="AD48">
        <v>1</v>
      </c>
      <c r="AE48">
        <v>0</v>
      </c>
      <c r="AF48" t="s">
        <v>3</v>
      </c>
      <c r="AG48">
        <v>0.02</v>
      </c>
      <c r="AH48">
        <v>2</v>
      </c>
      <c r="AI48">
        <v>38214945</v>
      </c>
      <c r="AJ48">
        <v>51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 x14ac:dyDescent="0.2">
      <c r="A49">
        <f>ROW(Source!A170)</f>
        <v>170</v>
      </c>
      <c r="B49">
        <v>38214948</v>
      </c>
      <c r="C49">
        <v>38214944</v>
      </c>
      <c r="D49">
        <v>34880179</v>
      </c>
      <c r="E49">
        <v>1</v>
      </c>
      <c r="F49">
        <v>1</v>
      </c>
      <c r="G49">
        <v>25</v>
      </c>
      <c r="H49">
        <v>2</v>
      </c>
      <c r="I49" t="s">
        <v>403</v>
      </c>
      <c r="J49" t="s">
        <v>404</v>
      </c>
      <c r="K49" t="s">
        <v>405</v>
      </c>
      <c r="L49">
        <v>1368</v>
      </c>
      <c r="N49">
        <v>1011</v>
      </c>
      <c r="O49" t="s">
        <v>397</v>
      </c>
      <c r="P49" t="s">
        <v>397</v>
      </c>
      <c r="Q49">
        <v>1</v>
      </c>
      <c r="X49">
        <v>1.7999999999999999E-2</v>
      </c>
      <c r="Y49">
        <v>0</v>
      </c>
      <c r="Z49">
        <v>950.87</v>
      </c>
      <c r="AA49">
        <v>271.5</v>
      </c>
      <c r="AB49">
        <v>0</v>
      </c>
      <c r="AC49">
        <v>0</v>
      </c>
      <c r="AD49">
        <v>1</v>
      </c>
      <c r="AE49">
        <v>0</v>
      </c>
      <c r="AF49" t="s">
        <v>3</v>
      </c>
      <c r="AG49">
        <v>1.7999999999999999E-2</v>
      </c>
      <c r="AH49">
        <v>2</v>
      </c>
      <c r="AI49">
        <v>38214946</v>
      </c>
      <c r="AJ49">
        <v>52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4" x14ac:dyDescent="0.2">
      <c r="A50">
        <f>ROW(Source!A171)</f>
        <v>171</v>
      </c>
      <c r="B50">
        <v>38214952</v>
      </c>
      <c r="C50">
        <v>38214949</v>
      </c>
      <c r="D50">
        <v>34880178</v>
      </c>
      <c r="E50">
        <v>1</v>
      </c>
      <c r="F50">
        <v>1</v>
      </c>
      <c r="G50">
        <v>25</v>
      </c>
      <c r="H50">
        <v>2</v>
      </c>
      <c r="I50" t="s">
        <v>400</v>
      </c>
      <c r="J50" t="s">
        <v>401</v>
      </c>
      <c r="K50" t="s">
        <v>402</v>
      </c>
      <c r="L50">
        <v>1368</v>
      </c>
      <c r="N50">
        <v>1011</v>
      </c>
      <c r="O50" t="s">
        <v>397</v>
      </c>
      <c r="P50" t="s">
        <v>397</v>
      </c>
      <c r="Q50">
        <v>1</v>
      </c>
      <c r="X50">
        <v>5.3999999999999999E-2</v>
      </c>
      <c r="Y50">
        <v>0</v>
      </c>
      <c r="Z50">
        <v>905.74</v>
      </c>
      <c r="AA50">
        <v>271.23</v>
      </c>
      <c r="AB50">
        <v>0</v>
      </c>
      <c r="AC50">
        <v>0</v>
      </c>
      <c r="AD50">
        <v>1</v>
      </c>
      <c r="AE50">
        <v>0</v>
      </c>
      <c r="AF50" t="s">
        <v>3</v>
      </c>
      <c r="AG50">
        <v>5.3999999999999999E-2</v>
      </c>
      <c r="AH50">
        <v>2</v>
      </c>
      <c r="AI50">
        <v>38214950</v>
      </c>
      <c r="AJ50">
        <v>53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 x14ac:dyDescent="0.2">
      <c r="A51">
        <f>ROW(Source!A171)</f>
        <v>171</v>
      </c>
      <c r="B51">
        <v>38214953</v>
      </c>
      <c r="C51">
        <v>38214949</v>
      </c>
      <c r="D51">
        <v>34880179</v>
      </c>
      <c r="E51">
        <v>1</v>
      </c>
      <c r="F51">
        <v>1</v>
      </c>
      <c r="G51">
        <v>25</v>
      </c>
      <c r="H51">
        <v>2</v>
      </c>
      <c r="I51" t="s">
        <v>403</v>
      </c>
      <c r="J51" t="s">
        <v>404</v>
      </c>
      <c r="K51" t="s">
        <v>405</v>
      </c>
      <c r="L51">
        <v>1368</v>
      </c>
      <c r="N51">
        <v>1011</v>
      </c>
      <c r="O51" t="s">
        <v>397</v>
      </c>
      <c r="P51" t="s">
        <v>397</v>
      </c>
      <c r="Q51">
        <v>1</v>
      </c>
      <c r="X51">
        <v>5.5E-2</v>
      </c>
      <c r="Y51">
        <v>0</v>
      </c>
      <c r="Z51">
        <v>950.87</v>
      </c>
      <c r="AA51">
        <v>271.5</v>
      </c>
      <c r="AB51">
        <v>0</v>
      </c>
      <c r="AC51">
        <v>0</v>
      </c>
      <c r="AD51">
        <v>1</v>
      </c>
      <c r="AE51">
        <v>0</v>
      </c>
      <c r="AF51" t="s">
        <v>3</v>
      </c>
      <c r="AG51">
        <v>5.5E-2</v>
      </c>
      <c r="AH51">
        <v>2</v>
      </c>
      <c r="AI51">
        <v>38214951</v>
      </c>
      <c r="AJ51">
        <v>54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44" x14ac:dyDescent="0.2">
      <c r="A52">
        <f>ROW(Source!A172)</f>
        <v>172</v>
      </c>
      <c r="B52">
        <v>38214957</v>
      </c>
      <c r="C52">
        <v>38214954</v>
      </c>
      <c r="D52">
        <v>34880178</v>
      </c>
      <c r="E52">
        <v>1</v>
      </c>
      <c r="F52">
        <v>1</v>
      </c>
      <c r="G52">
        <v>25</v>
      </c>
      <c r="H52">
        <v>2</v>
      </c>
      <c r="I52" t="s">
        <v>400</v>
      </c>
      <c r="J52" t="s">
        <v>401</v>
      </c>
      <c r="K52" t="s">
        <v>402</v>
      </c>
      <c r="L52">
        <v>1368</v>
      </c>
      <c r="N52">
        <v>1011</v>
      </c>
      <c r="O52" t="s">
        <v>397</v>
      </c>
      <c r="P52" t="s">
        <v>397</v>
      </c>
      <c r="Q52">
        <v>1</v>
      </c>
      <c r="X52">
        <v>0.01</v>
      </c>
      <c r="Y52">
        <v>0</v>
      </c>
      <c r="Z52">
        <v>905.74</v>
      </c>
      <c r="AA52">
        <v>271.23</v>
      </c>
      <c r="AB52">
        <v>0</v>
      </c>
      <c r="AC52">
        <v>0</v>
      </c>
      <c r="AD52">
        <v>1</v>
      </c>
      <c r="AE52">
        <v>0</v>
      </c>
      <c r="AF52" t="s">
        <v>201</v>
      </c>
      <c r="AG52">
        <v>0.16</v>
      </c>
      <c r="AH52">
        <v>2</v>
      </c>
      <c r="AI52">
        <v>38214955</v>
      </c>
      <c r="AJ52">
        <v>55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 x14ac:dyDescent="0.2">
      <c r="A53">
        <f>ROW(Source!A172)</f>
        <v>172</v>
      </c>
      <c r="B53">
        <v>38214958</v>
      </c>
      <c r="C53">
        <v>38214954</v>
      </c>
      <c r="D53">
        <v>34880179</v>
      </c>
      <c r="E53">
        <v>1</v>
      </c>
      <c r="F53">
        <v>1</v>
      </c>
      <c r="G53">
        <v>25</v>
      </c>
      <c r="H53">
        <v>2</v>
      </c>
      <c r="I53" t="s">
        <v>403</v>
      </c>
      <c r="J53" t="s">
        <v>404</v>
      </c>
      <c r="K53" t="s">
        <v>405</v>
      </c>
      <c r="L53">
        <v>1368</v>
      </c>
      <c r="N53">
        <v>1011</v>
      </c>
      <c r="O53" t="s">
        <v>397</v>
      </c>
      <c r="P53" t="s">
        <v>397</v>
      </c>
      <c r="Q53">
        <v>1</v>
      </c>
      <c r="X53">
        <v>8.0000000000000002E-3</v>
      </c>
      <c r="Y53">
        <v>0</v>
      </c>
      <c r="Z53">
        <v>950.87</v>
      </c>
      <c r="AA53">
        <v>271.5</v>
      </c>
      <c r="AB53">
        <v>0</v>
      </c>
      <c r="AC53">
        <v>0</v>
      </c>
      <c r="AD53">
        <v>1</v>
      </c>
      <c r="AE53">
        <v>0</v>
      </c>
      <c r="AF53" t="s">
        <v>201</v>
      </c>
      <c r="AG53">
        <v>0.128</v>
      </c>
      <c r="AH53">
        <v>2</v>
      </c>
      <c r="AI53">
        <v>38214956</v>
      </c>
      <c r="AJ53">
        <v>56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1:44" x14ac:dyDescent="0.2">
      <c r="A54">
        <f>ROW(Source!A177)</f>
        <v>177</v>
      </c>
      <c r="B54">
        <v>38214972</v>
      </c>
      <c r="C54">
        <v>38214963</v>
      </c>
      <c r="D54">
        <v>34867259</v>
      </c>
      <c r="E54">
        <v>25</v>
      </c>
      <c r="F54">
        <v>1</v>
      </c>
      <c r="G54">
        <v>25</v>
      </c>
      <c r="H54">
        <v>1</v>
      </c>
      <c r="I54" t="s">
        <v>391</v>
      </c>
      <c r="J54" t="s">
        <v>3</v>
      </c>
      <c r="K54" t="s">
        <v>392</v>
      </c>
      <c r="L54">
        <v>1191</v>
      </c>
      <c r="N54">
        <v>1013</v>
      </c>
      <c r="O54" t="s">
        <v>393</v>
      </c>
      <c r="P54" t="s">
        <v>393</v>
      </c>
      <c r="Q54">
        <v>1</v>
      </c>
      <c r="X54">
        <v>16.559999999999999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1</v>
      </c>
      <c r="AF54" t="s">
        <v>3</v>
      </c>
      <c r="AG54">
        <v>16.559999999999999</v>
      </c>
      <c r="AH54">
        <v>2</v>
      </c>
      <c r="AI54">
        <v>38214964</v>
      </c>
      <c r="AJ54">
        <v>57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 x14ac:dyDescent="0.2">
      <c r="A55">
        <f>ROW(Source!A177)</f>
        <v>177</v>
      </c>
      <c r="B55">
        <v>38214973</v>
      </c>
      <c r="C55">
        <v>38214963</v>
      </c>
      <c r="D55">
        <v>34879430</v>
      </c>
      <c r="E55">
        <v>1</v>
      </c>
      <c r="F55">
        <v>1</v>
      </c>
      <c r="G55">
        <v>25</v>
      </c>
      <c r="H55">
        <v>2</v>
      </c>
      <c r="I55" t="s">
        <v>464</v>
      </c>
      <c r="J55" t="s">
        <v>465</v>
      </c>
      <c r="K55" t="s">
        <v>466</v>
      </c>
      <c r="L55">
        <v>1368</v>
      </c>
      <c r="N55">
        <v>1011</v>
      </c>
      <c r="O55" t="s">
        <v>397</v>
      </c>
      <c r="P55" t="s">
        <v>397</v>
      </c>
      <c r="Q55">
        <v>1</v>
      </c>
      <c r="X55">
        <v>2.08</v>
      </c>
      <c r="Y55">
        <v>0</v>
      </c>
      <c r="Z55">
        <v>1159.46</v>
      </c>
      <c r="AA55">
        <v>525.74</v>
      </c>
      <c r="AB55">
        <v>0</v>
      </c>
      <c r="AC55">
        <v>0</v>
      </c>
      <c r="AD55">
        <v>1</v>
      </c>
      <c r="AE55">
        <v>0</v>
      </c>
      <c r="AF55" t="s">
        <v>3</v>
      </c>
      <c r="AG55">
        <v>2.08</v>
      </c>
      <c r="AH55">
        <v>2</v>
      </c>
      <c r="AI55">
        <v>38214965</v>
      </c>
      <c r="AJ55">
        <v>58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 x14ac:dyDescent="0.2">
      <c r="A56">
        <f>ROW(Source!A177)</f>
        <v>177</v>
      </c>
      <c r="B56">
        <v>38214974</v>
      </c>
      <c r="C56">
        <v>38214963</v>
      </c>
      <c r="D56">
        <v>34879585</v>
      </c>
      <c r="E56">
        <v>1</v>
      </c>
      <c r="F56">
        <v>1</v>
      </c>
      <c r="G56">
        <v>25</v>
      </c>
      <c r="H56">
        <v>2</v>
      </c>
      <c r="I56" t="s">
        <v>467</v>
      </c>
      <c r="J56" t="s">
        <v>468</v>
      </c>
      <c r="K56" t="s">
        <v>469</v>
      </c>
      <c r="L56">
        <v>1368</v>
      </c>
      <c r="N56">
        <v>1011</v>
      </c>
      <c r="O56" t="s">
        <v>397</v>
      </c>
      <c r="P56" t="s">
        <v>397</v>
      </c>
      <c r="Q56">
        <v>1</v>
      </c>
      <c r="X56">
        <v>2.08</v>
      </c>
      <c r="Y56">
        <v>0</v>
      </c>
      <c r="Z56">
        <v>416.25</v>
      </c>
      <c r="AA56">
        <v>204.9</v>
      </c>
      <c r="AB56">
        <v>0</v>
      </c>
      <c r="AC56">
        <v>0</v>
      </c>
      <c r="AD56">
        <v>1</v>
      </c>
      <c r="AE56">
        <v>0</v>
      </c>
      <c r="AF56" t="s">
        <v>3</v>
      </c>
      <c r="AG56">
        <v>2.08</v>
      </c>
      <c r="AH56">
        <v>2</v>
      </c>
      <c r="AI56">
        <v>38214966</v>
      </c>
      <c r="AJ56">
        <v>59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4" x14ac:dyDescent="0.2">
      <c r="A57">
        <f>ROW(Source!A177)</f>
        <v>177</v>
      </c>
      <c r="B57">
        <v>38214975</v>
      </c>
      <c r="C57">
        <v>38214963</v>
      </c>
      <c r="D57">
        <v>34879588</v>
      </c>
      <c r="E57">
        <v>1</v>
      </c>
      <c r="F57">
        <v>1</v>
      </c>
      <c r="G57">
        <v>25</v>
      </c>
      <c r="H57">
        <v>2</v>
      </c>
      <c r="I57" t="s">
        <v>470</v>
      </c>
      <c r="J57" t="s">
        <v>471</v>
      </c>
      <c r="K57" t="s">
        <v>472</v>
      </c>
      <c r="L57">
        <v>1368</v>
      </c>
      <c r="N57">
        <v>1011</v>
      </c>
      <c r="O57" t="s">
        <v>397</v>
      </c>
      <c r="P57" t="s">
        <v>397</v>
      </c>
      <c r="Q57">
        <v>1</v>
      </c>
      <c r="X57">
        <v>0.81</v>
      </c>
      <c r="Y57">
        <v>0</v>
      </c>
      <c r="Z57">
        <v>1942.21</v>
      </c>
      <c r="AA57">
        <v>436.39</v>
      </c>
      <c r="AB57">
        <v>0</v>
      </c>
      <c r="AC57">
        <v>0</v>
      </c>
      <c r="AD57">
        <v>1</v>
      </c>
      <c r="AE57">
        <v>0</v>
      </c>
      <c r="AF57" t="s">
        <v>3</v>
      </c>
      <c r="AG57">
        <v>0.81</v>
      </c>
      <c r="AH57">
        <v>2</v>
      </c>
      <c r="AI57">
        <v>38214967</v>
      </c>
      <c r="AJ57">
        <v>60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 x14ac:dyDescent="0.2">
      <c r="A58">
        <f>ROW(Source!A177)</f>
        <v>177</v>
      </c>
      <c r="B58">
        <v>38214976</v>
      </c>
      <c r="C58">
        <v>38214963</v>
      </c>
      <c r="D58">
        <v>34879612</v>
      </c>
      <c r="E58">
        <v>1</v>
      </c>
      <c r="F58">
        <v>1</v>
      </c>
      <c r="G58">
        <v>25</v>
      </c>
      <c r="H58">
        <v>2</v>
      </c>
      <c r="I58" t="s">
        <v>473</v>
      </c>
      <c r="J58" t="s">
        <v>474</v>
      </c>
      <c r="K58" t="s">
        <v>475</v>
      </c>
      <c r="L58">
        <v>1368</v>
      </c>
      <c r="N58">
        <v>1011</v>
      </c>
      <c r="O58" t="s">
        <v>397</v>
      </c>
      <c r="P58" t="s">
        <v>397</v>
      </c>
      <c r="Q58">
        <v>1</v>
      </c>
      <c r="X58">
        <v>1.94</v>
      </c>
      <c r="Y58">
        <v>0</v>
      </c>
      <c r="Z58">
        <v>1364.77</v>
      </c>
      <c r="AA58">
        <v>610.30999999999995</v>
      </c>
      <c r="AB58">
        <v>0</v>
      </c>
      <c r="AC58">
        <v>0</v>
      </c>
      <c r="AD58">
        <v>1</v>
      </c>
      <c r="AE58">
        <v>0</v>
      </c>
      <c r="AF58" t="s">
        <v>3</v>
      </c>
      <c r="AG58">
        <v>1.94</v>
      </c>
      <c r="AH58">
        <v>2</v>
      </c>
      <c r="AI58">
        <v>38214968</v>
      </c>
      <c r="AJ58">
        <v>61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 x14ac:dyDescent="0.2">
      <c r="A59">
        <f>ROW(Source!A177)</f>
        <v>177</v>
      </c>
      <c r="B59">
        <v>38214977</v>
      </c>
      <c r="C59">
        <v>38214963</v>
      </c>
      <c r="D59">
        <v>34879578</v>
      </c>
      <c r="E59">
        <v>1</v>
      </c>
      <c r="F59">
        <v>1</v>
      </c>
      <c r="G59">
        <v>25</v>
      </c>
      <c r="H59">
        <v>2</v>
      </c>
      <c r="I59" t="s">
        <v>476</v>
      </c>
      <c r="J59" t="s">
        <v>477</v>
      </c>
      <c r="K59" t="s">
        <v>478</v>
      </c>
      <c r="L59">
        <v>1368</v>
      </c>
      <c r="N59">
        <v>1011</v>
      </c>
      <c r="O59" t="s">
        <v>397</v>
      </c>
      <c r="P59" t="s">
        <v>397</v>
      </c>
      <c r="Q59">
        <v>1</v>
      </c>
      <c r="X59">
        <v>0.65</v>
      </c>
      <c r="Y59">
        <v>0</v>
      </c>
      <c r="Z59">
        <v>1179.56</v>
      </c>
      <c r="AA59">
        <v>439.28</v>
      </c>
      <c r="AB59">
        <v>0</v>
      </c>
      <c r="AC59">
        <v>0</v>
      </c>
      <c r="AD59">
        <v>1</v>
      </c>
      <c r="AE59">
        <v>0</v>
      </c>
      <c r="AF59" t="s">
        <v>3</v>
      </c>
      <c r="AG59">
        <v>0.65</v>
      </c>
      <c r="AH59">
        <v>2</v>
      </c>
      <c r="AI59">
        <v>38214969</v>
      </c>
      <c r="AJ59">
        <v>62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 x14ac:dyDescent="0.2">
      <c r="A60">
        <f>ROW(Source!A177)</f>
        <v>177</v>
      </c>
      <c r="B60">
        <v>38214978</v>
      </c>
      <c r="C60">
        <v>38214963</v>
      </c>
      <c r="D60">
        <v>34881527</v>
      </c>
      <c r="E60">
        <v>1</v>
      </c>
      <c r="F60">
        <v>1</v>
      </c>
      <c r="G60">
        <v>25</v>
      </c>
      <c r="H60">
        <v>3</v>
      </c>
      <c r="I60" t="s">
        <v>479</v>
      </c>
      <c r="J60" t="s">
        <v>480</v>
      </c>
      <c r="K60" t="s">
        <v>481</v>
      </c>
      <c r="L60">
        <v>1339</v>
      </c>
      <c r="N60">
        <v>1007</v>
      </c>
      <c r="O60" t="s">
        <v>206</v>
      </c>
      <c r="P60" t="s">
        <v>206</v>
      </c>
      <c r="Q60">
        <v>1</v>
      </c>
      <c r="X60">
        <v>110</v>
      </c>
      <c r="Y60">
        <v>590.78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 t="s">
        <v>3</v>
      </c>
      <c r="AG60">
        <v>110</v>
      </c>
      <c r="AH60">
        <v>2</v>
      </c>
      <c r="AI60">
        <v>38214970</v>
      </c>
      <c r="AJ60">
        <v>63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 x14ac:dyDescent="0.2">
      <c r="A61">
        <f>ROW(Source!A177)</f>
        <v>177</v>
      </c>
      <c r="B61">
        <v>38214979</v>
      </c>
      <c r="C61">
        <v>38214963</v>
      </c>
      <c r="D61">
        <v>34882270</v>
      </c>
      <c r="E61">
        <v>1</v>
      </c>
      <c r="F61">
        <v>1</v>
      </c>
      <c r="G61">
        <v>25</v>
      </c>
      <c r="H61">
        <v>3</v>
      </c>
      <c r="I61" t="s">
        <v>482</v>
      </c>
      <c r="J61" t="s">
        <v>483</v>
      </c>
      <c r="K61" t="s">
        <v>484</v>
      </c>
      <c r="L61">
        <v>1339</v>
      </c>
      <c r="N61">
        <v>1007</v>
      </c>
      <c r="O61" t="s">
        <v>206</v>
      </c>
      <c r="P61" t="s">
        <v>206</v>
      </c>
      <c r="Q61">
        <v>1</v>
      </c>
      <c r="X61">
        <v>5</v>
      </c>
      <c r="Y61">
        <v>33.729999999999997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  <c r="AF61" t="s">
        <v>3</v>
      </c>
      <c r="AG61">
        <v>5</v>
      </c>
      <c r="AH61">
        <v>2</v>
      </c>
      <c r="AI61">
        <v>38214971</v>
      </c>
      <c r="AJ61">
        <v>64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</row>
    <row r="62" spans="1:44" x14ac:dyDescent="0.2">
      <c r="A62">
        <f>ROW(Source!A178)</f>
        <v>178</v>
      </c>
      <c r="B62">
        <v>38214985</v>
      </c>
      <c r="C62">
        <v>38214980</v>
      </c>
      <c r="D62">
        <v>34867259</v>
      </c>
      <c r="E62">
        <v>25</v>
      </c>
      <c r="F62">
        <v>1</v>
      </c>
      <c r="G62">
        <v>25</v>
      </c>
      <c r="H62">
        <v>1</v>
      </c>
      <c r="I62" t="s">
        <v>391</v>
      </c>
      <c r="J62" t="s">
        <v>3</v>
      </c>
      <c r="K62" t="s">
        <v>392</v>
      </c>
      <c r="L62">
        <v>1191</v>
      </c>
      <c r="N62">
        <v>1013</v>
      </c>
      <c r="O62" t="s">
        <v>393</v>
      </c>
      <c r="P62" t="s">
        <v>393</v>
      </c>
      <c r="Q62">
        <v>1</v>
      </c>
      <c r="X62">
        <v>0.37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1</v>
      </c>
      <c r="AF62" t="s">
        <v>3</v>
      </c>
      <c r="AG62">
        <v>0.37</v>
      </c>
      <c r="AH62">
        <v>2</v>
      </c>
      <c r="AI62">
        <v>38214981</v>
      </c>
      <c r="AJ62">
        <v>65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1:44" x14ac:dyDescent="0.2">
      <c r="A63">
        <f>ROW(Source!A178)</f>
        <v>178</v>
      </c>
      <c r="B63">
        <v>38214986</v>
      </c>
      <c r="C63">
        <v>38214980</v>
      </c>
      <c r="D63">
        <v>34879587</v>
      </c>
      <c r="E63">
        <v>1</v>
      </c>
      <c r="F63">
        <v>1</v>
      </c>
      <c r="G63">
        <v>25</v>
      </c>
      <c r="H63">
        <v>2</v>
      </c>
      <c r="I63" t="s">
        <v>485</v>
      </c>
      <c r="J63" t="s">
        <v>486</v>
      </c>
      <c r="K63" t="s">
        <v>487</v>
      </c>
      <c r="L63">
        <v>1368</v>
      </c>
      <c r="N63">
        <v>1011</v>
      </c>
      <c r="O63" t="s">
        <v>397</v>
      </c>
      <c r="P63" t="s">
        <v>397</v>
      </c>
      <c r="Q63">
        <v>1</v>
      </c>
      <c r="X63">
        <v>3.0000000000000001E-3</v>
      </c>
      <c r="Y63">
        <v>0</v>
      </c>
      <c r="Z63">
        <v>1191.92</v>
      </c>
      <c r="AA63">
        <v>422.8</v>
      </c>
      <c r="AB63">
        <v>0</v>
      </c>
      <c r="AC63">
        <v>0</v>
      </c>
      <c r="AD63">
        <v>1</v>
      </c>
      <c r="AE63">
        <v>0</v>
      </c>
      <c r="AF63" t="s">
        <v>3</v>
      </c>
      <c r="AG63">
        <v>3.0000000000000001E-3</v>
      </c>
      <c r="AH63">
        <v>2</v>
      </c>
      <c r="AI63">
        <v>38214982</v>
      </c>
      <c r="AJ63">
        <v>66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 x14ac:dyDescent="0.2">
      <c r="A64">
        <f>ROW(Source!A178)</f>
        <v>178</v>
      </c>
      <c r="B64">
        <v>38214987</v>
      </c>
      <c r="C64">
        <v>38214980</v>
      </c>
      <c r="D64">
        <v>34881528</v>
      </c>
      <c r="E64">
        <v>1</v>
      </c>
      <c r="F64">
        <v>1</v>
      </c>
      <c r="G64">
        <v>25</v>
      </c>
      <c r="H64">
        <v>3</v>
      </c>
      <c r="I64" t="s">
        <v>488</v>
      </c>
      <c r="J64" t="s">
        <v>489</v>
      </c>
      <c r="K64" t="s">
        <v>490</v>
      </c>
      <c r="L64">
        <v>1339</v>
      </c>
      <c r="N64">
        <v>1007</v>
      </c>
      <c r="O64" t="s">
        <v>206</v>
      </c>
      <c r="P64" t="s">
        <v>206</v>
      </c>
      <c r="Q64">
        <v>1</v>
      </c>
      <c r="X64">
        <v>0.105</v>
      </c>
      <c r="Y64">
        <v>600.76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 t="s">
        <v>3</v>
      </c>
      <c r="AG64">
        <v>0.105</v>
      </c>
      <c r="AH64">
        <v>2</v>
      </c>
      <c r="AI64">
        <v>38214983</v>
      </c>
      <c r="AJ64">
        <v>67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1:44" x14ac:dyDescent="0.2">
      <c r="A65">
        <f>ROW(Source!A178)</f>
        <v>178</v>
      </c>
      <c r="B65">
        <v>38214988</v>
      </c>
      <c r="C65">
        <v>38214980</v>
      </c>
      <c r="D65">
        <v>34882270</v>
      </c>
      <c r="E65">
        <v>1</v>
      </c>
      <c r="F65">
        <v>1</v>
      </c>
      <c r="G65">
        <v>25</v>
      </c>
      <c r="H65">
        <v>3</v>
      </c>
      <c r="I65" t="s">
        <v>482</v>
      </c>
      <c r="J65" t="s">
        <v>483</v>
      </c>
      <c r="K65" t="s">
        <v>484</v>
      </c>
      <c r="L65">
        <v>1339</v>
      </c>
      <c r="N65">
        <v>1007</v>
      </c>
      <c r="O65" t="s">
        <v>206</v>
      </c>
      <c r="P65" t="s">
        <v>206</v>
      </c>
      <c r="Q65">
        <v>1</v>
      </c>
      <c r="X65">
        <v>0.01</v>
      </c>
      <c r="Y65">
        <v>32.25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 t="s">
        <v>3</v>
      </c>
      <c r="AG65">
        <v>0.01</v>
      </c>
      <c r="AH65">
        <v>2</v>
      </c>
      <c r="AI65">
        <v>38214984</v>
      </c>
      <c r="AJ65">
        <v>68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</row>
    <row r="66" spans="1:44" x14ac:dyDescent="0.2">
      <c r="A66">
        <f>ROW(Source!A250)</f>
        <v>250</v>
      </c>
      <c r="B66">
        <v>38217171</v>
      </c>
      <c r="C66">
        <v>38217167</v>
      </c>
      <c r="D66">
        <v>34867259</v>
      </c>
      <c r="E66">
        <v>25</v>
      </c>
      <c r="F66">
        <v>1</v>
      </c>
      <c r="G66">
        <v>25</v>
      </c>
      <c r="H66">
        <v>1</v>
      </c>
      <c r="I66" t="s">
        <v>391</v>
      </c>
      <c r="J66" t="s">
        <v>3</v>
      </c>
      <c r="K66" t="s">
        <v>392</v>
      </c>
      <c r="L66">
        <v>1191</v>
      </c>
      <c r="N66">
        <v>1013</v>
      </c>
      <c r="O66" t="s">
        <v>393</v>
      </c>
      <c r="P66" t="s">
        <v>393</v>
      </c>
      <c r="Q66">
        <v>1</v>
      </c>
      <c r="X66">
        <v>15.15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1</v>
      </c>
      <c r="AF66" t="s">
        <v>3</v>
      </c>
      <c r="AG66">
        <v>15.15</v>
      </c>
      <c r="AH66">
        <v>2</v>
      </c>
      <c r="AI66">
        <v>38217168</v>
      </c>
      <c r="AJ66">
        <v>69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1:44" x14ac:dyDescent="0.2">
      <c r="A67">
        <f>ROW(Source!A250)</f>
        <v>250</v>
      </c>
      <c r="B67">
        <v>38217172</v>
      </c>
      <c r="C67">
        <v>38217167</v>
      </c>
      <c r="D67">
        <v>34880230</v>
      </c>
      <c r="E67">
        <v>1</v>
      </c>
      <c r="F67">
        <v>1</v>
      </c>
      <c r="G67">
        <v>25</v>
      </c>
      <c r="H67">
        <v>2</v>
      </c>
      <c r="I67" t="s">
        <v>394</v>
      </c>
      <c r="J67" t="s">
        <v>395</v>
      </c>
      <c r="K67" t="s">
        <v>396</v>
      </c>
      <c r="L67">
        <v>1368</v>
      </c>
      <c r="N67">
        <v>1011</v>
      </c>
      <c r="O67" t="s">
        <v>397</v>
      </c>
      <c r="P67" t="s">
        <v>397</v>
      </c>
      <c r="Q67">
        <v>1</v>
      </c>
      <c r="X67">
        <v>0.01</v>
      </c>
      <c r="Y67">
        <v>0</v>
      </c>
      <c r="Z67">
        <v>6.28</v>
      </c>
      <c r="AA67">
        <v>0.01</v>
      </c>
      <c r="AB67">
        <v>0</v>
      </c>
      <c r="AC67">
        <v>0</v>
      </c>
      <c r="AD67">
        <v>1</v>
      </c>
      <c r="AE67">
        <v>0</v>
      </c>
      <c r="AF67" t="s">
        <v>3</v>
      </c>
      <c r="AG67">
        <v>0.01</v>
      </c>
      <c r="AH67">
        <v>2</v>
      </c>
      <c r="AI67">
        <v>38217169</v>
      </c>
      <c r="AJ67">
        <v>70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 x14ac:dyDescent="0.2">
      <c r="A68">
        <f>ROW(Source!A250)</f>
        <v>250</v>
      </c>
      <c r="B68">
        <v>38217173</v>
      </c>
      <c r="C68">
        <v>38217167</v>
      </c>
      <c r="D68">
        <v>34869071</v>
      </c>
      <c r="E68">
        <v>25</v>
      </c>
      <c r="F68">
        <v>1</v>
      </c>
      <c r="G68">
        <v>25</v>
      </c>
      <c r="H68">
        <v>3</v>
      </c>
      <c r="I68" t="s">
        <v>398</v>
      </c>
      <c r="J68" t="s">
        <v>3</v>
      </c>
      <c r="K68" t="s">
        <v>399</v>
      </c>
      <c r="L68">
        <v>1348</v>
      </c>
      <c r="N68">
        <v>1009</v>
      </c>
      <c r="O68" t="s">
        <v>30</v>
      </c>
      <c r="P68" t="s">
        <v>30</v>
      </c>
      <c r="Q68">
        <v>1000</v>
      </c>
      <c r="X68">
        <v>0.65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 t="s">
        <v>3</v>
      </c>
      <c r="AG68">
        <v>0.65</v>
      </c>
      <c r="AH68">
        <v>2</v>
      </c>
      <c r="AI68">
        <v>38217170</v>
      </c>
      <c r="AJ68">
        <v>71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 x14ac:dyDescent="0.2">
      <c r="A69">
        <f>ROW(Source!A251)</f>
        <v>251</v>
      </c>
      <c r="B69">
        <v>38217176</v>
      </c>
      <c r="C69">
        <v>38217174</v>
      </c>
      <c r="D69">
        <v>34867259</v>
      </c>
      <c r="E69">
        <v>25</v>
      </c>
      <c r="F69">
        <v>1</v>
      </c>
      <c r="G69">
        <v>25</v>
      </c>
      <c r="H69">
        <v>1</v>
      </c>
      <c r="I69" t="s">
        <v>391</v>
      </c>
      <c r="J69" t="s">
        <v>3</v>
      </c>
      <c r="K69" t="s">
        <v>392</v>
      </c>
      <c r="L69">
        <v>1191</v>
      </c>
      <c r="N69">
        <v>1013</v>
      </c>
      <c r="O69" t="s">
        <v>393</v>
      </c>
      <c r="P69" t="s">
        <v>393</v>
      </c>
      <c r="Q69">
        <v>1</v>
      </c>
      <c r="X69">
        <v>1.02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1</v>
      </c>
      <c r="AF69" t="s">
        <v>3</v>
      </c>
      <c r="AG69">
        <v>1.02</v>
      </c>
      <c r="AH69">
        <v>2</v>
      </c>
      <c r="AI69">
        <v>38217175</v>
      </c>
      <c r="AJ69">
        <v>72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4" x14ac:dyDescent="0.2">
      <c r="A70">
        <f>ROW(Source!A252)</f>
        <v>252</v>
      </c>
      <c r="B70">
        <v>38217180</v>
      </c>
      <c r="C70">
        <v>38217177</v>
      </c>
      <c r="D70">
        <v>34880178</v>
      </c>
      <c r="E70">
        <v>1</v>
      </c>
      <c r="F70">
        <v>1</v>
      </c>
      <c r="G70">
        <v>25</v>
      </c>
      <c r="H70">
        <v>2</v>
      </c>
      <c r="I70" t="s">
        <v>400</v>
      </c>
      <c r="J70" t="s">
        <v>401</v>
      </c>
      <c r="K70" t="s">
        <v>402</v>
      </c>
      <c r="L70">
        <v>1368</v>
      </c>
      <c r="N70">
        <v>1011</v>
      </c>
      <c r="O70" t="s">
        <v>397</v>
      </c>
      <c r="P70" t="s">
        <v>397</v>
      </c>
      <c r="Q70">
        <v>1</v>
      </c>
      <c r="X70">
        <v>0.02</v>
      </c>
      <c r="Y70">
        <v>0</v>
      </c>
      <c r="Z70">
        <v>952.49</v>
      </c>
      <c r="AA70">
        <v>301.5</v>
      </c>
      <c r="AB70">
        <v>0</v>
      </c>
      <c r="AC70">
        <v>0</v>
      </c>
      <c r="AD70">
        <v>1</v>
      </c>
      <c r="AE70">
        <v>0</v>
      </c>
      <c r="AF70" t="s">
        <v>3</v>
      </c>
      <c r="AG70">
        <v>0.02</v>
      </c>
      <c r="AH70">
        <v>2</v>
      </c>
      <c r="AI70">
        <v>38217178</v>
      </c>
      <c r="AJ70">
        <v>73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 x14ac:dyDescent="0.2">
      <c r="A71">
        <f>ROW(Source!A252)</f>
        <v>252</v>
      </c>
      <c r="B71">
        <v>38217181</v>
      </c>
      <c r="C71">
        <v>38217177</v>
      </c>
      <c r="D71">
        <v>34880179</v>
      </c>
      <c r="E71">
        <v>1</v>
      </c>
      <c r="F71">
        <v>1</v>
      </c>
      <c r="G71">
        <v>25</v>
      </c>
      <c r="H71">
        <v>2</v>
      </c>
      <c r="I71" t="s">
        <v>403</v>
      </c>
      <c r="J71" t="s">
        <v>404</v>
      </c>
      <c r="K71" t="s">
        <v>405</v>
      </c>
      <c r="L71">
        <v>1368</v>
      </c>
      <c r="N71">
        <v>1011</v>
      </c>
      <c r="O71" t="s">
        <v>397</v>
      </c>
      <c r="P71" t="s">
        <v>397</v>
      </c>
      <c r="Q71">
        <v>1</v>
      </c>
      <c r="X71">
        <v>1.7999999999999999E-2</v>
      </c>
      <c r="Y71">
        <v>0</v>
      </c>
      <c r="Z71">
        <v>993.6</v>
      </c>
      <c r="AA71">
        <v>301.8</v>
      </c>
      <c r="AB71">
        <v>0</v>
      </c>
      <c r="AC71">
        <v>0</v>
      </c>
      <c r="AD71">
        <v>1</v>
      </c>
      <c r="AE71">
        <v>0</v>
      </c>
      <c r="AF71" t="s">
        <v>3</v>
      </c>
      <c r="AG71">
        <v>1.7999999999999999E-2</v>
      </c>
      <c r="AH71">
        <v>2</v>
      </c>
      <c r="AI71">
        <v>38217179</v>
      </c>
      <c r="AJ71">
        <v>74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 x14ac:dyDescent="0.2">
      <c r="A72">
        <f>ROW(Source!A253)</f>
        <v>253</v>
      </c>
      <c r="B72">
        <v>38217185</v>
      </c>
      <c r="C72">
        <v>38217182</v>
      </c>
      <c r="D72">
        <v>34880178</v>
      </c>
      <c r="E72">
        <v>1</v>
      </c>
      <c r="F72">
        <v>1</v>
      </c>
      <c r="G72">
        <v>25</v>
      </c>
      <c r="H72">
        <v>2</v>
      </c>
      <c r="I72" t="s">
        <v>400</v>
      </c>
      <c r="J72" t="s">
        <v>401</v>
      </c>
      <c r="K72" t="s">
        <v>402</v>
      </c>
      <c r="L72">
        <v>1368</v>
      </c>
      <c r="N72">
        <v>1011</v>
      </c>
      <c r="O72" t="s">
        <v>397</v>
      </c>
      <c r="P72" t="s">
        <v>397</v>
      </c>
      <c r="Q72">
        <v>1</v>
      </c>
      <c r="X72">
        <v>5.3999999999999999E-2</v>
      </c>
      <c r="Y72">
        <v>0</v>
      </c>
      <c r="Z72">
        <v>952.49</v>
      </c>
      <c r="AA72">
        <v>301.5</v>
      </c>
      <c r="AB72">
        <v>0</v>
      </c>
      <c r="AC72">
        <v>0</v>
      </c>
      <c r="AD72">
        <v>1</v>
      </c>
      <c r="AE72">
        <v>0</v>
      </c>
      <c r="AF72" t="s">
        <v>3</v>
      </c>
      <c r="AG72">
        <v>5.3999999999999999E-2</v>
      </c>
      <c r="AH72">
        <v>2</v>
      </c>
      <c r="AI72">
        <v>38217183</v>
      </c>
      <c r="AJ72">
        <v>75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 x14ac:dyDescent="0.2">
      <c r="A73">
        <f>ROW(Source!A253)</f>
        <v>253</v>
      </c>
      <c r="B73">
        <v>38217186</v>
      </c>
      <c r="C73">
        <v>38217182</v>
      </c>
      <c r="D73">
        <v>34880179</v>
      </c>
      <c r="E73">
        <v>1</v>
      </c>
      <c r="F73">
        <v>1</v>
      </c>
      <c r="G73">
        <v>25</v>
      </c>
      <c r="H73">
        <v>2</v>
      </c>
      <c r="I73" t="s">
        <v>403</v>
      </c>
      <c r="J73" t="s">
        <v>404</v>
      </c>
      <c r="K73" t="s">
        <v>405</v>
      </c>
      <c r="L73">
        <v>1368</v>
      </c>
      <c r="N73">
        <v>1011</v>
      </c>
      <c r="O73" t="s">
        <v>397</v>
      </c>
      <c r="P73" t="s">
        <v>397</v>
      </c>
      <c r="Q73">
        <v>1</v>
      </c>
      <c r="X73">
        <v>5.5E-2</v>
      </c>
      <c r="Y73">
        <v>0</v>
      </c>
      <c r="Z73">
        <v>993.6</v>
      </c>
      <c r="AA73">
        <v>301.8</v>
      </c>
      <c r="AB73">
        <v>0</v>
      </c>
      <c r="AC73">
        <v>0</v>
      </c>
      <c r="AD73">
        <v>1</v>
      </c>
      <c r="AE73">
        <v>0</v>
      </c>
      <c r="AF73" t="s">
        <v>3</v>
      </c>
      <c r="AG73">
        <v>5.5E-2</v>
      </c>
      <c r="AH73">
        <v>2</v>
      </c>
      <c r="AI73">
        <v>38217184</v>
      </c>
      <c r="AJ73">
        <v>76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1:44" x14ac:dyDescent="0.2">
      <c r="A74">
        <f>ROW(Source!A254)</f>
        <v>254</v>
      </c>
      <c r="B74">
        <v>38217190</v>
      </c>
      <c r="C74">
        <v>38217187</v>
      </c>
      <c r="D74">
        <v>34880178</v>
      </c>
      <c r="E74">
        <v>1</v>
      </c>
      <c r="F74">
        <v>1</v>
      </c>
      <c r="G74">
        <v>25</v>
      </c>
      <c r="H74">
        <v>2</v>
      </c>
      <c r="I74" t="s">
        <v>400</v>
      </c>
      <c r="J74" t="s">
        <v>401</v>
      </c>
      <c r="K74" t="s">
        <v>402</v>
      </c>
      <c r="L74">
        <v>1368</v>
      </c>
      <c r="N74">
        <v>1011</v>
      </c>
      <c r="O74" t="s">
        <v>397</v>
      </c>
      <c r="P74" t="s">
        <v>397</v>
      </c>
      <c r="Q74">
        <v>1</v>
      </c>
      <c r="X74">
        <v>0.01</v>
      </c>
      <c r="Y74">
        <v>0</v>
      </c>
      <c r="Z74">
        <v>952.49</v>
      </c>
      <c r="AA74">
        <v>301.5</v>
      </c>
      <c r="AB74">
        <v>0</v>
      </c>
      <c r="AC74">
        <v>0</v>
      </c>
      <c r="AD74">
        <v>1</v>
      </c>
      <c r="AE74">
        <v>0</v>
      </c>
      <c r="AF74" t="s">
        <v>201</v>
      </c>
      <c r="AG74">
        <v>0.16</v>
      </c>
      <c r="AH74">
        <v>2</v>
      </c>
      <c r="AI74">
        <v>38217188</v>
      </c>
      <c r="AJ74">
        <v>77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x14ac:dyDescent="0.2">
      <c r="A75">
        <f>ROW(Source!A254)</f>
        <v>254</v>
      </c>
      <c r="B75">
        <v>38217191</v>
      </c>
      <c r="C75">
        <v>38217187</v>
      </c>
      <c r="D75">
        <v>34880179</v>
      </c>
      <c r="E75">
        <v>1</v>
      </c>
      <c r="F75">
        <v>1</v>
      </c>
      <c r="G75">
        <v>25</v>
      </c>
      <c r="H75">
        <v>2</v>
      </c>
      <c r="I75" t="s">
        <v>403</v>
      </c>
      <c r="J75" t="s">
        <v>404</v>
      </c>
      <c r="K75" t="s">
        <v>405</v>
      </c>
      <c r="L75">
        <v>1368</v>
      </c>
      <c r="N75">
        <v>1011</v>
      </c>
      <c r="O75" t="s">
        <v>397</v>
      </c>
      <c r="P75" t="s">
        <v>397</v>
      </c>
      <c r="Q75">
        <v>1</v>
      </c>
      <c r="X75">
        <v>8.0000000000000002E-3</v>
      </c>
      <c r="Y75">
        <v>0</v>
      </c>
      <c r="Z75">
        <v>993.6</v>
      </c>
      <c r="AA75">
        <v>301.8</v>
      </c>
      <c r="AB75">
        <v>0</v>
      </c>
      <c r="AC75">
        <v>0</v>
      </c>
      <c r="AD75">
        <v>1</v>
      </c>
      <c r="AE75">
        <v>0</v>
      </c>
      <c r="AF75" t="s">
        <v>201</v>
      </c>
      <c r="AG75">
        <v>0.128</v>
      </c>
      <c r="AH75">
        <v>2</v>
      </c>
      <c r="AI75">
        <v>38217189</v>
      </c>
      <c r="AJ75">
        <v>78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2">
      <c r="A76">
        <f>ROW(Source!A291)</f>
        <v>291</v>
      </c>
      <c r="B76">
        <v>38217199</v>
      </c>
      <c r="C76">
        <v>38217193</v>
      </c>
      <c r="D76">
        <v>34867259</v>
      </c>
      <c r="E76">
        <v>25</v>
      </c>
      <c r="F76">
        <v>1</v>
      </c>
      <c r="G76">
        <v>25</v>
      </c>
      <c r="H76">
        <v>1</v>
      </c>
      <c r="I76" t="s">
        <v>391</v>
      </c>
      <c r="J76" t="s">
        <v>3</v>
      </c>
      <c r="K76" t="s">
        <v>392</v>
      </c>
      <c r="L76">
        <v>1191</v>
      </c>
      <c r="N76">
        <v>1013</v>
      </c>
      <c r="O76" t="s">
        <v>393</v>
      </c>
      <c r="P76" t="s">
        <v>393</v>
      </c>
      <c r="Q76">
        <v>1</v>
      </c>
      <c r="X76">
        <v>87.4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1</v>
      </c>
      <c r="AF76" t="s">
        <v>3</v>
      </c>
      <c r="AG76">
        <v>87.4</v>
      </c>
      <c r="AH76">
        <v>2</v>
      </c>
      <c r="AI76">
        <v>38217194</v>
      </c>
      <c r="AJ76">
        <v>79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2">
      <c r="A77">
        <f>ROW(Source!A291)</f>
        <v>291</v>
      </c>
      <c r="B77">
        <v>38217200</v>
      </c>
      <c r="C77">
        <v>38217193</v>
      </c>
      <c r="D77">
        <v>34879517</v>
      </c>
      <c r="E77">
        <v>1</v>
      </c>
      <c r="F77">
        <v>1</v>
      </c>
      <c r="G77">
        <v>25</v>
      </c>
      <c r="H77">
        <v>2</v>
      </c>
      <c r="I77" t="s">
        <v>406</v>
      </c>
      <c r="J77" t="s">
        <v>407</v>
      </c>
      <c r="K77" t="s">
        <v>408</v>
      </c>
      <c r="L77">
        <v>1368</v>
      </c>
      <c r="N77">
        <v>1011</v>
      </c>
      <c r="O77" t="s">
        <v>397</v>
      </c>
      <c r="P77" t="s">
        <v>397</v>
      </c>
      <c r="Q77">
        <v>1</v>
      </c>
      <c r="X77">
        <v>19</v>
      </c>
      <c r="Y77">
        <v>0</v>
      </c>
      <c r="Z77">
        <v>31.01</v>
      </c>
      <c r="AA77">
        <v>1.29</v>
      </c>
      <c r="AB77">
        <v>0</v>
      </c>
      <c r="AC77">
        <v>0</v>
      </c>
      <c r="AD77">
        <v>1</v>
      </c>
      <c r="AE77">
        <v>0</v>
      </c>
      <c r="AF77" t="s">
        <v>3</v>
      </c>
      <c r="AG77">
        <v>19</v>
      </c>
      <c r="AH77">
        <v>2</v>
      </c>
      <c r="AI77">
        <v>38217195</v>
      </c>
      <c r="AJ77">
        <v>80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1:44" x14ac:dyDescent="0.2">
      <c r="A78">
        <f>ROW(Source!A291)</f>
        <v>291</v>
      </c>
      <c r="B78">
        <v>38217201</v>
      </c>
      <c r="C78">
        <v>38217193</v>
      </c>
      <c r="D78">
        <v>34881323</v>
      </c>
      <c r="E78">
        <v>1</v>
      </c>
      <c r="F78">
        <v>1</v>
      </c>
      <c r="G78">
        <v>25</v>
      </c>
      <c r="H78">
        <v>3</v>
      </c>
      <c r="I78" t="s">
        <v>409</v>
      </c>
      <c r="J78" t="s">
        <v>410</v>
      </c>
      <c r="K78" t="s">
        <v>411</v>
      </c>
      <c r="L78">
        <v>1348</v>
      </c>
      <c r="N78">
        <v>1009</v>
      </c>
      <c r="O78" t="s">
        <v>30</v>
      </c>
      <c r="P78" t="s">
        <v>30</v>
      </c>
      <c r="Q78">
        <v>1000</v>
      </c>
      <c r="X78">
        <v>3.3E-3</v>
      </c>
      <c r="Y78">
        <v>103472.53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  <c r="AF78" t="s">
        <v>32</v>
      </c>
      <c r="AG78">
        <v>0</v>
      </c>
      <c r="AH78">
        <v>2</v>
      </c>
      <c r="AI78">
        <v>38217196</v>
      </c>
      <c r="AJ78">
        <v>81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2">
      <c r="A79">
        <f>ROW(Source!A291)</f>
        <v>291</v>
      </c>
      <c r="B79">
        <v>38217202</v>
      </c>
      <c r="C79">
        <v>38217193</v>
      </c>
      <c r="D79">
        <v>34882179</v>
      </c>
      <c r="E79">
        <v>1</v>
      </c>
      <c r="F79">
        <v>1</v>
      </c>
      <c r="G79">
        <v>25</v>
      </c>
      <c r="H79">
        <v>3</v>
      </c>
      <c r="I79" t="s">
        <v>412</v>
      </c>
      <c r="J79" t="s">
        <v>413</v>
      </c>
      <c r="K79" t="s">
        <v>414</v>
      </c>
      <c r="L79">
        <v>1348</v>
      </c>
      <c r="N79">
        <v>1009</v>
      </c>
      <c r="O79" t="s">
        <v>30</v>
      </c>
      <c r="P79" t="s">
        <v>30</v>
      </c>
      <c r="Q79">
        <v>1000</v>
      </c>
      <c r="X79">
        <v>1.4E-3</v>
      </c>
      <c r="Y79">
        <v>110728.72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 t="s">
        <v>32</v>
      </c>
      <c r="AG79">
        <v>0</v>
      </c>
      <c r="AH79">
        <v>2</v>
      </c>
      <c r="AI79">
        <v>38217197</v>
      </c>
      <c r="AJ79">
        <v>82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">
      <c r="A80">
        <f>ROW(Source!A291)</f>
        <v>291</v>
      </c>
      <c r="B80">
        <v>38217203</v>
      </c>
      <c r="C80">
        <v>38217193</v>
      </c>
      <c r="D80">
        <v>34884265</v>
      </c>
      <c r="E80">
        <v>1</v>
      </c>
      <c r="F80">
        <v>1</v>
      </c>
      <c r="G80">
        <v>25</v>
      </c>
      <c r="H80">
        <v>3</v>
      </c>
      <c r="I80" t="s">
        <v>415</v>
      </c>
      <c r="J80" t="s">
        <v>416</v>
      </c>
      <c r="K80" t="s">
        <v>417</v>
      </c>
      <c r="L80">
        <v>1348</v>
      </c>
      <c r="N80">
        <v>1009</v>
      </c>
      <c r="O80" t="s">
        <v>30</v>
      </c>
      <c r="P80" t="s">
        <v>30</v>
      </c>
      <c r="Q80">
        <v>1000</v>
      </c>
      <c r="X80">
        <v>1</v>
      </c>
      <c r="Y80">
        <v>74995.210000000006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0</v>
      </c>
      <c r="AF80" t="s">
        <v>32</v>
      </c>
      <c r="AG80">
        <v>0</v>
      </c>
      <c r="AH80">
        <v>2</v>
      </c>
      <c r="AI80">
        <v>38217198</v>
      </c>
      <c r="AJ80">
        <v>83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1:44" x14ac:dyDescent="0.2">
      <c r="A81">
        <f>ROW(Source!A333)</f>
        <v>333</v>
      </c>
      <c r="B81">
        <v>38217221</v>
      </c>
      <c r="C81">
        <v>38217210</v>
      </c>
      <c r="D81">
        <v>34867259</v>
      </c>
      <c r="E81">
        <v>25</v>
      </c>
      <c r="F81">
        <v>1</v>
      </c>
      <c r="G81">
        <v>25</v>
      </c>
      <c r="H81">
        <v>1</v>
      </c>
      <c r="I81" t="s">
        <v>391</v>
      </c>
      <c r="J81" t="s">
        <v>3</v>
      </c>
      <c r="K81" t="s">
        <v>392</v>
      </c>
      <c r="L81">
        <v>1191</v>
      </c>
      <c r="N81">
        <v>1013</v>
      </c>
      <c r="O81" t="s">
        <v>393</v>
      </c>
      <c r="P81" t="s">
        <v>393</v>
      </c>
      <c r="Q81">
        <v>1</v>
      </c>
      <c r="X81">
        <v>340.81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1</v>
      </c>
      <c r="AF81" t="s">
        <v>3</v>
      </c>
      <c r="AG81">
        <v>340.81</v>
      </c>
      <c r="AH81">
        <v>2</v>
      </c>
      <c r="AI81">
        <v>38217211</v>
      </c>
      <c r="AJ81">
        <v>84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44" x14ac:dyDescent="0.2">
      <c r="A82">
        <f>ROW(Source!A333)</f>
        <v>333</v>
      </c>
      <c r="B82">
        <v>38217222</v>
      </c>
      <c r="C82">
        <v>38217210</v>
      </c>
      <c r="D82">
        <v>34879840</v>
      </c>
      <c r="E82">
        <v>1</v>
      </c>
      <c r="F82">
        <v>1</v>
      </c>
      <c r="G82">
        <v>25</v>
      </c>
      <c r="H82">
        <v>2</v>
      </c>
      <c r="I82" t="s">
        <v>422</v>
      </c>
      <c r="J82" t="s">
        <v>423</v>
      </c>
      <c r="K82" t="s">
        <v>424</v>
      </c>
      <c r="L82">
        <v>1368</v>
      </c>
      <c r="N82">
        <v>1011</v>
      </c>
      <c r="O82" t="s">
        <v>397</v>
      </c>
      <c r="P82" t="s">
        <v>397</v>
      </c>
      <c r="Q82">
        <v>1</v>
      </c>
      <c r="X82">
        <v>39</v>
      </c>
      <c r="Y82">
        <v>0</v>
      </c>
      <c r="Z82">
        <v>337.61</v>
      </c>
      <c r="AA82">
        <v>6.68</v>
      </c>
      <c r="AB82">
        <v>0</v>
      </c>
      <c r="AC82">
        <v>0</v>
      </c>
      <c r="AD82">
        <v>1</v>
      </c>
      <c r="AE82">
        <v>0</v>
      </c>
      <c r="AF82" t="s">
        <v>3</v>
      </c>
      <c r="AG82">
        <v>39</v>
      </c>
      <c r="AH82">
        <v>2</v>
      </c>
      <c r="AI82">
        <v>38217212</v>
      </c>
      <c r="AJ82">
        <v>85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1:44" x14ac:dyDescent="0.2">
      <c r="A83">
        <f>ROW(Source!A333)</f>
        <v>333</v>
      </c>
      <c r="B83">
        <v>38217223</v>
      </c>
      <c r="C83">
        <v>38217210</v>
      </c>
      <c r="D83">
        <v>34880219</v>
      </c>
      <c r="E83">
        <v>1</v>
      </c>
      <c r="F83">
        <v>1</v>
      </c>
      <c r="G83">
        <v>25</v>
      </c>
      <c r="H83">
        <v>2</v>
      </c>
      <c r="I83" t="s">
        <v>425</v>
      </c>
      <c r="J83" t="s">
        <v>426</v>
      </c>
      <c r="K83" t="s">
        <v>427</v>
      </c>
      <c r="L83">
        <v>1368</v>
      </c>
      <c r="N83">
        <v>1011</v>
      </c>
      <c r="O83" t="s">
        <v>397</v>
      </c>
      <c r="P83" t="s">
        <v>397</v>
      </c>
      <c r="Q83">
        <v>1</v>
      </c>
      <c r="X83">
        <v>0.52</v>
      </c>
      <c r="Y83">
        <v>0</v>
      </c>
      <c r="Z83">
        <v>5.82</v>
      </c>
      <c r="AA83">
        <v>0.02</v>
      </c>
      <c r="AB83">
        <v>0</v>
      </c>
      <c r="AC83">
        <v>0</v>
      </c>
      <c r="AD83">
        <v>1</v>
      </c>
      <c r="AE83">
        <v>0</v>
      </c>
      <c r="AF83" t="s">
        <v>3</v>
      </c>
      <c r="AG83">
        <v>0.52</v>
      </c>
      <c r="AH83">
        <v>2</v>
      </c>
      <c r="AI83">
        <v>38217213</v>
      </c>
      <c r="AJ83">
        <v>86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1:44" x14ac:dyDescent="0.2">
      <c r="A84">
        <f>ROW(Source!A333)</f>
        <v>333</v>
      </c>
      <c r="B84">
        <v>38217224</v>
      </c>
      <c r="C84">
        <v>38217210</v>
      </c>
      <c r="D84">
        <v>34879672</v>
      </c>
      <c r="E84">
        <v>1</v>
      </c>
      <c r="F84">
        <v>1</v>
      </c>
      <c r="G84">
        <v>25</v>
      </c>
      <c r="H84">
        <v>2</v>
      </c>
      <c r="I84" t="s">
        <v>428</v>
      </c>
      <c r="J84" t="s">
        <v>429</v>
      </c>
      <c r="K84" t="s">
        <v>430</v>
      </c>
      <c r="L84">
        <v>1368</v>
      </c>
      <c r="N84">
        <v>1011</v>
      </c>
      <c r="O84" t="s">
        <v>397</v>
      </c>
      <c r="P84" t="s">
        <v>397</v>
      </c>
      <c r="Q84">
        <v>1</v>
      </c>
      <c r="X84">
        <v>32.909999999999997</v>
      </c>
      <c r="Y84">
        <v>0</v>
      </c>
      <c r="Z84">
        <v>10.62</v>
      </c>
      <c r="AA84">
        <v>2.82</v>
      </c>
      <c r="AB84">
        <v>0</v>
      </c>
      <c r="AC84">
        <v>0</v>
      </c>
      <c r="AD84">
        <v>1</v>
      </c>
      <c r="AE84">
        <v>0</v>
      </c>
      <c r="AF84" t="s">
        <v>3</v>
      </c>
      <c r="AG84">
        <v>32.909999999999997</v>
      </c>
      <c r="AH84">
        <v>2</v>
      </c>
      <c r="AI84">
        <v>38217214</v>
      </c>
      <c r="AJ84">
        <v>87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1:44" x14ac:dyDescent="0.2">
      <c r="A85">
        <f>ROW(Source!A333)</f>
        <v>333</v>
      </c>
      <c r="B85">
        <v>38217225</v>
      </c>
      <c r="C85">
        <v>38217210</v>
      </c>
      <c r="D85">
        <v>34879710</v>
      </c>
      <c r="E85">
        <v>1</v>
      </c>
      <c r="F85">
        <v>1</v>
      </c>
      <c r="G85">
        <v>25</v>
      </c>
      <c r="H85">
        <v>2</v>
      </c>
      <c r="I85" t="s">
        <v>431</v>
      </c>
      <c r="J85" t="s">
        <v>432</v>
      </c>
      <c r="K85" t="s">
        <v>433</v>
      </c>
      <c r="L85">
        <v>1368</v>
      </c>
      <c r="N85">
        <v>1011</v>
      </c>
      <c r="O85" t="s">
        <v>397</v>
      </c>
      <c r="P85" t="s">
        <v>397</v>
      </c>
      <c r="Q85">
        <v>1</v>
      </c>
      <c r="X85">
        <v>5.49</v>
      </c>
      <c r="Y85">
        <v>0</v>
      </c>
      <c r="Z85">
        <v>1180.29</v>
      </c>
      <c r="AA85">
        <v>586.89</v>
      </c>
      <c r="AB85">
        <v>0</v>
      </c>
      <c r="AC85">
        <v>0</v>
      </c>
      <c r="AD85">
        <v>1</v>
      </c>
      <c r="AE85">
        <v>0</v>
      </c>
      <c r="AF85" t="s">
        <v>3</v>
      </c>
      <c r="AG85">
        <v>5.49</v>
      </c>
      <c r="AH85">
        <v>2</v>
      </c>
      <c r="AI85">
        <v>38217215</v>
      </c>
      <c r="AJ85">
        <v>88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1:44" x14ac:dyDescent="0.2">
      <c r="A86">
        <f>ROW(Source!A333)</f>
        <v>333</v>
      </c>
      <c r="B86">
        <v>38217226</v>
      </c>
      <c r="C86">
        <v>38217210</v>
      </c>
      <c r="D86">
        <v>34881558</v>
      </c>
      <c r="E86">
        <v>1</v>
      </c>
      <c r="F86">
        <v>1</v>
      </c>
      <c r="G86">
        <v>25</v>
      </c>
      <c r="H86">
        <v>3</v>
      </c>
      <c r="I86" t="s">
        <v>434</v>
      </c>
      <c r="J86" t="s">
        <v>435</v>
      </c>
      <c r="K86" t="s">
        <v>436</v>
      </c>
      <c r="L86">
        <v>1339</v>
      </c>
      <c r="N86">
        <v>1007</v>
      </c>
      <c r="O86" t="s">
        <v>206</v>
      </c>
      <c r="P86" t="s">
        <v>206</v>
      </c>
      <c r="Q86">
        <v>1</v>
      </c>
      <c r="X86">
        <v>0.31</v>
      </c>
      <c r="Y86">
        <v>2248.25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 t="s">
        <v>3</v>
      </c>
      <c r="AG86">
        <v>0.31</v>
      </c>
      <c r="AH86">
        <v>2</v>
      </c>
      <c r="AI86">
        <v>38217216</v>
      </c>
      <c r="AJ86">
        <v>89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1:44" x14ac:dyDescent="0.2">
      <c r="A87">
        <f>ROW(Source!A333)</f>
        <v>333</v>
      </c>
      <c r="B87">
        <v>38217227</v>
      </c>
      <c r="C87">
        <v>38217210</v>
      </c>
      <c r="D87">
        <v>34882179</v>
      </c>
      <c r="E87">
        <v>1</v>
      </c>
      <c r="F87">
        <v>1</v>
      </c>
      <c r="G87">
        <v>25</v>
      </c>
      <c r="H87">
        <v>3</v>
      </c>
      <c r="I87" t="s">
        <v>412</v>
      </c>
      <c r="J87" t="s">
        <v>413</v>
      </c>
      <c r="K87" t="s">
        <v>414</v>
      </c>
      <c r="L87">
        <v>1348</v>
      </c>
      <c r="N87">
        <v>1009</v>
      </c>
      <c r="O87" t="s">
        <v>30</v>
      </c>
      <c r="P87" t="s">
        <v>30</v>
      </c>
      <c r="Q87">
        <v>1000</v>
      </c>
      <c r="X87">
        <v>7.0000000000000001E-3</v>
      </c>
      <c r="Y87">
        <v>110728.72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0</v>
      </c>
      <c r="AF87" t="s">
        <v>3</v>
      </c>
      <c r="AG87">
        <v>7.0000000000000001E-3</v>
      </c>
      <c r="AH87">
        <v>2</v>
      </c>
      <c r="AI87">
        <v>38217217</v>
      </c>
      <c r="AJ87">
        <v>90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1:44" x14ac:dyDescent="0.2">
      <c r="A88">
        <f>ROW(Source!A333)</f>
        <v>333</v>
      </c>
      <c r="B88">
        <v>38217228</v>
      </c>
      <c r="C88">
        <v>38217210</v>
      </c>
      <c r="D88">
        <v>34883227</v>
      </c>
      <c r="E88">
        <v>1</v>
      </c>
      <c r="F88">
        <v>1</v>
      </c>
      <c r="G88">
        <v>25</v>
      </c>
      <c r="H88">
        <v>3</v>
      </c>
      <c r="I88" t="s">
        <v>437</v>
      </c>
      <c r="J88" t="s">
        <v>438</v>
      </c>
      <c r="K88" t="s">
        <v>439</v>
      </c>
      <c r="L88">
        <v>1339</v>
      </c>
      <c r="N88">
        <v>1007</v>
      </c>
      <c r="O88" t="s">
        <v>206</v>
      </c>
      <c r="P88" t="s">
        <v>206</v>
      </c>
      <c r="Q88">
        <v>1</v>
      </c>
      <c r="X88">
        <v>3.25</v>
      </c>
      <c r="Y88">
        <v>4082.17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 t="s">
        <v>3</v>
      </c>
      <c r="AG88">
        <v>3.25</v>
      </c>
      <c r="AH88">
        <v>2</v>
      </c>
      <c r="AI88">
        <v>38217218</v>
      </c>
      <c r="AJ88">
        <v>91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1:44" x14ac:dyDescent="0.2">
      <c r="A89">
        <f>ROW(Source!A333)</f>
        <v>333</v>
      </c>
      <c r="B89">
        <v>38217229</v>
      </c>
      <c r="C89">
        <v>38217210</v>
      </c>
      <c r="D89">
        <v>34884932</v>
      </c>
      <c r="E89">
        <v>1</v>
      </c>
      <c r="F89">
        <v>1</v>
      </c>
      <c r="G89">
        <v>25</v>
      </c>
      <c r="H89">
        <v>3</v>
      </c>
      <c r="I89" t="s">
        <v>440</v>
      </c>
      <c r="J89" t="s">
        <v>441</v>
      </c>
      <c r="K89" t="s">
        <v>442</v>
      </c>
      <c r="L89">
        <v>1301</v>
      </c>
      <c r="N89">
        <v>1003</v>
      </c>
      <c r="O89" t="s">
        <v>384</v>
      </c>
      <c r="P89" t="s">
        <v>384</v>
      </c>
      <c r="Q89">
        <v>1</v>
      </c>
      <c r="X89">
        <v>87</v>
      </c>
      <c r="Y89">
        <v>4886.66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0</v>
      </c>
      <c r="AF89" t="s">
        <v>3</v>
      </c>
      <c r="AG89">
        <v>87</v>
      </c>
      <c r="AH89">
        <v>2</v>
      </c>
      <c r="AI89">
        <v>38217219</v>
      </c>
      <c r="AJ89">
        <v>92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1:44" x14ac:dyDescent="0.2">
      <c r="A90">
        <f>ROW(Source!A333)</f>
        <v>333</v>
      </c>
      <c r="B90">
        <v>38217230</v>
      </c>
      <c r="C90">
        <v>38217210</v>
      </c>
      <c r="D90">
        <v>34884933</v>
      </c>
      <c r="E90">
        <v>1</v>
      </c>
      <c r="F90">
        <v>1</v>
      </c>
      <c r="G90">
        <v>25</v>
      </c>
      <c r="H90">
        <v>3</v>
      </c>
      <c r="I90" t="s">
        <v>443</v>
      </c>
      <c r="J90" t="s">
        <v>444</v>
      </c>
      <c r="K90" t="s">
        <v>445</v>
      </c>
      <c r="L90">
        <v>1354</v>
      </c>
      <c r="N90">
        <v>1010</v>
      </c>
      <c r="O90" t="s">
        <v>123</v>
      </c>
      <c r="P90" t="s">
        <v>123</v>
      </c>
      <c r="Q90">
        <v>1</v>
      </c>
      <c r="X90">
        <v>38</v>
      </c>
      <c r="Y90">
        <v>2843.73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</v>
      </c>
      <c r="AF90" t="s">
        <v>3</v>
      </c>
      <c r="AG90">
        <v>38</v>
      </c>
      <c r="AH90">
        <v>2</v>
      </c>
      <c r="AI90">
        <v>38217220</v>
      </c>
      <c r="AJ90">
        <v>93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1:44" x14ac:dyDescent="0.2">
      <c r="A91">
        <f>ROW(Source!A334)</f>
        <v>334</v>
      </c>
      <c r="B91">
        <v>38217238</v>
      </c>
      <c r="C91">
        <v>38217231</v>
      </c>
      <c r="D91">
        <v>34867259</v>
      </c>
      <c r="E91">
        <v>25</v>
      </c>
      <c r="F91">
        <v>1</v>
      </c>
      <c r="G91">
        <v>25</v>
      </c>
      <c r="H91">
        <v>1</v>
      </c>
      <c r="I91" t="s">
        <v>391</v>
      </c>
      <c r="J91" t="s">
        <v>3</v>
      </c>
      <c r="K91" t="s">
        <v>392</v>
      </c>
      <c r="L91">
        <v>1191</v>
      </c>
      <c r="N91">
        <v>1013</v>
      </c>
      <c r="O91" t="s">
        <v>393</v>
      </c>
      <c r="P91" t="s">
        <v>393</v>
      </c>
      <c r="Q91">
        <v>1</v>
      </c>
      <c r="X91">
        <v>2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1</v>
      </c>
      <c r="AF91" t="s">
        <v>3</v>
      </c>
      <c r="AG91">
        <v>2</v>
      </c>
      <c r="AH91">
        <v>2</v>
      </c>
      <c r="AI91">
        <v>38217232</v>
      </c>
      <c r="AJ91">
        <v>94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1:44" x14ac:dyDescent="0.2">
      <c r="A92">
        <f>ROW(Source!A334)</f>
        <v>334</v>
      </c>
      <c r="B92">
        <v>38217239</v>
      </c>
      <c r="C92">
        <v>38217231</v>
      </c>
      <c r="D92">
        <v>34879835</v>
      </c>
      <c r="E92">
        <v>1</v>
      </c>
      <c r="F92">
        <v>1</v>
      </c>
      <c r="G92">
        <v>25</v>
      </c>
      <c r="H92">
        <v>2</v>
      </c>
      <c r="I92" t="s">
        <v>446</v>
      </c>
      <c r="J92" t="s">
        <v>447</v>
      </c>
      <c r="K92" t="s">
        <v>448</v>
      </c>
      <c r="L92">
        <v>1368</v>
      </c>
      <c r="N92">
        <v>1011</v>
      </c>
      <c r="O92" t="s">
        <v>397</v>
      </c>
      <c r="P92" t="s">
        <v>397</v>
      </c>
      <c r="Q92">
        <v>1</v>
      </c>
      <c r="X92">
        <v>0.2</v>
      </c>
      <c r="Y92">
        <v>0</v>
      </c>
      <c r="Z92">
        <v>55</v>
      </c>
      <c r="AA92">
        <v>0.05</v>
      </c>
      <c r="AB92">
        <v>0</v>
      </c>
      <c r="AC92">
        <v>0</v>
      </c>
      <c r="AD92">
        <v>1</v>
      </c>
      <c r="AE92">
        <v>0</v>
      </c>
      <c r="AF92" t="s">
        <v>3</v>
      </c>
      <c r="AG92">
        <v>0.2</v>
      </c>
      <c r="AH92">
        <v>2</v>
      </c>
      <c r="AI92">
        <v>38217233</v>
      </c>
      <c r="AJ92">
        <v>95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1:44" x14ac:dyDescent="0.2">
      <c r="A93">
        <f>ROW(Source!A334)</f>
        <v>334</v>
      </c>
      <c r="B93">
        <v>38217240</v>
      </c>
      <c r="C93">
        <v>38217231</v>
      </c>
      <c r="D93">
        <v>34880186</v>
      </c>
      <c r="E93">
        <v>1</v>
      </c>
      <c r="F93">
        <v>1</v>
      </c>
      <c r="G93">
        <v>25</v>
      </c>
      <c r="H93">
        <v>2</v>
      </c>
      <c r="I93" t="s">
        <v>449</v>
      </c>
      <c r="J93" t="s">
        <v>450</v>
      </c>
      <c r="K93" t="s">
        <v>451</v>
      </c>
      <c r="L93">
        <v>1368</v>
      </c>
      <c r="N93">
        <v>1011</v>
      </c>
      <c r="O93" t="s">
        <v>397</v>
      </c>
      <c r="P93" t="s">
        <v>397</v>
      </c>
      <c r="Q93">
        <v>1</v>
      </c>
      <c r="X93">
        <v>1</v>
      </c>
      <c r="Y93">
        <v>0</v>
      </c>
      <c r="Z93">
        <v>619.44000000000005</v>
      </c>
      <c r="AA93">
        <v>393.66</v>
      </c>
      <c r="AB93">
        <v>0</v>
      </c>
      <c r="AC93">
        <v>0</v>
      </c>
      <c r="AD93">
        <v>1</v>
      </c>
      <c r="AE93">
        <v>0</v>
      </c>
      <c r="AF93" t="s">
        <v>3</v>
      </c>
      <c r="AG93">
        <v>1</v>
      </c>
      <c r="AH93">
        <v>2</v>
      </c>
      <c r="AI93">
        <v>38217234</v>
      </c>
      <c r="AJ93">
        <v>96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1:44" x14ac:dyDescent="0.2">
      <c r="A94">
        <f>ROW(Source!A334)</f>
        <v>334</v>
      </c>
      <c r="B94">
        <v>38217241</v>
      </c>
      <c r="C94">
        <v>38217231</v>
      </c>
      <c r="D94">
        <v>34880219</v>
      </c>
      <c r="E94">
        <v>1</v>
      </c>
      <c r="F94">
        <v>1</v>
      </c>
      <c r="G94">
        <v>25</v>
      </c>
      <c r="H94">
        <v>2</v>
      </c>
      <c r="I94" t="s">
        <v>425</v>
      </c>
      <c r="J94" t="s">
        <v>426</v>
      </c>
      <c r="K94" t="s">
        <v>427</v>
      </c>
      <c r="L94">
        <v>1368</v>
      </c>
      <c r="N94">
        <v>1011</v>
      </c>
      <c r="O94" t="s">
        <v>397</v>
      </c>
      <c r="P94" t="s">
        <v>397</v>
      </c>
      <c r="Q94">
        <v>1</v>
      </c>
      <c r="X94">
        <v>0.1</v>
      </c>
      <c r="Y94">
        <v>0</v>
      </c>
      <c r="Z94">
        <v>5.82</v>
      </c>
      <c r="AA94">
        <v>0.02</v>
      </c>
      <c r="AB94">
        <v>0</v>
      </c>
      <c r="AC94">
        <v>0</v>
      </c>
      <c r="AD94">
        <v>1</v>
      </c>
      <c r="AE94">
        <v>0</v>
      </c>
      <c r="AF94" t="s">
        <v>3</v>
      </c>
      <c r="AG94">
        <v>0.1</v>
      </c>
      <c r="AH94">
        <v>2</v>
      </c>
      <c r="AI94">
        <v>38217235</v>
      </c>
      <c r="AJ94">
        <v>97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1:44" x14ac:dyDescent="0.2">
      <c r="A95">
        <f>ROW(Source!A334)</f>
        <v>334</v>
      </c>
      <c r="B95">
        <v>38217242</v>
      </c>
      <c r="C95">
        <v>38217231</v>
      </c>
      <c r="D95">
        <v>34882179</v>
      </c>
      <c r="E95">
        <v>1</v>
      </c>
      <c r="F95">
        <v>1</v>
      </c>
      <c r="G95">
        <v>25</v>
      </c>
      <c r="H95">
        <v>3</v>
      </c>
      <c r="I95" t="s">
        <v>412</v>
      </c>
      <c r="J95" t="s">
        <v>413</v>
      </c>
      <c r="K95" t="s">
        <v>414</v>
      </c>
      <c r="L95">
        <v>1348</v>
      </c>
      <c r="N95">
        <v>1009</v>
      </c>
      <c r="O95" t="s">
        <v>30</v>
      </c>
      <c r="P95" t="s">
        <v>30</v>
      </c>
      <c r="Q95">
        <v>1000</v>
      </c>
      <c r="X95">
        <v>5.0000000000000002E-5</v>
      </c>
      <c r="Y95">
        <v>110728.72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F95" t="s">
        <v>3</v>
      </c>
      <c r="AG95">
        <v>5.0000000000000002E-5</v>
      </c>
      <c r="AH95">
        <v>2</v>
      </c>
      <c r="AI95">
        <v>38217236</v>
      </c>
      <c r="AJ95">
        <v>98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1:44" x14ac:dyDescent="0.2">
      <c r="A96">
        <f>ROW(Source!A334)</f>
        <v>334</v>
      </c>
      <c r="B96">
        <v>38217243</v>
      </c>
      <c r="C96">
        <v>38217231</v>
      </c>
      <c r="D96">
        <v>34885071</v>
      </c>
      <c r="E96">
        <v>1</v>
      </c>
      <c r="F96">
        <v>1</v>
      </c>
      <c r="G96">
        <v>25</v>
      </c>
      <c r="H96">
        <v>3</v>
      </c>
      <c r="I96" t="s">
        <v>452</v>
      </c>
      <c r="J96" t="s">
        <v>453</v>
      </c>
      <c r="K96" t="s">
        <v>454</v>
      </c>
      <c r="L96">
        <v>1354</v>
      </c>
      <c r="N96">
        <v>1010</v>
      </c>
      <c r="O96" t="s">
        <v>123</v>
      </c>
      <c r="P96" t="s">
        <v>123</v>
      </c>
      <c r="Q96">
        <v>1</v>
      </c>
      <c r="X96">
        <v>1</v>
      </c>
      <c r="Y96">
        <v>52.44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0</v>
      </c>
      <c r="AF96" t="s">
        <v>3</v>
      </c>
      <c r="AG96">
        <v>1</v>
      </c>
      <c r="AH96">
        <v>2</v>
      </c>
      <c r="AI96">
        <v>38217237</v>
      </c>
      <c r="AJ96">
        <v>99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2">
      <c r="A97">
        <f>ROW(Source!A373)</f>
        <v>373</v>
      </c>
      <c r="B97">
        <v>38217110</v>
      </c>
      <c r="C97">
        <v>38217106</v>
      </c>
      <c r="D97">
        <v>34867259</v>
      </c>
      <c r="E97">
        <v>25</v>
      </c>
      <c r="F97">
        <v>1</v>
      </c>
      <c r="G97">
        <v>25</v>
      </c>
      <c r="H97">
        <v>1</v>
      </c>
      <c r="I97" t="s">
        <v>391</v>
      </c>
      <c r="J97" t="s">
        <v>3</v>
      </c>
      <c r="K97" t="s">
        <v>392</v>
      </c>
      <c r="L97">
        <v>1191</v>
      </c>
      <c r="N97">
        <v>1013</v>
      </c>
      <c r="O97" t="s">
        <v>393</v>
      </c>
      <c r="P97" t="s">
        <v>393</v>
      </c>
      <c r="Q97">
        <v>1</v>
      </c>
      <c r="X97">
        <v>3.39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1</v>
      </c>
      <c r="AF97" t="s">
        <v>3</v>
      </c>
      <c r="AG97">
        <v>3.39</v>
      </c>
      <c r="AH97">
        <v>2</v>
      </c>
      <c r="AI97">
        <v>38217107</v>
      </c>
      <c r="AJ97">
        <v>100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2">
      <c r="A98">
        <f>ROW(Source!A373)</f>
        <v>373</v>
      </c>
      <c r="B98">
        <v>38217111</v>
      </c>
      <c r="C98">
        <v>38217106</v>
      </c>
      <c r="D98">
        <v>34879395</v>
      </c>
      <c r="E98">
        <v>1</v>
      </c>
      <c r="F98">
        <v>1</v>
      </c>
      <c r="G98">
        <v>25</v>
      </c>
      <c r="H98">
        <v>2</v>
      </c>
      <c r="I98" t="s">
        <v>455</v>
      </c>
      <c r="J98" t="s">
        <v>456</v>
      </c>
      <c r="K98" t="s">
        <v>457</v>
      </c>
      <c r="L98">
        <v>1368</v>
      </c>
      <c r="N98">
        <v>1011</v>
      </c>
      <c r="O98" t="s">
        <v>397</v>
      </c>
      <c r="P98" t="s">
        <v>397</v>
      </c>
      <c r="Q98">
        <v>1</v>
      </c>
      <c r="X98">
        <v>9.27</v>
      </c>
      <c r="Y98">
        <v>0</v>
      </c>
      <c r="Z98">
        <v>561.44000000000005</v>
      </c>
      <c r="AA98">
        <v>421.15</v>
      </c>
      <c r="AB98">
        <v>0</v>
      </c>
      <c r="AC98">
        <v>0</v>
      </c>
      <c r="AD98">
        <v>1</v>
      </c>
      <c r="AE98">
        <v>0</v>
      </c>
      <c r="AF98" t="s">
        <v>3</v>
      </c>
      <c r="AG98">
        <v>9.27</v>
      </c>
      <c r="AH98">
        <v>2</v>
      </c>
      <c r="AI98">
        <v>38217108</v>
      </c>
      <c r="AJ98">
        <v>101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2">
      <c r="A99">
        <f>ROW(Source!A373)</f>
        <v>373</v>
      </c>
      <c r="B99">
        <v>38217112</v>
      </c>
      <c r="C99">
        <v>38217106</v>
      </c>
      <c r="D99">
        <v>34879407</v>
      </c>
      <c r="E99">
        <v>1</v>
      </c>
      <c r="F99">
        <v>1</v>
      </c>
      <c r="G99">
        <v>25</v>
      </c>
      <c r="H99">
        <v>2</v>
      </c>
      <c r="I99" t="s">
        <v>458</v>
      </c>
      <c r="J99" t="s">
        <v>459</v>
      </c>
      <c r="K99" t="s">
        <v>460</v>
      </c>
      <c r="L99">
        <v>1368</v>
      </c>
      <c r="N99">
        <v>1011</v>
      </c>
      <c r="O99" t="s">
        <v>397</v>
      </c>
      <c r="P99" t="s">
        <v>397</v>
      </c>
      <c r="Q99">
        <v>1</v>
      </c>
      <c r="X99">
        <v>2.12</v>
      </c>
      <c r="Y99">
        <v>0</v>
      </c>
      <c r="Z99">
        <v>741.47</v>
      </c>
      <c r="AA99">
        <v>377.09</v>
      </c>
      <c r="AB99">
        <v>0</v>
      </c>
      <c r="AC99">
        <v>0</v>
      </c>
      <c r="AD99">
        <v>1</v>
      </c>
      <c r="AE99">
        <v>0</v>
      </c>
      <c r="AF99" t="s">
        <v>3</v>
      </c>
      <c r="AG99">
        <v>2.12</v>
      </c>
      <c r="AH99">
        <v>2</v>
      </c>
      <c r="AI99">
        <v>38217109</v>
      </c>
      <c r="AJ99">
        <v>102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4" x14ac:dyDescent="0.2">
      <c r="A100">
        <f>ROW(Source!A374)</f>
        <v>374</v>
      </c>
      <c r="B100">
        <v>38217115</v>
      </c>
      <c r="C100">
        <v>38217113</v>
      </c>
      <c r="D100">
        <v>34867259</v>
      </c>
      <c r="E100">
        <v>25</v>
      </c>
      <c r="F100">
        <v>1</v>
      </c>
      <c r="G100">
        <v>25</v>
      </c>
      <c r="H100">
        <v>1</v>
      </c>
      <c r="I100" t="s">
        <v>391</v>
      </c>
      <c r="J100" t="s">
        <v>3</v>
      </c>
      <c r="K100" t="s">
        <v>392</v>
      </c>
      <c r="L100">
        <v>1191</v>
      </c>
      <c r="N100">
        <v>1013</v>
      </c>
      <c r="O100" t="s">
        <v>393</v>
      </c>
      <c r="P100" t="s">
        <v>393</v>
      </c>
      <c r="Q100">
        <v>1</v>
      </c>
      <c r="X100">
        <v>221.6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1</v>
      </c>
      <c r="AF100" t="s">
        <v>3</v>
      </c>
      <c r="AG100">
        <v>221.6</v>
      </c>
      <c r="AH100">
        <v>2</v>
      </c>
      <c r="AI100">
        <v>38217114</v>
      </c>
      <c r="AJ100">
        <v>103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4" x14ac:dyDescent="0.2">
      <c r="A101">
        <f>ROW(Source!A375)</f>
        <v>375</v>
      </c>
      <c r="B101">
        <v>38217118</v>
      </c>
      <c r="C101">
        <v>38217116</v>
      </c>
      <c r="D101">
        <v>34879386</v>
      </c>
      <c r="E101">
        <v>1</v>
      </c>
      <c r="F101">
        <v>1</v>
      </c>
      <c r="G101">
        <v>25</v>
      </c>
      <c r="H101">
        <v>2</v>
      </c>
      <c r="I101" t="s">
        <v>461</v>
      </c>
      <c r="J101" t="s">
        <v>462</v>
      </c>
      <c r="K101" t="s">
        <v>463</v>
      </c>
      <c r="L101">
        <v>1368</v>
      </c>
      <c r="N101">
        <v>1011</v>
      </c>
      <c r="O101" t="s">
        <v>397</v>
      </c>
      <c r="P101" t="s">
        <v>397</v>
      </c>
      <c r="Q101">
        <v>1</v>
      </c>
      <c r="X101">
        <v>5.3699999999999998E-2</v>
      </c>
      <c r="Y101">
        <v>0</v>
      </c>
      <c r="Z101">
        <v>1367.15</v>
      </c>
      <c r="AA101">
        <v>410.31</v>
      </c>
      <c r="AB101">
        <v>0</v>
      </c>
      <c r="AC101">
        <v>0</v>
      </c>
      <c r="AD101">
        <v>1</v>
      </c>
      <c r="AE101">
        <v>0</v>
      </c>
      <c r="AF101" t="s">
        <v>3</v>
      </c>
      <c r="AG101">
        <v>5.3699999999999998E-2</v>
      </c>
      <c r="AH101">
        <v>2</v>
      </c>
      <c r="AI101">
        <v>38217117</v>
      </c>
      <c r="AJ101">
        <v>104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</row>
    <row r="102" spans="1:44" x14ac:dyDescent="0.2">
      <c r="A102">
        <f>ROW(Source!A376)</f>
        <v>376</v>
      </c>
      <c r="B102">
        <v>38217121</v>
      </c>
      <c r="C102">
        <v>38217119</v>
      </c>
      <c r="D102">
        <v>34867259</v>
      </c>
      <c r="E102">
        <v>25</v>
      </c>
      <c r="F102">
        <v>1</v>
      </c>
      <c r="G102">
        <v>25</v>
      </c>
      <c r="H102">
        <v>1</v>
      </c>
      <c r="I102" t="s">
        <v>391</v>
      </c>
      <c r="J102" t="s">
        <v>3</v>
      </c>
      <c r="K102" t="s">
        <v>392</v>
      </c>
      <c r="L102">
        <v>1191</v>
      </c>
      <c r="N102">
        <v>1013</v>
      </c>
      <c r="O102" t="s">
        <v>393</v>
      </c>
      <c r="P102" t="s">
        <v>393</v>
      </c>
      <c r="Q102">
        <v>1</v>
      </c>
      <c r="X102">
        <v>1.02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1</v>
      </c>
      <c r="AF102" t="s">
        <v>3</v>
      </c>
      <c r="AG102">
        <v>1.02</v>
      </c>
      <c r="AH102">
        <v>2</v>
      </c>
      <c r="AI102">
        <v>38217120</v>
      </c>
      <c r="AJ102">
        <v>105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</row>
    <row r="103" spans="1:44" x14ac:dyDescent="0.2">
      <c r="A103">
        <f>ROW(Source!A377)</f>
        <v>377</v>
      </c>
      <c r="B103">
        <v>38217125</v>
      </c>
      <c r="C103">
        <v>38217122</v>
      </c>
      <c r="D103">
        <v>34880178</v>
      </c>
      <c r="E103">
        <v>1</v>
      </c>
      <c r="F103">
        <v>1</v>
      </c>
      <c r="G103">
        <v>25</v>
      </c>
      <c r="H103">
        <v>2</v>
      </c>
      <c r="I103" t="s">
        <v>400</v>
      </c>
      <c r="J103" t="s">
        <v>401</v>
      </c>
      <c r="K103" t="s">
        <v>402</v>
      </c>
      <c r="L103">
        <v>1368</v>
      </c>
      <c r="N103">
        <v>1011</v>
      </c>
      <c r="O103" t="s">
        <v>397</v>
      </c>
      <c r="P103" t="s">
        <v>397</v>
      </c>
      <c r="Q103">
        <v>1</v>
      </c>
      <c r="X103">
        <v>0.02</v>
      </c>
      <c r="Y103">
        <v>0</v>
      </c>
      <c r="Z103">
        <v>905.74</v>
      </c>
      <c r="AA103">
        <v>271.23</v>
      </c>
      <c r="AB103">
        <v>0</v>
      </c>
      <c r="AC103">
        <v>0</v>
      </c>
      <c r="AD103">
        <v>1</v>
      </c>
      <c r="AE103">
        <v>0</v>
      </c>
      <c r="AF103" t="s">
        <v>3</v>
      </c>
      <c r="AG103">
        <v>0.02</v>
      </c>
      <c r="AH103">
        <v>2</v>
      </c>
      <c r="AI103">
        <v>38217123</v>
      </c>
      <c r="AJ103">
        <v>106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</row>
    <row r="104" spans="1:44" x14ac:dyDescent="0.2">
      <c r="A104">
        <f>ROW(Source!A377)</f>
        <v>377</v>
      </c>
      <c r="B104">
        <v>38217126</v>
      </c>
      <c r="C104">
        <v>38217122</v>
      </c>
      <c r="D104">
        <v>34880179</v>
      </c>
      <c r="E104">
        <v>1</v>
      </c>
      <c r="F104">
        <v>1</v>
      </c>
      <c r="G104">
        <v>25</v>
      </c>
      <c r="H104">
        <v>2</v>
      </c>
      <c r="I104" t="s">
        <v>403</v>
      </c>
      <c r="J104" t="s">
        <v>404</v>
      </c>
      <c r="K104" t="s">
        <v>405</v>
      </c>
      <c r="L104">
        <v>1368</v>
      </c>
      <c r="N104">
        <v>1011</v>
      </c>
      <c r="O104" t="s">
        <v>397</v>
      </c>
      <c r="P104" t="s">
        <v>397</v>
      </c>
      <c r="Q104">
        <v>1</v>
      </c>
      <c r="X104">
        <v>1.7999999999999999E-2</v>
      </c>
      <c r="Y104">
        <v>0</v>
      </c>
      <c r="Z104">
        <v>950.87</v>
      </c>
      <c r="AA104">
        <v>271.5</v>
      </c>
      <c r="AB104">
        <v>0</v>
      </c>
      <c r="AC104">
        <v>0</v>
      </c>
      <c r="AD104">
        <v>1</v>
      </c>
      <c r="AE104">
        <v>0</v>
      </c>
      <c r="AF104" t="s">
        <v>3</v>
      </c>
      <c r="AG104">
        <v>1.7999999999999999E-2</v>
      </c>
      <c r="AH104">
        <v>2</v>
      </c>
      <c r="AI104">
        <v>38217124</v>
      </c>
      <c r="AJ104">
        <v>107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</row>
    <row r="105" spans="1:44" x14ac:dyDescent="0.2">
      <c r="A105">
        <f>ROW(Source!A378)</f>
        <v>378</v>
      </c>
      <c r="B105">
        <v>38217130</v>
      </c>
      <c r="C105">
        <v>38217127</v>
      </c>
      <c r="D105">
        <v>34880178</v>
      </c>
      <c r="E105">
        <v>1</v>
      </c>
      <c r="F105">
        <v>1</v>
      </c>
      <c r="G105">
        <v>25</v>
      </c>
      <c r="H105">
        <v>2</v>
      </c>
      <c r="I105" t="s">
        <v>400</v>
      </c>
      <c r="J105" t="s">
        <v>401</v>
      </c>
      <c r="K105" t="s">
        <v>402</v>
      </c>
      <c r="L105">
        <v>1368</v>
      </c>
      <c r="N105">
        <v>1011</v>
      </c>
      <c r="O105" t="s">
        <v>397</v>
      </c>
      <c r="P105" t="s">
        <v>397</v>
      </c>
      <c r="Q105">
        <v>1</v>
      </c>
      <c r="X105">
        <v>5.3999999999999999E-2</v>
      </c>
      <c r="Y105">
        <v>0</v>
      </c>
      <c r="Z105">
        <v>905.74</v>
      </c>
      <c r="AA105">
        <v>271.23</v>
      </c>
      <c r="AB105">
        <v>0</v>
      </c>
      <c r="AC105">
        <v>0</v>
      </c>
      <c r="AD105">
        <v>1</v>
      </c>
      <c r="AE105">
        <v>0</v>
      </c>
      <c r="AF105" t="s">
        <v>3</v>
      </c>
      <c r="AG105">
        <v>5.3999999999999999E-2</v>
      </c>
      <c r="AH105">
        <v>2</v>
      </c>
      <c r="AI105">
        <v>38217128</v>
      </c>
      <c r="AJ105">
        <v>108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</row>
    <row r="106" spans="1:44" x14ac:dyDescent="0.2">
      <c r="A106">
        <f>ROW(Source!A378)</f>
        <v>378</v>
      </c>
      <c r="B106">
        <v>38217131</v>
      </c>
      <c r="C106">
        <v>38217127</v>
      </c>
      <c r="D106">
        <v>34880179</v>
      </c>
      <c r="E106">
        <v>1</v>
      </c>
      <c r="F106">
        <v>1</v>
      </c>
      <c r="G106">
        <v>25</v>
      </c>
      <c r="H106">
        <v>2</v>
      </c>
      <c r="I106" t="s">
        <v>403</v>
      </c>
      <c r="J106" t="s">
        <v>404</v>
      </c>
      <c r="K106" t="s">
        <v>405</v>
      </c>
      <c r="L106">
        <v>1368</v>
      </c>
      <c r="N106">
        <v>1011</v>
      </c>
      <c r="O106" t="s">
        <v>397</v>
      </c>
      <c r="P106" t="s">
        <v>397</v>
      </c>
      <c r="Q106">
        <v>1</v>
      </c>
      <c r="X106">
        <v>5.5E-2</v>
      </c>
      <c r="Y106">
        <v>0</v>
      </c>
      <c r="Z106">
        <v>950.87</v>
      </c>
      <c r="AA106">
        <v>271.5</v>
      </c>
      <c r="AB106">
        <v>0</v>
      </c>
      <c r="AC106">
        <v>0</v>
      </c>
      <c r="AD106">
        <v>1</v>
      </c>
      <c r="AE106">
        <v>0</v>
      </c>
      <c r="AF106" t="s">
        <v>3</v>
      </c>
      <c r="AG106">
        <v>5.5E-2</v>
      </c>
      <c r="AH106">
        <v>2</v>
      </c>
      <c r="AI106">
        <v>38217129</v>
      </c>
      <c r="AJ106">
        <v>109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</row>
    <row r="107" spans="1:44" x14ac:dyDescent="0.2">
      <c r="A107">
        <f>ROW(Source!A379)</f>
        <v>379</v>
      </c>
      <c r="B107">
        <v>38217135</v>
      </c>
      <c r="C107">
        <v>38217132</v>
      </c>
      <c r="D107">
        <v>34880178</v>
      </c>
      <c r="E107">
        <v>1</v>
      </c>
      <c r="F107">
        <v>1</v>
      </c>
      <c r="G107">
        <v>25</v>
      </c>
      <c r="H107">
        <v>2</v>
      </c>
      <c r="I107" t="s">
        <v>400</v>
      </c>
      <c r="J107" t="s">
        <v>401</v>
      </c>
      <c r="K107" t="s">
        <v>402</v>
      </c>
      <c r="L107">
        <v>1368</v>
      </c>
      <c r="N107">
        <v>1011</v>
      </c>
      <c r="O107" t="s">
        <v>397</v>
      </c>
      <c r="P107" t="s">
        <v>397</v>
      </c>
      <c r="Q107">
        <v>1</v>
      </c>
      <c r="X107">
        <v>0.01</v>
      </c>
      <c r="Y107">
        <v>0</v>
      </c>
      <c r="Z107">
        <v>905.74</v>
      </c>
      <c r="AA107">
        <v>271.23</v>
      </c>
      <c r="AB107">
        <v>0</v>
      </c>
      <c r="AC107">
        <v>0</v>
      </c>
      <c r="AD107">
        <v>1</v>
      </c>
      <c r="AE107">
        <v>0</v>
      </c>
      <c r="AF107" t="s">
        <v>201</v>
      </c>
      <c r="AG107">
        <v>0.16</v>
      </c>
      <c r="AH107">
        <v>2</v>
      </c>
      <c r="AI107">
        <v>38217133</v>
      </c>
      <c r="AJ107">
        <v>110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</row>
    <row r="108" spans="1:44" x14ac:dyDescent="0.2">
      <c r="A108">
        <f>ROW(Source!A379)</f>
        <v>379</v>
      </c>
      <c r="B108">
        <v>38217136</v>
      </c>
      <c r="C108">
        <v>38217132</v>
      </c>
      <c r="D108">
        <v>34880179</v>
      </c>
      <c r="E108">
        <v>1</v>
      </c>
      <c r="F108">
        <v>1</v>
      </c>
      <c r="G108">
        <v>25</v>
      </c>
      <c r="H108">
        <v>2</v>
      </c>
      <c r="I108" t="s">
        <v>403</v>
      </c>
      <c r="J108" t="s">
        <v>404</v>
      </c>
      <c r="K108" t="s">
        <v>405</v>
      </c>
      <c r="L108">
        <v>1368</v>
      </c>
      <c r="N108">
        <v>1011</v>
      </c>
      <c r="O108" t="s">
        <v>397</v>
      </c>
      <c r="P108" t="s">
        <v>397</v>
      </c>
      <c r="Q108">
        <v>1</v>
      </c>
      <c r="X108">
        <v>8.0000000000000002E-3</v>
      </c>
      <c r="Y108">
        <v>0</v>
      </c>
      <c r="Z108">
        <v>950.87</v>
      </c>
      <c r="AA108">
        <v>271.5</v>
      </c>
      <c r="AB108">
        <v>0</v>
      </c>
      <c r="AC108">
        <v>0</v>
      </c>
      <c r="AD108">
        <v>1</v>
      </c>
      <c r="AE108">
        <v>0</v>
      </c>
      <c r="AF108" t="s">
        <v>201</v>
      </c>
      <c r="AG108">
        <v>0.128</v>
      </c>
      <c r="AH108">
        <v>2</v>
      </c>
      <c r="AI108">
        <v>38217134</v>
      </c>
      <c r="AJ108">
        <v>111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</row>
    <row r="109" spans="1:44" x14ac:dyDescent="0.2">
      <c r="A109">
        <f>ROW(Source!A384)</f>
        <v>384</v>
      </c>
      <c r="B109">
        <v>38217150</v>
      </c>
      <c r="C109">
        <v>38217141</v>
      </c>
      <c r="D109">
        <v>34867259</v>
      </c>
      <c r="E109">
        <v>25</v>
      </c>
      <c r="F109">
        <v>1</v>
      </c>
      <c r="G109">
        <v>25</v>
      </c>
      <c r="H109">
        <v>1</v>
      </c>
      <c r="I109" t="s">
        <v>391</v>
      </c>
      <c r="J109" t="s">
        <v>3</v>
      </c>
      <c r="K109" t="s">
        <v>392</v>
      </c>
      <c r="L109">
        <v>1191</v>
      </c>
      <c r="N109">
        <v>1013</v>
      </c>
      <c r="O109" t="s">
        <v>393</v>
      </c>
      <c r="P109" t="s">
        <v>393</v>
      </c>
      <c r="Q109">
        <v>1</v>
      </c>
      <c r="X109">
        <v>16.559999999999999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1</v>
      </c>
      <c r="AF109" t="s">
        <v>3</v>
      </c>
      <c r="AG109">
        <v>16.559999999999999</v>
      </c>
      <c r="AH109">
        <v>2</v>
      </c>
      <c r="AI109">
        <v>38217142</v>
      </c>
      <c r="AJ109">
        <v>112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</row>
    <row r="110" spans="1:44" x14ac:dyDescent="0.2">
      <c r="A110">
        <f>ROW(Source!A384)</f>
        <v>384</v>
      </c>
      <c r="B110">
        <v>38217151</v>
      </c>
      <c r="C110">
        <v>38217141</v>
      </c>
      <c r="D110">
        <v>34879430</v>
      </c>
      <c r="E110">
        <v>1</v>
      </c>
      <c r="F110">
        <v>1</v>
      </c>
      <c r="G110">
        <v>25</v>
      </c>
      <c r="H110">
        <v>2</v>
      </c>
      <c r="I110" t="s">
        <v>464</v>
      </c>
      <c r="J110" t="s">
        <v>465</v>
      </c>
      <c r="K110" t="s">
        <v>466</v>
      </c>
      <c r="L110">
        <v>1368</v>
      </c>
      <c r="N110">
        <v>1011</v>
      </c>
      <c r="O110" t="s">
        <v>397</v>
      </c>
      <c r="P110" t="s">
        <v>397</v>
      </c>
      <c r="Q110">
        <v>1</v>
      </c>
      <c r="X110">
        <v>2.08</v>
      </c>
      <c r="Y110">
        <v>0</v>
      </c>
      <c r="Z110">
        <v>1159.46</v>
      </c>
      <c r="AA110">
        <v>525.74</v>
      </c>
      <c r="AB110">
        <v>0</v>
      </c>
      <c r="AC110">
        <v>0</v>
      </c>
      <c r="AD110">
        <v>1</v>
      </c>
      <c r="AE110">
        <v>0</v>
      </c>
      <c r="AF110" t="s">
        <v>3</v>
      </c>
      <c r="AG110">
        <v>2.08</v>
      </c>
      <c r="AH110">
        <v>2</v>
      </c>
      <c r="AI110">
        <v>38217143</v>
      </c>
      <c r="AJ110">
        <v>113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</row>
    <row r="111" spans="1:44" x14ac:dyDescent="0.2">
      <c r="A111">
        <f>ROW(Source!A384)</f>
        <v>384</v>
      </c>
      <c r="B111">
        <v>38217152</v>
      </c>
      <c r="C111">
        <v>38217141</v>
      </c>
      <c r="D111">
        <v>34879585</v>
      </c>
      <c r="E111">
        <v>1</v>
      </c>
      <c r="F111">
        <v>1</v>
      </c>
      <c r="G111">
        <v>25</v>
      </c>
      <c r="H111">
        <v>2</v>
      </c>
      <c r="I111" t="s">
        <v>467</v>
      </c>
      <c r="J111" t="s">
        <v>468</v>
      </c>
      <c r="K111" t="s">
        <v>469</v>
      </c>
      <c r="L111">
        <v>1368</v>
      </c>
      <c r="N111">
        <v>1011</v>
      </c>
      <c r="O111" t="s">
        <v>397</v>
      </c>
      <c r="P111" t="s">
        <v>397</v>
      </c>
      <c r="Q111">
        <v>1</v>
      </c>
      <c r="X111">
        <v>2.08</v>
      </c>
      <c r="Y111">
        <v>0</v>
      </c>
      <c r="Z111">
        <v>416.25</v>
      </c>
      <c r="AA111">
        <v>204.9</v>
      </c>
      <c r="AB111">
        <v>0</v>
      </c>
      <c r="AC111">
        <v>0</v>
      </c>
      <c r="AD111">
        <v>1</v>
      </c>
      <c r="AE111">
        <v>0</v>
      </c>
      <c r="AF111" t="s">
        <v>3</v>
      </c>
      <c r="AG111">
        <v>2.08</v>
      </c>
      <c r="AH111">
        <v>2</v>
      </c>
      <c r="AI111">
        <v>38217144</v>
      </c>
      <c r="AJ111">
        <v>114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</row>
    <row r="112" spans="1:44" x14ac:dyDescent="0.2">
      <c r="A112">
        <f>ROW(Source!A384)</f>
        <v>384</v>
      </c>
      <c r="B112">
        <v>38217153</v>
      </c>
      <c r="C112">
        <v>38217141</v>
      </c>
      <c r="D112">
        <v>34879588</v>
      </c>
      <c r="E112">
        <v>1</v>
      </c>
      <c r="F112">
        <v>1</v>
      </c>
      <c r="G112">
        <v>25</v>
      </c>
      <c r="H112">
        <v>2</v>
      </c>
      <c r="I112" t="s">
        <v>470</v>
      </c>
      <c r="J112" t="s">
        <v>471</v>
      </c>
      <c r="K112" t="s">
        <v>472</v>
      </c>
      <c r="L112">
        <v>1368</v>
      </c>
      <c r="N112">
        <v>1011</v>
      </c>
      <c r="O112" t="s">
        <v>397</v>
      </c>
      <c r="P112" t="s">
        <v>397</v>
      </c>
      <c r="Q112">
        <v>1</v>
      </c>
      <c r="X112">
        <v>0.81</v>
      </c>
      <c r="Y112">
        <v>0</v>
      </c>
      <c r="Z112">
        <v>1942.21</v>
      </c>
      <c r="AA112">
        <v>436.39</v>
      </c>
      <c r="AB112">
        <v>0</v>
      </c>
      <c r="AC112">
        <v>0</v>
      </c>
      <c r="AD112">
        <v>1</v>
      </c>
      <c r="AE112">
        <v>0</v>
      </c>
      <c r="AF112" t="s">
        <v>3</v>
      </c>
      <c r="AG112">
        <v>0.81</v>
      </c>
      <c r="AH112">
        <v>2</v>
      </c>
      <c r="AI112">
        <v>38217145</v>
      </c>
      <c r="AJ112">
        <v>115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</row>
    <row r="113" spans="1:44" x14ac:dyDescent="0.2">
      <c r="A113">
        <f>ROW(Source!A384)</f>
        <v>384</v>
      </c>
      <c r="B113">
        <v>38217154</v>
      </c>
      <c r="C113">
        <v>38217141</v>
      </c>
      <c r="D113">
        <v>34879612</v>
      </c>
      <c r="E113">
        <v>1</v>
      </c>
      <c r="F113">
        <v>1</v>
      </c>
      <c r="G113">
        <v>25</v>
      </c>
      <c r="H113">
        <v>2</v>
      </c>
      <c r="I113" t="s">
        <v>473</v>
      </c>
      <c r="J113" t="s">
        <v>474</v>
      </c>
      <c r="K113" t="s">
        <v>475</v>
      </c>
      <c r="L113">
        <v>1368</v>
      </c>
      <c r="N113">
        <v>1011</v>
      </c>
      <c r="O113" t="s">
        <v>397</v>
      </c>
      <c r="P113" t="s">
        <v>397</v>
      </c>
      <c r="Q113">
        <v>1</v>
      </c>
      <c r="X113">
        <v>1.94</v>
      </c>
      <c r="Y113">
        <v>0</v>
      </c>
      <c r="Z113">
        <v>1364.77</v>
      </c>
      <c r="AA113">
        <v>610.30999999999995</v>
      </c>
      <c r="AB113">
        <v>0</v>
      </c>
      <c r="AC113">
        <v>0</v>
      </c>
      <c r="AD113">
        <v>1</v>
      </c>
      <c r="AE113">
        <v>0</v>
      </c>
      <c r="AF113" t="s">
        <v>3</v>
      </c>
      <c r="AG113">
        <v>1.94</v>
      </c>
      <c r="AH113">
        <v>2</v>
      </c>
      <c r="AI113">
        <v>38217146</v>
      </c>
      <c r="AJ113">
        <v>116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</row>
    <row r="114" spans="1:44" x14ac:dyDescent="0.2">
      <c r="A114">
        <f>ROW(Source!A384)</f>
        <v>384</v>
      </c>
      <c r="B114">
        <v>38217155</v>
      </c>
      <c r="C114">
        <v>38217141</v>
      </c>
      <c r="D114">
        <v>34879578</v>
      </c>
      <c r="E114">
        <v>1</v>
      </c>
      <c r="F114">
        <v>1</v>
      </c>
      <c r="G114">
        <v>25</v>
      </c>
      <c r="H114">
        <v>2</v>
      </c>
      <c r="I114" t="s">
        <v>476</v>
      </c>
      <c r="J114" t="s">
        <v>477</v>
      </c>
      <c r="K114" t="s">
        <v>478</v>
      </c>
      <c r="L114">
        <v>1368</v>
      </c>
      <c r="N114">
        <v>1011</v>
      </c>
      <c r="O114" t="s">
        <v>397</v>
      </c>
      <c r="P114" t="s">
        <v>397</v>
      </c>
      <c r="Q114">
        <v>1</v>
      </c>
      <c r="X114">
        <v>0.65</v>
      </c>
      <c r="Y114">
        <v>0</v>
      </c>
      <c r="Z114">
        <v>1179.56</v>
      </c>
      <c r="AA114">
        <v>439.28</v>
      </c>
      <c r="AB114">
        <v>0</v>
      </c>
      <c r="AC114">
        <v>0</v>
      </c>
      <c r="AD114">
        <v>1</v>
      </c>
      <c r="AE114">
        <v>0</v>
      </c>
      <c r="AF114" t="s">
        <v>3</v>
      </c>
      <c r="AG114">
        <v>0.65</v>
      </c>
      <c r="AH114">
        <v>2</v>
      </c>
      <c r="AI114">
        <v>38217147</v>
      </c>
      <c r="AJ114">
        <v>117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</row>
    <row r="115" spans="1:44" x14ac:dyDescent="0.2">
      <c r="A115">
        <f>ROW(Source!A384)</f>
        <v>384</v>
      </c>
      <c r="B115">
        <v>38217156</v>
      </c>
      <c r="C115">
        <v>38217141</v>
      </c>
      <c r="D115">
        <v>34881527</v>
      </c>
      <c r="E115">
        <v>1</v>
      </c>
      <c r="F115">
        <v>1</v>
      </c>
      <c r="G115">
        <v>25</v>
      </c>
      <c r="H115">
        <v>3</v>
      </c>
      <c r="I115" t="s">
        <v>479</v>
      </c>
      <c r="J115" t="s">
        <v>480</v>
      </c>
      <c r="K115" t="s">
        <v>481</v>
      </c>
      <c r="L115">
        <v>1339</v>
      </c>
      <c r="N115">
        <v>1007</v>
      </c>
      <c r="O115" t="s">
        <v>206</v>
      </c>
      <c r="P115" t="s">
        <v>206</v>
      </c>
      <c r="Q115">
        <v>1</v>
      </c>
      <c r="X115">
        <v>110</v>
      </c>
      <c r="Y115">
        <v>590.78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 t="s">
        <v>3</v>
      </c>
      <c r="AG115">
        <v>110</v>
      </c>
      <c r="AH115">
        <v>2</v>
      </c>
      <c r="AI115">
        <v>38217148</v>
      </c>
      <c r="AJ115">
        <v>118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</row>
    <row r="116" spans="1:44" x14ac:dyDescent="0.2">
      <c r="A116">
        <f>ROW(Source!A384)</f>
        <v>384</v>
      </c>
      <c r="B116">
        <v>38217157</v>
      </c>
      <c r="C116">
        <v>38217141</v>
      </c>
      <c r="D116">
        <v>34882270</v>
      </c>
      <c r="E116">
        <v>1</v>
      </c>
      <c r="F116">
        <v>1</v>
      </c>
      <c r="G116">
        <v>25</v>
      </c>
      <c r="H116">
        <v>3</v>
      </c>
      <c r="I116" t="s">
        <v>482</v>
      </c>
      <c r="J116" t="s">
        <v>483</v>
      </c>
      <c r="K116" t="s">
        <v>484</v>
      </c>
      <c r="L116">
        <v>1339</v>
      </c>
      <c r="N116">
        <v>1007</v>
      </c>
      <c r="O116" t="s">
        <v>206</v>
      </c>
      <c r="P116" t="s">
        <v>206</v>
      </c>
      <c r="Q116">
        <v>1</v>
      </c>
      <c r="X116">
        <v>5</v>
      </c>
      <c r="Y116">
        <v>33.729999999999997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0</v>
      </c>
      <c r="AF116" t="s">
        <v>3</v>
      </c>
      <c r="AG116">
        <v>5</v>
      </c>
      <c r="AH116">
        <v>2</v>
      </c>
      <c r="AI116">
        <v>38217149</v>
      </c>
      <c r="AJ116">
        <v>119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</row>
    <row r="117" spans="1:44" x14ac:dyDescent="0.2">
      <c r="A117">
        <f>ROW(Source!A385)</f>
        <v>385</v>
      </c>
      <c r="B117">
        <v>38217163</v>
      </c>
      <c r="C117">
        <v>38217158</v>
      </c>
      <c r="D117">
        <v>34867259</v>
      </c>
      <c r="E117">
        <v>25</v>
      </c>
      <c r="F117">
        <v>1</v>
      </c>
      <c r="G117">
        <v>25</v>
      </c>
      <c r="H117">
        <v>1</v>
      </c>
      <c r="I117" t="s">
        <v>391</v>
      </c>
      <c r="J117" t="s">
        <v>3</v>
      </c>
      <c r="K117" t="s">
        <v>392</v>
      </c>
      <c r="L117">
        <v>1191</v>
      </c>
      <c r="N117">
        <v>1013</v>
      </c>
      <c r="O117" t="s">
        <v>393</v>
      </c>
      <c r="P117" t="s">
        <v>393</v>
      </c>
      <c r="Q117">
        <v>1</v>
      </c>
      <c r="X117">
        <v>0.37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1</v>
      </c>
      <c r="AF117" t="s">
        <v>3</v>
      </c>
      <c r="AG117">
        <v>0.37</v>
      </c>
      <c r="AH117">
        <v>2</v>
      </c>
      <c r="AI117">
        <v>38217159</v>
      </c>
      <c r="AJ117">
        <v>120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</row>
    <row r="118" spans="1:44" x14ac:dyDescent="0.2">
      <c r="A118">
        <f>ROW(Source!A385)</f>
        <v>385</v>
      </c>
      <c r="B118">
        <v>38217164</v>
      </c>
      <c r="C118">
        <v>38217158</v>
      </c>
      <c r="D118">
        <v>34879587</v>
      </c>
      <c r="E118">
        <v>1</v>
      </c>
      <c r="F118">
        <v>1</v>
      </c>
      <c r="G118">
        <v>25</v>
      </c>
      <c r="H118">
        <v>2</v>
      </c>
      <c r="I118" t="s">
        <v>485</v>
      </c>
      <c r="J118" t="s">
        <v>486</v>
      </c>
      <c r="K118" t="s">
        <v>487</v>
      </c>
      <c r="L118">
        <v>1368</v>
      </c>
      <c r="N118">
        <v>1011</v>
      </c>
      <c r="O118" t="s">
        <v>397</v>
      </c>
      <c r="P118" t="s">
        <v>397</v>
      </c>
      <c r="Q118">
        <v>1</v>
      </c>
      <c r="X118">
        <v>3.0000000000000001E-3</v>
      </c>
      <c r="Y118">
        <v>0</v>
      </c>
      <c r="Z118">
        <v>1191.92</v>
      </c>
      <c r="AA118">
        <v>422.8</v>
      </c>
      <c r="AB118">
        <v>0</v>
      </c>
      <c r="AC118">
        <v>0</v>
      </c>
      <c r="AD118">
        <v>1</v>
      </c>
      <c r="AE118">
        <v>0</v>
      </c>
      <c r="AF118" t="s">
        <v>3</v>
      </c>
      <c r="AG118">
        <v>3.0000000000000001E-3</v>
      </c>
      <c r="AH118">
        <v>2</v>
      </c>
      <c r="AI118">
        <v>38217160</v>
      </c>
      <c r="AJ118">
        <v>121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</row>
    <row r="119" spans="1:44" x14ac:dyDescent="0.2">
      <c r="A119">
        <f>ROW(Source!A385)</f>
        <v>385</v>
      </c>
      <c r="B119">
        <v>38217165</v>
      </c>
      <c r="C119">
        <v>38217158</v>
      </c>
      <c r="D119">
        <v>34881528</v>
      </c>
      <c r="E119">
        <v>1</v>
      </c>
      <c r="F119">
        <v>1</v>
      </c>
      <c r="G119">
        <v>25</v>
      </c>
      <c r="H119">
        <v>3</v>
      </c>
      <c r="I119" t="s">
        <v>488</v>
      </c>
      <c r="J119" t="s">
        <v>489</v>
      </c>
      <c r="K119" t="s">
        <v>490</v>
      </c>
      <c r="L119">
        <v>1339</v>
      </c>
      <c r="N119">
        <v>1007</v>
      </c>
      <c r="O119" t="s">
        <v>206</v>
      </c>
      <c r="P119" t="s">
        <v>206</v>
      </c>
      <c r="Q119">
        <v>1</v>
      </c>
      <c r="X119">
        <v>0.105</v>
      </c>
      <c r="Y119">
        <v>600.76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 t="s">
        <v>3</v>
      </c>
      <c r="AG119">
        <v>0.105</v>
      </c>
      <c r="AH119">
        <v>2</v>
      </c>
      <c r="AI119">
        <v>38217161</v>
      </c>
      <c r="AJ119">
        <v>122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</row>
    <row r="120" spans="1:44" x14ac:dyDescent="0.2">
      <c r="A120">
        <f>ROW(Source!A385)</f>
        <v>385</v>
      </c>
      <c r="B120">
        <v>38217166</v>
      </c>
      <c r="C120">
        <v>38217158</v>
      </c>
      <c r="D120">
        <v>34882270</v>
      </c>
      <c r="E120">
        <v>1</v>
      </c>
      <c r="F120">
        <v>1</v>
      </c>
      <c r="G120">
        <v>25</v>
      </c>
      <c r="H120">
        <v>3</v>
      </c>
      <c r="I120" t="s">
        <v>482</v>
      </c>
      <c r="J120" t="s">
        <v>483</v>
      </c>
      <c r="K120" t="s">
        <v>484</v>
      </c>
      <c r="L120">
        <v>1339</v>
      </c>
      <c r="N120">
        <v>1007</v>
      </c>
      <c r="O120" t="s">
        <v>206</v>
      </c>
      <c r="P120" t="s">
        <v>206</v>
      </c>
      <c r="Q120">
        <v>1</v>
      </c>
      <c r="X120">
        <v>0.01</v>
      </c>
      <c r="Y120">
        <v>32.25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0</v>
      </c>
      <c r="AF120" t="s">
        <v>3</v>
      </c>
      <c r="AG120">
        <v>0.01</v>
      </c>
      <c r="AH120">
        <v>2</v>
      </c>
      <c r="AI120">
        <v>38217162</v>
      </c>
      <c r="AJ120">
        <v>123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</row>
    <row r="121" spans="1:44" x14ac:dyDescent="0.2">
      <c r="A121">
        <f>ROW(Source!A457)</f>
        <v>457</v>
      </c>
      <c r="B121">
        <v>38215105</v>
      </c>
      <c r="C121">
        <v>38215101</v>
      </c>
      <c r="D121">
        <v>34867259</v>
      </c>
      <c r="E121">
        <v>25</v>
      </c>
      <c r="F121">
        <v>1</v>
      </c>
      <c r="G121">
        <v>25</v>
      </c>
      <c r="H121">
        <v>1</v>
      </c>
      <c r="I121" t="s">
        <v>391</v>
      </c>
      <c r="J121" t="s">
        <v>3</v>
      </c>
      <c r="K121" t="s">
        <v>392</v>
      </c>
      <c r="L121">
        <v>1191</v>
      </c>
      <c r="N121">
        <v>1013</v>
      </c>
      <c r="O121" t="s">
        <v>393</v>
      </c>
      <c r="P121" t="s">
        <v>393</v>
      </c>
      <c r="Q121">
        <v>1</v>
      </c>
      <c r="X121">
        <v>15.15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1</v>
      </c>
      <c r="AF121" t="s">
        <v>3</v>
      </c>
      <c r="AG121">
        <v>15.15</v>
      </c>
      <c r="AH121">
        <v>2</v>
      </c>
      <c r="AI121">
        <v>38215102</v>
      </c>
      <c r="AJ121">
        <v>124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</row>
    <row r="122" spans="1:44" x14ac:dyDescent="0.2">
      <c r="A122">
        <f>ROW(Source!A457)</f>
        <v>457</v>
      </c>
      <c r="B122">
        <v>38215106</v>
      </c>
      <c r="C122">
        <v>38215101</v>
      </c>
      <c r="D122">
        <v>34880230</v>
      </c>
      <c r="E122">
        <v>1</v>
      </c>
      <c r="F122">
        <v>1</v>
      </c>
      <c r="G122">
        <v>25</v>
      </c>
      <c r="H122">
        <v>2</v>
      </c>
      <c r="I122" t="s">
        <v>394</v>
      </c>
      <c r="J122" t="s">
        <v>395</v>
      </c>
      <c r="K122" t="s">
        <v>396</v>
      </c>
      <c r="L122">
        <v>1368</v>
      </c>
      <c r="N122">
        <v>1011</v>
      </c>
      <c r="O122" t="s">
        <v>397</v>
      </c>
      <c r="P122" t="s">
        <v>397</v>
      </c>
      <c r="Q122">
        <v>1</v>
      </c>
      <c r="X122">
        <v>0.01</v>
      </c>
      <c r="Y122">
        <v>0</v>
      </c>
      <c r="Z122">
        <v>6.28</v>
      </c>
      <c r="AA122">
        <v>0.01</v>
      </c>
      <c r="AB122">
        <v>0</v>
      </c>
      <c r="AC122">
        <v>0</v>
      </c>
      <c r="AD122">
        <v>1</v>
      </c>
      <c r="AE122">
        <v>0</v>
      </c>
      <c r="AF122" t="s">
        <v>3</v>
      </c>
      <c r="AG122">
        <v>0.01</v>
      </c>
      <c r="AH122">
        <v>2</v>
      </c>
      <c r="AI122">
        <v>38215103</v>
      </c>
      <c r="AJ122">
        <v>125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</row>
    <row r="123" spans="1:44" x14ac:dyDescent="0.2">
      <c r="A123">
        <f>ROW(Source!A457)</f>
        <v>457</v>
      </c>
      <c r="B123">
        <v>38215107</v>
      </c>
      <c r="C123">
        <v>38215101</v>
      </c>
      <c r="D123">
        <v>34869071</v>
      </c>
      <c r="E123">
        <v>25</v>
      </c>
      <c r="F123">
        <v>1</v>
      </c>
      <c r="G123">
        <v>25</v>
      </c>
      <c r="H123">
        <v>3</v>
      </c>
      <c r="I123" t="s">
        <v>398</v>
      </c>
      <c r="J123" t="s">
        <v>3</v>
      </c>
      <c r="K123" t="s">
        <v>399</v>
      </c>
      <c r="L123">
        <v>1348</v>
      </c>
      <c r="N123">
        <v>1009</v>
      </c>
      <c r="O123" t="s">
        <v>30</v>
      </c>
      <c r="P123" t="s">
        <v>30</v>
      </c>
      <c r="Q123">
        <v>1000</v>
      </c>
      <c r="X123">
        <v>0.65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0</v>
      </c>
      <c r="AF123" t="s">
        <v>3</v>
      </c>
      <c r="AG123">
        <v>0.65</v>
      </c>
      <c r="AH123">
        <v>2</v>
      </c>
      <c r="AI123">
        <v>38215104</v>
      </c>
      <c r="AJ123">
        <v>126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</row>
    <row r="124" spans="1:44" x14ac:dyDescent="0.2">
      <c r="A124">
        <f>ROW(Source!A459)</f>
        <v>459</v>
      </c>
      <c r="B124">
        <v>38215111</v>
      </c>
      <c r="C124">
        <v>38215109</v>
      </c>
      <c r="D124">
        <v>34867259</v>
      </c>
      <c r="E124">
        <v>25</v>
      </c>
      <c r="F124">
        <v>1</v>
      </c>
      <c r="G124">
        <v>25</v>
      </c>
      <c r="H124">
        <v>1</v>
      </c>
      <c r="I124" t="s">
        <v>391</v>
      </c>
      <c r="J124" t="s">
        <v>3</v>
      </c>
      <c r="K124" t="s">
        <v>392</v>
      </c>
      <c r="L124">
        <v>1191</v>
      </c>
      <c r="N124">
        <v>1013</v>
      </c>
      <c r="O124" t="s">
        <v>393</v>
      </c>
      <c r="P124" t="s">
        <v>393</v>
      </c>
      <c r="Q124">
        <v>1</v>
      </c>
      <c r="X124">
        <v>1.02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1</v>
      </c>
      <c r="AF124" t="s">
        <v>3</v>
      </c>
      <c r="AG124">
        <v>1.02</v>
      </c>
      <c r="AH124">
        <v>2</v>
      </c>
      <c r="AI124">
        <v>38215110</v>
      </c>
      <c r="AJ124">
        <v>127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</row>
    <row r="125" spans="1:44" x14ac:dyDescent="0.2">
      <c r="A125">
        <f>ROW(Source!A460)</f>
        <v>460</v>
      </c>
      <c r="B125">
        <v>38215115</v>
      </c>
      <c r="C125">
        <v>38215112</v>
      </c>
      <c r="D125">
        <v>34880178</v>
      </c>
      <c r="E125">
        <v>1</v>
      </c>
      <c r="F125">
        <v>1</v>
      </c>
      <c r="G125">
        <v>25</v>
      </c>
      <c r="H125">
        <v>2</v>
      </c>
      <c r="I125" t="s">
        <v>400</v>
      </c>
      <c r="J125" t="s">
        <v>401</v>
      </c>
      <c r="K125" t="s">
        <v>402</v>
      </c>
      <c r="L125">
        <v>1368</v>
      </c>
      <c r="N125">
        <v>1011</v>
      </c>
      <c r="O125" t="s">
        <v>397</v>
      </c>
      <c r="P125" t="s">
        <v>397</v>
      </c>
      <c r="Q125">
        <v>1</v>
      </c>
      <c r="X125">
        <v>0.02</v>
      </c>
      <c r="Y125">
        <v>0</v>
      </c>
      <c r="Z125">
        <v>952.49</v>
      </c>
      <c r="AA125">
        <v>301.5</v>
      </c>
      <c r="AB125">
        <v>0</v>
      </c>
      <c r="AC125">
        <v>0</v>
      </c>
      <c r="AD125">
        <v>1</v>
      </c>
      <c r="AE125">
        <v>0</v>
      </c>
      <c r="AF125" t="s">
        <v>3</v>
      </c>
      <c r="AG125">
        <v>0.02</v>
      </c>
      <c r="AH125">
        <v>2</v>
      </c>
      <c r="AI125">
        <v>38215113</v>
      </c>
      <c r="AJ125">
        <v>128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</row>
    <row r="126" spans="1:44" x14ac:dyDescent="0.2">
      <c r="A126">
        <f>ROW(Source!A460)</f>
        <v>460</v>
      </c>
      <c r="B126">
        <v>38215116</v>
      </c>
      <c r="C126">
        <v>38215112</v>
      </c>
      <c r="D126">
        <v>34880179</v>
      </c>
      <c r="E126">
        <v>1</v>
      </c>
      <c r="F126">
        <v>1</v>
      </c>
      <c r="G126">
        <v>25</v>
      </c>
      <c r="H126">
        <v>2</v>
      </c>
      <c r="I126" t="s">
        <v>403</v>
      </c>
      <c r="J126" t="s">
        <v>404</v>
      </c>
      <c r="K126" t="s">
        <v>405</v>
      </c>
      <c r="L126">
        <v>1368</v>
      </c>
      <c r="N126">
        <v>1011</v>
      </c>
      <c r="O126" t="s">
        <v>397</v>
      </c>
      <c r="P126" t="s">
        <v>397</v>
      </c>
      <c r="Q126">
        <v>1</v>
      </c>
      <c r="X126">
        <v>1.7999999999999999E-2</v>
      </c>
      <c r="Y126">
        <v>0</v>
      </c>
      <c r="Z126">
        <v>993.6</v>
      </c>
      <c r="AA126">
        <v>301.8</v>
      </c>
      <c r="AB126">
        <v>0</v>
      </c>
      <c r="AC126">
        <v>0</v>
      </c>
      <c r="AD126">
        <v>1</v>
      </c>
      <c r="AE126">
        <v>0</v>
      </c>
      <c r="AF126" t="s">
        <v>3</v>
      </c>
      <c r="AG126">
        <v>1.7999999999999999E-2</v>
      </c>
      <c r="AH126">
        <v>2</v>
      </c>
      <c r="AI126">
        <v>38215114</v>
      </c>
      <c r="AJ126">
        <v>129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</row>
    <row r="127" spans="1:44" x14ac:dyDescent="0.2">
      <c r="A127">
        <f>ROW(Source!A461)</f>
        <v>461</v>
      </c>
      <c r="B127">
        <v>38215120</v>
      </c>
      <c r="C127">
        <v>38215117</v>
      </c>
      <c r="D127">
        <v>34880178</v>
      </c>
      <c r="E127">
        <v>1</v>
      </c>
      <c r="F127">
        <v>1</v>
      </c>
      <c r="G127">
        <v>25</v>
      </c>
      <c r="H127">
        <v>2</v>
      </c>
      <c r="I127" t="s">
        <v>400</v>
      </c>
      <c r="J127" t="s">
        <v>401</v>
      </c>
      <c r="K127" t="s">
        <v>402</v>
      </c>
      <c r="L127">
        <v>1368</v>
      </c>
      <c r="N127">
        <v>1011</v>
      </c>
      <c r="O127" t="s">
        <v>397</v>
      </c>
      <c r="P127" t="s">
        <v>397</v>
      </c>
      <c r="Q127">
        <v>1</v>
      </c>
      <c r="X127">
        <v>5.3999999999999999E-2</v>
      </c>
      <c r="Y127">
        <v>0</v>
      </c>
      <c r="Z127">
        <v>952.49</v>
      </c>
      <c r="AA127">
        <v>301.5</v>
      </c>
      <c r="AB127">
        <v>0</v>
      </c>
      <c r="AC127">
        <v>0</v>
      </c>
      <c r="AD127">
        <v>1</v>
      </c>
      <c r="AE127">
        <v>0</v>
      </c>
      <c r="AF127" t="s">
        <v>3</v>
      </c>
      <c r="AG127">
        <v>5.3999999999999999E-2</v>
      </c>
      <c r="AH127">
        <v>2</v>
      </c>
      <c r="AI127">
        <v>38215118</v>
      </c>
      <c r="AJ127">
        <v>130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</row>
    <row r="128" spans="1:44" x14ac:dyDescent="0.2">
      <c r="A128">
        <f>ROW(Source!A461)</f>
        <v>461</v>
      </c>
      <c r="B128">
        <v>38215121</v>
      </c>
      <c r="C128">
        <v>38215117</v>
      </c>
      <c r="D128">
        <v>34880179</v>
      </c>
      <c r="E128">
        <v>1</v>
      </c>
      <c r="F128">
        <v>1</v>
      </c>
      <c r="G128">
        <v>25</v>
      </c>
      <c r="H128">
        <v>2</v>
      </c>
      <c r="I128" t="s">
        <v>403</v>
      </c>
      <c r="J128" t="s">
        <v>404</v>
      </c>
      <c r="K128" t="s">
        <v>405</v>
      </c>
      <c r="L128">
        <v>1368</v>
      </c>
      <c r="N128">
        <v>1011</v>
      </c>
      <c r="O128" t="s">
        <v>397</v>
      </c>
      <c r="P128" t="s">
        <v>397</v>
      </c>
      <c r="Q128">
        <v>1</v>
      </c>
      <c r="X128">
        <v>5.5E-2</v>
      </c>
      <c r="Y128">
        <v>0</v>
      </c>
      <c r="Z128">
        <v>993.6</v>
      </c>
      <c r="AA128">
        <v>301.8</v>
      </c>
      <c r="AB128">
        <v>0</v>
      </c>
      <c r="AC128">
        <v>0</v>
      </c>
      <c r="AD128">
        <v>1</v>
      </c>
      <c r="AE128">
        <v>0</v>
      </c>
      <c r="AF128" t="s">
        <v>3</v>
      </c>
      <c r="AG128">
        <v>5.5E-2</v>
      </c>
      <c r="AH128">
        <v>2</v>
      </c>
      <c r="AI128">
        <v>38215119</v>
      </c>
      <c r="AJ128">
        <v>131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</row>
    <row r="129" spans="1:44" x14ac:dyDescent="0.2">
      <c r="A129">
        <f>ROW(Source!A462)</f>
        <v>462</v>
      </c>
      <c r="B129">
        <v>38215125</v>
      </c>
      <c r="C129">
        <v>38215122</v>
      </c>
      <c r="D129">
        <v>34880178</v>
      </c>
      <c r="E129">
        <v>1</v>
      </c>
      <c r="F129">
        <v>1</v>
      </c>
      <c r="G129">
        <v>25</v>
      </c>
      <c r="H129">
        <v>2</v>
      </c>
      <c r="I129" t="s">
        <v>400</v>
      </c>
      <c r="J129" t="s">
        <v>401</v>
      </c>
      <c r="K129" t="s">
        <v>402</v>
      </c>
      <c r="L129">
        <v>1368</v>
      </c>
      <c r="N129">
        <v>1011</v>
      </c>
      <c r="O129" t="s">
        <v>397</v>
      </c>
      <c r="P129" t="s">
        <v>397</v>
      </c>
      <c r="Q129">
        <v>1</v>
      </c>
      <c r="X129">
        <v>0.01</v>
      </c>
      <c r="Y129">
        <v>0</v>
      </c>
      <c r="Z129">
        <v>952.49</v>
      </c>
      <c r="AA129">
        <v>301.5</v>
      </c>
      <c r="AB129">
        <v>0</v>
      </c>
      <c r="AC129">
        <v>0</v>
      </c>
      <c r="AD129">
        <v>1</v>
      </c>
      <c r="AE129">
        <v>0</v>
      </c>
      <c r="AF129" t="s">
        <v>201</v>
      </c>
      <c r="AG129">
        <v>0.16</v>
      </c>
      <c r="AH129">
        <v>2</v>
      </c>
      <c r="AI129">
        <v>38215123</v>
      </c>
      <c r="AJ129">
        <v>132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</row>
    <row r="130" spans="1:44" x14ac:dyDescent="0.2">
      <c r="A130">
        <f>ROW(Source!A462)</f>
        <v>462</v>
      </c>
      <c r="B130">
        <v>38215126</v>
      </c>
      <c r="C130">
        <v>38215122</v>
      </c>
      <c r="D130">
        <v>34880179</v>
      </c>
      <c r="E130">
        <v>1</v>
      </c>
      <c r="F130">
        <v>1</v>
      </c>
      <c r="G130">
        <v>25</v>
      </c>
      <c r="H130">
        <v>2</v>
      </c>
      <c r="I130" t="s">
        <v>403</v>
      </c>
      <c r="J130" t="s">
        <v>404</v>
      </c>
      <c r="K130" t="s">
        <v>405</v>
      </c>
      <c r="L130">
        <v>1368</v>
      </c>
      <c r="N130">
        <v>1011</v>
      </c>
      <c r="O130" t="s">
        <v>397</v>
      </c>
      <c r="P130" t="s">
        <v>397</v>
      </c>
      <c r="Q130">
        <v>1</v>
      </c>
      <c r="X130">
        <v>8.0000000000000002E-3</v>
      </c>
      <c r="Y130">
        <v>0</v>
      </c>
      <c r="Z130">
        <v>993.6</v>
      </c>
      <c r="AA130">
        <v>301.8</v>
      </c>
      <c r="AB130">
        <v>0</v>
      </c>
      <c r="AC130">
        <v>0</v>
      </c>
      <c r="AD130">
        <v>1</v>
      </c>
      <c r="AE130">
        <v>0</v>
      </c>
      <c r="AF130" t="s">
        <v>201</v>
      </c>
      <c r="AG130">
        <v>0.128</v>
      </c>
      <c r="AH130">
        <v>2</v>
      </c>
      <c r="AI130">
        <v>38215124</v>
      </c>
      <c r="AJ130">
        <v>133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</row>
    <row r="131" spans="1:44" x14ac:dyDescent="0.2">
      <c r="A131">
        <f>ROW(Source!A499)</f>
        <v>499</v>
      </c>
      <c r="B131">
        <v>38215190</v>
      </c>
      <c r="C131">
        <v>38215184</v>
      </c>
      <c r="D131">
        <v>34867259</v>
      </c>
      <c r="E131">
        <v>25</v>
      </c>
      <c r="F131">
        <v>1</v>
      </c>
      <c r="G131">
        <v>25</v>
      </c>
      <c r="H131">
        <v>1</v>
      </c>
      <c r="I131" t="s">
        <v>391</v>
      </c>
      <c r="J131" t="s">
        <v>3</v>
      </c>
      <c r="K131" t="s">
        <v>392</v>
      </c>
      <c r="L131">
        <v>1191</v>
      </c>
      <c r="N131">
        <v>1013</v>
      </c>
      <c r="O131" t="s">
        <v>393</v>
      </c>
      <c r="P131" t="s">
        <v>393</v>
      </c>
      <c r="Q131">
        <v>1</v>
      </c>
      <c r="X131">
        <v>87.4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1</v>
      </c>
      <c r="AE131">
        <v>1</v>
      </c>
      <c r="AF131" t="s">
        <v>3</v>
      </c>
      <c r="AG131">
        <v>87.4</v>
      </c>
      <c r="AH131">
        <v>2</v>
      </c>
      <c r="AI131">
        <v>38215185</v>
      </c>
      <c r="AJ131">
        <v>134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</row>
    <row r="132" spans="1:44" x14ac:dyDescent="0.2">
      <c r="A132">
        <f>ROW(Source!A499)</f>
        <v>499</v>
      </c>
      <c r="B132">
        <v>38215191</v>
      </c>
      <c r="C132">
        <v>38215184</v>
      </c>
      <c r="D132">
        <v>34879517</v>
      </c>
      <c r="E132">
        <v>1</v>
      </c>
      <c r="F132">
        <v>1</v>
      </c>
      <c r="G132">
        <v>25</v>
      </c>
      <c r="H132">
        <v>2</v>
      </c>
      <c r="I132" t="s">
        <v>406</v>
      </c>
      <c r="J132" t="s">
        <v>407</v>
      </c>
      <c r="K132" t="s">
        <v>408</v>
      </c>
      <c r="L132">
        <v>1368</v>
      </c>
      <c r="N132">
        <v>1011</v>
      </c>
      <c r="O132" t="s">
        <v>397</v>
      </c>
      <c r="P132" t="s">
        <v>397</v>
      </c>
      <c r="Q132">
        <v>1</v>
      </c>
      <c r="X132">
        <v>19</v>
      </c>
      <c r="Y132">
        <v>0</v>
      </c>
      <c r="Z132">
        <v>31.01</v>
      </c>
      <c r="AA132">
        <v>1.29</v>
      </c>
      <c r="AB132">
        <v>0</v>
      </c>
      <c r="AC132">
        <v>0</v>
      </c>
      <c r="AD132">
        <v>1</v>
      </c>
      <c r="AE132">
        <v>0</v>
      </c>
      <c r="AF132" t="s">
        <v>32</v>
      </c>
      <c r="AG132">
        <v>0</v>
      </c>
      <c r="AH132">
        <v>2</v>
      </c>
      <c r="AI132">
        <v>38215186</v>
      </c>
      <c r="AJ132">
        <v>135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</row>
    <row r="133" spans="1:44" x14ac:dyDescent="0.2">
      <c r="A133">
        <f>ROW(Source!A499)</f>
        <v>499</v>
      </c>
      <c r="B133">
        <v>38215192</v>
      </c>
      <c r="C133">
        <v>38215184</v>
      </c>
      <c r="D133">
        <v>34881323</v>
      </c>
      <c r="E133">
        <v>1</v>
      </c>
      <c r="F133">
        <v>1</v>
      </c>
      <c r="G133">
        <v>25</v>
      </c>
      <c r="H133">
        <v>3</v>
      </c>
      <c r="I133" t="s">
        <v>409</v>
      </c>
      <c r="J133" t="s">
        <v>410</v>
      </c>
      <c r="K133" t="s">
        <v>411</v>
      </c>
      <c r="L133">
        <v>1348</v>
      </c>
      <c r="N133">
        <v>1009</v>
      </c>
      <c r="O133" t="s">
        <v>30</v>
      </c>
      <c r="P133" t="s">
        <v>30</v>
      </c>
      <c r="Q133">
        <v>1000</v>
      </c>
      <c r="X133">
        <v>3.3E-3</v>
      </c>
      <c r="Y133">
        <v>103472.53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0</v>
      </c>
      <c r="AF133" t="s">
        <v>32</v>
      </c>
      <c r="AG133">
        <v>0</v>
      </c>
      <c r="AH133">
        <v>2</v>
      </c>
      <c r="AI133">
        <v>38215187</v>
      </c>
      <c r="AJ133">
        <v>136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</row>
    <row r="134" spans="1:44" x14ac:dyDescent="0.2">
      <c r="A134">
        <f>ROW(Source!A499)</f>
        <v>499</v>
      </c>
      <c r="B134">
        <v>38215193</v>
      </c>
      <c r="C134">
        <v>38215184</v>
      </c>
      <c r="D134">
        <v>34882179</v>
      </c>
      <c r="E134">
        <v>1</v>
      </c>
      <c r="F134">
        <v>1</v>
      </c>
      <c r="G134">
        <v>25</v>
      </c>
      <c r="H134">
        <v>3</v>
      </c>
      <c r="I134" t="s">
        <v>412</v>
      </c>
      <c r="J134" t="s">
        <v>413</v>
      </c>
      <c r="K134" t="s">
        <v>414</v>
      </c>
      <c r="L134">
        <v>1348</v>
      </c>
      <c r="N134">
        <v>1009</v>
      </c>
      <c r="O134" t="s">
        <v>30</v>
      </c>
      <c r="P134" t="s">
        <v>30</v>
      </c>
      <c r="Q134">
        <v>1000</v>
      </c>
      <c r="X134">
        <v>1.4E-3</v>
      </c>
      <c r="Y134">
        <v>110728.72</v>
      </c>
      <c r="Z134">
        <v>0</v>
      </c>
      <c r="AA134">
        <v>0</v>
      </c>
      <c r="AB134">
        <v>0</v>
      </c>
      <c r="AC134">
        <v>0</v>
      </c>
      <c r="AD134">
        <v>1</v>
      </c>
      <c r="AE134">
        <v>0</v>
      </c>
      <c r="AF134" t="s">
        <v>32</v>
      </c>
      <c r="AG134">
        <v>0</v>
      </c>
      <c r="AH134">
        <v>2</v>
      </c>
      <c r="AI134">
        <v>38215188</v>
      </c>
      <c r="AJ134">
        <v>137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</row>
    <row r="135" spans="1:44" x14ac:dyDescent="0.2">
      <c r="A135">
        <f>ROW(Source!A499)</f>
        <v>499</v>
      </c>
      <c r="B135">
        <v>38215194</v>
      </c>
      <c r="C135">
        <v>38215184</v>
      </c>
      <c r="D135">
        <v>34884265</v>
      </c>
      <c r="E135">
        <v>1</v>
      </c>
      <c r="F135">
        <v>1</v>
      </c>
      <c r="G135">
        <v>25</v>
      </c>
      <c r="H135">
        <v>3</v>
      </c>
      <c r="I135" t="s">
        <v>415</v>
      </c>
      <c r="J135" t="s">
        <v>416</v>
      </c>
      <c r="K135" t="s">
        <v>417</v>
      </c>
      <c r="L135">
        <v>1348</v>
      </c>
      <c r="N135">
        <v>1009</v>
      </c>
      <c r="O135" t="s">
        <v>30</v>
      </c>
      <c r="P135" t="s">
        <v>30</v>
      </c>
      <c r="Q135">
        <v>1000</v>
      </c>
      <c r="X135">
        <v>1</v>
      </c>
      <c r="Y135">
        <v>74995.210000000006</v>
      </c>
      <c r="Z135">
        <v>0</v>
      </c>
      <c r="AA135">
        <v>0</v>
      </c>
      <c r="AB135">
        <v>0</v>
      </c>
      <c r="AC135">
        <v>0</v>
      </c>
      <c r="AD135">
        <v>1</v>
      </c>
      <c r="AE135">
        <v>0</v>
      </c>
      <c r="AF135" t="s">
        <v>32</v>
      </c>
      <c r="AG135">
        <v>0</v>
      </c>
      <c r="AH135">
        <v>2</v>
      </c>
      <c r="AI135">
        <v>38215189</v>
      </c>
      <c r="AJ135">
        <v>138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</row>
    <row r="136" spans="1:44" x14ac:dyDescent="0.2">
      <c r="A136">
        <f>ROW(Source!A541)</f>
        <v>541</v>
      </c>
      <c r="B136">
        <v>38216466</v>
      </c>
      <c r="C136">
        <v>38216455</v>
      </c>
      <c r="D136">
        <v>34867259</v>
      </c>
      <c r="E136">
        <v>25</v>
      </c>
      <c r="F136">
        <v>1</v>
      </c>
      <c r="G136">
        <v>25</v>
      </c>
      <c r="H136">
        <v>1</v>
      </c>
      <c r="I136" t="s">
        <v>391</v>
      </c>
      <c r="J136" t="s">
        <v>3</v>
      </c>
      <c r="K136" t="s">
        <v>392</v>
      </c>
      <c r="L136">
        <v>1191</v>
      </c>
      <c r="N136">
        <v>1013</v>
      </c>
      <c r="O136" t="s">
        <v>393</v>
      </c>
      <c r="P136" t="s">
        <v>393</v>
      </c>
      <c r="Q136">
        <v>1</v>
      </c>
      <c r="X136">
        <v>340.81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1</v>
      </c>
      <c r="AF136" t="s">
        <v>3</v>
      </c>
      <c r="AG136">
        <v>340.81</v>
      </c>
      <c r="AH136">
        <v>2</v>
      </c>
      <c r="AI136">
        <v>38216456</v>
      </c>
      <c r="AJ136">
        <v>139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</row>
    <row r="137" spans="1:44" x14ac:dyDescent="0.2">
      <c r="A137">
        <f>ROW(Source!A541)</f>
        <v>541</v>
      </c>
      <c r="B137">
        <v>38216467</v>
      </c>
      <c r="C137">
        <v>38216455</v>
      </c>
      <c r="D137">
        <v>34879840</v>
      </c>
      <c r="E137">
        <v>1</v>
      </c>
      <c r="F137">
        <v>1</v>
      </c>
      <c r="G137">
        <v>25</v>
      </c>
      <c r="H137">
        <v>2</v>
      </c>
      <c r="I137" t="s">
        <v>422</v>
      </c>
      <c r="J137" t="s">
        <v>423</v>
      </c>
      <c r="K137" t="s">
        <v>424</v>
      </c>
      <c r="L137">
        <v>1368</v>
      </c>
      <c r="N137">
        <v>1011</v>
      </c>
      <c r="O137" t="s">
        <v>397</v>
      </c>
      <c r="P137" t="s">
        <v>397</v>
      </c>
      <c r="Q137">
        <v>1</v>
      </c>
      <c r="X137">
        <v>39</v>
      </c>
      <c r="Y137">
        <v>0</v>
      </c>
      <c r="Z137">
        <v>337.61</v>
      </c>
      <c r="AA137">
        <v>6.68</v>
      </c>
      <c r="AB137">
        <v>0</v>
      </c>
      <c r="AC137">
        <v>0</v>
      </c>
      <c r="AD137">
        <v>1</v>
      </c>
      <c r="AE137">
        <v>0</v>
      </c>
      <c r="AF137" t="s">
        <v>3</v>
      </c>
      <c r="AG137">
        <v>39</v>
      </c>
      <c r="AH137">
        <v>2</v>
      </c>
      <c r="AI137">
        <v>38216457</v>
      </c>
      <c r="AJ137">
        <v>140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</row>
    <row r="138" spans="1:44" x14ac:dyDescent="0.2">
      <c r="A138">
        <f>ROW(Source!A541)</f>
        <v>541</v>
      </c>
      <c r="B138">
        <v>38216468</v>
      </c>
      <c r="C138">
        <v>38216455</v>
      </c>
      <c r="D138">
        <v>34880219</v>
      </c>
      <c r="E138">
        <v>1</v>
      </c>
      <c r="F138">
        <v>1</v>
      </c>
      <c r="G138">
        <v>25</v>
      </c>
      <c r="H138">
        <v>2</v>
      </c>
      <c r="I138" t="s">
        <v>425</v>
      </c>
      <c r="J138" t="s">
        <v>426</v>
      </c>
      <c r="K138" t="s">
        <v>427</v>
      </c>
      <c r="L138">
        <v>1368</v>
      </c>
      <c r="N138">
        <v>1011</v>
      </c>
      <c r="O138" t="s">
        <v>397</v>
      </c>
      <c r="P138" t="s">
        <v>397</v>
      </c>
      <c r="Q138">
        <v>1</v>
      </c>
      <c r="X138">
        <v>0.52</v>
      </c>
      <c r="Y138">
        <v>0</v>
      </c>
      <c r="Z138">
        <v>5.82</v>
      </c>
      <c r="AA138">
        <v>0.02</v>
      </c>
      <c r="AB138">
        <v>0</v>
      </c>
      <c r="AC138">
        <v>0</v>
      </c>
      <c r="AD138">
        <v>1</v>
      </c>
      <c r="AE138">
        <v>0</v>
      </c>
      <c r="AF138" t="s">
        <v>3</v>
      </c>
      <c r="AG138">
        <v>0.52</v>
      </c>
      <c r="AH138">
        <v>2</v>
      </c>
      <c r="AI138">
        <v>38216458</v>
      </c>
      <c r="AJ138">
        <v>141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</row>
    <row r="139" spans="1:44" x14ac:dyDescent="0.2">
      <c r="A139">
        <f>ROW(Source!A541)</f>
        <v>541</v>
      </c>
      <c r="B139">
        <v>38216469</v>
      </c>
      <c r="C139">
        <v>38216455</v>
      </c>
      <c r="D139">
        <v>34879672</v>
      </c>
      <c r="E139">
        <v>1</v>
      </c>
      <c r="F139">
        <v>1</v>
      </c>
      <c r="G139">
        <v>25</v>
      </c>
      <c r="H139">
        <v>2</v>
      </c>
      <c r="I139" t="s">
        <v>428</v>
      </c>
      <c r="J139" t="s">
        <v>429</v>
      </c>
      <c r="K139" t="s">
        <v>430</v>
      </c>
      <c r="L139">
        <v>1368</v>
      </c>
      <c r="N139">
        <v>1011</v>
      </c>
      <c r="O139" t="s">
        <v>397</v>
      </c>
      <c r="P139" t="s">
        <v>397</v>
      </c>
      <c r="Q139">
        <v>1</v>
      </c>
      <c r="X139">
        <v>32.909999999999997</v>
      </c>
      <c r="Y139">
        <v>0</v>
      </c>
      <c r="Z139">
        <v>10.62</v>
      </c>
      <c r="AA139">
        <v>2.82</v>
      </c>
      <c r="AB139">
        <v>0</v>
      </c>
      <c r="AC139">
        <v>0</v>
      </c>
      <c r="AD139">
        <v>1</v>
      </c>
      <c r="AE139">
        <v>0</v>
      </c>
      <c r="AF139" t="s">
        <v>3</v>
      </c>
      <c r="AG139">
        <v>32.909999999999997</v>
      </c>
      <c r="AH139">
        <v>2</v>
      </c>
      <c r="AI139">
        <v>38216459</v>
      </c>
      <c r="AJ139">
        <v>142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</row>
    <row r="140" spans="1:44" x14ac:dyDescent="0.2">
      <c r="A140">
        <f>ROW(Source!A541)</f>
        <v>541</v>
      </c>
      <c r="B140">
        <v>38216470</v>
      </c>
      <c r="C140">
        <v>38216455</v>
      </c>
      <c r="D140">
        <v>34879710</v>
      </c>
      <c r="E140">
        <v>1</v>
      </c>
      <c r="F140">
        <v>1</v>
      </c>
      <c r="G140">
        <v>25</v>
      </c>
      <c r="H140">
        <v>2</v>
      </c>
      <c r="I140" t="s">
        <v>431</v>
      </c>
      <c r="J140" t="s">
        <v>432</v>
      </c>
      <c r="K140" t="s">
        <v>433</v>
      </c>
      <c r="L140">
        <v>1368</v>
      </c>
      <c r="N140">
        <v>1011</v>
      </c>
      <c r="O140" t="s">
        <v>397</v>
      </c>
      <c r="P140" t="s">
        <v>397</v>
      </c>
      <c r="Q140">
        <v>1</v>
      </c>
      <c r="X140">
        <v>5.49</v>
      </c>
      <c r="Y140">
        <v>0</v>
      </c>
      <c r="Z140">
        <v>1180.29</v>
      </c>
      <c r="AA140">
        <v>586.89</v>
      </c>
      <c r="AB140">
        <v>0</v>
      </c>
      <c r="AC140">
        <v>0</v>
      </c>
      <c r="AD140">
        <v>1</v>
      </c>
      <c r="AE140">
        <v>0</v>
      </c>
      <c r="AF140" t="s">
        <v>3</v>
      </c>
      <c r="AG140">
        <v>5.49</v>
      </c>
      <c r="AH140">
        <v>2</v>
      </c>
      <c r="AI140">
        <v>38216460</v>
      </c>
      <c r="AJ140">
        <v>143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</row>
    <row r="141" spans="1:44" x14ac:dyDescent="0.2">
      <c r="A141">
        <f>ROW(Source!A541)</f>
        <v>541</v>
      </c>
      <c r="B141">
        <v>38216471</v>
      </c>
      <c r="C141">
        <v>38216455</v>
      </c>
      <c r="D141">
        <v>34881558</v>
      </c>
      <c r="E141">
        <v>1</v>
      </c>
      <c r="F141">
        <v>1</v>
      </c>
      <c r="G141">
        <v>25</v>
      </c>
      <c r="H141">
        <v>3</v>
      </c>
      <c r="I141" t="s">
        <v>434</v>
      </c>
      <c r="J141" t="s">
        <v>435</v>
      </c>
      <c r="K141" t="s">
        <v>436</v>
      </c>
      <c r="L141">
        <v>1339</v>
      </c>
      <c r="N141">
        <v>1007</v>
      </c>
      <c r="O141" t="s">
        <v>206</v>
      </c>
      <c r="P141" t="s">
        <v>206</v>
      </c>
      <c r="Q141">
        <v>1</v>
      </c>
      <c r="X141">
        <v>0.31</v>
      </c>
      <c r="Y141">
        <v>2248.25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0</v>
      </c>
      <c r="AF141" t="s">
        <v>3</v>
      </c>
      <c r="AG141">
        <v>0.31</v>
      </c>
      <c r="AH141">
        <v>2</v>
      </c>
      <c r="AI141">
        <v>38216461</v>
      </c>
      <c r="AJ141">
        <v>144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</row>
    <row r="142" spans="1:44" x14ac:dyDescent="0.2">
      <c r="A142">
        <f>ROW(Source!A541)</f>
        <v>541</v>
      </c>
      <c r="B142">
        <v>38216472</v>
      </c>
      <c r="C142">
        <v>38216455</v>
      </c>
      <c r="D142">
        <v>34882179</v>
      </c>
      <c r="E142">
        <v>1</v>
      </c>
      <c r="F142">
        <v>1</v>
      </c>
      <c r="G142">
        <v>25</v>
      </c>
      <c r="H142">
        <v>3</v>
      </c>
      <c r="I142" t="s">
        <v>412</v>
      </c>
      <c r="J142" t="s">
        <v>413</v>
      </c>
      <c r="K142" t="s">
        <v>414</v>
      </c>
      <c r="L142">
        <v>1348</v>
      </c>
      <c r="N142">
        <v>1009</v>
      </c>
      <c r="O142" t="s">
        <v>30</v>
      </c>
      <c r="P142" t="s">
        <v>30</v>
      </c>
      <c r="Q142">
        <v>1000</v>
      </c>
      <c r="X142">
        <v>7.0000000000000001E-3</v>
      </c>
      <c r="Y142">
        <v>110728.72</v>
      </c>
      <c r="Z142">
        <v>0</v>
      </c>
      <c r="AA142">
        <v>0</v>
      </c>
      <c r="AB142">
        <v>0</v>
      </c>
      <c r="AC142">
        <v>0</v>
      </c>
      <c r="AD142">
        <v>1</v>
      </c>
      <c r="AE142">
        <v>0</v>
      </c>
      <c r="AF142" t="s">
        <v>3</v>
      </c>
      <c r="AG142">
        <v>7.0000000000000001E-3</v>
      </c>
      <c r="AH142">
        <v>2</v>
      </c>
      <c r="AI142">
        <v>38216462</v>
      </c>
      <c r="AJ142">
        <v>145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</row>
    <row r="143" spans="1:44" x14ac:dyDescent="0.2">
      <c r="A143">
        <f>ROW(Source!A541)</f>
        <v>541</v>
      </c>
      <c r="B143">
        <v>38216473</v>
      </c>
      <c r="C143">
        <v>38216455</v>
      </c>
      <c r="D143">
        <v>34883227</v>
      </c>
      <c r="E143">
        <v>1</v>
      </c>
      <c r="F143">
        <v>1</v>
      </c>
      <c r="G143">
        <v>25</v>
      </c>
      <c r="H143">
        <v>3</v>
      </c>
      <c r="I143" t="s">
        <v>437</v>
      </c>
      <c r="J143" t="s">
        <v>438</v>
      </c>
      <c r="K143" t="s">
        <v>439</v>
      </c>
      <c r="L143">
        <v>1339</v>
      </c>
      <c r="N143">
        <v>1007</v>
      </c>
      <c r="O143" t="s">
        <v>206</v>
      </c>
      <c r="P143" t="s">
        <v>206</v>
      </c>
      <c r="Q143">
        <v>1</v>
      </c>
      <c r="X143">
        <v>3.25</v>
      </c>
      <c r="Y143">
        <v>4082.17</v>
      </c>
      <c r="Z143">
        <v>0</v>
      </c>
      <c r="AA143">
        <v>0</v>
      </c>
      <c r="AB143">
        <v>0</v>
      </c>
      <c r="AC143">
        <v>0</v>
      </c>
      <c r="AD143">
        <v>1</v>
      </c>
      <c r="AE143">
        <v>0</v>
      </c>
      <c r="AF143" t="s">
        <v>3</v>
      </c>
      <c r="AG143">
        <v>3.25</v>
      </c>
      <c r="AH143">
        <v>2</v>
      </c>
      <c r="AI143">
        <v>38216463</v>
      </c>
      <c r="AJ143">
        <v>146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</row>
    <row r="144" spans="1:44" x14ac:dyDescent="0.2">
      <c r="A144">
        <f>ROW(Source!A541)</f>
        <v>541</v>
      </c>
      <c r="B144">
        <v>38216474</v>
      </c>
      <c r="C144">
        <v>38216455</v>
      </c>
      <c r="D144">
        <v>34884932</v>
      </c>
      <c r="E144">
        <v>1</v>
      </c>
      <c r="F144">
        <v>1</v>
      </c>
      <c r="G144">
        <v>25</v>
      </c>
      <c r="H144">
        <v>3</v>
      </c>
      <c r="I144" t="s">
        <v>440</v>
      </c>
      <c r="J144" t="s">
        <v>441</v>
      </c>
      <c r="K144" t="s">
        <v>442</v>
      </c>
      <c r="L144">
        <v>1301</v>
      </c>
      <c r="N144">
        <v>1003</v>
      </c>
      <c r="O144" t="s">
        <v>384</v>
      </c>
      <c r="P144" t="s">
        <v>384</v>
      </c>
      <c r="Q144">
        <v>1</v>
      </c>
      <c r="X144">
        <v>87</v>
      </c>
      <c r="Y144">
        <v>4886.66</v>
      </c>
      <c r="Z144">
        <v>0</v>
      </c>
      <c r="AA144">
        <v>0</v>
      </c>
      <c r="AB144">
        <v>0</v>
      </c>
      <c r="AC144">
        <v>0</v>
      </c>
      <c r="AD144">
        <v>1</v>
      </c>
      <c r="AE144">
        <v>0</v>
      </c>
      <c r="AF144" t="s">
        <v>3</v>
      </c>
      <c r="AG144">
        <v>87</v>
      </c>
      <c r="AH144">
        <v>2</v>
      </c>
      <c r="AI144">
        <v>38216464</v>
      </c>
      <c r="AJ144">
        <v>147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</row>
    <row r="145" spans="1:44" x14ac:dyDescent="0.2">
      <c r="A145">
        <f>ROW(Source!A541)</f>
        <v>541</v>
      </c>
      <c r="B145">
        <v>38216475</v>
      </c>
      <c r="C145">
        <v>38216455</v>
      </c>
      <c r="D145">
        <v>34884933</v>
      </c>
      <c r="E145">
        <v>1</v>
      </c>
      <c r="F145">
        <v>1</v>
      </c>
      <c r="G145">
        <v>25</v>
      </c>
      <c r="H145">
        <v>3</v>
      </c>
      <c r="I145" t="s">
        <v>443</v>
      </c>
      <c r="J145" t="s">
        <v>444</v>
      </c>
      <c r="K145" t="s">
        <v>445</v>
      </c>
      <c r="L145">
        <v>1354</v>
      </c>
      <c r="N145">
        <v>1010</v>
      </c>
      <c r="O145" t="s">
        <v>123</v>
      </c>
      <c r="P145" t="s">
        <v>123</v>
      </c>
      <c r="Q145">
        <v>1</v>
      </c>
      <c r="X145">
        <v>38</v>
      </c>
      <c r="Y145">
        <v>2843.73</v>
      </c>
      <c r="Z145">
        <v>0</v>
      </c>
      <c r="AA145">
        <v>0</v>
      </c>
      <c r="AB145">
        <v>0</v>
      </c>
      <c r="AC145">
        <v>0</v>
      </c>
      <c r="AD145">
        <v>1</v>
      </c>
      <c r="AE145">
        <v>0</v>
      </c>
      <c r="AF145" t="s">
        <v>3</v>
      </c>
      <c r="AG145">
        <v>38</v>
      </c>
      <c r="AH145">
        <v>2</v>
      </c>
      <c r="AI145">
        <v>38216465</v>
      </c>
      <c r="AJ145">
        <v>148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</row>
    <row r="146" spans="1:44" x14ac:dyDescent="0.2">
      <c r="A146">
        <f>ROW(Source!A542)</f>
        <v>542</v>
      </c>
      <c r="B146">
        <v>38216483</v>
      </c>
      <c r="C146">
        <v>38216476</v>
      </c>
      <c r="D146">
        <v>34867259</v>
      </c>
      <c r="E146">
        <v>25</v>
      </c>
      <c r="F146">
        <v>1</v>
      </c>
      <c r="G146">
        <v>25</v>
      </c>
      <c r="H146">
        <v>1</v>
      </c>
      <c r="I146" t="s">
        <v>391</v>
      </c>
      <c r="J146" t="s">
        <v>3</v>
      </c>
      <c r="K146" t="s">
        <v>392</v>
      </c>
      <c r="L146">
        <v>1191</v>
      </c>
      <c r="N146">
        <v>1013</v>
      </c>
      <c r="O146" t="s">
        <v>393</v>
      </c>
      <c r="P146" t="s">
        <v>393</v>
      </c>
      <c r="Q146">
        <v>1</v>
      </c>
      <c r="X146">
        <v>2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1</v>
      </c>
      <c r="AF146" t="s">
        <v>3</v>
      </c>
      <c r="AG146">
        <v>2</v>
      </c>
      <c r="AH146">
        <v>2</v>
      </c>
      <c r="AI146">
        <v>38216477</v>
      </c>
      <c r="AJ146">
        <v>149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</row>
    <row r="147" spans="1:44" x14ac:dyDescent="0.2">
      <c r="A147">
        <f>ROW(Source!A542)</f>
        <v>542</v>
      </c>
      <c r="B147">
        <v>38216484</v>
      </c>
      <c r="C147">
        <v>38216476</v>
      </c>
      <c r="D147">
        <v>34879835</v>
      </c>
      <c r="E147">
        <v>1</v>
      </c>
      <c r="F147">
        <v>1</v>
      </c>
      <c r="G147">
        <v>25</v>
      </c>
      <c r="H147">
        <v>2</v>
      </c>
      <c r="I147" t="s">
        <v>446</v>
      </c>
      <c r="J147" t="s">
        <v>447</v>
      </c>
      <c r="K147" t="s">
        <v>448</v>
      </c>
      <c r="L147">
        <v>1368</v>
      </c>
      <c r="N147">
        <v>1011</v>
      </c>
      <c r="O147" t="s">
        <v>397</v>
      </c>
      <c r="P147" t="s">
        <v>397</v>
      </c>
      <c r="Q147">
        <v>1</v>
      </c>
      <c r="X147">
        <v>0.2</v>
      </c>
      <c r="Y147">
        <v>0</v>
      </c>
      <c r="Z147">
        <v>55</v>
      </c>
      <c r="AA147">
        <v>0.05</v>
      </c>
      <c r="AB147">
        <v>0</v>
      </c>
      <c r="AC147">
        <v>0</v>
      </c>
      <c r="AD147">
        <v>1</v>
      </c>
      <c r="AE147">
        <v>0</v>
      </c>
      <c r="AF147" t="s">
        <v>3</v>
      </c>
      <c r="AG147">
        <v>0.2</v>
      </c>
      <c r="AH147">
        <v>2</v>
      </c>
      <c r="AI147">
        <v>38216478</v>
      </c>
      <c r="AJ147">
        <v>150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</row>
    <row r="148" spans="1:44" x14ac:dyDescent="0.2">
      <c r="A148">
        <f>ROW(Source!A542)</f>
        <v>542</v>
      </c>
      <c r="B148">
        <v>38216485</v>
      </c>
      <c r="C148">
        <v>38216476</v>
      </c>
      <c r="D148">
        <v>34880186</v>
      </c>
      <c r="E148">
        <v>1</v>
      </c>
      <c r="F148">
        <v>1</v>
      </c>
      <c r="G148">
        <v>25</v>
      </c>
      <c r="H148">
        <v>2</v>
      </c>
      <c r="I148" t="s">
        <v>449</v>
      </c>
      <c r="J148" t="s">
        <v>450</v>
      </c>
      <c r="K148" t="s">
        <v>451</v>
      </c>
      <c r="L148">
        <v>1368</v>
      </c>
      <c r="N148">
        <v>1011</v>
      </c>
      <c r="O148" t="s">
        <v>397</v>
      </c>
      <c r="P148" t="s">
        <v>397</v>
      </c>
      <c r="Q148">
        <v>1</v>
      </c>
      <c r="X148">
        <v>1</v>
      </c>
      <c r="Y148">
        <v>0</v>
      </c>
      <c r="Z148">
        <v>619.44000000000005</v>
      </c>
      <c r="AA148">
        <v>393.66</v>
      </c>
      <c r="AB148">
        <v>0</v>
      </c>
      <c r="AC148">
        <v>0</v>
      </c>
      <c r="AD148">
        <v>1</v>
      </c>
      <c r="AE148">
        <v>0</v>
      </c>
      <c r="AF148" t="s">
        <v>3</v>
      </c>
      <c r="AG148">
        <v>1</v>
      </c>
      <c r="AH148">
        <v>2</v>
      </c>
      <c r="AI148">
        <v>38216479</v>
      </c>
      <c r="AJ148">
        <v>151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</row>
    <row r="149" spans="1:44" x14ac:dyDescent="0.2">
      <c r="A149">
        <f>ROW(Source!A542)</f>
        <v>542</v>
      </c>
      <c r="B149">
        <v>38216486</v>
      </c>
      <c r="C149">
        <v>38216476</v>
      </c>
      <c r="D149">
        <v>34880219</v>
      </c>
      <c r="E149">
        <v>1</v>
      </c>
      <c r="F149">
        <v>1</v>
      </c>
      <c r="G149">
        <v>25</v>
      </c>
      <c r="H149">
        <v>2</v>
      </c>
      <c r="I149" t="s">
        <v>425</v>
      </c>
      <c r="J149" t="s">
        <v>426</v>
      </c>
      <c r="K149" t="s">
        <v>427</v>
      </c>
      <c r="L149">
        <v>1368</v>
      </c>
      <c r="N149">
        <v>1011</v>
      </c>
      <c r="O149" t="s">
        <v>397</v>
      </c>
      <c r="P149" t="s">
        <v>397</v>
      </c>
      <c r="Q149">
        <v>1</v>
      </c>
      <c r="X149">
        <v>0.1</v>
      </c>
      <c r="Y149">
        <v>0</v>
      </c>
      <c r="Z149">
        <v>5.82</v>
      </c>
      <c r="AA149">
        <v>0.02</v>
      </c>
      <c r="AB149">
        <v>0</v>
      </c>
      <c r="AC149">
        <v>0</v>
      </c>
      <c r="AD149">
        <v>1</v>
      </c>
      <c r="AE149">
        <v>0</v>
      </c>
      <c r="AF149" t="s">
        <v>3</v>
      </c>
      <c r="AG149">
        <v>0.1</v>
      </c>
      <c r="AH149">
        <v>2</v>
      </c>
      <c r="AI149">
        <v>38216480</v>
      </c>
      <c r="AJ149">
        <v>152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</row>
    <row r="150" spans="1:44" x14ac:dyDescent="0.2">
      <c r="A150">
        <f>ROW(Source!A542)</f>
        <v>542</v>
      </c>
      <c r="B150">
        <v>38216487</v>
      </c>
      <c r="C150">
        <v>38216476</v>
      </c>
      <c r="D150">
        <v>34882179</v>
      </c>
      <c r="E150">
        <v>1</v>
      </c>
      <c r="F150">
        <v>1</v>
      </c>
      <c r="G150">
        <v>25</v>
      </c>
      <c r="H150">
        <v>3</v>
      </c>
      <c r="I150" t="s">
        <v>412</v>
      </c>
      <c r="J150" t="s">
        <v>413</v>
      </c>
      <c r="K150" t="s">
        <v>414</v>
      </c>
      <c r="L150">
        <v>1348</v>
      </c>
      <c r="N150">
        <v>1009</v>
      </c>
      <c r="O150" t="s">
        <v>30</v>
      </c>
      <c r="P150" t="s">
        <v>30</v>
      </c>
      <c r="Q150">
        <v>1000</v>
      </c>
      <c r="X150">
        <v>5.0000000000000002E-5</v>
      </c>
      <c r="Y150">
        <v>110728.72</v>
      </c>
      <c r="Z150">
        <v>0</v>
      </c>
      <c r="AA150">
        <v>0</v>
      </c>
      <c r="AB150">
        <v>0</v>
      </c>
      <c r="AC150">
        <v>0</v>
      </c>
      <c r="AD150">
        <v>1</v>
      </c>
      <c r="AE150">
        <v>0</v>
      </c>
      <c r="AF150" t="s">
        <v>3</v>
      </c>
      <c r="AG150">
        <v>5.0000000000000002E-5</v>
      </c>
      <c r="AH150">
        <v>2</v>
      </c>
      <c r="AI150">
        <v>38216481</v>
      </c>
      <c r="AJ150">
        <v>153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</row>
    <row r="151" spans="1:44" x14ac:dyDescent="0.2">
      <c r="A151">
        <f>ROW(Source!A542)</f>
        <v>542</v>
      </c>
      <c r="B151">
        <v>38216488</v>
      </c>
      <c r="C151">
        <v>38216476</v>
      </c>
      <c r="D151">
        <v>34885071</v>
      </c>
      <c r="E151">
        <v>1</v>
      </c>
      <c r="F151">
        <v>1</v>
      </c>
      <c r="G151">
        <v>25</v>
      </c>
      <c r="H151">
        <v>3</v>
      </c>
      <c r="I151" t="s">
        <v>452</v>
      </c>
      <c r="J151" t="s">
        <v>453</v>
      </c>
      <c r="K151" t="s">
        <v>454</v>
      </c>
      <c r="L151">
        <v>1354</v>
      </c>
      <c r="N151">
        <v>1010</v>
      </c>
      <c r="O151" t="s">
        <v>123</v>
      </c>
      <c r="P151" t="s">
        <v>123</v>
      </c>
      <c r="Q151">
        <v>1</v>
      </c>
      <c r="X151">
        <v>1</v>
      </c>
      <c r="Y151">
        <v>52.44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 t="s">
        <v>3</v>
      </c>
      <c r="AG151">
        <v>1</v>
      </c>
      <c r="AH151">
        <v>2</v>
      </c>
      <c r="AI151">
        <v>38216482</v>
      </c>
      <c r="AJ151">
        <v>154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</row>
    <row r="152" spans="1:44" x14ac:dyDescent="0.2">
      <c r="A152">
        <f>ROW(Source!A544)</f>
        <v>544</v>
      </c>
      <c r="B152">
        <v>38215268</v>
      </c>
      <c r="C152">
        <v>38215257</v>
      </c>
      <c r="D152">
        <v>34867259</v>
      </c>
      <c r="E152">
        <v>25</v>
      </c>
      <c r="F152">
        <v>1</v>
      </c>
      <c r="G152">
        <v>25</v>
      </c>
      <c r="H152">
        <v>1</v>
      </c>
      <c r="I152" t="s">
        <v>391</v>
      </c>
      <c r="J152" t="s">
        <v>3</v>
      </c>
      <c r="K152" t="s">
        <v>392</v>
      </c>
      <c r="L152">
        <v>1191</v>
      </c>
      <c r="N152">
        <v>1013</v>
      </c>
      <c r="O152" t="s">
        <v>393</v>
      </c>
      <c r="P152" t="s">
        <v>393</v>
      </c>
      <c r="Q152">
        <v>1</v>
      </c>
      <c r="X152">
        <v>340.81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1</v>
      </c>
      <c r="AE152">
        <v>1</v>
      </c>
      <c r="AF152" t="s">
        <v>3</v>
      </c>
      <c r="AG152">
        <v>340.81</v>
      </c>
      <c r="AH152">
        <v>2</v>
      </c>
      <c r="AI152">
        <v>38215258</v>
      </c>
      <c r="AJ152">
        <v>155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</row>
    <row r="153" spans="1:44" x14ac:dyDescent="0.2">
      <c r="A153">
        <f>ROW(Source!A544)</f>
        <v>544</v>
      </c>
      <c r="B153">
        <v>38215269</v>
      </c>
      <c r="C153">
        <v>38215257</v>
      </c>
      <c r="D153">
        <v>34879840</v>
      </c>
      <c r="E153">
        <v>1</v>
      </c>
      <c r="F153">
        <v>1</v>
      </c>
      <c r="G153">
        <v>25</v>
      </c>
      <c r="H153">
        <v>2</v>
      </c>
      <c r="I153" t="s">
        <v>422</v>
      </c>
      <c r="J153" t="s">
        <v>423</v>
      </c>
      <c r="K153" t="s">
        <v>424</v>
      </c>
      <c r="L153">
        <v>1368</v>
      </c>
      <c r="N153">
        <v>1011</v>
      </c>
      <c r="O153" t="s">
        <v>397</v>
      </c>
      <c r="P153" t="s">
        <v>397</v>
      </c>
      <c r="Q153">
        <v>1</v>
      </c>
      <c r="X153">
        <v>39</v>
      </c>
      <c r="Y153">
        <v>0</v>
      </c>
      <c r="Z153">
        <v>337.61</v>
      </c>
      <c r="AA153">
        <v>6.68</v>
      </c>
      <c r="AB153">
        <v>0</v>
      </c>
      <c r="AC153">
        <v>0</v>
      </c>
      <c r="AD153">
        <v>1</v>
      </c>
      <c r="AE153">
        <v>0</v>
      </c>
      <c r="AF153" t="s">
        <v>3</v>
      </c>
      <c r="AG153">
        <v>39</v>
      </c>
      <c r="AH153">
        <v>2</v>
      </c>
      <c r="AI153">
        <v>38215259</v>
      </c>
      <c r="AJ153">
        <v>156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</row>
    <row r="154" spans="1:44" x14ac:dyDescent="0.2">
      <c r="A154">
        <f>ROW(Source!A544)</f>
        <v>544</v>
      </c>
      <c r="B154">
        <v>38215270</v>
      </c>
      <c r="C154">
        <v>38215257</v>
      </c>
      <c r="D154">
        <v>34880219</v>
      </c>
      <c r="E154">
        <v>1</v>
      </c>
      <c r="F154">
        <v>1</v>
      </c>
      <c r="G154">
        <v>25</v>
      </c>
      <c r="H154">
        <v>2</v>
      </c>
      <c r="I154" t="s">
        <v>425</v>
      </c>
      <c r="J154" t="s">
        <v>426</v>
      </c>
      <c r="K154" t="s">
        <v>427</v>
      </c>
      <c r="L154">
        <v>1368</v>
      </c>
      <c r="N154">
        <v>1011</v>
      </c>
      <c r="O154" t="s">
        <v>397</v>
      </c>
      <c r="P154" t="s">
        <v>397</v>
      </c>
      <c r="Q154">
        <v>1</v>
      </c>
      <c r="X154">
        <v>0.52</v>
      </c>
      <c r="Y154">
        <v>0</v>
      </c>
      <c r="Z154">
        <v>5.82</v>
      </c>
      <c r="AA154">
        <v>0.02</v>
      </c>
      <c r="AB154">
        <v>0</v>
      </c>
      <c r="AC154">
        <v>0</v>
      </c>
      <c r="AD154">
        <v>1</v>
      </c>
      <c r="AE154">
        <v>0</v>
      </c>
      <c r="AF154" t="s">
        <v>3</v>
      </c>
      <c r="AG154">
        <v>0.52</v>
      </c>
      <c r="AH154">
        <v>2</v>
      </c>
      <c r="AI154">
        <v>38215260</v>
      </c>
      <c r="AJ154">
        <v>157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</row>
    <row r="155" spans="1:44" x14ac:dyDescent="0.2">
      <c r="A155">
        <f>ROW(Source!A544)</f>
        <v>544</v>
      </c>
      <c r="B155">
        <v>38215271</v>
      </c>
      <c r="C155">
        <v>38215257</v>
      </c>
      <c r="D155">
        <v>34879672</v>
      </c>
      <c r="E155">
        <v>1</v>
      </c>
      <c r="F155">
        <v>1</v>
      </c>
      <c r="G155">
        <v>25</v>
      </c>
      <c r="H155">
        <v>2</v>
      </c>
      <c r="I155" t="s">
        <v>428</v>
      </c>
      <c r="J155" t="s">
        <v>429</v>
      </c>
      <c r="K155" t="s">
        <v>430</v>
      </c>
      <c r="L155">
        <v>1368</v>
      </c>
      <c r="N155">
        <v>1011</v>
      </c>
      <c r="O155" t="s">
        <v>397</v>
      </c>
      <c r="P155" t="s">
        <v>397</v>
      </c>
      <c r="Q155">
        <v>1</v>
      </c>
      <c r="X155">
        <v>32.909999999999997</v>
      </c>
      <c r="Y155">
        <v>0</v>
      </c>
      <c r="Z155">
        <v>10.62</v>
      </c>
      <c r="AA155">
        <v>2.82</v>
      </c>
      <c r="AB155">
        <v>0</v>
      </c>
      <c r="AC155">
        <v>0</v>
      </c>
      <c r="AD155">
        <v>1</v>
      </c>
      <c r="AE155">
        <v>0</v>
      </c>
      <c r="AF155" t="s">
        <v>3</v>
      </c>
      <c r="AG155">
        <v>32.909999999999997</v>
      </c>
      <c r="AH155">
        <v>2</v>
      </c>
      <c r="AI155">
        <v>38215261</v>
      </c>
      <c r="AJ155">
        <v>158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</row>
    <row r="156" spans="1:44" x14ac:dyDescent="0.2">
      <c r="A156">
        <f>ROW(Source!A544)</f>
        <v>544</v>
      </c>
      <c r="B156">
        <v>38215272</v>
      </c>
      <c r="C156">
        <v>38215257</v>
      </c>
      <c r="D156">
        <v>34879710</v>
      </c>
      <c r="E156">
        <v>1</v>
      </c>
      <c r="F156">
        <v>1</v>
      </c>
      <c r="G156">
        <v>25</v>
      </c>
      <c r="H156">
        <v>2</v>
      </c>
      <c r="I156" t="s">
        <v>431</v>
      </c>
      <c r="J156" t="s">
        <v>432</v>
      </c>
      <c r="K156" t="s">
        <v>433</v>
      </c>
      <c r="L156">
        <v>1368</v>
      </c>
      <c r="N156">
        <v>1011</v>
      </c>
      <c r="O156" t="s">
        <v>397</v>
      </c>
      <c r="P156" t="s">
        <v>397</v>
      </c>
      <c r="Q156">
        <v>1</v>
      </c>
      <c r="X156">
        <v>5.49</v>
      </c>
      <c r="Y156">
        <v>0</v>
      </c>
      <c r="Z156">
        <v>1180.29</v>
      </c>
      <c r="AA156">
        <v>586.89</v>
      </c>
      <c r="AB156">
        <v>0</v>
      </c>
      <c r="AC156">
        <v>0</v>
      </c>
      <c r="AD156">
        <v>1</v>
      </c>
      <c r="AE156">
        <v>0</v>
      </c>
      <c r="AF156" t="s">
        <v>3</v>
      </c>
      <c r="AG156">
        <v>5.49</v>
      </c>
      <c r="AH156">
        <v>2</v>
      </c>
      <c r="AI156">
        <v>38215262</v>
      </c>
      <c r="AJ156">
        <v>159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</row>
    <row r="157" spans="1:44" x14ac:dyDescent="0.2">
      <c r="A157">
        <f>ROW(Source!A544)</f>
        <v>544</v>
      </c>
      <c r="B157">
        <v>38215273</v>
      </c>
      <c r="C157">
        <v>38215257</v>
      </c>
      <c r="D157">
        <v>34881558</v>
      </c>
      <c r="E157">
        <v>1</v>
      </c>
      <c r="F157">
        <v>1</v>
      </c>
      <c r="G157">
        <v>25</v>
      </c>
      <c r="H157">
        <v>3</v>
      </c>
      <c r="I157" t="s">
        <v>434</v>
      </c>
      <c r="J157" t="s">
        <v>435</v>
      </c>
      <c r="K157" t="s">
        <v>436</v>
      </c>
      <c r="L157">
        <v>1339</v>
      </c>
      <c r="N157">
        <v>1007</v>
      </c>
      <c r="O157" t="s">
        <v>206</v>
      </c>
      <c r="P157" t="s">
        <v>206</v>
      </c>
      <c r="Q157">
        <v>1</v>
      </c>
      <c r="X157">
        <v>0.31</v>
      </c>
      <c r="Y157">
        <v>2248.25</v>
      </c>
      <c r="Z157">
        <v>0</v>
      </c>
      <c r="AA157">
        <v>0</v>
      </c>
      <c r="AB157">
        <v>0</v>
      </c>
      <c r="AC157">
        <v>0</v>
      </c>
      <c r="AD157">
        <v>1</v>
      </c>
      <c r="AE157">
        <v>0</v>
      </c>
      <c r="AF157" t="s">
        <v>32</v>
      </c>
      <c r="AG157">
        <v>0</v>
      </c>
      <c r="AH157">
        <v>2</v>
      </c>
      <c r="AI157">
        <v>38215263</v>
      </c>
      <c r="AJ157">
        <v>160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</row>
    <row r="158" spans="1:44" x14ac:dyDescent="0.2">
      <c r="A158">
        <f>ROW(Source!A544)</f>
        <v>544</v>
      </c>
      <c r="B158">
        <v>38215274</v>
      </c>
      <c r="C158">
        <v>38215257</v>
      </c>
      <c r="D158">
        <v>34882179</v>
      </c>
      <c r="E158">
        <v>1</v>
      </c>
      <c r="F158">
        <v>1</v>
      </c>
      <c r="G158">
        <v>25</v>
      </c>
      <c r="H158">
        <v>3</v>
      </c>
      <c r="I158" t="s">
        <v>412</v>
      </c>
      <c r="J158" t="s">
        <v>413</v>
      </c>
      <c r="K158" t="s">
        <v>414</v>
      </c>
      <c r="L158">
        <v>1348</v>
      </c>
      <c r="N158">
        <v>1009</v>
      </c>
      <c r="O158" t="s">
        <v>30</v>
      </c>
      <c r="P158" t="s">
        <v>30</v>
      </c>
      <c r="Q158">
        <v>1000</v>
      </c>
      <c r="X158">
        <v>7.0000000000000001E-3</v>
      </c>
      <c r="Y158">
        <v>110728.72</v>
      </c>
      <c r="Z158">
        <v>0</v>
      </c>
      <c r="AA158">
        <v>0</v>
      </c>
      <c r="AB158">
        <v>0</v>
      </c>
      <c r="AC158">
        <v>0</v>
      </c>
      <c r="AD158">
        <v>1</v>
      </c>
      <c r="AE158">
        <v>0</v>
      </c>
      <c r="AF158" t="s">
        <v>32</v>
      </c>
      <c r="AG158">
        <v>0</v>
      </c>
      <c r="AH158">
        <v>2</v>
      </c>
      <c r="AI158">
        <v>38215264</v>
      </c>
      <c r="AJ158">
        <v>161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</row>
    <row r="159" spans="1:44" x14ac:dyDescent="0.2">
      <c r="A159">
        <f>ROW(Source!A544)</f>
        <v>544</v>
      </c>
      <c r="B159">
        <v>38215275</v>
      </c>
      <c r="C159">
        <v>38215257</v>
      </c>
      <c r="D159">
        <v>34883227</v>
      </c>
      <c r="E159">
        <v>1</v>
      </c>
      <c r="F159">
        <v>1</v>
      </c>
      <c r="G159">
        <v>25</v>
      </c>
      <c r="H159">
        <v>3</v>
      </c>
      <c r="I159" t="s">
        <v>437</v>
      </c>
      <c r="J159" t="s">
        <v>438</v>
      </c>
      <c r="K159" t="s">
        <v>439</v>
      </c>
      <c r="L159">
        <v>1339</v>
      </c>
      <c r="N159">
        <v>1007</v>
      </c>
      <c r="O159" t="s">
        <v>206</v>
      </c>
      <c r="P159" t="s">
        <v>206</v>
      </c>
      <c r="Q159">
        <v>1</v>
      </c>
      <c r="X159">
        <v>3.25</v>
      </c>
      <c r="Y159">
        <v>4082.17</v>
      </c>
      <c r="Z159">
        <v>0</v>
      </c>
      <c r="AA159">
        <v>0</v>
      </c>
      <c r="AB159">
        <v>0</v>
      </c>
      <c r="AC159">
        <v>0</v>
      </c>
      <c r="AD159">
        <v>1</v>
      </c>
      <c r="AE159">
        <v>0</v>
      </c>
      <c r="AF159" t="s">
        <v>32</v>
      </c>
      <c r="AG159">
        <v>0</v>
      </c>
      <c r="AH159">
        <v>2</v>
      </c>
      <c r="AI159">
        <v>38215265</v>
      </c>
      <c r="AJ159">
        <v>162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</row>
    <row r="160" spans="1:44" x14ac:dyDescent="0.2">
      <c r="A160">
        <f>ROW(Source!A544)</f>
        <v>544</v>
      </c>
      <c r="B160">
        <v>38215276</v>
      </c>
      <c r="C160">
        <v>38215257</v>
      </c>
      <c r="D160">
        <v>34884932</v>
      </c>
      <c r="E160">
        <v>1</v>
      </c>
      <c r="F160">
        <v>1</v>
      </c>
      <c r="G160">
        <v>25</v>
      </c>
      <c r="H160">
        <v>3</v>
      </c>
      <c r="I160" t="s">
        <v>440</v>
      </c>
      <c r="J160" t="s">
        <v>441</v>
      </c>
      <c r="K160" t="s">
        <v>442</v>
      </c>
      <c r="L160">
        <v>1301</v>
      </c>
      <c r="N160">
        <v>1003</v>
      </c>
      <c r="O160" t="s">
        <v>384</v>
      </c>
      <c r="P160" t="s">
        <v>384</v>
      </c>
      <c r="Q160">
        <v>1</v>
      </c>
      <c r="X160">
        <v>87</v>
      </c>
      <c r="Y160">
        <v>4886.66</v>
      </c>
      <c r="Z160">
        <v>0</v>
      </c>
      <c r="AA160">
        <v>0</v>
      </c>
      <c r="AB160">
        <v>0</v>
      </c>
      <c r="AC160">
        <v>0</v>
      </c>
      <c r="AD160">
        <v>1</v>
      </c>
      <c r="AE160">
        <v>0</v>
      </c>
      <c r="AF160" t="s">
        <v>32</v>
      </c>
      <c r="AG160">
        <v>0</v>
      </c>
      <c r="AH160">
        <v>2</v>
      </c>
      <c r="AI160">
        <v>38215266</v>
      </c>
      <c r="AJ160">
        <v>163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</row>
    <row r="161" spans="1:44" x14ac:dyDescent="0.2">
      <c r="A161">
        <f>ROW(Source!A544)</f>
        <v>544</v>
      </c>
      <c r="B161">
        <v>38215277</v>
      </c>
      <c r="C161">
        <v>38215257</v>
      </c>
      <c r="D161">
        <v>34884933</v>
      </c>
      <c r="E161">
        <v>1</v>
      </c>
      <c r="F161">
        <v>1</v>
      </c>
      <c r="G161">
        <v>25</v>
      </c>
      <c r="H161">
        <v>3</v>
      </c>
      <c r="I161" t="s">
        <v>443</v>
      </c>
      <c r="J161" t="s">
        <v>444</v>
      </c>
      <c r="K161" t="s">
        <v>445</v>
      </c>
      <c r="L161">
        <v>1354</v>
      </c>
      <c r="N161">
        <v>1010</v>
      </c>
      <c r="O161" t="s">
        <v>123</v>
      </c>
      <c r="P161" t="s">
        <v>123</v>
      </c>
      <c r="Q161">
        <v>1</v>
      </c>
      <c r="X161">
        <v>38</v>
      </c>
      <c r="Y161">
        <v>2843.73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0</v>
      </c>
      <c r="AF161" t="s">
        <v>32</v>
      </c>
      <c r="AG161">
        <v>0</v>
      </c>
      <c r="AH161">
        <v>2</v>
      </c>
      <c r="AI161">
        <v>38215267</v>
      </c>
      <c r="AJ161">
        <v>164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</row>
    <row r="162" spans="1:44" x14ac:dyDescent="0.2">
      <c r="A162">
        <f>ROW(Source!A582)</f>
        <v>582</v>
      </c>
      <c r="B162">
        <v>38215340</v>
      </c>
      <c r="C162">
        <v>38215336</v>
      </c>
      <c r="D162">
        <v>34867259</v>
      </c>
      <c r="E162">
        <v>25</v>
      </c>
      <c r="F162">
        <v>1</v>
      </c>
      <c r="G162">
        <v>25</v>
      </c>
      <c r="H162">
        <v>1</v>
      </c>
      <c r="I162" t="s">
        <v>391</v>
      </c>
      <c r="J162" t="s">
        <v>3</v>
      </c>
      <c r="K162" t="s">
        <v>392</v>
      </c>
      <c r="L162">
        <v>1191</v>
      </c>
      <c r="N162">
        <v>1013</v>
      </c>
      <c r="O162" t="s">
        <v>393</v>
      </c>
      <c r="P162" t="s">
        <v>393</v>
      </c>
      <c r="Q162">
        <v>1</v>
      </c>
      <c r="X162">
        <v>3.39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1</v>
      </c>
      <c r="AE162">
        <v>1</v>
      </c>
      <c r="AF162" t="s">
        <v>3</v>
      </c>
      <c r="AG162">
        <v>3.39</v>
      </c>
      <c r="AH162">
        <v>2</v>
      </c>
      <c r="AI162">
        <v>38215337</v>
      </c>
      <c r="AJ162">
        <v>165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</row>
    <row r="163" spans="1:44" x14ac:dyDescent="0.2">
      <c r="A163">
        <f>ROW(Source!A582)</f>
        <v>582</v>
      </c>
      <c r="B163">
        <v>38215341</v>
      </c>
      <c r="C163">
        <v>38215336</v>
      </c>
      <c r="D163">
        <v>34879395</v>
      </c>
      <c r="E163">
        <v>1</v>
      </c>
      <c r="F163">
        <v>1</v>
      </c>
      <c r="G163">
        <v>25</v>
      </c>
      <c r="H163">
        <v>2</v>
      </c>
      <c r="I163" t="s">
        <v>455</v>
      </c>
      <c r="J163" t="s">
        <v>456</v>
      </c>
      <c r="K163" t="s">
        <v>457</v>
      </c>
      <c r="L163">
        <v>1368</v>
      </c>
      <c r="N163">
        <v>1011</v>
      </c>
      <c r="O163" t="s">
        <v>397</v>
      </c>
      <c r="P163" t="s">
        <v>397</v>
      </c>
      <c r="Q163">
        <v>1</v>
      </c>
      <c r="X163">
        <v>9.27</v>
      </c>
      <c r="Y163">
        <v>0</v>
      </c>
      <c r="Z163">
        <v>675.33</v>
      </c>
      <c r="AA163">
        <v>529.01</v>
      </c>
      <c r="AB163">
        <v>0</v>
      </c>
      <c r="AC163">
        <v>0</v>
      </c>
      <c r="AD163">
        <v>1</v>
      </c>
      <c r="AE163">
        <v>0</v>
      </c>
      <c r="AF163" t="s">
        <v>3</v>
      </c>
      <c r="AG163">
        <v>9.27</v>
      </c>
      <c r="AH163">
        <v>2</v>
      </c>
      <c r="AI163">
        <v>38215338</v>
      </c>
      <c r="AJ163">
        <v>166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</row>
    <row r="164" spans="1:44" x14ac:dyDescent="0.2">
      <c r="A164">
        <f>ROW(Source!A582)</f>
        <v>582</v>
      </c>
      <c r="B164">
        <v>38215342</v>
      </c>
      <c r="C164">
        <v>38215336</v>
      </c>
      <c r="D164">
        <v>34879407</v>
      </c>
      <c r="E164">
        <v>1</v>
      </c>
      <c r="F164">
        <v>1</v>
      </c>
      <c r="G164">
        <v>25</v>
      </c>
      <c r="H164">
        <v>2</v>
      </c>
      <c r="I164" t="s">
        <v>458</v>
      </c>
      <c r="J164" t="s">
        <v>459</v>
      </c>
      <c r="K164" t="s">
        <v>460</v>
      </c>
      <c r="L164">
        <v>1368</v>
      </c>
      <c r="N164">
        <v>1011</v>
      </c>
      <c r="O164" t="s">
        <v>397</v>
      </c>
      <c r="P164" t="s">
        <v>397</v>
      </c>
      <c r="Q164">
        <v>1</v>
      </c>
      <c r="X164">
        <v>2.12</v>
      </c>
      <c r="Y164">
        <v>0</v>
      </c>
      <c r="Z164">
        <v>923.83</v>
      </c>
      <c r="AA164">
        <v>342.06</v>
      </c>
      <c r="AB164">
        <v>0</v>
      </c>
      <c r="AC164">
        <v>0</v>
      </c>
      <c r="AD164">
        <v>1</v>
      </c>
      <c r="AE164">
        <v>0</v>
      </c>
      <c r="AF164" t="s">
        <v>3</v>
      </c>
      <c r="AG164">
        <v>2.12</v>
      </c>
      <c r="AH164">
        <v>2</v>
      </c>
      <c r="AI164">
        <v>38215339</v>
      </c>
      <c r="AJ164">
        <v>167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</row>
    <row r="165" spans="1:44" x14ac:dyDescent="0.2">
      <c r="A165">
        <f>ROW(Source!A583)</f>
        <v>583</v>
      </c>
      <c r="B165">
        <v>38215345</v>
      </c>
      <c r="C165">
        <v>38215343</v>
      </c>
      <c r="D165">
        <v>34867259</v>
      </c>
      <c r="E165">
        <v>25</v>
      </c>
      <c r="F165">
        <v>1</v>
      </c>
      <c r="G165">
        <v>25</v>
      </c>
      <c r="H165">
        <v>1</v>
      </c>
      <c r="I165" t="s">
        <v>391</v>
      </c>
      <c r="J165" t="s">
        <v>3</v>
      </c>
      <c r="K165" t="s">
        <v>392</v>
      </c>
      <c r="L165">
        <v>1191</v>
      </c>
      <c r="N165">
        <v>1013</v>
      </c>
      <c r="O165" t="s">
        <v>393</v>
      </c>
      <c r="P165" t="s">
        <v>393</v>
      </c>
      <c r="Q165">
        <v>1</v>
      </c>
      <c r="X165">
        <v>221.6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1</v>
      </c>
      <c r="AE165">
        <v>1</v>
      </c>
      <c r="AF165" t="s">
        <v>3</v>
      </c>
      <c r="AG165">
        <v>221.6</v>
      </c>
      <c r="AH165">
        <v>2</v>
      </c>
      <c r="AI165">
        <v>38215344</v>
      </c>
      <c r="AJ165">
        <v>168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</row>
    <row r="166" spans="1:44" x14ac:dyDescent="0.2">
      <c r="A166">
        <f>ROW(Source!A584)</f>
        <v>584</v>
      </c>
      <c r="B166">
        <v>38215348</v>
      </c>
      <c r="C166">
        <v>38215346</v>
      </c>
      <c r="D166">
        <v>34879386</v>
      </c>
      <c r="E166">
        <v>1</v>
      </c>
      <c r="F166">
        <v>1</v>
      </c>
      <c r="G166">
        <v>25</v>
      </c>
      <c r="H166">
        <v>2</v>
      </c>
      <c r="I166" t="s">
        <v>461</v>
      </c>
      <c r="J166" t="s">
        <v>462</v>
      </c>
      <c r="K166" t="s">
        <v>463</v>
      </c>
      <c r="L166">
        <v>1368</v>
      </c>
      <c r="N166">
        <v>1011</v>
      </c>
      <c r="O166" t="s">
        <v>397</v>
      </c>
      <c r="P166" t="s">
        <v>397</v>
      </c>
      <c r="Q166">
        <v>1</v>
      </c>
      <c r="X166">
        <v>5.3699999999999998E-2</v>
      </c>
      <c r="Y166">
        <v>0</v>
      </c>
      <c r="Z166">
        <v>1451.71</v>
      </c>
      <c r="AA166">
        <v>457.95</v>
      </c>
      <c r="AB166">
        <v>0</v>
      </c>
      <c r="AC166">
        <v>0</v>
      </c>
      <c r="AD166">
        <v>1</v>
      </c>
      <c r="AE166">
        <v>0</v>
      </c>
      <c r="AF166" t="s">
        <v>3</v>
      </c>
      <c r="AG166">
        <v>5.3699999999999998E-2</v>
      </c>
      <c r="AH166">
        <v>2</v>
      </c>
      <c r="AI166">
        <v>38215347</v>
      </c>
      <c r="AJ166">
        <v>169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</row>
    <row r="167" spans="1:44" x14ac:dyDescent="0.2">
      <c r="A167">
        <f>ROW(Source!A585)</f>
        <v>585</v>
      </c>
      <c r="B167">
        <v>38215351</v>
      </c>
      <c r="C167">
        <v>38215349</v>
      </c>
      <c r="D167">
        <v>34867259</v>
      </c>
      <c r="E167">
        <v>25</v>
      </c>
      <c r="F167">
        <v>1</v>
      </c>
      <c r="G167">
        <v>25</v>
      </c>
      <c r="H167">
        <v>1</v>
      </c>
      <c r="I167" t="s">
        <v>391</v>
      </c>
      <c r="J167" t="s">
        <v>3</v>
      </c>
      <c r="K167" t="s">
        <v>392</v>
      </c>
      <c r="L167">
        <v>1191</v>
      </c>
      <c r="N167">
        <v>1013</v>
      </c>
      <c r="O167" t="s">
        <v>393</v>
      </c>
      <c r="P167" t="s">
        <v>393</v>
      </c>
      <c r="Q167">
        <v>1</v>
      </c>
      <c r="X167">
        <v>1.02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1</v>
      </c>
      <c r="AF167" t="s">
        <v>3</v>
      </c>
      <c r="AG167">
        <v>1.02</v>
      </c>
      <c r="AH167">
        <v>2</v>
      </c>
      <c r="AI167">
        <v>38215350</v>
      </c>
      <c r="AJ167">
        <v>170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</row>
    <row r="168" spans="1:44" x14ac:dyDescent="0.2">
      <c r="A168">
        <f>ROW(Source!A586)</f>
        <v>586</v>
      </c>
      <c r="B168">
        <v>38215355</v>
      </c>
      <c r="C168">
        <v>38215352</v>
      </c>
      <c r="D168">
        <v>34880178</v>
      </c>
      <c r="E168">
        <v>1</v>
      </c>
      <c r="F168">
        <v>1</v>
      </c>
      <c r="G168">
        <v>25</v>
      </c>
      <c r="H168">
        <v>2</v>
      </c>
      <c r="I168" t="s">
        <v>400</v>
      </c>
      <c r="J168" t="s">
        <v>401</v>
      </c>
      <c r="K168" t="s">
        <v>402</v>
      </c>
      <c r="L168">
        <v>1368</v>
      </c>
      <c r="N168">
        <v>1011</v>
      </c>
      <c r="O168" t="s">
        <v>397</v>
      </c>
      <c r="P168" t="s">
        <v>397</v>
      </c>
      <c r="Q168">
        <v>1</v>
      </c>
      <c r="X168">
        <v>0.02</v>
      </c>
      <c r="Y168">
        <v>0</v>
      </c>
      <c r="Z168">
        <v>952.49</v>
      </c>
      <c r="AA168">
        <v>301.5</v>
      </c>
      <c r="AB168">
        <v>0</v>
      </c>
      <c r="AC168">
        <v>0</v>
      </c>
      <c r="AD168">
        <v>1</v>
      </c>
      <c r="AE168">
        <v>0</v>
      </c>
      <c r="AF168" t="s">
        <v>3</v>
      </c>
      <c r="AG168">
        <v>0.02</v>
      </c>
      <c r="AH168">
        <v>2</v>
      </c>
      <c r="AI168">
        <v>38215353</v>
      </c>
      <c r="AJ168">
        <v>171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</row>
    <row r="169" spans="1:44" x14ac:dyDescent="0.2">
      <c r="A169">
        <f>ROW(Source!A586)</f>
        <v>586</v>
      </c>
      <c r="B169">
        <v>38215356</v>
      </c>
      <c r="C169">
        <v>38215352</v>
      </c>
      <c r="D169">
        <v>34880179</v>
      </c>
      <c r="E169">
        <v>1</v>
      </c>
      <c r="F169">
        <v>1</v>
      </c>
      <c r="G169">
        <v>25</v>
      </c>
      <c r="H169">
        <v>2</v>
      </c>
      <c r="I169" t="s">
        <v>403</v>
      </c>
      <c r="J169" t="s">
        <v>404</v>
      </c>
      <c r="K169" t="s">
        <v>405</v>
      </c>
      <c r="L169">
        <v>1368</v>
      </c>
      <c r="N169">
        <v>1011</v>
      </c>
      <c r="O169" t="s">
        <v>397</v>
      </c>
      <c r="P169" t="s">
        <v>397</v>
      </c>
      <c r="Q169">
        <v>1</v>
      </c>
      <c r="X169">
        <v>1.7999999999999999E-2</v>
      </c>
      <c r="Y169">
        <v>0</v>
      </c>
      <c r="Z169">
        <v>993.6</v>
      </c>
      <c r="AA169">
        <v>301.8</v>
      </c>
      <c r="AB169">
        <v>0</v>
      </c>
      <c r="AC169">
        <v>0</v>
      </c>
      <c r="AD169">
        <v>1</v>
      </c>
      <c r="AE169">
        <v>0</v>
      </c>
      <c r="AF169" t="s">
        <v>3</v>
      </c>
      <c r="AG169">
        <v>1.7999999999999999E-2</v>
      </c>
      <c r="AH169">
        <v>2</v>
      </c>
      <c r="AI169">
        <v>38215354</v>
      </c>
      <c r="AJ169">
        <v>172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</row>
    <row r="170" spans="1:44" x14ac:dyDescent="0.2">
      <c r="A170">
        <f>ROW(Source!A587)</f>
        <v>587</v>
      </c>
      <c r="B170">
        <v>38215360</v>
      </c>
      <c r="C170">
        <v>38215357</v>
      </c>
      <c r="D170">
        <v>34880178</v>
      </c>
      <c r="E170">
        <v>1</v>
      </c>
      <c r="F170">
        <v>1</v>
      </c>
      <c r="G170">
        <v>25</v>
      </c>
      <c r="H170">
        <v>2</v>
      </c>
      <c r="I170" t="s">
        <v>400</v>
      </c>
      <c r="J170" t="s">
        <v>401</v>
      </c>
      <c r="K170" t="s">
        <v>402</v>
      </c>
      <c r="L170">
        <v>1368</v>
      </c>
      <c r="N170">
        <v>1011</v>
      </c>
      <c r="O170" t="s">
        <v>397</v>
      </c>
      <c r="P170" t="s">
        <v>397</v>
      </c>
      <c r="Q170">
        <v>1</v>
      </c>
      <c r="X170">
        <v>5.3999999999999999E-2</v>
      </c>
      <c r="Y170">
        <v>0</v>
      </c>
      <c r="Z170">
        <v>952.49</v>
      </c>
      <c r="AA170">
        <v>301.5</v>
      </c>
      <c r="AB170">
        <v>0</v>
      </c>
      <c r="AC170">
        <v>0</v>
      </c>
      <c r="AD170">
        <v>1</v>
      </c>
      <c r="AE170">
        <v>0</v>
      </c>
      <c r="AF170" t="s">
        <v>3</v>
      </c>
      <c r="AG170">
        <v>5.3999999999999999E-2</v>
      </c>
      <c r="AH170">
        <v>2</v>
      </c>
      <c r="AI170">
        <v>38215358</v>
      </c>
      <c r="AJ170">
        <v>173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</row>
    <row r="171" spans="1:44" x14ac:dyDescent="0.2">
      <c r="A171">
        <f>ROW(Source!A587)</f>
        <v>587</v>
      </c>
      <c r="B171">
        <v>38215361</v>
      </c>
      <c r="C171">
        <v>38215357</v>
      </c>
      <c r="D171">
        <v>34880179</v>
      </c>
      <c r="E171">
        <v>1</v>
      </c>
      <c r="F171">
        <v>1</v>
      </c>
      <c r="G171">
        <v>25</v>
      </c>
      <c r="H171">
        <v>2</v>
      </c>
      <c r="I171" t="s">
        <v>403</v>
      </c>
      <c r="J171" t="s">
        <v>404</v>
      </c>
      <c r="K171" t="s">
        <v>405</v>
      </c>
      <c r="L171">
        <v>1368</v>
      </c>
      <c r="N171">
        <v>1011</v>
      </c>
      <c r="O171" t="s">
        <v>397</v>
      </c>
      <c r="P171" t="s">
        <v>397</v>
      </c>
      <c r="Q171">
        <v>1</v>
      </c>
      <c r="X171">
        <v>5.5E-2</v>
      </c>
      <c r="Y171">
        <v>0</v>
      </c>
      <c r="Z171">
        <v>993.6</v>
      </c>
      <c r="AA171">
        <v>301.8</v>
      </c>
      <c r="AB171">
        <v>0</v>
      </c>
      <c r="AC171">
        <v>0</v>
      </c>
      <c r="AD171">
        <v>1</v>
      </c>
      <c r="AE171">
        <v>0</v>
      </c>
      <c r="AF171" t="s">
        <v>3</v>
      </c>
      <c r="AG171">
        <v>5.5E-2</v>
      </c>
      <c r="AH171">
        <v>2</v>
      </c>
      <c r="AI171">
        <v>38215359</v>
      </c>
      <c r="AJ171">
        <v>174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</row>
    <row r="172" spans="1:44" x14ac:dyDescent="0.2">
      <c r="A172">
        <f>ROW(Source!A588)</f>
        <v>588</v>
      </c>
      <c r="B172">
        <v>38215365</v>
      </c>
      <c r="C172">
        <v>38215362</v>
      </c>
      <c r="D172">
        <v>34880178</v>
      </c>
      <c r="E172">
        <v>1</v>
      </c>
      <c r="F172">
        <v>1</v>
      </c>
      <c r="G172">
        <v>25</v>
      </c>
      <c r="H172">
        <v>2</v>
      </c>
      <c r="I172" t="s">
        <v>400</v>
      </c>
      <c r="J172" t="s">
        <v>401</v>
      </c>
      <c r="K172" t="s">
        <v>402</v>
      </c>
      <c r="L172">
        <v>1368</v>
      </c>
      <c r="N172">
        <v>1011</v>
      </c>
      <c r="O172" t="s">
        <v>397</v>
      </c>
      <c r="P172" t="s">
        <v>397</v>
      </c>
      <c r="Q172">
        <v>1</v>
      </c>
      <c r="X172">
        <v>0.01</v>
      </c>
      <c r="Y172">
        <v>0</v>
      </c>
      <c r="Z172">
        <v>952.49</v>
      </c>
      <c r="AA172">
        <v>301.5</v>
      </c>
      <c r="AB172">
        <v>0</v>
      </c>
      <c r="AC172">
        <v>0</v>
      </c>
      <c r="AD172">
        <v>1</v>
      </c>
      <c r="AE172">
        <v>0</v>
      </c>
      <c r="AF172" t="s">
        <v>201</v>
      </c>
      <c r="AG172">
        <v>0.16</v>
      </c>
      <c r="AH172">
        <v>2</v>
      </c>
      <c r="AI172">
        <v>38215363</v>
      </c>
      <c r="AJ172">
        <v>175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</row>
    <row r="173" spans="1:44" x14ac:dyDescent="0.2">
      <c r="A173">
        <f>ROW(Source!A588)</f>
        <v>588</v>
      </c>
      <c r="B173">
        <v>38215366</v>
      </c>
      <c r="C173">
        <v>38215362</v>
      </c>
      <c r="D173">
        <v>34880179</v>
      </c>
      <c r="E173">
        <v>1</v>
      </c>
      <c r="F173">
        <v>1</v>
      </c>
      <c r="G173">
        <v>25</v>
      </c>
      <c r="H173">
        <v>2</v>
      </c>
      <c r="I173" t="s">
        <v>403</v>
      </c>
      <c r="J173" t="s">
        <v>404</v>
      </c>
      <c r="K173" t="s">
        <v>405</v>
      </c>
      <c r="L173">
        <v>1368</v>
      </c>
      <c r="N173">
        <v>1011</v>
      </c>
      <c r="O173" t="s">
        <v>397</v>
      </c>
      <c r="P173" t="s">
        <v>397</v>
      </c>
      <c r="Q173">
        <v>1</v>
      </c>
      <c r="X173">
        <v>8.0000000000000002E-3</v>
      </c>
      <c r="Y173">
        <v>0</v>
      </c>
      <c r="Z173">
        <v>993.6</v>
      </c>
      <c r="AA173">
        <v>301.8</v>
      </c>
      <c r="AB173">
        <v>0</v>
      </c>
      <c r="AC173">
        <v>0</v>
      </c>
      <c r="AD173">
        <v>1</v>
      </c>
      <c r="AE173">
        <v>0</v>
      </c>
      <c r="AF173" t="s">
        <v>201</v>
      </c>
      <c r="AG173">
        <v>0.128</v>
      </c>
      <c r="AH173">
        <v>2</v>
      </c>
      <c r="AI173">
        <v>38215364</v>
      </c>
      <c r="AJ173">
        <v>176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</row>
    <row r="174" spans="1:44" x14ac:dyDescent="0.2">
      <c r="A174">
        <f>ROW(Source!A593)</f>
        <v>593</v>
      </c>
      <c r="B174">
        <v>38215380</v>
      </c>
      <c r="C174">
        <v>38215371</v>
      </c>
      <c r="D174">
        <v>34867259</v>
      </c>
      <c r="E174">
        <v>25</v>
      </c>
      <c r="F174">
        <v>1</v>
      </c>
      <c r="G174">
        <v>25</v>
      </c>
      <c r="H174">
        <v>1</v>
      </c>
      <c r="I174" t="s">
        <v>391</v>
      </c>
      <c r="J174" t="s">
        <v>3</v>
      </c>
      <c r="K174" t="s">
        <v>392</v>
      </c>
      <c r="L174">
        <v>1191</v>
      </c>
      <c r="N174">
        <v>1013</v>
      </c>
      <c r="O174" t="s">
        <v>393</v>
      </c>
      <c r="P174" t="s">
        <v>393</v>
      </c>
      <c r="Q174">
        <v>1</v>
      </c>
      <c r="X174">
        <v>16.559999999999999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1</v>
      </c>
      <c r="AE174">
        <v>1</v>
      </c>
      <c r="AF174" t="s">
        <v>3</v>
      </c>
      <c r="AG174">
        <v>16.559999999999999</v>
      </c>
      <c r="AH174">
        <v>2</v>
      </c>
      <c r="AI174">
        <v>38215372</v>
      </c>
      <c r="AJ174">
        <v>177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</row>
    <row r="175" spans="1:44" x14ac:dyDescent="0.2">
      <c r="A175">
        <f>ROW(Source!A593)</f>
        <v>593</v>
      </c>
      <c r="B175">
        <v>38215381</v>
      </c>
      <c r="C175">
        <v>38215371</v>
      </c>
      <c r="D175">
        <v>34879430</v>
      </c>
      <c r="E175">
        <v>1</v>
      </c>
      <c r="F175">
        <v>1</v>
      </c>
      <c r="G175">
        <v>25</v>
      </c>
      <c r="H175">
        <v>2</v>
      </c>
      <c r="I175" t="s">
        <v>464</v>
      </c>
      <c r="J175" t="s">
        <v>465</v>
      </c>
      <c r="K175" t="s">
        <v>466</v>
      </c>
      <c r="L175">
        <v>1368</v>
      </c>
      <c r="N175">
        <v>1011</v>
      </c>
      <c r="O175" t="s">
        <v>397</v>
      </c>
      <c r="P175" t="s">
        <v>397</v>
      </c>
      <c r="Q175">
        <v>1</v>
      </c>
      <c r="X175">
        <v>2.08</v>
      </c>
      <c r="Y175">
        <v>0</v>
      </c>
      <c r="Z175">
        <v>1159.46</v>
      </c>
      <c r="AA175">
        <v>525.74</v>
      </c>
      <c r="AB175">
        <v>0</v>
      </c>
      <c r="AC175">
        <v>0</v>
      </c>
      <c r="AD175">
        <v>1</v>
      </c>
      <c r="AE175">
        <v>0</v>
      </c>
      <c r="AF175" t="s">
        <v>3</v>
      </c>
      <c r="AG175">
        <v>2.08</v>
      </c>
      <c r="AH175">
        <v>2</v>
      </c>
      <c r="AI175">
        <v>38215373</v>
      </c>
      <c r="AJ175">
        <v>178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</row>
    <row r="176" spans="1:44" x14ac:dyDescent="0.2">
      <c r="A176">
        <f>ROW(Source!A593)</f>
        <v>593</v>
      </c>
      <c r="B176">
        <v>38215382</v>
      </c>
      <c r="C176">
        <v>38215371</v>
      </c>
      <c r="D176">
        <v>34879585</v>
      </c>
      <c r="E176">
        <v>1</v>
      </c>
      <c r="F176">
        <v>1</v>
      </c>
      <c r="G176">
        <v>25</v>
      </c>
      <c r="H176">
        <v>2</v>
      </c>
      <c r="I176" t="s">
        <v>467</v>
      </c>
      <c r="J176" t="s">
        <v>468</v>
      </c>
      <c r="K176" t="s">
        <v>469</v>
      </c>
      <c r="L176">
        <v>1368</v>
      </c>
      <c r="N176">
        <v>1011</v>
      </c>
      <c r="O176" t="s">
        <v>397</v>
      </c>
      <c r="P176" t="s">
        <v>397</v>
      </c>
      <c r="Q176">
        <v>1</v>
      </c>
      <c r="X176">
        <v>2.08</v>
      </c>
      <c r="Y176">
        <v>0</v>
      </c>
      <c r="Z176">
        <v>416.25</v>
      </c>
      <c r="AA176">
        <v>204.9</v>
      </c>
      <c r="AB176">
        <v>0</v>
      </c>
      <c r="AC176">
        <v>0</v>
      </c>
      <c r="AD176">
        <v>1</v>
      </c>
      <c r="AE176">
        <v>0</v>
      </c>
      <c r="AF176" t="s">
        <v>3</v>
      </c>
      <c r="AG176">
        <v>2.08</v>
      </c>
      <c r="AH176">
        <v>2</v>
      </c>
      <c r="AI176">
        <v>38215374</v>
      </c>
      <c r="AJ176">
        <v>179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</row>
    <row r="177" spans="1:44" x14ac:dyDescent="0.2">
      <c r="A177">
        <f>ROW(Source!A593)</f>
        <v>593</v>
      </c>
      <c r="B177">
        <v>38215383</v>
      </c>
      <c r="C177">
        <v>38215371</v>
      </c>
      <c r="D177">
        <v>34879588</v>
      </c>
      <c r="E177">
        <v>1</v>
      </c>
      <c r="F177">
        <v>1</v>
      </c>
      <c r="G177">
        <v>25</v>
      </c>
      <c r="H177">
        <v>2</v>
      </c>
      <c r="I177" t="s">
        <v>470</v>
      </c>
      <c r="J177" t="s">
        <v>471</v>
      </c>
      <c r="K177" t="s">
        <v>472</v>
      </c>
      <c r="L177">
        <v>1368</v>
      </c>
      <c r="N177">
        <v>1011</v>
      </c>
      <c r="O177" t="s">
        <v>397</v>
      </c>
      <c r="P177" t="s">
        <v>397</v>
      </c>
      <c r="Q177">
        <v>1</v>
      </c>
      <c r="X177">
        <v>0.81</v>
      </c>
      <c r="Y177">
        <v>0</v>
      </c>
      <c r="Z177">
        <v>1942.21</v>
      </c>
      <c r="AA177">
        <v>436.39</v>
      </c>
      <c r="AB177">
        <v>0</v>
      </c>
      <c r="AC177">
        <v>0</v>
      </c>
      <c r="AD177">
        <v>1</v>
      </c>
      <c r="AE177">
        <v>0</v>
      </c>
      <c r="AF177" t="s">
        <v>3</v>
      </c>
      <c r="AG177">
        <v>0.81</v>
      </c>
      <c r="AH177">
        <v>2</v>
      </c>
      <c r="AI177">
        <v>38215375</v>
      </c>
      <c r="AJ177">
        <v>180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</row>
    <row r="178" spans="1:44" x14ac:dyDescent="0.2">
      <c r="A178">
        <f>ROW(Source!A593)</f>
        <v>593</v>
      </c>
      <c r="B178">
        <v>38215384</v>
      </c>
      <c r="C178">
        <v>38215371</v>
      </c>
      <c r="D178">
        <v>34879612</v>
      </c>
      <c r="E178">
        <v>1</v>
      </c>
      <c r="F178">
        <v>1</v>
      </c>
      <c r="G178">
        <v>25</v>
      </c>
      <c r="H178">
        <v>2</v>
      </c>
      <c r="I178" t="s">
        <v>473</v>
      </c>
      <c r="J178" t="s">
        <v>474</v>
      </c>
      <c r="K178" t="s">
        <v>475</v>
      </c>
      <c r="L178">
        <v>1368</v>
      </c>
      <c r="N178">
        <v>1011</v>
      </c>
      <c r="O178" t="s">
        <v>397</v>
      </c>
      <c r="P178" t="s">
        <v>397</v>
      </c>
      <c r="Q178">
        <v>1</v>
      </c>
      <c r="X178">
        <v>1.94</v>
      </c>
      <c r="Y178">
        <v>0</v>
      </c>
      <c r="Z178">
        <v>1364.77</v>
      </c>
      <c r="AA178">
        <v>610.30999999999995</v>
      </c>
      <c r="AB178">
        <v>0</v>
      </c>
      <c r="AC178">
        <v>0</v>
      </c>
      <c r="AD178">
        <v>1</v>
      </c>
      <c r="AE178">
        <v>0</v>
      </c>
      <c r="AF178" t="s">
        <v>3</v>
      </c>
      <c r="AG178">
        <v>1.94</v>
      </c>
      <c r="AH178">
        <v>2</v>
      </c>
      <c r="AI178">
        <v>38215376</v>
      </c>
      <c r="AJ178">
        <v>181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</row>
    <row r="179" spans="1:44" x14ac:dyDescent="0.2">
      <c r="A179">
        <f>ROW(Source!A593)</f>
        <v>593</v>
      </c>
      <c r="B179">
        <v>38215385</v>
      </c>
      <c r="C179">
        <v>38215371</v>
      </c>
      <c r="D179">
        <v>34879578</v>
      </c>
      <c r="E179">
        <v>1</v>
      </c>
      <c r="F179">
        <v>1</v>
      </c>
      <c r="G179">
        <v>25</v>
      </c>
      <c r="H179">
        <v>2</v>
      </c>
      <c r="I179" t="s">
        <v>476</v>
      </c>
      <c r="J179" t="s">
        <v>477</v>
      </c>
      <c r="K179" t="s">
        <v>478</v>
      </c>
      <c r="L179">
        <v>1368</v>
      </c>
      <c r="N179">
        <v>1011</v>
      </c>
      <c r="O179" t="s">
        <v>397</v>
      </c>
      <c r="P179" t="s">
        <v>397</v>
      </c>
      <c r="Q179">
        <v>1</v>
      </c>
      <c r="X179">
        <v>0.65</v>
      </c>
      <c r="Y179">
        <v>0</v>
      </c>
      <c r="Z179">
        <v>1179.56</v>
      </c>
      <c r="AA179">
        <v>439.28</v>
      </c>
      <c r="AB179">
        <v>0</v>
      </c>
      <c r="AC179">
        <v>0</v>
      </c>
      <c r="AD179">
        <v>1</v>
      </c>
      <c r="AE179">
        <v>0</v>
      </c>
      <c r="AF179" t="s">
        <v>3</v>
      </c>
      <c r="AG179">
        <v>0.65</v>
      </c>
      <c r="AH179">
        <v>2</v>
      </c>
      <c r="AI179">
        <v>38215377</v>
      </c>
      <c r="AJ179">
        <v>182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</row>
    <row r="180" spans="1:44" x14ac:dyDescent="0.2">
      <c r="A180">
        <f>ROW(Source!A593)</f>
        <v>593</v>
      </c>
      <c r="B180">
        <v>38215386</v>
      </c>
      <c r="C180">
        <v>38215371</v>
      </c>
      <c r="D180">
        <v>34881527</v>
      </c>
      <c r="E180">
        <v>1</v>
      </c>
      <c r="F180">
        <v>1</v>
      </c>
      <c r="G180">
        <v>25</v>
      </c>
      <c r="H180">
        <v>3</v>
      </c>
      <c r="I180" t="s">
        <v>479</v>
      </c>
      <c r="J180" t="s">
        <v>480</v>
      </c>
      <c r="K180" t="s">
        <v>481</v>
      </c>
      <c r="L180">
        <v>1339</v>
      </c>
      <c r="N180">
        <v>1007</v>
      </c>
      <c r="O180" t="s">
        <v>206</v>
      </c>
      <c r="P180" t="s">
        <v>206</v>
      </c>
      <c r="Q180">
        <v>1</v>
      </c>
      <c r="X180">
        <v>110</v>
      </c>
      <c r="Y180">
        <v>590.78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0</v>
      </c>
      <c r="AF180" t="s">
        <v>3</v>
      </c>
      <c r="AG180">
        <v>110</v>
      </c>
      <c r="AH180">
        <v>2</v>
      </c>
      <c r="AI180">
        <v>38215378</v>
      </c>
      <c r="AJ180">
        <v>183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</row>
    <row r="181" spans="1:44" x14ac:dyDescent="0.2">
      <c r="A181">
        <f>ROW(Source!A593)</f>
        <v>593</v>
      </c>
      <c r="B181">
        <v>38215387</v>
      </c>
      <c r="C181">
        <v>38215371</v>
      </c>
      <c r="D181">
        <v>34882270</v>
      </c>
      <c r="E181">
        <v>1</v>
      </c>
      <c r="F181">
        <v>1</v>
      </c>
      <c r="G181">
        <v>25</v>
      </c>
      <c r="H181">
        <v>3</v>
      </c>
      <c r="I181" t="s">
        <v>482</v>
      </c>
      <c r="J181" t="s">
        <v>483</v>
      </c>
      <c r="K181" t="s">
        <v>484</v>
      </c>
      <c r="L181">
        <v>1339</v>
      </c>
      <c r="N181">
        <v>1007</v>
      </c>
      <c r="O181" t="s">
        <v>206</v>
      </c>
      <c r="P181" t="s">
        <v>206</v>
      </c>
      <c r="Q181">
        <v>1</v>
      </c>
      <c r="X181">
        <v>5</v>
      </c>
      <c r="Y181">
        <v>33.729999999999997</v>
      </c>
      <c r="Z181">
        <v>0</v>
      </c>
      <c r="AA181">
        <v>0</v>
      </c>
      <c r="AB181">
        <v>0</v>
      </c>
      <c r="AC181">
        <v>0</v>
      </c>
      <c r="AD181">
        <v>1</v>
      </c>
      <c r="AE181">
        <v>0</v>
      </c>
      <c r="AF181" t="s">
        <v>3</v>
      </c>
      <c r="AG181">
        <v>5</v>
      </c>
      <c r="AH181">
        <v>2</v>
      </c>
      <c r="AI181">
        <v>38215379</v>
      </c>
      <c r="AJ181">
        <v>184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</row>
    <row r="182" spans="1:44" x14ac:dyDescent="0.2">
      <c r="A182">
        <f>ROW(Source!A594)</f>
        <v>594</v>
      </c>
      <c r="B182">
        <v>38215393</v>
      </c>
      <c r="C182">
        <v>38215388</v>
      </c>
      <c r="D182">
        <v>34867259</v>
      </c>
      <c r="E182">
        <v>25</v>
      </c>
      <c r="F182">
        <v>1</v>
      </c>
      <c r="G182">
        <v>25</v>
      </c>
      <c r="H182">
        <v>1</v>
      </c>
      <c r="I182" t="s">
        <v>391</v>
      </c>
      <c r="J182" t="s">
        <v>3</v>
      </c>
      <c r="K182" t="s">
        <v>392</v>
      </c>
      <c r="L182">
        <v>1191</v>
      </c>
      <c r="N182">
        <v>1013</v>
      </c>
      <c r="O182" t="s">
        <v>393</v>
      </c>
      <c r="P182" t="s">
        <v>393</v>
      </c>
      <c r="Q182">
        <v>1</v>
      </c>
      <c r="X182">
        <v>0.37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1</v>
      </c>
      <c r="AE182">
        <v>1</v>
      </c>
      <c r="AF182" t="s">
        <v>3</v>
      </c>
      <c r="AG182">
        <v>0.37</v>
      </c>
      <c r="AH182">
        <v>2</v>
      </c>
      <c r="AI182">
        <v>38215389</v>
      </c>
      <c r="AJ182">
        <v>185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</row>
    <row r="183" spans="1:44" x14ac:dyDescent="0.2">
      <c r="A183">
        <f>ROW(Source!A594)</f>
        <v>594</v>
      </c>
      <c r="B183">
        <v>38215394</v>
      </c>
      <c r="C183">
        <v>38215388</v>
      </c>
      <c r="D183">
        <v>34879587</v>
      </c>
      <c r="E183">
        <v>1</v>
      </c>
      <c r="F183">
        <v>1</v>
      </c>
      <c r="G183">
        <v>25</v>
      </c>
      <c r="H183">
        <v>2</v>
      </c>
      <c r="I183" t="s">
        <v>485</v>
      </c>
      <c r="J183" t="s">
        <v>486</v>
      </c>
      <c r="K183" t="s">
        <v>487</v>
      </c>
      <c r="L183">
        <v>1368</v>
      </c>
      <c r="N183">
        <v>1011</v>
      </c>
      <c r="O183" t="s">
        <v>397</v>
      </c>
      <c r="P183" t="s">
        <v>397</v>
      </c>
      <c r="Q183">
        <v>1</v>
      </c>
      <c r="X183">
        <v>3.0000000000000001E-3</v>
      </c>
      <c r="Y183">
        <v>0</v>
      </c>
      <c r="Z183">
        <v>1236.3</v>
      </c>
      <c r="AA183">
        <v>469.98</v>
      </c>
      <c r="AB183">
        <v>0</v>
      </c>
      <c r="AC183">
        <v>0</v>
      </c>
      <c r="AD183">
        <v>1</v>
      </c>
      <c r="AE183">
        <v>0</v>
      </c>
      <c r="AF183" t="s">
        <v>3</v>
      </c>
      <c r="AG183">
        <v>3.0000000000000001E-3</v>
      </c>
      <c r="AH183">
        <v>2</v>
      </c>
      <c r="AI183">
        <v>38215390</v>
      </c>
      <c r="AJ183">
        <v>186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</row>
    <row r="184" spans="1:44" x14ac:dyDescent="0.2">
      <c r="A184">
        <f>ROW(Source!A594)</f>
        <v>594</v>
      </c>
      <c r="B184">
        <v>38215395</v>
      </c>
      <c r="C184">
        <v>38215388</v>
      </c>
      <c r="D184">
        <v>34881528</v>
      </c>
      <c r="E184">
        <v>1</v>
      </c>
      <c r="F184">
        <v>1</v>
      </c>
      <c r="G184">
        <v>25</v>
      </c>
      <c r="H184">
        <v>3</v>
      </c>
      <c r="I184" t="s">
        <v>488</v>
      </c>
      <c r="J184" t="s">
        <v>489</v>
      </c>
      <c r="K184" t="s">
        <v>490</v>
      </c>
      <c r="L184">
        <v>1339</v>
      </c>
      <c r="N184">
        <v>1007</v>
      </c>
      <c r="O184" t="s">
        <v>206</v>
      </c>
      <c r="P184" t="s">
        <v>206</v>
      </c>
      <c r="Q184">
        <v>1</v>
      </c>
      <c r="X184">
        <v>0.105</v>
      </c>
      <c r="Y184">
        <v>590.78</v>
      </c>
      <c r="Z184">
        <v>0</v>
      </c>
      <c r="AA184">
        <v>0</v>
      </c>
      <c r="AB184">
        <v>0</v>
      </c>
      <c r="AC184">
        <v>0</v>
      </c>
      <c r="AD184">
        <v>1</v>
      </c>
      <c r="AE184">
        <v>0</v>
      </c>
      <c r="AF184" t="s">
        <v>3</v>
      </c>
      <c r="AG184">
        <v>0.105</v>
      </c>
      <c r="AH184">
        <v>2</v>
      </c>
      <c r="AI184">
        <v>38215391</v>
      </c>
      <c r="AJ184">
        <v>187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</row>
    <row r="185" spans="1:44" x14ac:dyDescent="0.2">
      <c r="A185">
        <f>ROW(Source!A594)</f>
        <v>594</v>
      </c>
      <c r="B185">
        <v>38215396</v>
      </c>
      <c r="C185">
        <v>38215388</v>
      </c>
      <c r="D185">
        <v>34882270</v>
      </c>
      <c r="E185">
        <v>1</v>
      </c>
      <c r="F185">
        <v>1</v>
      </c>
      <c r="G185">
        <v>25</v>
      </c>
      <c r="H185">
        <v>3</v>
      </c>
      <c r="I185" t="s">
        <v>482</v>
      </c>
      <c r="J185" t="s">
        <v>483</v>
      </c>
      <c r="K185" t="s">
        <v>484</v>
      </c>
      <c r="L185">
        <v>1339</v>
      </c>
      <c r="N185">
        <v>1007</v>
      </c>
      <c r="O185" t="s">
        <v>206</v>
      </c>
      <c r="P185" t="s">
        <v>206</v>
      </c>
      <c r="Q185">
        <v>1</v>
      </c>
      <c r="X185">
        <v>0.01</v>
      </c>
      <c r="Y185">
        <v>33.729999999999997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F185" t="s">
        <v>3</v>
      </c>
      <c r="AG185">
        <v>0.01</v>
      </c>
      <c r="AH185">
        <v>2</v>
      </c>
      <c r="AI185">
        <v>38215392</v>
      </c>
      <c r="AJ185">
        <v>188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</row>
    <row r="186" spans="1:44" x14ac:dyDescent="0.2">
      <c r="A186">
        <f>ROW(Source!A768)</f>
        <v>768</v>
      </c>
      <c r="B186">
        <v>38215747</v>
      </c>
      <c r="C186">
        <v>38215743</v>
      </c>
      <c r="D186">
        <v>34867259</v>
      </c>
      <c r="E186">
        <v>25</v>
      </c>
      <c r="F186">
        <v>1</v>
      </c>
      <c r="G186">
        <v>25</v>
      </c>
      <c r="H186">
        <v>1</v>
      </c>
      <c r="I186" t="s">
        <v>391</v>
      </c>
      <c r="J186" t="s">
        <v>3</v>
      </c>
      <c r="K186" t="s">
        <v>392</v>
      </c>
      <c r="L186">
        <v>1191</v>
      </c>
      <c r="N186">
        <v>1013</v>
      </c>
      <c r="O186" t="s">
        <v>393</v>
      </c>
      <c r="P186" t="s">
        <v>393</v>
      </c>
      <c r="Q186">
        <v>1</v>
      </c>
      <c r="X186">
        <v>3.39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1</v>
      </c>
      <c r="AE186">
        <v>1</v>
      </c>
      <c r="AF186" t="s">
        <v>3</v>
      </c>
      <c r="AG186">
        <v>3.39</v>
      </c>
      <c r="AH186">
        <v>2</v>
      </c>
      <c r="AI186">
        <v>38215744</v>
      </c>
      <c r="AJ186">
        <v>189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</row>
    <row r="187" spans="1:44" x14ac:dyDescent="0.2">
      <c r="A187">
        <f>ROW(Source!A768)</f>
        <v>768</v>
      </c>
      <c r="B187">
        <v>38215748</v>
      </c>
      <c r="C187">
        <v>38215743</v>
      </c>
      <c r="D187">
        <v>34879395</v>
      </c>
      <c r="E187">
        <v>1</v>
      </c>
      <c r="F187">
        <v>1</v>
      </c>
      <c r="G187">
        <v>25</v>
      </c>
      <c r="H187">
        <v>2</v>
      </c>
      <c r="I187" t="s">
        <v>455</v>
      </c>
      <c r="J187" t="s">
        <v>456</v>
      </c>
      <c r="K187" t="s">
        <v>457</v>
      </c>
      <c r="L187">
        <v>1368</v>
      </c>
      <c r="N187">
        <v>1011</v>
      </c>
      <c r="O187" t="s">
        <v>397</v>
      </c>
      <c r="P187" t="s">
        <v>397</v>
      </c>
      <c r="Q187">
        <v>1</v>
      </c>
      <c r="X187">
        <v>9.27</v>
      </c>
      <c r="Y187">
        <v>0</v>
      </c>
      <c r="Z187">
        <v>675.33</v>
      </c>
      <c r="AA187">
        <v>529.01</v>
      </c>
      <c r="AB187">
        <v>0</v>
      </c>
      <c r="AC187">
        <v>0</v>
      </c>
      <c r="AD187">
        <v>1</v>
      </c>
      <c r="AE187">
        <v>0</v>
      </c>
      <c r="AF187" t="s">
        <v>3</v>
      </c>
      <c r="AG187">
        <v>9.27</v>
      </c>
      <c r="AH187">
        <v>2</v>
      </c>
      <c r="AI187">
        <v>38215745</v>
      </c>
      <c r="AJ187">
        <v>190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</row>
    <row r="188" spans="1:44" x14ac:dyDescent="0.2">
      <c r="A188">
        <f>ROW(Source!A768)</f>
        <v>768</v>
      </c>
      <c r="B188">
        <v>38215749</v>
      </c>
      <c r="C188">
        <v>38215743</v>
      </c>
      <c r="D188">
        <v>34879407</v>
      </c>
      <c r="E188">
        <v>1</v>
      </c>
      <c r="F188">
        <v>1</v>
      </c>
      <c r="G188">
        <v>25</v>
      </c>
      <c r="H188">
        <v>2</v>
      </c>
      <c r="I188" t="s">
        <v>458</v>
      </c>
      <c r="J188" t="s">
        <v>459</v>
      </c>
      <c r="K188" t="s">
        <v>460</v>
      </c>
      <c r="L188">
        <v>1368</v>
      </c>
      <c r="N188">
        <v>1011</v>
      </c>
      <c r="O188" t="s">
        <v>397</v>
      </c>
      <c r="P188" t="s">
        <v>397</v>
      </c>
      <c r="Q188">
        <v>1</v>
      </c>
      <c r="X188">
        <v>2.12</v>
      </c>
      <c r="Y188">
        <v>0</v>
      </c>
      <c r="Z188">
        <v>923.83</v>
      </c>
      <c r="AA188">
        <v>342.06</v>
      </c>
      <c r="AB188">
        <v>0</v>
      </c>
      <c r="AC188">
        <v>0</v>
      </c>
      <c r="AD188">
        <v>1</v>
      </c>
      <c r="AE188">
        <v>0</v>
      </c>
      <c r="AF188" t="s">
        <v>3</v>
      </c>
      <c r="AG188">
        <v>2.12</v>
      </c>
      <c r="AH188">
        <v>2</v>
      </c>
      <c r="AI188">
        <v>38215746</v>
      </c>
      <c r="AJ188">
        <v>191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</row>
    <row r="189" spans="1:44" x14ac:dyDescent="0.2">
      <c r="A189">
        <f>ROW(Source!A769)</f>
        <v>769</v>
      </c>
      <c r="B189">
        <v>38215752</v>
      </c>
      <c r="C189">
        <v>38215750</v>
      </c>
      <c r="D189">
        <v>34867259</v>
      </c>
      <c r="E189">
        <v>25</v>
      </c>
      <c r="F189">
        <v>1</v>
      </c>
      <c r="G189">
        <v>25</v>
      </c>
      <c r="H189">
        <v>1</v>
      </c>
      <c r="I189" t="s">
        <v>391</v>
      </c>
      <c r="J189" t="s">
        <v>3</v>
      </c>
      <c r="K189" t="s">
        <v>392</v>
      </c>
      <c r="L189">
        <v>1191</v>
      </c>
      <c r="N189">
        <v>1013</v>
      </c>
      <c r="O189" t="s">
        <v>393</v>
      </c>
      <c r="P189" t="s">
        <v>393</v>
      </c>
      <c r="Q189">
        <v>1</v>
      </c>
      <c r="X189">
        <v>221.6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1</v>
      </c>
      <c r="AE189">
        <v>1</v>
      </c>
      <c r="AF189" t="s">
        <v>3</v>
      </c>
      <c r="AG189">
        <v>221.6</v>
      </c>
      <c r="AH189">
        <v>2</v>
      </c>
      <c r="AI189">
        <v>38215751</v>
      </c>
      <c r="AJ189">
        <v>192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</row>
    <row r="190" spans="1:44" x14ac:dyDescent="0.2">
      <c r="A190">
        <f>ROW(Source!A770)</f>
        <v>770</v>
      </c>
      <c r="B190">
        <v>38215755</v>
      </c>
      <c r="C190">
        <v>38215753</v>
      </c>
      <c r="D190">
        <v>34879386</v>
      </c>
      <c r="E190">
        <v>1</v>
      </c>
      <c r="F190">
        <v>1</v>
      </c>
      <c r="G190">
        <v>25</v>
      </c>
      <c r="H190">
        <v>2</v>
      </c>
      <c r="I190" t="s">
        <v>461</v>
      </c>
      <c r="J190" t="s">
        <v>462</v>
      </c>
      <c r="K190" t="s">
        <v>463</v>
      </c>
      <c r="L190">
        <v>1368</v>
      </c>
      <c r="N190">
        <v>1011</v>
      </c>
      <c r="O190" t="s">
        <v>397</v>
      </c>
      <c r="P190" t="s">
        <v>397</v>
      </c>
      <c r="Q190">
        <v>1</v>
      </c>
      <c r="X190">
        <v>5.3699999999999998E-2</v>
      </c>
      <c r="Y190">
        <v>0</v>
      </c>
      <c r="Z190">
        <v>1451.71</v>
      </c>
      <c r="AA190">
        <v>457.95</v>
      </c>
      <c r="AB190">
        <v>0</v>
      </c>
      <c r="AC190">
        <v>0</v>
      </c>
      <c r="AD190">
        <v>1</v>
      </c>
      <c r="AE190">
        <v>0</v>
      </c>
      <c r="AF190" t="s">
        <v>3</v>
      </c>
      <c r="AG190">
        <v>5.3699999999999998E-2</v>
      </c>
      <c r="AH190">
        <v>2</v>
      </c>
      <c r="AI190">
        <v>38215754</v>
      </c>
      <c r="AJ190">
        <v>193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</row>
    <row r="191" spans="1:44" x14ac:dyDescent="0.2">
      <c r="A191">
        <f>ROW(Source!A771)</f>
        <v>771</v>
      </c>
      <c r="B191">
        <v>38215758</v>
      </c>
      <c r="C191">
        <v>38215756</v>
      </c>
      <c r="D191">
        <v>34867259</v>
      </c>
      <c r="E191">
        <v>25</v>
      </c>
      <c r="F191">
        <v>1</v>
      </c>
      <c r="G191">
        <v>25</v>
      </c>
      <c r="H191">
        <v>1</v>
      </c>
      <c r="I191" t="s">
        <v>391</v>
      </c>
      <c r="J191" t="s">
        <v>3</v>
      </c>
      <c r="K191" t="s">
        <v>392</v>
      </c>
      <c r="L191">
        <v>1191</v>
      </c>
      <c r="N191">
        <v>1013</v>
      </c>
      <c r="O191" t="s">
        <v>393</v>
      </c>
      <c r="P191" t="s">
        <v>393</v>
      </c>
      <c r="Q191">
        <v>1</v>
      </c>
      <c r="X191">
        <v>1.02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1</v>
      </c>
      <c r="AE191">
        <v>1</v>
      </c>
      <c r="AF191" t="s">
        <v>3</v>
      </c>
      <c r="AG191">
        <v>1.02</v>
      </c>
      <c r="AH191">
        <v>2</v>
      </c>
      <c r="AI191">
        <v>38215757</v>
      </c>
      <c r="AJ191">
        <v>194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</row>
    <row r="192" spans="1:44" x14ac:dyDescent="0.2">
      <c r="A192">
        <f>ROW(Source!A772)</f>
        <v>772</v>
      </c>
      <c r="B192">
        <v>38215762</v>
      </c>
      <c r="C192">
        <v>38215759</v>
      </c>
      <c r="D192">
        <v>34880178</v>
      </c>
      <c r="E192">
        <v>1</v>
      </c>
      <c r="F192">
        <v>1</v>
      </c>
      <c r="G192">
        <v>25</v>
      </c>
      <c r="H192">
        <v>2</v>
      </c>
      <c r="I192" t="s">
        <v>400</v>
      </c>
      <c r="J192" t="s">
        <v>401</v>
      </c>
      <c r="K192" t="s">
        <v>402</v>
      </c>
      <c r="L192">
        <v>1368</v>
      </c>
      <c r="N192">
        <v>1011</v>
      </c>
      <c r="O192" t="s">
        <v>397</v>
      </c>
      <c r="P192" t="s">
        <v>397</v>
      </c>
      <c r="Q192">
        <v>1</v>
      </c>
      <c r="X192">
        <v>0.02</v>
      </c>
      <c r="Y192">
        <v>0</v>
      </c>
      <c r="Z192">
        <v>952.49</v>
      </c>
      <c r="AA192">
        <v>301.5</v>
      </c>
      <c r="AB192">
        <v>0</v>
      </c>
      <c r="AC192">
        <v>0</v>
      </c>
      <c r="AD192">
        <v>1</v>
      </c>
      <c r="AE192">
        <v>0</v>
      </c>
      <c r="AF192" t="s">
        <v>3</v>
      </c>
      <c r="AG192">
        <v>0.02</v>
      </c>
      <c r="AH192">
        <v>2</v>
      </c>
      <c r="AI192">
        <v>38215760</v>
      </c>
      <c r="AJ192">
        <v>195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</row>
    <row r="193" spans="1:44" x14ac:dyDescent="0.2">
      <c r="A193">
        <f>ROW(Source!A772)</f>
        <v>772</v>
      </c>
      <c r="B193">
        <v>38215763</v>
      </c>
      <c r="C193">
        <v>38215759</v>
      </c>
      <c r="D193">
        <v>34880179</v>
      </c>
      <c r="E193">
        <v>1</v>
      </c>
      <c r="F193">
        <v>1</v>
      </c>
      <c r="G193">
        <v>25</v>
      </c>
      <c r="H193">
        <v>2</v>
      </c>
      <c r="I193" t="s">
        <v>403</v>
      </c>
      <c r="J193" t="s">
        <v>404</v>
      </c>
      <c r="K193" t="s">
        <v>405</v>
      </c>
      <c r="L193">
        <v>1368</v>
      </c>
      <c r="N193">
        <v>1011</v>
      </c>
      <c r="O193" t="s">
        <v>397</v>
      </c>
      <c r="P193" t="s">
        <v>397</v>
      </c>
      <c r="Q193">
        <v>1</v>
      </c>
      <c r="X193">
        <v>1.7999999999999999E-2</v>
      </c>
      <c r="Y193">
        <v>0</v>
      </c>
      <c r="Z193">
        <v>993.6</v>
      </c>
      <c r="AA193">
        <v>301.8</v>
      </c>
      <c r="AB193">
        <v>0</v>
      </c>
      <c r="AC193">
        <v>0</v>
      </c>
      <c r="AD193">
        <v>1</v>
      </c>
      <c r="AE193">
        <v>0</v>
      </c>
      <c r="AF193" t="s">
        <v>3</v>
      </c>
      <c r="AG193">
        <v>1.7999999999999999E-2</v>
      </c>
      <c r="AH193">
        <v>2</v>
      </c>
      <c r="AI193">
        <v>38215761</v>
      </c>
      <c r="AJ193">
        <v>196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</row>
    <row r="194" spans="1:44" x14ac:dyDescent="0.2">
      <c r="A194">
        <f>ROW(Source!A773)</f>
        <v>773</v>
      </c>
      <c r="B194">
        <v>38215767</v>
      </c>
      <c r="C194">
        <v>38215764</v>
      </c>
      <c r="D194">
        <v>34880178</v>
      </c>
      <c r="E194">
        <v>1</v>
      </c>
      <c r="F194">
        <v>1</v>
      </c>
      <c r="G194">
        <v>25</v>
      </c>
      <c r="H194">
        <v>2</v>
      </c>
      <c r="I194" t="s">
        <v>400</v>
      </c>
      <c r="J194" t="s">
        <v>401</v>
      </c>
      <c r="K194" t="s">
        <v>402</v>
      </c>
      <c r="L194">
        <v>1368</v>
      </c>
      <c r="N194">
        <v>1011</v>
      </c>
      <c r="O194" t="s">
        <v>397</v>
      </c>
      <c r="P194" t="s">
        <v>397</v>
      </c>
      <c r="Q194">
        <v>1</v>
      </c>
      <c r="X194">
        <v>5.3999999999999999E-2</v>
      </c>
      <c r="Y194">
        <v>0</v>
      </c>
      <c r="Z194">
        <v>952.49</v>
      </c>
      <c r="AA194">
        <v>301.5</v>
      </c>
      <c r="AB194">
        <v>0</v>
      </c>
      <c r="AC194">
        <v>0</v>
      </c>
      <c r="AD194">
        <v>1</v>
      </c>
      <c r="AE194">
        <v>0</v>
      </c>
      <c r="AF194" t="s">
        <v>3</v>
      </c>
      <c r="AG194">
        <v>5.3999999999999999E-2</v>
      </c>
      <c r="AH194">
        <v>2</v>
      </c>
      <c r="AI194">
        <v>38215765</v>
      </c>
      <c r="AJ194">
        <v>197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</row>
    <row r="195" spans="1:44" x14ac:dyDescent="0.2">
      <c r="A195">
        <f>ROW(Source!A773)</f>
        <v>773</v>
      </c>
      <c r="B195">
        <v>38215768</v>
      </c>
      <c r="C195">
        <v>38215764</v>
      </c>
      <c r="D195">
        <v>34880179</v>
      </c>
      <c r="E195">
        <v>1</v>
      </c>
      <c r="F195">
        <v>1</v>
      </c>
      <c r="G195">
        <v>25</v>
      </c>
      <c r="H195">
        <v>2</v>
      </c>
      <c r="I195" t="s">
        <v>403</v>
      </c>
      <c r="J195" t="s">
        <v>404</v>
      </c>
      <c r="K195" t="s">
        <v>405</v>
      </c>
      <c r="L195">
        <v>1368</v>
      </c>
      <c r="N195">
        <v>1011</v>
      </c>
      <c r="O195" t="s">
        <v>397</v>
      </c>
      <c r="P195" t="s">
        <v>397</v>
      </c>
      <c r="Q195">
        <v>1</v>
      </c>
      <c r="X195">
        <v>5.5E-2</v>
      </c>
      <c r="Y195">
        <v>0</v>
      </c>
      <c r="Z195">
        <v>993.6</v>
      </c>
      <c r="AA195">
        <v>301.8</v>
      </c>
      <c r="AB195">
        <v>0</v>
      </c>
      <c r="AC195">
        <v>0</v>
      </c>
      <c r="AD195">
        <v>1</v>
      </c>
      <c r="AE195">
        <v>0</v>
      </c>
      <c r="AF195" t="s">
        <v>3</v>
      </c>
      <c r="AG195">
        <v>5.5E-2</v>
      </c>
      <c r="AH195">
        <v>2</v>
      </c>
      <c r="AI195">
        <v>38215766</v>
      </c>
      <c r="AJ195">
        <v>198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</row>
    <row r="196" spans="1:44" x14ac:dyDescent="0.2">
      <c r="A196">
        <f>ROW(Source!A774)</f>
        <v>774</v>
      </c>
      <c r="B196">
        <v>38215772</v>
      </c>
      <c r="C196">
        <v>38215769</v>
      </c>
      <c r="D196">
        <v>34880178</v>
      </c>
      <c r="E196">
        <v>1</v>
      </c>
      <c r="F196">
        <v>1</v>
      </c>
      <c r="G196">
        <v>25</v>
      </c>
      <c r="H196">
        <v>2</v>
      </c>
      <c r="I196" t="s">
        <v>400</v>
      </c>
      <c r="J196" t="s">
        <v>401</v>
      </c>
      <c r="K196" t="s">
        <v>402</v>
      </c>
      <c r="L196">
        <v>1368</v>
      </c>
      <c r="N196">
        <v>1011</v>
      </c>
      <c r="O196" t="s">
        <v>397</v>
      </c>
      <c r="P196" t="s">
        <v>397</v>
      </c>
      <c r="Q196">
        <v>1</v>
      </c>
      <c r="X196">
        <v>0.01</v>
      </c>
      <c r="Y196">
        <v>0</v>
      </c>
      <c r="Z196">
        <v>952.49</v>
      </c>
      <c r="AA196">
        <v>301.5</v>
      </c>
      <c r="AB196">
        <v>0</v>
      </c>
      <c r="AC196">
        <v>0</v>
      </c>
      <c r="AD196">
        <v>1</v>
      </c>
      <c r="AE196">
        <v>0</v>
      </c>
      <c r="AF196" t="s">
        <v>201</v>
      </c>
      <c r="AG196">
        <v>0.16</v>
      </c>
      <c r="AH196">
        <v>2</v>
      </c>
      <c r="AI196">
        <v>38215770</v>
      </c>
      <c r="AJ196">
        <v>199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</row>
    <row r="197" spans="1:44" x14ac:dyDescent="0.2">
      <c r="A197">
        <f>ROW(Source!A774)</f>
        <v>774</v>
      </c>
      <c r="B197">
        <v>38215773</v>
      </c>
      <c r="C197">
        <v>38215769</v>
      </c>
      <c r="D197">
        <v>34880179</v>
      </c>
      <c r="E197">
        <v>1</v>
      </c>
      <c r="F197">
        <v>1</v>
      </c>
      <c r="G197">
        <v>25</v>
      </c>
      <c r="H197">
        <v>2</v>
      </c>
      <c r="I197" t="s">
        <v>403</v>
      </c>
      <c r="J197" t="s">
        <v>404</v>
      </c>
      <c r="K197" t="s">
        <v>405</v>
      </c>
      <c r="L197">
        <v>1368</v>
      </c>
      <c r="N197">
        <v>1011</v>
      </c>
      <c r="O197" t="s">
        <v>397</v>
      </c>
      <c r="P197" t="s">
        <v>397</v>
      </c>
      <c r="Q197">
        <v>1</v>
      </c>
      <c r="X197">
        <v>8.0000000000000002E-3</v>
      </c>
      <c r="Y197">
        <v>0</v>
      </c>
      <c r="Z197">
        <v>993.6</v>
      </c>
      <c r="AA197">
        <v>301.8</v>
      </c>
      <c r="AB197">
        <v>0</v>
      </c>
      <c r="AC197">
        <v>0</v>
      </c>
      <c r="AD197">
        <v>1</v>
      </c>
      <c r="AE197">
        <v>0</v>
      </c>
      <c r="AF197" t="s">
        <v>201</v>
      </c>
      <c r="AG197">
        <v>0.128</v>
      </c>
      <c r="AH197">
        <v>2</v>
      </c>
      <c r="AI197">
        <v>38215771</v>
      </c>
      <c r="AJ197">
        <v>200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</row>
    <row r="198" spans="1:44" x14ac:dyDescent="0.2">
      <c r="A198">
        <f>ROW(Source!A779)</f>
        <v>779</v>
      </c>
      <c r="B198">
        <v>38215787</v>
      </c>
      <c r="C198">
        <v>38215778</v>
      </c>
      <c r="D198">
        <v>34867259</v>
      </c>
      <c r="E198">
        <v>25</v>
      </c>
      <c r="F198">
        <v>1</v>
      </c>
      <c r="G198">
        <v>25</v>
      </c>
      <c r="H198">
        <v>1</v>
      </c>
      <c r="I198" t="s">
        <v>391</v>
      </c>
      <c r="J198" t="s">
        <v>3</v>
      </c>
      <c r="K198" t="s">
        <v>392</v>
      </c>
      <c r="L198">
        <v>1191</v>
      </c>
      <c r="N198">
        <v>1013</v>
      </c>
      <c r="O198" t="s">
        <v>393</v>
      </c>
      <c r="P198" t="s">
        <v>393</v>
      </c>
      <c r="Q198">
        <v>1</v>
      </c>
      <c r="X198">
        <v>16.559999999999999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1</v>
      </c>
      <c r="AE198">
        <v>1</v>
      </c>
      <c r="AF198" t="s">
        <v>3</v>
      </c>
      <c r="AG198">
        <v>16.559999999999999</v>
      </c>
      <c r="AH198">
        <v>2</v>
      </c>
      <c r="AI198">
        <v>38215779</v>
      </c>
      <c r="AJ198">
        <v>201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</row>
    <row r="199" spans="1:44" x14ac:dyDescent="0.2">
      <c r="A199">
        <f>ROW(Source!A779)</f>
        <v>779</v>
      </c>
      <c r="B199">
        <v>38215788</v>
      </c>
      <c r="C199">
        <v>38215778</v>
      </c>
      <c r="D199">
        <v>34879430</v>
      </c>
      <c r="E199">
        <v>1</v>
      </c>
      <c r="F199">
        <v>1</v>
      </c>
      <c r="G199">
        <v>25</v>
      </c>
      <c r="H199">
        <v>2</v>
      </c>
      <c r="I199" t="s">
        <v>464</v>
      </c>
      <c r="J199" t="s">
        <v>465</v>
      </c>
      <c r="K199" t="s">
        <v>466</v>
      </c>
      <c r="L199">
        <v>1368</v>
      </c>
      <c r="N199">
        <v>1011</v>
      </c>
      <c r="O199" t="s">
        <v>397</v>
      </c>
      <c r="P199" t="s">
        <v>397</v>
      </c>
      <c r="Q199">
        <v>1</v>
      </c>
      <c r="X199">
        <v>2.08</v>
      </c>
      <c r="Y199">
        <v>0</v>
      </c>
      <c r="Z199">
        <v>1159.46</v>
      </c>
      <c r="AA199">
        <v>525.74</v>
      </c>
      <c r="AB199">
        <v>0</v>
      </c>
      <c r="AC199">
        <v>0</v>
      </c>
      <c r="AD199">
        <v>1</v>
      </c>
      <c r="AE199">
        <v>0</v>
      </c>
      <c r="AF199" t="s">
        <v>3</v>
      </c>
      <c r="AG199">
        <v>2.08</v>
      </c>
      <c r="AH199">
        <v>2</v>
      </c>
      <c r="AI199">
        <v>38215780</v>
      </c>
      <c r="AJ199">
        <v>202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</row>
    <row r="200" spans="1:44" x14ac:dyDescent="0.2">
      <c r="A200">
        <f>ROW(Source!A779)</f>
        <v>779</v>
      </c>
      <c r="B200">
        <v>38215789</v>
      </c>
      <c r="C200">
        <v>38215778</v>
      </c>
      <c r="D200">
        <v>34879585</v>
      </c>
      <c r="E200">
        <v>1</v>
      </c>
      <c r="F200">
        <v>1</v>
      </c>
      <c r="G200">
        <v>25</v>
      </c>
      <c r="H200">
        <v>2</v>
      </c>
      <c r="I200" t="s">
        <v>467</v>
      </c>
      <c r="J200" t="s">
        <v>468</v>
      </c>
      <c r="K200" t="s">
        <v>469</v>
      </c>
      <c r="L200">
        <v>1368</v>
      </c>
      <c r="N200">
        <v>1011</v>
      </c>
      <c r="O200" t="s">
        <v>397</v>
      </c>
      <c r="P200" t="s">
        <v>397</v>
      </c>
      <c r="Q200">
        <v>1</v>
      </c>
      <c r="X200">
        <v>2.08</v>
      </c>
      <c r="Y200">
        <v>0</v>
      </c>
      <c r="Z200">
        <v>416.25</v>
      </c>
      <c r="AA200">
        <v>204.9</v>
      </c>
      <c r="AB200">
        <v>0</v>
      </c>
      <c r="AC200">
        <v>0</v>
      </c>
      <c r="AD200">
        <v>1</v>
      </c>
      <c r="AE200">
        <v>0</v>
      </c>
      <c r="AF200" t="s">
        <v>3</v>
      </c>
      <c r="AG200">
        <v>2.08</v>
      </c>
      <c r="AH200">
        <v>2</v>
      </c>
      <c r="AI200">
        <v>38215781</v>
      </c>
      <c r="AJ200">
        <v>203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</row>
    <row r="201" spans="1:44" x14ac:dyDescent="0.2">
      <c r="A201">
        <f>ROW(Source!A779)</f>
        <v>779</v>
      </c>
      <c r="B201">
        <v>38215790</v>
      </c>
      <c r="C201">
        <v>38215778</v>
      </c>
      <c r="D201">
        <v>34879588</v>
      </c>
      <c r="E201">
        <v>1</v>
      </c>
      <c r="F201">
        <v>1</v>
      </c>
      <c r="G201">
        <v>25</v>
      </c>
      <c r="H201">
        <v>2</v>
      </c>
      <c r="I201" t="s">
        <v>470</v>
      </c>
      <c r="J201" t="s">
        <v>471</v>
      </c>
      <c r="K201" t="s">
        <v>472</v>
      </c>
      <c r="L201">
        <v>1368</v>
      </c>
      <c r="N201">
        <v>1011</v>
      </c>
      <c r="O201" t="s">
        <v>397</v>
      </c>
      <c r="P201" t="s">
        <v>397</v>
      </c>
      <c r="Q201">
        <v>1</v>
      </c>
      <c r="X201">
        <v>0.81</v>
      </c>
      <c r="Y201">
        <v>0</v>
      </c>
      <c r="Z201">
        <v>1942.21</v>
      </c>
      <c r="AA201">
        <v>436.39</v>
      </c>
      <c r="AB201">
        <v>0</v>
      </c>
      <c r="AC201">
        <v>0</v>
      </c>
      <c r="AD201">
        <v>1</v>
      </c>
      <c r="AE201">
        <v>0</v>
      </c>
      <c r="AF201" t="s">
        <v>3</v>
      </c>
      <c r="AG201">
        <v>0.81</v>
      </c>
      <c r="AH201">
        <v>2</v>
      </c>
      <c r="AI201">
        <v>38215782</v>
      </c>
      <c r="AJ201">
        <v>204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</row>
    <row r="202" spans="1:44" x14ac:dyDescent="0.2">
      <c r="A202">
        <f>ROW(Source!A779)</f>
        <v>779</v>
      </c>
      <c r="B202">
        <v>38215791</v>
      </c>
      <c r="C202">
        <v>38215778</v>
      </c>
      <c r="D202">
        <v>34879612</v>
      </c>
      <c r="E202">
        <v>1</v>
      </c>
      <c r="F202">
        <v>1</v>
      </c>
      <c r="G202">
        <v>25</v>
      </c>
      <c r="H202">
        <v>2</v>
      </c>
      <c r="I202" t="s">
        <v>473</v>
      </c>
      <c r="J202" t="s">
        <v>474</v>
      </c>
      <c r="K202" t="s">
        <v>475</v>
      </c>
      <c r="L202">
        <v>1368</v>
      </c>
      <c r="N202">
        <v>1011</v>
      </c>
      <c r="O202" t="s">
        <v>397</v>
      </c>
      <c r="P202" t="s">
        <v>397</v>
      </c>
      <c r="Q202">
        <v>1</v>
      </c>
      <c r="X202">
        <v>1.94</v>
      </c>
      <c r="Y202">
        <v>0</v>
      </c>
      <c r="Z202">
        <v>1364.77</v>
      </c>
      <c r="AA202">
        <v>610.30999999999995</v>
      </c>
      <c r="AB202">
        <v>0</v>
      </c>
      <c r="AC202">
        <v>0</v>
      </c>
      <c r="AD202">
        <v>1</v>
      </c>
      <c r="AE202">
        <v>0</v>
      </c>
      <c r="AF202" t="s">
        <v>3</v>
      </c>
      <c r="AG202">
        <v>1.94</v>
      </c>
      <c r="AH202">
        <v>2</v>
      </c>
      <c r="AI202">
        <v>38215783</v>
      </c>
      <c r="AJ202">
        <v>205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</row>
    <row r="203" spans="1:44" x14ac:dyDescent="0.2">
      <c r="A203">
        <f>ROW(Source!A779)</f>
        <v>779</v>
      </c>
      <c r="B203">
        <v>38215792</v>
      </c>
      <c r="C203">
        <v>38215778</v>
      </c>
      <c r="D203">
        <v>34879578</v>
      </c>
      <c r="E203">
        <v>1</v>
      </c>
      <c r="F203">
        <v>1</v>
      </c>
      <c r="G203">
        <v>25</v>
      </c>
      <c r="H203">
        <v>2</v>
      </c>
      <c r="I203" t="s">
        <v>476</v>
      </c>
      <c r="J203" t="s">
        <v>477</v>
      </c>
      <c r="K203" t="s">
        <v>478</v>
      </c>
      <c r="L203">
        <v>1368</v>
      </c>
      <c r="N203">
        <v>1011</v>
      </c>
      <c r="O203" t="s">
        <v>397</v>
      </c>
      <c r="P203" t="s">
        <v>397</v>
      </c>
      <c r="Q203">
        <v>1</v>
      </c>
      <c r="X203">
        <v>0.65</v>
      </c>
      <c r="Y203">
        <v>0</v>
      </c>
      <c r="Z203">
        <v>1179.56</v>
      </c>
      <c r="AA203">
        <v>439.28</v>
      </c>
      <c r="AB203">
        <v>0</v>
      </c>
      <c r="AC203">
        <v>0</v>
      </c>
      <c r="AD203">
        <v>1</v>
      </c>
      <c r="AE203">
        <v>0</v>
      </c>
      <c r="AF203" t="s">
        <v>3</v>
      </c>
      <c r="AG203">
        <v>0.65</v>
      </c>
      <c r="AH203">
        <v>2</v>
      </c>
      <c r="AI203">
        <v>38215784</v>
      </c>
      <c r="AJ203">
        <v>206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</row>
    <row r="204" spans="1:44" x14ac:dyDescent="0.2">
      <c r="A204">
        <f>ROW(Source!A779)</f>
        <v>779</v>
      </c>
      <c r="B204">
        <v>38215793</v>
      </c>
      <c r="C204">
        <v>38215778</v>
      </c>
      <c r="D204">
        <v>34881527</v>
      </c>
      <c r="E204">
        <v>1</v>
      </c>
      <c r="F204">
        <v>1</v>
      </c>
      <c r="G204">
        <v>25</v>
      </c>
      <c r="H204">
        <v>3</v>
      </c>
      <c r="I204" t="s">
        <v>479</v>
      </c>
      <c r="J204" t="s">
        <v>480</v>
      </c>
      <c r="K204" t="s">
        <v>481</v>
      </c>
      <c r="L204">
        <v>1339</v>
      </c>
      <c r="N204">
        <v>1007</v>
      </c>
      <c r="O204" t="s">
        <v>206</v>
      </c>
      <c r="P204" t="s">
        <v>206</v>
      </c>
      <c r="Q204">
        <v>1</v>
      </c>
      <c r="X204">
        <v>110</v>
      </c>
      <c r="Y204">
        <v>590.78</v>
      </c>
      <c r="Z204">
        <v>0</v>
      </c>
      <c r="AA204">
        <v>0</v>
      </c>
      <c r="AB204">
        <v>0</v>
      </c>
      <c r="AC204">
        <v>0</v>
      </c>
      <c r="AD204">
        <v>1</v>
      </c>
      <c r="AE204">
        <v>0</v>
      </c>
      <c r="AF204" t="s">
        <v>3</v>
      </c>
      <c r="AG204">
        <v>110</v>
      </c>
      <c r="AH204">
        <v>2</v>
      </c>
      <c r="AI204">
        <v>38215785</v>
      </c>
      <c r="AJ204">
        <v>207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</row>
    <row r="205" spans="1:44" x14ac:dyDescent="0.2">
      <c r="A205">
        <f>ROW(Source!A779)</f>
        <v>779</v>
      </c>
      <c r="B205">
        <v>38215794</v>
      </c>
      <c r="C205">
        <v>38215778</v>
      </c>
      <c r="D205">
        <v>34882270</v>
      </c>
      <c r="E205">
        <v>1</v>
      </c>
      <c r="F205">
        <v>1</v>
      </c>
      <c r="G205">
        <v>25</v>
      </c>
      <c r="H205">
        <v>3</v>
      </c>
      <c r="I205" t="s">
        <v>482</v>
      </c>
      <c r="J205" t="s">
        <v>483</v>
      </c>
      <c r="K205" t="s">
        <v>484</v>
      </c>
      <c r="L205">
        <v>1339</v>
      </c>
      <c r="N205">
        <v>1007</v>
      </c>
      <c r="O205" t="s">
        <v>206</v>
      </c>
      <c r="P205" t="s">
        <v>206</v>
      </c>
      <c r="Q205">
        <v>1</v>
      </c>
      <c r="X205">
        <v>5</v>
      </c>
      <c r="Y205">
        <v>33.729999999999997</v>
      </c>
      <c r="Z205">
        <v>0</v>
      </c>
      <c r="AA205">
        <v>0</v>
      </c>
      <c r="AB205">
        <v>0</v>
      </c>
      <c r="AC205">
        <v>0</v>
      </c>
      <c r="AD205">
        <v>1</v>
      </c>
      <c r="AE205">
        <v>0</v>
      </c>
      <c r="AF205" t="s">
        <v>3</v>
      </c>
      <c r="AG205">
        <v>5</v>
      </c>
      <c r="AH205">
        <v>2</v>
      </c>
      <c r="AI205">
        <v>38215786</v>
      </c>
      <c r="AJ205">
        <v>208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</row>
    <row r="206" spans="1:44" x14ac:dyDescent="0.2">
      <c r="A206">
        <f>ROW(Source!A780)</f>
        <v>780</v>
      </c>
      <c r="B206">
        <v>38215800</v>
      </c>
      <c r="C206">
        <v>38215795</v>
      </c>
      <c r="D206">
        <v>34867259</v>
      </c>
      <c r="E206">
        <v>25</v>
      </c>
      <c r="F206">
        <v>1</v>
      </c>
      <c r="G206">
        <v>25</v>
      </c>
      <c r="H206">
        <v>1</v>
      </c>
      <c r="I206" t="s">
        <v>391</v>
      </c>
      <c r="J206" t="s">
        <v>3</v>
      </c>
      <c r="K206" t="s">
        <v>392</v>
      </c>
      <c r="L206">
        <v>1191</v>
      </c>
      <c r="N206">
        <v>1013</v>
      </c>
      <c r="O206" t="s">
        <v>393</v>
      </c>
      <c r="P206" t="s">
        <v>393</v>
      </c>
      <c r="Q206">
        <v>1</v>
      </c>
      <c r="X206">
        <v>0.37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1</v>
      </c>
      <c r="AE206">
        <v>1</v>
      </c>
      <c r="AF206" t="s">
        <v>3</v>
      </c>
      <c r="AG206">
        <v>0.37</v>
      </c>
      <c r="AH206">
        <v>2</v>
      </c>
      <c r="AI206">
        <v>38215796</v>
      </c>
      <c r="AJ206">
        <v>209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</row>
    <row r="207" spans="1:44" x14ac:dyDescent="0.2">
      <c r="A207">
        <f>ROW(Source!A780)</f>
        <v>780</v>
      </c>
      <c r="B207">
        <v>38215801</v>
      </c>
      <c r="C207">
        <v>38215795</v>
      </c>
      <c r="D207">
        <v>34879587</v>
      </c>
      <c r="E207">
        <v>1</v>
      </c>
      <c r="F207">
        <v>1</v>
      </c>
      <c r="G207">
        <v>25</v>
      </c>
      <c r="H207">
        <v>2</v>
      </c>
      <c r="I207" t="s">
        <v>485</v>
      </c>
      <c r="J207" t="s">
        <v>486</v>
      </c>
      <c r="K207" t="s">
        <v>487</v>
      </c>
      <c r="L207">
        <v>1368</v>
      </c>
      <c r="N207">
        <v>1011</v>
      </c>
      <c r="O207" t="s">
        <v>397</v>
      </c>
      <c r="P207" t="s">
        <v>397</v>
      </c>
      <c r="Q207">
        <v>1</v>
      </c>
      <c r="X207">
        <v>3.0000000000000001E-3</v>
      </c>
      <c r="Y207">
        <v>0</v>
      </c>
      <c r="Z207">
        <v>1236.3</v>
      </c>
      <c r="AA207">
        <v>469.98</v>
      </c>
      <c r="AB207">
        <v>0</v>
      </c>
      <c r="AC207">
        <v>0</v>
      </c>
      <c r="AD207">
        <v>1</v>
      </c>
      <c r="AE207">
        <v>0</v>
      </c>
      <c r="AF207" t="s">
        <v>3</v>
      </c>
      <c r="AG207">
        <v>3.0000000000000001E-3</v>
      </c>
      <c r="AH207">
        <v>2</v>
      </c>
      <c r="AI207">
        <v>38215797</v>
      </c>
      <c r="AJ207">
        <v>210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</row>
    <row r="208" spans="1:44" x14ac:dyDescent="0.2">
      <c r="A208">
        <f>ROW(Source!A780)</f>
        <v>780</v>
      </c>
      <c r="B208">
        <v>38215802</v>
      </c>
      <c r="C208">
        <v>38215795</v>
      </c>
      <c r="D208">
        <v>34881528</v>
      </c>
      <c r="E208">
        <v>1</v>
      </c>
      <c r="F208">
        <v>1</v>
      </c>
      <c r="G208">
        <v>25</v>
      </c>
      <c r="H208">
        <v>3</v>
      </c>
      <c r="I208" t="s">
        <v>488</v>
      </c>
      <c r="J208" t="s">
        <v>489</v>
      </c>
      <c r="K208" t="s">
        <v>490</v>
      </c>
      <c r="L208">
        <v>1339</v>
      </c>
      <c r="N208">
        <v>1007</v>
      </c>
      <c r="O208" t="s">
        <v>206</v>
      </c>
      <c r="P208" t="s">
        <v>206</v>
      </c>
      <c r="Q208">
        <v>1</v>
      </c>
      <c r="X208">
        <v>0.105</v>
      </c>
      <c r="Y208">
        <v>590.78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  <c r="AF208" t="s">
        <v>3</v>
      </c>
      <c r="AG208">
        <v>0.105</v>
      </c>
      <c r="AH208">
        <v>2</v>
      </c>
      <c r="AI208">
        <v>38215798</v>
      </c>
      <c r="AJ208">
        <v>211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</row>
    <row r="209" spans="1:44" x14ac:dyDescent="0.2">
      <c r="A209">
        <f>ROW(Source!A780)</f>
        <v>780</v>
      </c>
      <c r="B209">
        <v>38215803</v>
      </c>
      <c r="C209">
        <v>38215795</v>
      </c>
      <c r="D209">
        <v>34882270</v>
      </c>
      <c r="E209">
        <v>1</v>
      </c>
      <c r="F209">
        <v>1</v>
      </c>
      <c r="G209">
        <v>25</v>
      </c>
      <c r="H209">
        <v>3</v>
      </c>
      <c r="I209" t="s">
        <v>482</v>
      </c>
      <c r="J209" t="s">
        <v>483</v>
      </c>
      <c r="K209" t="s">
        <v>484</v>
      </c>
      <c r="L209">
        <v>1339</v>
      </c>
      <c r="N209">
        <v>1007</v>
      </c>
      <c r="O209" t="s">
        <v>206</v>
      </c>
      <c r="P209" t="s">
        <v>206</v>
      </c>
      <c r="Q209">
        <v>1</v>
      </c>
      <c r="X209">
        <v>0.01</v>
      </c>
      <c r="Y209">
        <v>33.729999999999997</v>
      </c>
      <c r="Z209">
        <v>0</v>
      </c>
      <c r="AA209">
        <v>0</v>
      </c>
      <c r="AB209">
        <v>0</v>
      </c>
      <c r="AC209">
        <v>0</v>
      </c>
      <c r="AD209">
        <v>1</v>
      </c>
      <c r="AE209">
        <v>0</v>
      </c>
      <c r="AF209" t="s">
        <v>3</v>
      </c>
      <c r="AG209">
        <v>0.01</v>
      </c>
      <c r="AH209">
        <v>2</v>
      </c>
      <c r="AI209">
        <v>38215799</v>
      </c>
      <c r="AJ209">
        <v>212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</row>
    <row r="210" spans="1:44" x14ac:dyDescent="0.2">
      <c r="A210">
        <f>ROW(Source!A781)</f>
        <v>781</v>
      </c>
      <c r="B210">
        <v>38215810</v>
      </c>
      <c r="C210">
        <v>38215804</v>
      </c>
      <c r="D210">
        <v>34867259</v>
      </c>
      <c r="E210">
        <v>25</v>
      </c>
      <c r="F210">
        <v>1</v>
      </c>
      <c r="G210">
        <v>25</v>
      </c>
      <c r="H210">
        <v>1</v>
      </c>
      <c r="I210" t="s">
        <v>391</v>
      </c>
      <c r="J210" t="s">
        <v>3</v>
      </c>
      <c r="K210" t="s">
        <v>392</v>
      </c>
      <c r="L210">
        <v>1191</v>
      </c>
      <c r="N210">
        <v>1013</v>
      </c>
      <c r="O210" t="s">
        <v>393</v>
      </c>
      <c r="P210" t="s">
        <v>393</v>
      </c>
      <c r="Q210">
        <v>1</v>
      </c>
      <c r="X210">
        <v>87.4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 t="s">
        <v>3</v>
      </c>
      <c r="AG210">
        <v>87.4</v>
      </c>
      <c r="AH210">
        <v>2</v>
      </c>
      <c r="AI210">
        <v>38215805</v>
      </c>
      <c r="AJ210">
        <v>213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</row>
    <row r="211" spans="1:44" x14ac:dyDescent="0.2">
      <c r="A211">
        <f>ROW(Source!A781)</f>
        <v>781</v>
      </c>
      <c r="B211">
        <v>38215811</v>
      </c>
      <c r="C211">
        <v>38215804</v>
      </c>
      <c r="D211">
        <v>34879517</v>
      </c>
      <c r="E211">
        <v>1</v>
      </c>
      <c r="F211">
        <v>1</v>
      </c>
      <c r="G211">
        <v>25</v>
      </c>
      <c r="H211">
        <v>2</v>
      </c>
      <c r="I211" t="s">
        <v>406</v>
      </c>
      <c r="J211" t="s">
        <v>407</v>
      </c>
      <c r="K211" t="s">
        <v>408</v>
      </c>
      <c r="L211">
        <v>1368</v>
      </c>
      <c r="N211">
        <v>1011</v>
      </c>
      <c r="O211" t="s">
        <v>397</v>
      </c>
      <c r="P211" t="s">
        <v>397</v>
      </c>
      <c r="Q211">
        <v>1</v>
      </c>
      <c r="X211">
        <v>19</v>
      </c>
      <c r="Y211">
        <v>0</v>
      </c>
      <c r="Z211">
        <v>31.01</v>
      </c>
      <c r="AA211">
        <v>1.29</v>
      </c>
      <c r="AB211">
        <v>0</v>
      </c>
      <c r="AC211">
        <v>0</v>
      </c>
      <c r="AD211">
        <v>1</v>
      </c>
      <c r="AE211">
        <v>0</v>
      </c>
      <c r="AF211" t="s">
        <v>3</v>
      </c>
      <c r="AG211">
        <v>19</v>
      </c>
      <c r="AH211">
        <v>2</v>
      </c>
      <c r="AI211">
        <v>38215806</v>
      </c>
      <c r="AJ211">
        <v>214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</row>
    <row r="212" spans="1:44" x14ac:dyDescent="0.2">
      <c r="A212">
        <f>ROW(Source!A781)</f>
        <v>781</v>
      </c>
      <c r="B212">
        <v>38215812</v>
      </c>
      <c r="C212">
        <v>38215804</v>
      </c>
      <c r="D212">
        <v>34881323</v>
      </c>
      <c r="E212">
        <v>1</v>
      </c>
      <c r="F212">
        <v>1</v>
      </c>
      <c r="G212">
        <v>25</v>
      </c>
      <c r="H212">
        <v>3</v>
      </c>
      <c r="I212" t="s">
        <v>409</v>
      </c>
      <c r="J212" t="s">
        <v>410</v>
      </c>
      <c r="K212" t="s">
        <v>411</v>
      </c>
      <c r="L212">
        <v>1348</v>
      </c>
      <c r="N212">
        <v>1009</v>
      </c>
      <c r="O212" t="s">
        <v>30</v>
      </c>
      <c r="P212" t="s">
        <v>30</v>
      </c>
      <c r="Q212">
        <v>1000</v>
      </c>
      <c r="X212">
        <v>3.3E-3</v>
      </c>
      <c r="Y212">
        <v>103472.53</v>
      </c>
      <c r="Z212">
        <v>0</v>
      </c>
      <c r="AA212">
        <v>0</v>
      </c>
      <c r="AB212">
        <v>0</v>
      </c>
      <c r="AC212">
        <v>0</v>
      </c>
      <c r="AD212">
        <v>1</v>
      </c>
      <c r="AE212">
        <v>0</v>
      </c>
      <c r="AF212" t="s">
        <v>3</v>
      </c>
      <c r="AG212">
        <v>3.3E-3</v>
      </c>
      <c r="AH212">
        <v>2</v>
      </c>
      <c r="AI212">
        <v>38215807</v>
      </c>
      <c r="AJ212">
        <v>215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</row>
    <row r="213" spans="1:44" x14ac:dyDescent="0.2">
      <c r="A213">
        <f>ROW(Source!A781)</f>
        <v>781</v>
      </c>
      <c r="B213">
        <v>38215813</v>
      </c>
      <c r="C213">
        <v>38215804</v>
      </c>
      <c r="D213">
        <v>34882179</v>
      </c>
      <c r="E213">
        <v>1</v>
      </c>
      <c r="F213">
        <v>1</v>
      </c>
      <c r="G213">
        <v>25</v>
      </c>
      <c r="H213">
        <v>3</v>
      </c>
      <c r="I213" t="s">
        <v>412</v>
      </c>
      <c r="J213" t="s">
        <v>413</v>
      </c>
      <c r="K213" t="s">
        <v>414</v>
      </c>
      <c r="L213">
        <v>1348</v>
      </c>
      <c r="N213">
        <v>1009</v>
      </c>
      <c r="O213" t="s">
        <v>30</v>
      </c>
      <c r="P213" t="s">
        <v>30</v>
      </c>
      <c r="Q213">
        <v>1000</v>
      </c>
      <c r="X213">
        <v>1.4E-3</v>
      </c>
      <c r="Y213">
        <v>110728.72</v>
      </c>
      <c r="Z213">
        <v>0</v>
      </c>
      <c r="AA213">
        <v>0</v>
      </c>
      <c r="AB213">
        <v>0</v>
      </c>
      <c r="AC213">
        <v>0</v>
      </c>
      <c r="AD213">
        <v>1</v>
      </c>
      <c r="AE213">
        <v>0</v>
      </c>
      <c r="AF213" t="s">
        <v>3</v>
      </c>
      <c r="AG213">
        <v>1.4E-3</v>
      </c>
      <c r="AH213">
        <v>2</v>
      </c>
      <c r="AI213">
        <v>38215808</v>
      </c>
      <c r="AJ213">
        <v>216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</row>
    <row r="214" spans="1:44" x14ac:dyDescent="0.2">
      <c r="A214">
        <f>ROW(Source!A781)</f>
        <v>781</v>
      </c>
      <c r="B214">
        <v>38215814</v>
      </c>
      <c r="C214">
        <v>38215804</v>
      </c>
      <c r="D214">
        <v>34884265</v>
      </c>
      <c r="E214">
        <v>1</v>
      </c>
      <c r="F214">
        <v>1</v>
      </c>
      <c r="G214">
        <v>25</v>
      </c>
      <c r="H214">
        <v>3</v>
      </c>
      <c r="I214" t="s">
        <v>415</v>
      </c>
      <c r="J214" t="s">
        <v>416</v>
      </c>
      <c r="K214" t="s">
        <v>417</v>
      </c>
      <c r="L214">
        <v>1348</v>
      </c>
      <c r="N214">
        <v>1009</v>
      </c>
      <c r="O214" t="s">
        <v>30</v>
      </c>
      <c r="P214" t="s">
        <v>30</v>
      </c>
      <c r="Q214">
        <v>1000</v>
      </c>
      <c r="X214">
        <v>1</v>
      </c>
      <c r="Y214">
        <v>74995.210000000006</v>
      </c>
      <c r="Z214">
        <v>0</v>
      </c>
      <c r="AA214">
        <v>0</v>
      </c>
      <c r="AB214">
        <v>0</v>
      </c>
      <c r="AC214">
        <v>0</v>
      </c>
      <c r="AD214">
        <v>1</v>
      </c>
      <c r="AE214">
        <v>0</v>
      </c>
      <c r="AF214" t="s">
        <v>3</v>
      </c>
      <c r="AG214">
        <v>1</v>
      </c>
      <c r="AH214">
        <v>2</v>
      </c>
      <c r="AI214">
        <v>38215809</v>
      </c>
      <c r="AJ214">
        <v>217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</row>
    <row r="215" spans="1:44" x14ac:dyDescent="0.2">
      <c r="A215">
        <f>ROW(Source!A889)</f>
        <v>889</v>
      </c>
      <c r="B215">
        <v>38215992</v>
      </c>
      <c r="C215">
        <v>38215987</v>
      </c>
      <c r="D215">
        <v>34867259</v>
      </c>
      <c r="E215">
        <v>25</v>
      </c>
      <c r="F215">
        <v>1</v>
      </c>
      <c r="G215">
        <v>25</v>
      </c>
      <c r="H215">
        <v>1</v>
      </c>
      <c r="I215" t="s">
        <v>391</v>
      </c>
      <c r="J215" t="s">
        <v>3</v>
      </c>
      <c r="K215" t="s">
        <v>392</v>
      </c>
      <c r="L215">
        <v>1191</v>
      </c>
      <c r="N215">
        <v>1013</v>
      </c>
      <c r="O215" t="s">
        <v>393</v>
      </c>
      <c r="P215" t="s">
        <v>393</v>
      </c>
      <c r="Q215">
        <v>1</v>
      </c>
      <c r="X215">
        <v>18.649999999999999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1</v>
      </c>
      <c r="AF215" t="s">
        <v>33</v>
      </c>
      <c r="AG215">
        <v>3.73</v>
      </c>
      <c r="AH215">
        <v>2</v>
      </c>
      <c r="AI215">
        <v>38215988</v>
      </c>
      <c r="AJ215">
        <v>218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</row>
    <row r="216" spans="1:44" x14ac:dyDescent="0.2">
      <c r="A216">
        <f>ROW(Source!A889)</f>
        <v>889</v>
      </c>
      <c r="B216">
        <v>38215993</v>
      </c>
      <c r="C216">
        <v>38215987</v>
      </c>
      <c r="D216">
        <v>34881348</v>
      </c>
      <c r="E216">
        <v>1</v>
      </c>
      <c r="F216">
        <v>1</v>
      </c>
      <c r="G216">
        <v>25</v>
      </c>
      <c r="H216">
        <v>3</v>
      </c>
      <c r="I216" t="s">
        <v>491</v>
      </c>
      <c r="J216" t="s">
        <v>492</v>
      </c>
      <c r="K216" t="s">
        <v>493</v>
      </c>
      <c r="L216">
        <v>1348</v>
      </c>
      <c r="N216">
        <v>1009</v>
      </c>
      <c r="O216" t="s">
        <v>30</v>
      </c>
      <c r="P216" t="s">
        <v>30</v>
      </c>
      <c r="Q216">
        <v>1000</v>
      </c>
      <c r="X216">
        <v>1.132E-2</v>
      </c>
      <c r="Y216">
        <v>52914.53</v>
      </c>
      <c r="Z216">
        <v>0</v>
      </c>
      <c r="AA216">
        <v>0</v>
      </c>
      <c r="AB216">
        <v>0</v>
      </c>
      <c r="AC216">
        <v>0</v>
      </c>
      <c r="AD216">
        <v>1</v>
      </c>
      <c r="AE216">
        <v>0</v>
      </c>
      <c r="AF216" t="s">
        <v>32</v>
      </c>
      <c r="AG216">
        <v>0</v>
      </c>
      <c r="AH216">
        <v>2</v>
      </c>
      <c r="AI216">
        <v>38215989</v>
      </c>
      <c r="AJ216">
        <v>219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</row>
    <row r="217" spans="1:44" x14ac:dyDescent="0.2">
      <c r="A217">
        <f>ROW(Source!A889)</f>
        <v>889</v>
      </c>
      <c r="B217">
        <v>38215994</v>
      </c>
      <c r="C217">
        <v>38215987</v>
      </c>
      <c r="D217">
        <v>34880974</v>
      </c>
      <c r="E217">
        <v>1</v>
      </c>
      <c r="F217">
        <v>1</v>
      </c>
      <c r="G217">
        <v>25</v>
      </c>
      <c r="H217">
        <v>3</v>
      </c>
      <c r="I217" t="s">
        <v>347</v>
      </c>
      <c r="J217" t="s">
        <v>349</v>
      </c>
      <c r="K217" t="s">
        <v>348</v>
      </c>
      <c r="L217">
        <v>1339</v>
      </c>
      <c r="N217">
        <v>1007</v>
      </c>
      <c r="O217" t="s">
        <v>206</v>
      </c>
      <c r="P217" t="s">
        <v>206</v>
      </c>
      <c r="Q217">
        <v>1</v>
      </c>
      <c r="X217">
        <v>3.01</v>
      </c>
      <c r="Y217">
        <v>6701.58</v>
      </c>
      <c r="Z217">
        <v>0</v>
      </c>
      <c r="AA217">
        <v>0</v>
      </c>
      <c r="AB217">
        <v>0</v>
      </c>
      <c r="AC217">
        <v>0</v>
      </c>
      <c r="AD217">
        <v>1</v>
      </c>
      <c r="AE217">
        <v>0</v>
      </c>
      <c r="AF217" t="s">
        <v>32</v>
      </c>
      <c r="AG217">
        <v>0</v>
      </c>
      <c r="AH217">
        <v>2</v>
      </c>
      <c r="AI217">
        <v>38215990</v>
      </c>
      <c r="AJ217">
        <v>220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</row>
    <row r="218" spans="1:44" x14ac:dyDescent="0.2">
      <c r="A218">
        <f>ROW(Source!A889)</f>
        <v>889</v>
      </c>
      <c r="B218">
        <v>38215995</v>
      </c>
      <c r="C218">
        <v>38215987</v>
      </c>
      <c r="D218">
        <v>34880975</v>
      </c>
      <c r="E218">
        <v>1</v>
      </c>
      <c r="F218">
        <v>1</v>
      </c>
      <c r="G218">
        <v>25</v>
      </c>
      <c r="H218">
        <v>3</v>
      </c>
      <c r="I218" t="s">
        <v>494</v>
      </c>
      <c r="J218" t="s">
        <v>495</v>
      </c>
      <c r="K218" t="s">
        <v>496</v>
      </c>
      <c r="L218">
        <v>1339</v>
      </c>
      <c r="N218">
        <v>1007</v>
      </c>
      <c r="O218" t="s">
        <v>206</v>
      </c>
      <c r="P218" t="s">
        <v>206</v>
      </c>
      <c r="Q218">
        <v>1</v>
      </c>
      <c r="X218">
        <v>0.72</v>
      </c>
      <c r="Y218">
        <v>6697.08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0</v>
      </c>
      <c r="AF218" t="s">
        <v>32</v>
      </c>
      <c r="AG218">
        <v>0</v>
      </c>
      <c r="AH218">
        <v>2</v>
      </c>
      <c r="AI218">
        <v>38215991</v>
      </c>
      <c r="AJ218">
        <v>221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</row>
    <row r="219" spans="1:44" x14ac:dyDescent="0.2">
      <c r="A219">
        <f>ROW(Source!A890)</f>
        <v>890</v>
      </c>
      <c r="B219">
        <v>38216000</v>
      </c>
      <c r="C219">
        <v>38215996</v>
      </c>
      <c r="D219">
        <v>34867259</v>
      </c>
      <c r="E219">
        <v>25</v>
      </c>
      <c r="F219">
        <v>1</v>
      </c>
      <c r="G219">
        <v>25</v>
      </c>
      <c r="H219">
        <v>1</v>
      </c>
      <c r="I219" t="s">
        <v>391</v>
      </c>
      <c r="J219" t="s">
        <v>3</v>
      </c>
      <c r="K219" t="s">
        <v>392</v>
      </c>
      <c r="L219">
        <v>1191</v>
      </c>
      <c r="N219">
        <v>1013</v>
      </c>
      <c r="O219" t="s">
        <v>393</v>
      </c>
      <c r="P219" t="s">
        <v>393</v>
      </c>
      <c r="Q219">
        <v>1</v>
      </c>
      <c r="X219">
        <v>15.15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1</v>
      </c>
      <c r="AE219">
        <v>1</v>
      </c>
      <c r="AF219" t="s">
        <v>3</v>
      </c>
      <c r="AG219">
        <v>15.15</v>
      </c>
      <c r="AH219">
        <v>2</v>
      </c>
      <c r="AI219">
        <v>38215997</v>
      </c>
      <c r="AJ219">
        <v>222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</row>
    <row r="220" spans="1:44" x14ac:dyDescent="0.2">
      <c r="A220">
        <f>ROW(Source!A890)</f>
        <v>890</v>
      </c>
      <c r="B220">
        <v>38216001</v>
      </c>
      <c r="C220">
        <v>38215996</v>
      </c>
      <c r="D220">
        <v>34880230</v>
      </c>
      <c r="E220">
        <v>1</v>
      </c>
      <c r="F220">
        <v>1</v>
      </c>
      <c r="G220">
        <v>25</v>
      </c>
      <c r="H220">
        <v>2</v>
      </c>
      <c r="I220" t="s">
        <v>394</v>
      </c>
      <c r="J220" t="s">
        <v>395</v>
      </c>
      <c r="K220" t="s">
        <v>396</v>
      </c>
      <c r="L220">
        <v>1368</v>
      </c>
      <c r="N220">
        <v>1011</v>
      </c>
      <c r="O220" t="s">
        <v>397</v>
      </c>
      <c r="P220" t="s">
        <v>397</v>
      </c>
      <c r="Q220">
        <v>1</v>
      </c>
      <c r="X220">
        <v>0.01</v>
      </c>
      <c r="Y220">
        <v>0</v>
      </c>
      <c r="Z220">
        <v>6.28</v>
      </c>
      <c r="AA220">
        <v>0.01</v>
      </c>
      <c r="AB220">
        <v>0</v>
      </c>
      <c r="AC220">
        <v>0</v>
      </c>
      <c r="AD220">
        <v>1</v>
      </c>
      <c r="AE220">
        <v>0</v>
      </c>
      <c r="AF220" t="s">
        <v>3</v>
      </c>
      <c r="AG220">
        <v>0.01</v>
      </c>
      <c r="AH220">
        <v>2</v>
      </c>
      <c r="AI220">
        <v>38215998</v>
      </c>
      <c r="AJ220">
        <v>223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</row>
    <row r="221" spans="1:44" x14ac:dyDescent="0.2">
      <c r="A221">
        <f>ROW(Source!A890)</f>
        <v>890</v>
      </c>
      <c r="B221">
        <v>38216002</v>
      </c>
      <c r="C221">
        <v>38215996</v>
      </c>
      <c r="D221">
        <v>34869071</v>
      </c>
      <c r="E221">
        <v>25</v>
      </c>
      <c r="F221">
        <v>1</v>
      </c>
      <c r="G221">
        <v>25</v>
      </c>
      <c r="H221">
        <v>3</v>
      </c>
      <c r="I221" t="s">
        <v>398</v>
      </c>
      <c r="J221" t="s">
        <v>3</v>
      </c>
      <c r="K221" t="s">
        <v>399</v>
      </c>
      <c r="L221">
        <v>1348</v>
      </c>
      <c r="N221">
        <v>1009</v>
      </c>
      <c r="O221" t="s">
        <v>30</v>
      </c>
      <c r="P221" t="s">
        <v>30</v>
      </c>
      <c r="Q221">
        <v>1000</v>
      </c>
      <c r="X221">
        <v>0.65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1</v>
      </c>
      <c r="AE221">
        <v>0</v>
      </c>
      <c r="AF221" t="s">
        <v>3</v>
      </c>
      <c r="AG221">
        <v>0.65</v>
      </c>
      <c r="AH221">
        <v>2</v>
      </c>
      <c r="AI221">
        <v>38215999</v>
      </c>
      <c r="AJ221">
        <v>224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</row>
    <row r="222" spans="1:44" x14ac:dyDescent="0.2">
      <c r="A222">
        <f>ROW(Source!A891)</f>
        <v>891</v>
      </c>
      <c r="B222">
        <v>38216006</v>
      </c>
      <c r="C222">
        <v>38216003</v>
      </c>
      <c r="D222">
        <v>34867259</v>
      </c>
      <c r="E222">
        <v>25</v>
      </c>
      <c r="F222">
        <v>1</v>
      </c>
      <c r="G222">
        <v>25</v>
      </c>
      <c r="H222">
        <v>1</v>
      </c>
      <c r="I222" t="s">
        <v>391</v>
      </c>
      <c r="J222" t="s">
        <v>3</v>
      </c>
      <c r="K222" t="s">
        <v>392</v>
      </c>
      <c r="L222">
        <v>1191</v>
      </c>
      <c r="N222">
        <v>1013</v>
      </c>
      <c r="O222" t="s">
        <v>393</v>
      </c>
      <c r="P222" t="s">
        <v>393</v>
      </c>
      <c r="Q222">
        <v>1</v>
      </c>
      <c r="X222">
        <v>7.67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1</v>
      </c>
      <c r="AE222">
        <v>1</v>
      </c>
      <c r="AF222" t="s">
        <v>3</v>
      </c>
      <c r="AG222">
        <v>7.67</v>
      </c>
      <c r="AH222">
        <v>2</v>
      </c>
      <c r="AI222">
        <v>38216004</v>
      </c>
      <c r="AJ222">
        <v>225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</row>
    <row r="223" spans="1:44" x14ac:dyDescent="0.2">
      <c r="A223">
        <f>ROW(Source!A891)</f>
        <v>891</v>
      </c>
      <c r="B223">
        <v>38216007</v>
      </c>
      <c r="C223">
        <v>38216003</v>
      </c>
      <c r="D223">
        <v>34869071</v>
      </c>
      <c r="E223">
        <v>25</v>
      </c>
      <c r="F223">
        <v>1</v>
      </c>
      <c r="G223">
        <v>25</v>
      </c>
      <c r="H223">
        <v>3</v>
      </c>
      <c r="I223" t="s">
        <v>398</v>
      </c>
      <c r="J223" t="s">
        <v>3</v>
      </c>
      <c r="K223" t="s">
        <v>399</v>
      </c>
      <c r="L223">
        <v>1348</v>
      </c>
      <c r="N223">
        <v>1009</v>
      </c>
      <c r="O223" t="s">
        <v>30</v>
      </c>
      <c r="P223" t="s">
        <v>30</v>
      </c>
      <c r="Q223">
        <v>1000</v>
      </c>
      <c r="X223">
        <v>0.7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0</v>
      </c>
      <c r="AF223" t="s">
        <v>3</v>
      </c>
      <c r="AG223">
        <v>0.7</v>
      </c>
      <c r="AH223">
        <v>2</v>
      </c>
      <c r="AI223">
        <v>38216005</v>
      </c>
      <c r="AJ223">
        <v>226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</row>
    <row r="224" spans="1:44" x14ac:dyDescent="0.2">
      <c r="A224">
        <f>ROW(Source!A892)</f>
        <v>892</v>
      </c>
      <c r="B224">
        <v>38216010</v>
      </c>
      <c r="C224">
        <v>38216008</v>
      </c>
      <c r="D224">
        <v>34879386</v>
      </c>
      <c r="E224">
        <v>1</v>
      </c>
      <c r="F224">
        <v>1</v>
      </c>
      <c r="G224">
        <v>25</v>
      </c>
      <c r="H224">
        <v>2</v>
      </c>
      <c r="I224" t="s">
        <v>461</v>
      </c>
      <c r="J224" t="s">
        <v>462</v>
      </c>
      <c r="K224" t="s">
        <v>463</v>
      </c>
      <c r="L224">
        <v>1368</v>
      </c>
      <c r="N224">
        <v>1011</v>
      </c>
      <c r="O224" t="s">
        <v>397</v>
      </c>
      <c r="P224" t="s">
        <v>397</v>
      </c>
      <c r="Q224">
        <v>1</v>
      </c>
      <c r="X224">
        <v>5.3699999999999998E-2</v>
      </c>
      <c r="Y224">
        <v>0</v>
      </c>
      <c r="Z224">
        <v>1451.71</v>
      </c>
      <c r="AA224">
        <v>457.95</v>
      </c>
      <c r="AB224">
        <v>0</v>
      </c>
      <c r="AC224">
        <v>0</v>
      </c>
      <c r="AD224">
        <v>1</v>
      </c>
      <c r="AE224">
        <v>0</v>
      </c>
      <c r="AF224" t="s">
        <v>3</v>
      </c>
      <c r="AG224">
        <v>5.3699999999999998E-2</v>
      </c>
      <c r="AH224">
        <v>2</v>
      </c>
      <c r="AI224">
        <v>38216009</v>
      </c>
      <c r="AJ224">
        <v>227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</row>
    <row r="225" spans="1:44" x14ac:dyDescent="0.2">
      <c r="A225">
        <f>ROW(Source!A893)</f>
        <v>893</v>
      </c>
      <c r="B225">
        <v>38216013</v>
      </c>
      <c r="C225">
        <v>38216011</v>
      </c>
      <c r="D225">
        <v>34867259</v>
      </c>
      <c r="E225">
        <v>25</v>
      </c>
      <c r="F225">
        <v>1</v>
      </c>
      <c r="G225">
        <v>25</v>
      </c>
      <c r="H225">
        <v>1</v>
      </c>
      <c r="I225" t="s">
        <v>391</v>
      </c>
      <c r="J225" t="s">
        <v>3</v>
      </c>
      <c r="K225" t="s">
        <v>392</v>
      </c>
      <c r="L225">
        <v>1191</v>
      </c>
      <c r="N225">
        <v>1013</v>
      </c>
      <c r="O225" t="s">
        <v>393</v>
      </c>
      <c r="P225" t="s">
        <v>393</v>
      </c>
      <c r="Q225">
        <v>1</v>
      </c>
      <c r="X225">
        <v>1.02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1</v>
      </c>
      <c r="AE225">
        <v>1</v>
      </c>
      <c r="AF225" t="s">
        <v>3</v>
      </c>
      <c r="AG225">
        <v>1.02</v>
      </c>
      <c r="AH225">
        <v>2</v>
      </c>
      <c r="AI225">
        <v>38216012</v>
      </c>
      <c r="AJ225">
        <v>228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</row>
    <row r="226" spans="1:44" x14ac:dyDescent="0.2">
      <c r="A226">
        <f>ROW(Source!A894)</f>
        <v>894</v>
      </c>
      <c r="B226">
        <v>38216017</v>
      </c>
      <c r="C226">
        <v>38216014</v>
      </c>
      <c r="D226">
        <v>34880178</v>
      </c>
      <c r="E226">
        <v>1</v>
      </c>
      <c r="F226">
        <v>1</v>
      </c>
      <c r="G226">
        <v>25</v>
      </c>
      <c r="H226">
        <v>2</v>
      </c>
      <c r="I226" t="s">
        <v>400</v>
      </c>
      <c r="J226" t="s">
        <v>401</v>
      </c>
      <c r="K226" t="s">
        <v>402</v>
      </c>
      <c r="L226">
        <v>1368</v>
      </c>
      <c r="N226">
        <v>1011</v>
      </c>
      <c r="O226" t="s">
        <v>397</v>
      </c>
      <c r="P226" t="s">
        <v>397</v>
      </c>
      <c r="Q226">
        <v>1</v>
      </c>
      <c r="X226">
        <v>0.02</v>
      </c>
      <c r="Y226">
        <v>0</v>
      </c>
      <c r="Z226">
        <v>952.49</v>
      </c>
      <c r="AA226">
        <v>301.5</v>
      </c>
      <c r="AB226">
        <v>0</v>
      </c>
      <c r="AC226">
        <v>0</v>
      </c>
      <c r="AD226">
        <v>1</v>
      </c>
      <c r="AE226">
        <v>0</v>
      </c>
      <c r="AF226" t="s">
        <v>3</v>
      </c>
      <c r="AG226">
        <v>0.02</v>
      </c>
      <c r="AH226">
        <v>2</v>
      </c>
      <c r="AI226">
        <v>38216015</v>
      </c>
      <c r="AJ226">
        <v>229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</row>
    <row r="227" spans="1:44" x14ac:dyDescent="0.2">
      <c r="A227">
        <f>ROW(Source!A894)</f>
        <v>894</v>
      </c>
      <c r="B227">
        <v>38216018</v>
      </c>
      <c r="C227">
        <v>38216014</v>
      </c>
      <c r="D227">
        <v>34880179</v>
      </c>
      <c r="E227">
        <v>1</v>
      </c>
      <c r="F227">
        <v>1</v>
      </c>
      <c r="G227">
        <v>25</v>
      </c>
      <c r="H227">
        <v>2</v>
      </c>
      <c r="I227" t="s">
        <v>403</v>
      </c>
      <c r="J227" t="s">
        <v>404</v>
      </c>
      <c r="K227" t="s">
        <v>405</v>
      </c>
      <c r="L227">
        <v>1368</v>
      </c>
      <c r="N227">
        <v>1011</v>
      </c>
      <c r="O227" t="s">
        <v>397</v>
      </c>
      <c r="P227" t="s">
        <v>397</v>
      </c>
      <c r="Q227">
        <v>1</v>
      </c>
      <c r="X227">
        <v>1.7999999999999999E-2</v>
      </c>
      <c r="Y227">
        <v>0</v>
      </c>
      <c r="Z227">
        <v>993.6</v>
      </c>
      <c r="AA227">
        <v>301.8</v>
      </c>
      <c r="AB227">
        <v>0</v>
      </c>
      <c r="AC227">
        <v>0</v>
      </c>
      <c r="AD227">
        <v>1</v>
      </c>
      <c r="AE227">
        <v>0</v>
      </c>
      <c r="AF227" t="s">
        <v>3</v>
      </c>
      <c r="AG227">
        <v>1.7999999999999999E-2</v>
      </c>
      <c r="AH227">
        <v>2</v>
      </c>
      <c r="AI227">
        <v>38216016</v>
      </c>
      <c r="AJ227">
        <v>230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</row>
    <row r="228" spans="1:44" x14ac:dyDescent="0.2">
      <c r="A228">
        <f>ROW(Source!A895)</f>
        <v>895</v>
      </c>
      <c r="B228">
        <v>38216022</v>
      </c>
      <c r="C228">
        <v>38216019</v>
      </c>
      <c r="D228">
        <v>34880178</v>
      </c>
      <c r="E228">
        <v>1</v>
      </c>
      <c r="F228">
        <v>1</v>
      </c>
      <c r="G228">
        <v>25</v>
      </c>
      <c r="H228">
        <v>2</v>
      </c>
      <c r="I228" t="s">
        <v>400</v>
      </c>
      <c r="J228" t="s">
        <v>401</v>
      </c>
      <c r="K228" t="s">
        <v>402</v>
      </c>
      <c r="L228">
        <v>1368</v>
      </c>
      <c r="N228">
        <v>1011</v>
      </c>
      <c r="O228" t="s">
        <v>397</v>
      </c>
      <c r="P228" t="s">
        <v>397</v>
      </c>
      <c r="Q228">
        <v>1</v>
      </c>
      <c r="X228">
        <v>5.3999999999999999E-2</v>
      </c>
      <c r="Y228">
        <v>0</v>
      </c>
      <c r="Z228">
        <v>952.49</v>
      </c>
      <c r="AA228">
        <v>301.5</v>
      </c>
      <c r="AB228">
        <v>0</v>
      </c>
      <c r="AC228">
        <v>0</v>
      </c>
      <c r="AD228">
        <v>1</v>
      </c>
      <c r="AE228">
        <v>0</v>
      </c>
      <c r="AF228" t="s">
        <v>3</v>
      </c>
      <c r="AG228">
        <v>5.3999999999999999E-2</v>
      </c>
      <c r="AH228">
        <v>2</v>
      </c>
      <c r="AI228">
        <v>38216020</v>
      </c>
      <c r="AJ228">
        <v>231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</row>
    <row r="229" spans="1:44" x14ac:dyDescent="0.2">
      <c r="A229">
        <f>ROW(Source!A895)</f>
        <v>895</v>
      </c>
      <c r="B229">
        <v>38216023</v>
      </c>
      <c r="C229">
        <v>38216019</v>
      </c>
      <c r="D229">
        <v>34880179</v>
      </c>
      <c r="E229">
        <v>1</v>
      </c>
      <c r="F229">
        <v>1</v>
      </c>
      <c r="G229">
        <v>25</v>
      </c>
      <c r="H229">
        <v>2</v>
      </c>
      <c r="I229" t="s">
        <v>403</v>
      </c>
      <c r="J229" t="s">
        <v>404</v>
      </c>
      <c r="K229" t="s">
        <v>405</v>
      </c>
      <c r="L229">
        <v>1368</v>
      </c>
      <c r="N229">
        <v>1011</v>
      </c>
      <c r="O229" t="s">
        <v>397</v>
      </c>
      <c r="P229" t="s">
        <v>397</v>
      </c>
      <c r="Q229">
        <v>1</v>
      </c>
      <c r="X229">
        <v>5.5E-2</v>
      </c>
      <c r="Y229">
        <v>0</v>
      </c>
      <c r="Z229">
        <v>993.6</v>
      </c>
      <c r="AA229">
        <v>301.8</v>
      </c>
      <c r="AB229">
        <v>0</v>
      </c>
      <c r="AC229">
        <v>0</v>
      </c>
      <c r="AD229">
        <v>1</v>
      </c>
      <c r="AE229">
        <v>0</v>
      </c>
      <c r="AF229" t="s">
        <v>3</v>
      </c>
      <c r="AG229">
        <v>5.5E-2</v>
      </c>
      <c r="AH229">
        <v>2</v>
      </c>
      <c r="AI229">
        <v>38216021</v>
      </c>
      <c r="AJ229">
        <v>232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</row>
    <row r="230" spans="1:44" x14ac:dyDescent="0.2">
      <c r="A230">
        <f>ROW(Source!A896)</f>
        <v>896</v>
      </c>
      <c r="B230">
        <v>38216027</v>
      </c>
      <c r="C230">
        <v>38216024</v>
      </c>
      <c r="D230">
        <v>34880178</v>
      </c>
      <c r="E230">
        <v>1</v>
      </c>
      <c r="F230">
        <v>1</v>
      </c>
      <c r="G230">
        <v>25</v>
      </c>
      <c r="H230">
        <v>2</v>
      </c>
      <c r="I230" t="s">
        <v>400</v>
      </c>
      <c r="J230" t="s">
        <v>401</v>
      </c>
      <c r="K230" t="s">
        <v>402</v>
      </c>
      <c r="L230">
        <v>1368</v>
      </c>
      <c r="N230">
        <v>1011</v>
      </c>
      <c r="O230" t="s">
        <v>397</v>
      </c>
      <c r="P230" t="s">
        <v>397</v>
      </c>
      <c r="Q230">
        <v>1</v>
      </c>
      <c r="X230">
        <v>0.01</v>
      </c>
      <c r="Y230">
        <v>0</v>
      </c>
      <c r="Z230">
        <v>952.49</v>
      </c>
      <c r="AA230">
        <v>301.5</v>
      </c>
      <c r="AB230">
        <v>0</v>
      </c>
      <c r="AC230">
        <v>0</v>
      </c>
      <c r="AD230">
        <v>1</v>
      </c>
      <c r="AE230">
        <v>0</v>
      </c>
      <c r="AF230" t="s">
        <v>328</v>
      </c>
      <c r="AG230">
        <v>0.24</v>
      </c>
      <c r="AH230">
        <v>2</v>
      </c>
      <c r="AI230">
        <v>38216025</v>
      </c>
      <c r="AJ230">
        <v>233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</row>
    <row r="231" spans="1:44" x14ac:dyDescent="0.2">
      <c r="A231">
        <f>ROW(Source!A896)</f>
        <v>896</v>
      </c>
      <c r="B231">
        <v>38216028</v>
      </c>
      <c r="C231">
        <v>38216024</v>
      </c>
      <c r="D231">
        <v>34880179</v>
      </c>
      <c r="E231">
        <v>1</v>
      </c>
      <c r="F231">
        <v>1</v>
      </c>
      <c r="G231">
        <v>25</v>
      </c>
      <c r="H231">
        <v>2</v>
      </c>
      <c r="I231" t="s">
        <v>403</v>
      </c>
      <c r="J231" t="s">
        <v>404</v>
      </c>
      <c r="K231" t="s">
        <v>405</v>
      </c>
      <c r="L231">
        <v>1368</v>
      </c>
      <c r="N231">
        <v>1011</v>
      </c>
      <c r="O231" t="s">
        <v>397</v>
      </c>
      <c r="P231" t="s">
        <v>397</v>
      </c>
      <c r="Q231">
        <v>1</v>
      </c>
      <c r="X231">
        <v>8.0000000000000002E-3</v>
      </c>
      <c r="Y231">
        <v>0</v>
      </c>
      <c r="Z231">
        <v>993.6</v>
      </c>
      <c r="AA231">
        <v>301.8</v>
      </c>
      <c r="AB231">
        <v>0</v>
      </c>
      <c r="AC231">
        <v>0</v>
      </c>
      <c r="AD231">
        <v>1</v>
      </c>
      <c r="AE231">
        <v>0</v>
      </c>
      <c r="AF231" t="s">
        <v>328</v>
      </c>
      <c r="AG231">
        <v>0.192</v>
      </c>
      <c r="AH231">
        <v>2</v>
      </c>
      <c r="AI231">
        <v>38216026</v>
      </c>
      <c r="AJ231">
        <v>234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</row>
    <row r="232" spans="1:44" x14ac:dyDescent="0.2">
      <c r="A232">
        <f>ROW(Source!A934)</f>
        <v>934</v>
      </c>
      <c r="B232">
        <v>38216091</v>
      </c>
      <c r="C232">
        <v>38216087</v>
      </c>
      <c r="D232">
        <v>34867259</v>
      </c>
      <c r="E232">
        <v>25</v>
      </c>
      <c r="F232">
        <v>1</v>
      </c>
      <c r="G232">
        <v>25</v>
      </c>
      <c r="H232">
        <v>1</v>
      </c>
      <c r="I232" t="s">
        <v>391</v>
      </c>
      <c r="J232" t="s">
        <v>3</v>
      </c>
      <c r="K232" t="s">
        <v>392</v>
      </c>
      <c r="L232">
        <v>1191</v>
      </c>
      <c r="N232">
        <v>1013</v>
      </c>
      <c r="O232" t="s">
        <v>393</v>
      </c>
      <c r="P232" t="s">
        <v>393</v>
      </c>
      <c r="Q232">
        <v>1</v>
      </c>
      <c r="X232">
        <v>15.15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1</v>
      </c>
      <c r="AE232">
        <v>1</v>
      </c>
      <c r="AF232" t="s">
        <v>3</v>
      </c>
      <c r="AG232">
        <v>15.15</v>
      </c>
      <c r="AH232">
        <v>2</v>
      </c>
      <c r="AI232">
        <v>38216088</v>
      </c>
      <c r="AJ232">
        <v>235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</row>
    <row r="233" spans="1:44" x14ac:dyDescent="0.2">
      <c r="A233">
        <f>ROW(Source!A934)</f>
        <v>934</v>
      </c>
      <c r="B233">
        <v>38216092</v>
      </c>
      <c r="C233">
        <v>38216087</v>
      </c>
      <c r="D233">
        <v>34880230</v>
      </c>
      <c r="E233">
        <v>1</v>
      </c>
      <c r="F233">
        <v>1</v>
      </c>
      <c r="G233">
        <v>25</v>
      </c>
      <c r="H233">
        <v>2</v>
      </c>
      <c r="I233" t="s">
        <v>394</v>
      </c>
      <c r="J233" t="s">
        <v>395</v>
      </c>
      <c r="K233" t="s">
        <v>396</v>
      </c>
      <c r="L233">
        <v>1368</v>
      </c>
      <c r="N233">
        <v>1011</v>
      </c>
      <c r="O233" t="s">
        <v>397</v>
      </c>
      <c r="P233" t="s">
        <v>397</v>
      </c>
      <c r="Q233">
        <v>1</v>
      </c>
      <c r="X233">
        <v>0.01</v>
      </c>
      <c r="Y233">
        <v>0</v>
      </c>
      <c r="Z233">
        <v>6.28</v>
      </c>
      <c r="AA233">
        <v>0.01</v>
      </c>
      <c r="AB233">
        <v>0</v>
      </c>
      <c r="AC233">
        <v>0</v>
      </c>
      <c r="AD233">
        <v>1</v>
      </c>
      <c r="AE233">
        <v>0</v>
      </c>
      <c r="AF233" t="s">
        <v>3</v>
      </c>
      <c r="AG233">
        <v>0.01</v>
      </c>
      <c r="AH233">
        <v>2</v>
      </c>
      <c r="AI233">
        <v>38216089</v>
      </c>
      <c r="AJ233">
        <v>236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</row>
    <row r="234" spans="1:44" x14ac:dyDescent="0.2">
      <c r="A234">
        <f>ROW(Source!A934)</f>
        <v>934</v>
      </c>
      <c r="B234">
        <v>38216093</v>
      </c>
      <c r="C234">
        <v>38216087</v>
      </c>
      <c r="D234">
        <v>34869071</v>
      </c>
      <c r="E234">
        <v>25</v>
      </c>
      <c r="F234">
        <v>1</v>
      </c>
      <c r="G234">
        <v>25</v>
      </c>
      <c r="H234">
        <v>3</v>
      </c>
      <c r="I234" t="s">
        <v>398</v>
      </c>
      <c r="J234" t="s">
        <v>3</v>
      </c>
      <c r="K234" t="s">
        <v>399</v>
      </c>
      <c r="L234">
        <v>1348</v>
      </c>
      <c r="N234">
        <v>1009</v>
      </c>
      <c r="O234" t="s">
        <v>30</v>
      </c>
      <c r="P234" t="s">
        <v>30</v>
      </c>
      <c r="Q234">
        <v>1000</v>
      </c>
      <c r="X234">
        <v>0.65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1</v>
      </c>
      <c r="AE234">
        <v>0</v>
      </c>
      <c r="AF234" t="s">
        <v>3</v>
      </c>
      <c r="AG234">
        <v>0.65</v>
      </c>
      <c r="AH234">
        <v>2</v>
      </c>
      <c r="AI234">
        <v>38216090</v>
      </c>
      <c r="AJ234">
        <v>237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</row>
    <row r="235" spans="1:44" x14ac:dyDescent="0.2">
      <c r="A235">
        <f>ROW(Source!A935)</f>
        <v>935</v>
      </c>
      <c r="B235">
        <v>38216098</v>
      </c>
      <c r="C235">
        <v>38216094</v>
      </c>
      <c r="D235">
        <v>34867259</v>
      </c>
      <c r="E235">
        <v>25</v>
      </c>
      <c r="F235">
        <v>1</v>
      </c>
      <c r="G235">
        <v>25</v>
      </c>
      <c r="H235">
        <v>1</v>
      </c>
      <c r="I235" t="s">
        <v>391</v>
      </c>
      <c r="J235" t="s">
        <v>3</v>
      </c>
      <c r="K235" t="s">
        <v>392</v>
      </c>
      <c r="L235">
        <v>1191</v>
      </c>
      <c r="N235">
        <v>1013</v>
      </c>
      <c r="O235" t="s">
        <v>393</v>
      </c>
      <c r="P235" t="s">
        <v>393</v>
      </c>
      <c r="Q235">
        <v>1</v>
      </c>
      <c r="X235">
        <v>32.479999999999997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1</v>
      </c>
      <c r="AE235">
        <v>1</v>
      </c>
      <c r="AF235" t="s">
        <v>3</v>
      </c>
      <c r="AG235">
        <v>32.479999999999997</v>
      </c>
      <c r="AH235">
        <v>2</v>
      </c>
      <c r="AI235">
        <v>38216095</v>
      </c>
      <c r="AJ235">
        <v>238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</row>
    <row r="236" spans="1:44" x14ac:dyDescent="0.2">
      <c r="A236">
        <f>ROW(Source!A935)</f>
        <v>935</v>
      </c>
      <c r="B236">
        <v>38216099</v>
      </c>
      <c r="C236">
        <v>38216094</v>
      </c>
      <c r="D236">
        <v>34881348</v>
      </c>
      <c r="E236">
        <v>1</v>
      </c>
      <c r="F236">
        <v>1</v>
      </c>
      <c r="G236">
        <v>25</v>
      </c>
      <c r="H236">
        <v>3</v>
      </c>
      <c r="I236" t="s">
        <v>491</v>
      </c>
      <c r="J236" t="s">
        <v>492</v>
      </c>
      <c r="K236" t="s">
        <v>493</v>
      </c>
      <c r="L236">
        <v>1348</v>
      </c>
      <c r="N236">
        <v>1009</v>
      </c>
      <c r="O236" t="s">
        <v>30</v>
      </c>
      <c r="P236" t="s">
        <v>30</v>
      </c>
      <c r="Q236">
        <v>1000</v>
      </c>
      <c r="X236">
        <v>1.2800000000000001E-3</v>
      </c>
      <c r="Y236">
        <v>52914.53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0</v>
      </c>
      <c r="AF236" t="s">
        <v>32</v>
      </c>
      <c r="AG236">
        <v>0</v>
      </c>
      <c r="AH236">
        <v>2</v>
      </c>
      <c r="AI236">
        <v>38216096</v>
      </c>
      <c r="AJ236">
        <v>239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</row>
    <row r="237" spans="1:44" x14ac:dyDescent="0.2">
      <c r="A237">
        <f>ROW(Source!A935)</f>
        <v>935</v>
      </c>
      <c r="B237">
        <v>38216100</v>
      </c>
      <c r="C237">
        <v>38216094</v>
      </c>
      <c r="D237">
        <v>34885373</v>
      </c>
      <c r="E237">
        <v>1</v>
      </c>
      <c r="F237">
        <v>1</v>
      </c>
      <c r="G237">
        <v>25</v>
      </c>
      <c r="H237">
        <v>3</v>
      </c>
      <c r="I237" t="s">
        <v>497</v>
      </c>
      <c r="J237" t="s">
        <v>498</v>
      </c>
      <c r="K237" t="s">
        <v>499</v>
      </c>
      <c r="L237">
        <v>1327</v>
      </c>
      <c r="N237">
        <v>1005</v>
      </c>
      <c r="O237" t="s">
        <v>225</v>
      </c>
      <c r="P237" t="s">
        <v>225</v>
      </c>
      <c r="Q237">
        <v>1</v>
      </c>
      <c r="X237">
        <v>88.5</v>
      </c>
      <c r="Y237">
        <v>240.26</v>
      </c>
      <c r="Z237">
        <v>0</v>
      </c>
      <c r="AA237">
        <v>0</v>
      </c>
      <c r="AB237">
        <v>0</v>
      </c>
      <c r="AC237">
        <v>0</v>
      </c>
      <c r="AD237">
        <v>1</v>
      </c>
      <c r="AE237">
        <v>0</v>
      </c>
      <c r="AF237" t="s">
        <v>32</v>
      </c>
      <c r="AG237">
        <v>0</v>
      </c>
      <c r="AH237">
        <v>2</v>
      </c>
      <c r="AI237">
        <v>38216097</v>
      </c>
      <c r="AJ237">
        <v>240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</row>
    <row r="238" spans="1:44" x14ac:dyDescent="0.2">
      <c r="A238">
        <f>ROW(Source!A936)</f>
        <v>936</v>
      </c>
      <c r="B238">
        <v>38661895</v>
      </c>
      <c r="C238">
        <v>38216101</v>
      </c>
      <c r="D238">
        <v>34867259</v>
      </c>
      <c r="E238">
        <v>25</v>
      </c>
      <c r="F238">
        <v>1</v>
      </c>
      <c r="G238">
        <v>25</v>
      </c>
      <c r="H238">
        <v>1</v>
      </c>
      <c r="I238" t="s">
        <v>391</v>
      </c>
      <c r="J238" t="s">
        <v>3</v>
      </c>
      <c r="K238" t="s">
        <v>392</v>
      </c>
      <c r="L238">
        <v>1191</v>
      </c>
      <c r="N238">
        <v>1013</v>
      </c>
      <c r="O238" t="s">
        <v>393</v>
      </c>
      <c r="P238" t="s">
        <v>393</v>
      </c>
      <c r="Q238">
        <v>1</v>
      </c>
      <c r="X238">
        <v>37.03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1</v>
      </c>
      <c r="AE238">
        <v>1</v>
      </c>
      <c r="AF238" t="s">
        <v>3</v>
      </c>
      <c r="AG238">
        <v>37.03</v>
      </c>
      <c r="AH238">
        <v>2</v>
      </c>
      <c r="AI238">
        <v>38661895</v>
      </c>
      <c r="AJ238">
        <v>241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</row>
    <row r="239" spans="1:44" x14ac:dyDescent="0.2">
      <c r="A239">
        <f>ROW(Source!A936)</f>
        <v>936</v>
      </c>
      <c r="B239">
        <v>38661896</v>
      </c>
      <c r="C239">
        <v>38216101</v>
      </c>
      <c r="D239">
        <v>34880227</v>
      </c>
      <c r="E239">
        <v>1</v>
      </c>
      <c r="F239">
        <v>1</v>
      </c>
      <c r="G239">
        <v>25</v>
      </c>
      <c r="H239">
        <v>2</v>
      </c>
      <c r="I239" t="s">
        <v>500</v>
      </c>
      <c r="J239" t="s">
        <v>501</v>
      </c>
      <c r="K239" t="s">
        <v>502</v>
      </c>
      <c r="L239">
        <v>1368</v>
      </c>
      <c r="N239">
        <v>1011</v>
      </c>
      <c r="O239" t="s">
        <v>397</v>
      </c>
      <c r="P239" t="s">
        <v>397</v>
      </c>
      <c r="Q239">
        <v>1</v>
      </c>
      <c r="X239">
        <v>0.4</v>
      </c>
      <c r="Y239">
        <v>0</v>
      </c>
      <c r="Z239">
        <v>3.96</v>
      </c>
      <c r="AA239">
        <v>0.01</v>
      </c>
      <c r="AB239">
        <v>0</v>
      </c>
      <c r="AC239">
        <v>0</v>
      </c>
      <c r="AD239">
        <v>1</v>
      </c>
      <c r="AE239">
        <v>0</v>
      </c>
      <c r="AF239" t="s">
        <v>3</v>
      </c>
      <c r="AG239">
        <v>0.4</v>
      </c>
      <c r="AH239">
        <v>2</v>
      </c>
      <c r="AI239">
        <v>38661896</v>
      </c>
      <c r="AJ239">
        <v>242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</row>
    <row r="240" spans="1:44" x14ac:dyDescent="0.2">
      <c r="A240">
        <f>ROW(Source!A936)</f>
        <v>936</v>
      </c>
      <c r="B240">
        <v>38661897</v>
      </c>
      <c r="C240">
        <v>38216101</v>
      </c>
      <c r="D240">
        <v>34881348</v>
      </c>
      <c r="E240">
        <v>1</v>
      </c>
      <c r="F240">
        <v>1</v>
      </c>
      <c r="G240">
        <v>25</v>
      </c>
      <c r="H240">
        <v>3</v>
      </c>
      <c r="I240" t="s">
        <v>491</v>
      </c>
      <c r="J240" t="s">
        <v>503</v>
      </c>
      <c r="K240" t="s">
        <v>493</v>
      </c>
      <c r="L240">
        <v>1348</v>
      </c>
      <c r="N240">
        <v>1009</v>
      </c>
      <c r="O240" t="s">
        <v>30</v>
      </c>
      <c r="P240" t="s">
        <v>30</v>
      </c>
      <c r="Q240">
        <v>1000</v>
      </c>
      <c r="X240">
        <v>1.6000000000000001E-3</v>
      </c>
      <c r="Y240">
        <v>52914.53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0</v>
      </c>
      <c r="AF240" t="s">
        <v>3</v>
      </c>
      <c r="AG240">
        <v>1.6000000000000001E-3</v>
      </c>
      <c r="AH240">
        <v>2</v>
      </c>
      <c r="AI240">
        <v>38661897</v>
      </c>
      <c r="AJ240">
        <v>243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</row>
    <row r="241" spans="1:44" x14ac:dyDescent="0.2">
      <c r="A241">
        <f>ROW(Source!A936)</f>
        <v>936</v>
      </c>
      <c r="B241">
        <v>38661898</v>
      </c>
      <c r="C241">
        <v>38216101</v>
      </c>
      <c r="D241">
        <v>34880532</v>
      </c>
      <c r="E241">
        <v>1</v>
      </c>
      <c r="F241">
        <v>1</v>
      </c>
      <c r="G241">
        <v>25</v>
      </c>
      <c r="H241">
        <v>3</v>
      </c>
      <c r="I241" t="s">
        <v>504</v>
      </c>
      <c r="J241" t="s">
        <v>505</v>
      </c>
      <c r="K241" t="s">
        <v>506</v>
      </c>
      <c r="L241">
        <v>1327</v>
      </c>
      <c r="N241">
        <v>1005</v>
      </c>
      <c r="O241" t="s">
        <v>225</v>
      </c>
      <c r="P241" t="s">
        <v>225</v>
      </c>
      <c r="Q241">
        <v>1</v>
      </c>
      <c r="X241">
        <v>21</v>
      </c>
      <c r="Y241">
        <v>28.19</v>
      </c>
      <c r="Z241">
        <v>0</v>
      </c>
      <c r="AA241">
        <v>0</v>
      </c>
      <c r="AB241">
        <v>0</v>
      </c>
      <c r="AC241">
        <v>0</v>
      </c>
      <c r="AD241">
        <v>1</v>
      </c>
      <c r="AE241">
        <v>0</v>
      </c>
      <c r="AF241" t="s">
        <v>3</v>
      </c>
      <c r="AG241">
        <v>21</v>
      </c>
      <c r="AH241">
        <v>2</v>
      </c>
      <c r="AI241">
        <v>38661898</v>
      </c>
      <c r="AJ241">
        <v>244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</row>
    <row r="242" spans="1:44" x14ac:dyDescent="0.2">
      <c r="A242">
        <f>ROW(Source!A936)</f>
        <v>936</v>
      </c>
      <c r="B242">
        <v>38661899</v>
      </c>
      <c r="C242">
        <v>38216101</v>
      </c>
      <c r="D242">
        <v>34880908</v>
      </c>
      <c r="E242">
        <v>1</v>
      </c>
      <c r="F242">
        <v>1</v>
      </c>
      <c r="G242">
        <v>25</v>
      </c>
      <c r="H242">
        <v>3</v>
      </c>
      <c r="I242" t="s">
        <v>507</v>
      </c>
      <c r="J242" t="s">
        <v>508</v>
      </c>
      <c r="K242" t="s">
        <v>509</v>
      </c>
      <c r="L242">
        <v>1348</v>
      </c>
      <c r="N242">
        <v>1009</v>
      </c>
      <c r="O242" t="s">
        <v>30</v>
      </c>
      <c r="P242" t="s">
        <v>30</v>
      </c>
      <c r="Q242">
        <v>1000</v>
      </c>
      <c r="X242">
        <v>3.3999999999999998E-3</v>
      </c>
      <c r="Y242">
        <v>254205.88</v>
      </c>
      <c r="Z242">
        <v>0</v>
      </c>
      <c r="AA242">
        <v>0</v>
      </c>
      <c r="AB242">
        <v>0</v>
      </c>
      <c r="AC242">
        <v>0</v>
      </c>
      <c r="AD242">
        <v>1</v>
      </c>
      <c r="AE242">
        <v>0</v>
      </c>
      <c r="AF242" t="s">
        <v>3</v>
      </c>
      <c r="AG242">
        <v>3.3999999999999998E-3</v>
      </c>
      <c r="AH242">
        <v>2</v>
      </c>
      <c r="AI242">
        <v>38661899</v>
      </c>
      <c r="AJ242">
        <v>245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</row>
    <row r="243" spans="1:44" x14ac:dyDescent="0.2">
      <c r="A243">
        <f>ROW(Source!A936)</f>
        <v>936</v>
      </c>
      <c r="B243">
        <v>38661900</v>
      </c>
      <c r="C243">
        <v>38216101</v>
      </c>
      <c r="D243">
        <v>34885438</v>
      </c>
      <c r="E243">
        <v>1</v>
      </c>
      <c r="F243">
        <v>1</v>
      </c>
      <c r="G243">
        <v>25</v>
      </c>
      <c r="H243">
        <v>3</v>
      </c>
      <c r="I243" t="s">
        <v>339</v>
      </c>
      <c r="J243" t="s">
        <v>341</v>
      </c>
      <c r="K243" t="s">
        <v>340</v>
      </c>
      <c r="L243">
        <v>1339</v>
      </c>
      <c r="N243">
        <v>1007</v>
      </c>
      <c r="O243" t="s">
        <v>206</v>
      </c>
      <c r="P243" t="s">
        <v>206</v>
      </c>
      <c r="Q243">
        <v>1</v>
      </c>
      <c r="X243">
        <v>0.82</v>
      </c>
      <c r="Y243">
        <v>7499.67</v>
      </c>
      <c r="Z243">
        <v>0</v>
      </c>
      <c r="AA243">
        <v>0</v>
      </c>
      <c r="AB243">
        <v>0</v>
      </c>
      <c r="AC243">
        <v>0</v>
      </c>
      <c r="AD243">
        <v>1</v>
      </c>
      <c r="AE243">
        <v>0</v>
      </c>
      <c r="AF243" t="s">
        <v>3</v>
      </c>
      <c r="AG243">
        <v>0.82</v>
      </c>
      <c r="AH243">
        <v>2</v>
      </c>
      <c r="AI243">
        <v>38661900</v>
      </c>
      <c r="AJ243">
        <v>246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</row>
    <row r="244" spans="1:44" x14ac:dyDescent="0.2">
      <c r="A244">
        <f>ROW(Source!A940)</f>
        <v>940</v>
      </c>
      <c r="B244">
        <v>38216106</v>
      </c>
      <c r="C244">
        <v>38216102</v>
      </c>
      <c r="D244">
        <v>34867259</v>
      </c>
      <c r="E244">
        <v>25</v>
      </c>
      <c r="F244">
        <v>1</v>
      </c>
      <c r="G244">
        <v>25</v>
      </c>
      <c r="H244">
        <v>1</v>
      </c>
      <c r="I244" t="s">
        <v>391</v>
      </c>
      <c r="J244" t="s">
        <v>3</v>
      </c>
      <c r="K244" t="s">
        <v>392</v>
      </c>
      <c r="L244">
        <v>1191</v>
      </c>
      <c r="N244">
        <v>1013</v>
      </c>
      <c r="O244" t="s">
        <v>393</v>
      </c>
      <c r="P244" t="s">
        <v>393</v>
      </c>
      <c r="Q244">
        <v>1</v>
      </c>
      <c r="X244">
        <v>18.649999999999999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1</v>
      </c>
      <c r="AF244" t="s">
        <v>3</v>
      </c>
      <c r="AG244">
        <v>18.649999999999999</v>
      </c>
      <c r="AH244">
        <v>2</v>
      </c>
      <c r="AI244">
        <v>38216103</v>
      </c>
      <c r="AJ244">
        <v>247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</row>
    <row r="245" spans="1:44" x14ac:dyDescent="0.2">
      <c r="A245">
        <f>ROW(Source!A940)</f>
        <v>940</v>
      </c>
      <c r="B245">
        <v>38216107</v>
      </c>
      <c r="C245">
        <v>38216102</v>
      </c>
      <c r="D245">
        <v>34881348</v>
      </c>
      <c r="E245">
        <v>1</v>
      </c>
      <c r="F245">
        <v>1</v>
      </c>
      <c r="G245">
        <v>25</v>
      </c>
      <c r="H245">
        <v>3</v>
      </c>
      <c r="I245" t="s">
        <v>491</v>
      </c>
      <c r="J245" t="s">
        <v>492</v>
      </c>
      <c r="K245" t="s">
        <v>493</v>
      </c>
      <c r="L245">
        <v>1348</v>
      </c>
      <c r="N245">
        <v>1009</v>
      </c>
      <c r="O245" t="s">
        <v>30</v>
      </c>
      <c r="P245" t="s">
        <v>30</v>
      </c>
      <c r="Q245">
        <v>1000</v>
      </c>
      <c r="X245">
        <v>1.132E-2</v>
      </c>
      <c r="Y245">
        <v>52914.53</v>
      </c>
      <c r="Z245">
        <v>0</v>
      </c>
      <c r="AA245">
        <v>0</v>
      </c>
      <c r="AB245">
        <v>0</v>
      </c>
      <c r="AC245">
        <v>0</v>
      </c>
      <c r="AD245">
        <v>1</v>
      </c>
      <c r="AE245">
        <v>0</v>
      </c>
      <c r="AF245" t="s">
        <v>3</v>
      </c>
      <c r="AG245">
        <v>1.132E-2</v>
      </c>
      <c r="AH245">
        <v>2</v>
      </c>
      <c r="AI245">
        <v>38216104</v>
      </c>
      <c r="AJ245">
        <v>248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</row>
    <row r="246" spans="1:44" x14ac:dyDescent="0.2">
      <c r="A246">
        <f>ROW(Source!A940)</f>
        <v>940</v>
      </c>
      <c r="B246">
        <v>38216108</v>
      </c>
      <c r="C246">
        <v>38216102</v>
      </c>
      <c r="D246">
        <v>34880974</v>
      </c>
      <c r="E246">
        <v>1</v>
      </c>
      <c r="F246">
        <v>1</v>
      </c>
      <c r="G246">
        <v>25</v>
      </c>
      <c r="H246">
        <v>3</v>
      </c>
      <c r="I246" t="s">
        <v>347</v>
      </c>
      <c r="J246" t="s">
        <v>349</v>
      </c>
      <c r="K246" t="s">
        <v>348</v>
      </c>
      <c r="L246">
        <v>1339</v>
      </c>
      <c r="N246">
        <v>1007</v>
      </c>
      <c r="O246" t="s">
        <v>206</v>
      </c>
      <c r="P246" t="s">
        <v>206</v>
      </c>
      <c r="Q246">
        <v>1</v>
      </c>
      <c r="X246">
        <v>3.01</v>
      </c>
      <c r="Y246">
        <v>6701.58</v>
      </c>
      <c r="Z246">
        <v>0</v>
      </c>
      <c r="AA246">
        <v>0</v>
      </c>
      <c r="AB246">
        <v>0</v>
      </c>
      <c r="AC246">
        <v>0</v>
      </c>
      <c r="AD246">
        <v>1</v>
      </c>
      <c r="AE246">
        <v>0</v>
      </c>
      <c r="AF246" t="s">
        <v>3</v>
      </c>
      <c r="AG246">
        <v>3.01</v>
      </c>
      <c r="AH246">
        <v>2</v>
      </c>
      <c r="AI246">
        <v>38216111</v>
      </c>
      <c r="AJ246">
        <v>249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</row>
    <row r="247" spans="1:44" x14ac:dyDescent="0.2">
      <c r="A247">
        <f>ROW(Source!A940)</f>
        <v>940</v>
      </c>
      <c r="B247">
        <v>38216109</v>
      </c>
      <c r="C247">
        <v>38216102</v>
      </c>
      <c r="D247">
        <v>34880975</v>
      </c>
      <c r="E247">
        <v>1</v>
      </c>
      <c r="F247">
        <v>1</v>
      </c>
      <c r="G247">
        <v>25</v>
      </c>
      <c r="H247">
        <v>3</v>
      </c>
      <c r="I247" t="s">
        <v>494</v>
      </c>
      <c r="J247" t="s">
        <v>495</v>
      </c>
      <c r="K247" t="s">
        <v>496</v>
      </c>
      <c r="L247">
        <v>1339</v>
      </c>
      <c r="N247">
        <v>1007</v>
      </c>
      <c r="O247" t="s">
        <v>206</v>
      </c>
      <c r="P247" t="s">
        <v>206</v>
      </c>
      <c r="Q247">
        <v>1</v>
      </c>
      <c r="X247">
        <v>0.72</v>
      </c>
      <c r="Y247">
        <v>6697.08</v>
      </c>
      <c r="Z247">
        <v>0</v>
      </c>
      <c r="AA247">
        <v>0</v>
      </c>
      <c r="AB247">
        <v>0</v>
      </c>
      <c r="AC247">
        <v>0</v>
      </c>
      <c r="AD247">
        <v>1</v>
      </c>
      <c r="AE247">
        <v>0</v>
      </c>
      <c r="AF247" t="s">
        <v>3</v>
      </c>
      <c r="AG247">
        <v>0.72</v>
      </c>
      <c r="AH247">
        <v>2</v>
      </c>
      <c r="AI247">
        <v>38216105</v>
      </c>
      <c r="AJ247">
        <v>250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</row>
    <row r="248" spans="1:44" x14ac:dyDescent="0.2">
      <c r="A248">
        <f>ROW(Source!A944)</f>
        <v>944</v>
      </c>
      <c r="B248">
        <v>38216123</v>
      </c>
      <c r="C248">
        <v>38216114</v>
      </c>
      <c r="D248">
        <v>34867259</v>
      </c>
      <c r="E248">
        <v>25</v>
      </c>
      <c r="F248">
        <v>1</v>
      </c>
      <c r="G248">
        <v>25</v>
      </c>
      <c r="H248">
        <v>1</v>
      </c>
      <c r="I248" t="s">
        <v>391</v>
      </c>
      <c r="J248" t="s">
        <v>3</v>
      </c>
      <c r="K248" t="s">
        <v>392</v>
      </c>
      <c r="L248">
        <v>1191</v>
      </c>
      <c r="N248">
        <v>1013</v>
      </c>
      <c r="O248" t="s">
        <v>393</v>
      </c>
      <c r="P248" t="s">
        <v>393</v>
      </c>
      <c r="Q248">
        <v>1</v>
      </c>
      <c r="X248">
        <v>103.62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1</v>
      </c>
      <c r="AE248">
        <v>1</v>
      </c>
      <c r="AF248" t="s">
        <v>3</v>
      </c>
      <c r="AG248">
        <v>103.62</v>
      </c>
      <c r="AH248">
        <v>2</v>
      </c>
      <c r="AI248">
        <v>38216115</v>
      </c>
      <c r="AJ248">
        <v>252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</row>
    <row r="249" spans="1:44" x14ac:dyDescent="0.2">
      <c r="A249">
        <f>ROW(Source!A944)</f>
        <v>944</v>
      </c>
      <c r="B249">
        <v>38216124</v>
      </c>
      <c r="C249">
        <v>38216114</v>
      </c>
      <c r="D249">
        <v>34880291</v>
      </c>
      <c r="E249">
        <v>1</v>
      </c>
      <c r="F249">
        <v>1</v>
      </c>
      <c r="G249">
        <v>25</v>
      </c>
      <c r="H249">
        <v>2</v>
      </c>
      <c r="I249" t="s">
        <v>510</v>
      </c>
      <c r="J249" t="s">
        <v>511</v>
      </c>
      <c r="K249" t="s">
        <v>512</v>
      </c>
      <c r="L249">
        <v>1368</v>
      </c>
      <c r="N249">
        <v>1011</v>
      </c>
      <c r="O249" t="s">
        <v>397</v>
      </c>
      <c r="P249" t="s">
        <v>397</v>
      </c>
      <c r="Q249">
        <v>1</v>
      </c>
      <c r="X249">
        <v>7.25</v>
      </c>
      <c r="Y249">
        <v>0</v>
      </c>
      <c r="Z249">
        <v>7.67</v>
      </c>
      <c r="AA249">
        <v>0.93</v>
      </c>
      <c r="AB249">
        <v>0</v>
      </c>
      <c r="AC249">
        <v>0</v>
      </c>
      <c r="AD249">
        <v>1</v>
      </c>
      <c r="AE249">
        <v>0</v>
      </c>
      <c r="AF249" t="s">
        <v>3</v>
      </c>
      <c r="AG249">
        <v>7.25</v>
      </c>
      <c r="AH249">
        <v>2</v>
      </c>
      <c r="AI249">
        <v>38216116</v>
      </c>
      <c r="AJ249">
        <v>253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</row>
    <row r="250" spans="1:44" x14ac:dyDescent="0.2">
      <c r="A250">
        <f>ROW(Source!A944)</f>
        <v>944</v>
      </c>
      <c r="B250">
        <v>38216125</v>
      </c>
      <c r="C250">
        <v>38216114</v>
      </c>
      <c r="D250">
        <v>34880230</v>
      </c>
      <c r="E250">
        <v>1</v>
      </c>
      <c r="F250">
        <v>1</v>
      </c>
      <c r="G250">
        <v>25</v>
      </c>
      <c r="H250">
        <v>2</v>
      </c>
      <c r="I250" t="s">
        <v>394</v>
      </c>
      <c r="J250" t="s">
        <v>395</v>
      </c>
      <c r="K250" t="s">
        <v>396</v>
      </c>
      <c r="L250">
        <v>1368</v>
      </c>
      <c r="N250">
        <v>1011</v>
      </c>
      <c r="O250" t="s">
        <v>397</v>
      </c>
      <c r="P250" t="s">
        <v>397</v>
      </c>
      <c r="Q250">
        <v>1</v>
      </c>
      <c r="X250">
        <v>2</v>
      </c>
      <c r="Y250">
        <v>0</v>
      </c>
      <c r="Z250">
        <v>6.28</v>
      </c>
      <c r="AA250">
        <v>0.01</v>
      </c>
      <c r="AB250">
        <v>0</v>
      </c>
      <c r="AC250">
        <v>0</v>
      </c>
      <c r="AD250">
        <v>1</v>
      </c>
      <c r="AE250">
        <v>0</v>
      </c>
      <c r="AF250" t="s">
        <v>3</v>
      </c>
      <c r="AG250">
        <v>2</v>
      </c>
      <c r="AH250">
        <v>2</v>
      </c>
      <c r="AI250">
        <v>38216117</v>
      </c>
      <c r="AJ250">
        <v>254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</row>
    <row r="251" spans="1:44" x14ac:dyDescent="0.2">
      <c r="A251">
        <f>ROW(Source!A944)</f>
        <v>944</v>
      </c>
      <c r="B251">
        <v>38216126</v>
      </c>
      <c r="C251">
        <v>38216114</v>
      </c>
      <c r="D251">
        <v>34881323</v>
      </c>
      <c r="E251">
        <v>1</v>
      </c>
      <c r="F251">
        <v>1</v>
      </c>
      <c r="G251">
        <v>25</v>
      </c>
      <c r="H251">
        <v>3</v>
      </c>
      <c r="I251" t="s">
        <v>409</v>
      </c>
      <c r="J251" t="s">
        <v>410</v>
      </c>
      <c r="K251" t="s">
        <v>411</v>
      </c>
      <c r="L251">
        <v>1348</v>
      </c>
      <c r="N251">
        <v>1009</v>
      </c>
      <c r="O251" t="s">
        <v>30</v>
      </c>
      <c r="P251" t="s">
        <v>30</v>
      </c>
      <c r="Q251">
        <v>1000</v>
      </c>
      <c r="X251">
        <v>3.0700000000000002E-2</v>
      </c>
      <c r="Y251">
        <v>103472.53</v>
      </c>
      <c r="Z251">
        <v>0</v>
      </c>
      <c r="AA251">
        <v>0</v>
      </c>
      <c r="AB251">
        <v>0</v>
      </c>
      <c r="AC251">
        <v>0</v>
      </c>
      <c r="AD251">
        <v>1</v>
      </c>
      <c r="AE251">
        <v>0</v>
      </c>
      <c r="AF251" t="s">
        <v>3</v>
      </c>
      <c r="AG251">
        <v>3.0700000000000002E-2</v>
      </c>
      <c r="AH251">
        <v>2</v>
      </c>
      <c r="AI251">
        <v>38216118</v>
      </c>
      <c r="AJ251">
        <v>255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</row>
    <row r="252" spans="1:44" x14ac:dyDescent="0.2">
      <c r="A252">
        <f>ROW(Source!A944)</f>
        <v>944</v>
      </c>
      <c r="B252">
        <v>38216127</v>
      </c>
      <c r="C252">
        <v>38216114</v>
      </c>
      <c r="D252">
        <v>34881348</v>
      </c>
      <c r="E252">
        <v>1</v>
      </c>
      <c r="F252">
        <v>1</v>
      </c>
      <c r="G252">
        <v>25</v>
      </c>
      <c r="H252">
        <v>3</v>
      </c>
      <c r="I252" t="s">
        <v>491</v>
      </c>
      <c r="J252" t="s">
        <v>492</v>
      </c>
      <c r="K252" t="s">
        <v>493</v>
      </c>
      <c r="L252">
        <v>1348</v>
      </c>
      <c r="N252">
        <v>1009</v>
      </c>
      <c r="O252" t="s">
        <v>30</v>
      </c>
      <c r="P252" t="s">
        <v>30</v>
      </c>
      <c r="Q252">
        <v>1000</v>
      </c>
      <c r="X252">
        <v>5.5999999999999999E-3</v>
      </c>
      <c r="Y252">
        <v>52914.53</v>
      </c>
      <c r="Z252">
        <v>0</v>
      </c>
      <c r="AA252">
        <v>0</v>
      </c>
      <c r="AB252">
        <v>0</v>
      </c>
      <c r="AC252">
        <v>0</v>
      </c>
      <c r="AD252">
        <v>1</v>
      </c>
      <c r="AE252">
        <v>0</v>
      </c>
      <c r="AF252" t="s">
        <v>3</v>
      </c>
      <c r="AG252">
        <v>5.5999999999999999E-3</v>
      </c>
      <c r="AH252">
        <v>2</v>
      </c>
      <c r="AI252">
        <v>38216119</v>
      </c>
      <c r="AJ252">
        <v>256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</row>
    <row r="253" spans="1:44" x14ac:dyDescent="0.2">
      <c r="A253">
        <f>ROW(Source!A944)</f>
        <v>944</v>
      </c>
      <c r="B253">
        <v>38216128</v>
      </c>
      <c r="C253">
        <v>38216114</v>
      </c>
      <c r="D253">
        <v>34880909</v>
      </c>
      <c r="E253">
        <v>1</v>
      </c>
      <c r="F253">
        <v>1</v>
      </c>
      <c r="G253">
        <v>25</v>
      </c>
      <c r="H253">
        <v>3</v>
      </c>
      <c r="I253" t="s">
        <v>513</v>
      </c>
      <c r="J253" t="s">
        <v>514</v>
      </c>
      <c r="K253" t="s">
        <v>515</v>
      </c>
      <c r="L253">
        <v>1348</v>
      </c>
      <c r="N253">
        <v>1009</v>
      </c>
      <c r="O253" t="s">
        <v>30</v>
      </c>
      <c r="P253" t="s">
        <v>30</v>
      </c>
      <c r="Q253">
        <v>1000</v>
      </c>
      <c r="X253">
        <v>2.5999999999999999E-3</v>
      </c>
      <c r="Y253">
        <v>91119.2</v>
      </c>
      <c r="Z253">
        <v>0</v>
      </c>
      <c r="AA253">
        <v>0</v>
      </c>
      <c r="AB253">
        <v>0</v>
      </c>
      <c r="AC253">
        <v>0</v>
      </c>
      <c r="AD253">
        <v>1</v>
      </c>
      <c r="AE253">
        <v>0</v>
      </c>
      <c r="AF253" t="s">
        <v>3</v>
      </c>
      <c r="AG253">
        <v>2.5999999999999999E-3</v>
      </c>
      <c r="AH253">
        <v>2</v>
      </c>
      <c r="AI253">
        <v>38216120</v>
      </c>
      <c r="AJ253">
        <v>257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</row>
    <row r="254" spans="1:44" x14ac:dyDescent="0.2">
      <c r="A254">
        <f>ROW(Source!A944)</f>
        <v>944</v>
      </c>
      <c r="B254">
        <v>38216129</v>
      </c>
      <c r="C254">
        <v>38216114</v>
      </c>
      <c r="D254">
        <v>34880929</v>
      </c>
      <c r="E254">
        <v>1</v>
      </c>
      <c r="F254">
        <v>1</v>
      </c>
      <c r="G254">
        <v>25</v>
      </c>
      <c r="H254">
        <v>3</v>
      </c>
      <c r="I254" t="s">
        <v>516</v>
      </c>
      <c r="J254" t="s">
        <v>517</v>
      </c>
      <c r="K254" t="s">
        <v>518</v>
      </c>
      <c r="L254">
        <v>1339</v>
      </c>
      <c r="N254">
        <v>1007</v>
      </c>
      <c r="O254" t="s">
        <v>206</v>
      </c>
      <c r="P254" t="s">
        <v>206</v>
      </c>
      <c r="Q254">
        <v>1</v>
      </c>
      <c r="X254">
        <v>1.0900000000000001</v>
      </c>
      <c r="Y254">
        <v>9064.07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0</v>
      </c>
      <c r="AF254" t="s">
        <v>3</v>
      </c>
      <c r="AG254">
        <v>1.0900000000000001</v>
      </c>
      <c r="AH254">
        <v>2</v>
      </c>
      <c r="AI254">
        <v>38216121</v>
      </c>
      <c r="AJ254">
        <v>258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</row>
    <row r="255" spans="1:44" x14ac:dyDescent="0.2">
      <c r="A255">
        <f>ROW(Source!A944)</f>
        <v>944</v>
      </c>
      <c r="B255">
        <v>38216130</v>
      </c>
      <c r="C255">
        <v>38216114</v>
      </c>
      <c r="D255">
        <v>34880931</v>
      </c>
      <c r="E255">
        <v>1</v>
      </c>
      <c r="F255">
        <v>1</v>
      </c>
      <c r="G255">
        <v>25</v>
      </c>
      <c r="H255">
        <v>3</v>
      </c>
      <c r="I255" t="s">
        <v>519</v>
      </c>
      <c r="J255" t="s">
        <v>520</v>
      </c>
      <c r="K255" t="s">
        <v>521</v>
      </c>
      <c r="L255">
        <v>1339</v>
      </c>
      <c r="N255">
        <v>1007</v>
      </c>
      <c r="O255" t="s">
        <v>206</v>
      </c>
      <c r="P255" t="s">
        <v>206</v>
      </c>
      <c r="Q255">
        <v>1</v>
      </c>
      <c r="X255">
        <v>1.34</v>
      </c>
      <c r="Y255">
        <v>6425.33</v>
      </c>
      <c r="Z255">
        <v>0</v>
      </c>
      <c r="AA255">
        <v>0</v>
      </c>
      <c r="AB255">
        <v>0</v>
      </c>
      <c r="AC255">
        <v>0</v>
      </c>
      <c r="AD255">
        <v>1</v>
      </c>
      <c r="AE255">
        <v>0</v>
      </c>
      <c r="AF255" t="s">
        <v>3</v>
      </c>
      <c r="AG255">
        <v>1.34</v>
      </c>
      <c r="AH255">
        <v>2</v>
      </c>
      <c r="AI255">
        <v>38216122</v>
      </c>
      <c r="AJ255">
        <v>259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</row>
    <row r="256" spans="1:44" x14ac:dyDescent="0.2">
      <c r="A256">
        <f>ROW(Source!A945)</f>
        <v>945</v>
      </c>
      <c r="B256">
        <v>38216137</v>
      </c>
      <c r="C256">
        <v>38216131</v>
      </c>
      <c r="D256">
        <v>34867259</v>
      </c>
      <c r="E256">
        <v>25</v>
      </c>
      <c r="F256">
        <v>1</v>
      </c>
      <c r="G256">
        <v>25</v>
      </c>
      <c r="H256">
        <v>1</v>
      </c>
      <c r="I256" t="s">
        <v>391</v>
      </c>
      <c r="J256" t="s">
        <v>3</v>
      </c>
      <c r="K256" t="s">
        <v>392</v>
      </c>
      <c r="L256">
        <v>1191</v>
      </c>
      <c r="N256">
        <v>1013</v>
      </c>
      <c r="O256" t="s">
        <v>393</v>
      </c>
      <c r="P256" t="s">
        <v>393</v>
      </c>
      <c r="Q256">
        <v>1</v>
      </c>
      <c r="X256">
        <v>25.07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1</v>
      </c>
      <c r="AE256">
        <v>1</v>
      </c>
      <c r="AF256" t="s">
        <v>3</v>
      </c>
      <c r="AG256">
        <v>25.07</v>
      </c>
      <c r="AH256">
        <v>2</v>
      </c>
      <c r="AI256">
        <v>38216132</v>
      </c>
      <c r="AJ256">
        <v>260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</row>
    <row r="257" spans="1:44" x14ac:dyDescent="0.2">
      <c r="A257">
        <f>ROW(Source!A945)</f>
        <v>945</v>
      </c>
      <c r="B257">
        <v>38216138</v>
      </c>
      <c r="C257">
        <v>38216131</v>
      </c>
      <c r="D257">
        <v>34879869</v>
      </c>
      <c r="E257">
        <v>1</v>
      </c>
      <c r="F257">
        <v>1</v>
      </c>
      <c r="G257">
        <v>25</v>
      </c>
      <c r="H257">
        <v>2</v>
      </c>
      <c r="I257" t="s">
        <v>522</v>
      </c>
      <c r="J257" t="s">
        <v>523</v>
      </c>
      <c r="K257" t="s">
        <v>524</v>
      </c>
      <c r="L257">
        <v>1368</v>
      </c>
      <c r="N257">
        <v>1011</v>
      </c>
      <c r="O257" t="s">
        <v>397</v>
      </c>
      <c r="P257" t="s">
        <v>397</v>
      </c>
      <c r="Q257">
        <v>1</v>
      </c>
      <c r="X257">
        <v>3.25</v>
      </c>
      <c r="Y257">
        <v>0</v>
      </c>
      <c r="Z257">
        <v>40.94</v>
      </c>
      <c r="AA257">
        <v>0.17</v>
      </c>
      <c r="AB257">
        <v>0</v>
      </c>
      <c r="AC257">
        <v>0</v>
      </c>
      <c r="AD257">
        <v>1</v>
      </c>
      <c r="AE257">
        <v>0</v>
      </c>
      <c r="AF257" t="s">
        <v>3</v>
      </c>
      <c r="AG257">
        <v>3.25</v>
      </c>
      <c r="AH257">
        <v>2</v>
      </c>
      <c r="AI257">
        <v>38216133</v>
      </c>
      <c r="AJ257">
        <v>261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</row>
    <row r="258" spans="1:44" x14ac:dyDescent="0.2">
      <c r="A258">
        <f>ROW(Source!A945)</f>
        <v>945</v>
      </c>
      <c r="B258">
        <v>38216139</v>
      </c>
      <c r="C258">
        <v>38216131</v>
      </c>
      <c r="D258">
        <v>34882640</v>
      </c>
      <c r="E258">
        <v>1</v>
      </c>
      <c r="F258">
        <v>1</v>
      </c>
      <c r="G258">
        <v>25</v>
      </c>
      <c r="H258">
        <v>3</v>
      </c>
      <c r="I258" t="s">
        <v>525</v>
      </c>
      <c r="J258" t="s">
        <v>526</v>
      </c>
      <c r="K258" t="s">
        <v>527</v>
      </c>
      <c r="L258">
        <v>1348</v>
      </c>
      <c r="N258">
        <v>1009</v>
      </c>
      <c r="O258" t="s">
        <v>30</v>
      </c>
      <c r="P258" t="s">
        <v>30</v>
      </c>
      <c r="Q258">
        <v>1000</v>
      </c>
      <c r="X258">
        <v>5.4999999999999997E-3</v>
      </c>
      <c r="Y258">
        <v>25931.93</v>
      </c>
      <c r="Z258">
        <v>0</v>
      </c>
      <c r="AA258">
        <v>0</v>
      </c>
      <c r="AB258">
        <v>0</v>
      </c>
      <c r="AC258">
        <v>0</v>
      </c>
      <c r="AD258">
        <v>1</v>
      </c>
      <c r="AE258">
        <v>0</v>
      </c>
      <c r="AF258" t="s">
        <v>3</v>
      </c>
      <c r="AG258">
        <v>5.4999999999999997E-3</v>
      </c>
      <c r="AH258">
        <v>2</v>
      </c>
      <c r="AI258">
        <v>38216134</v>
      </c>
      <c r="AJ258">
        <v>262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</row>
    <row r="259" spans="1:44" x14ac:dyDescent="0.2">
      <c r="A259">
        <f>ROW(Source!A945)</f>
        <v>945</v>
      </c>
      <c r="B259">
        <v>38216140</v>
      </c>
      <c r="C259">
        <v>38216131</v>
      </c>
      <c r="D259">
        <v>34880728</v>
      </c>
      <c r="E259">
        <v>1</v>
      </c>
      <c r="F259">
        <v>1</v>
      </c>
      <c r="G259">
        <v>25</v>
      </c>
      <c r="H259">
        <v>3</v>
      </c>
      <c r="I259" t="s">
        <v>528</v>
      </c>
      <c r="J259" t="s">
        <v>529</v>
      </c>
      <c r="K259" t="s">
        <v>530</v>
      </c>
      <c r="L259">
        <v>1348</v>
      </c>
      <c r="N259">
        <v>1009</v>
      </c>
      <c r="O259" t="s">
        <v>30</v>
      </c>
      <c r="P259" t="s">
        <v>30</v>
      </c>
      <c r="Q259">
        <v>1000</v>
      </c>
      <c r="X259">
        <v>2.9899999999999999E-2</v>
      </c>
      <c r="Y259">
        <v>70348.09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0</v>
      </c>
      <c r="AF259" t="s">
        <v>3</v>
      </c>
      <c r="AG259">
        <v>2.9899999999999999E-2</v>
      </c>
      <c r="AH259">
        <v>2</v>
      </c>
      <c r="AI259">
        <v>38216135</v>
      </c>
      <c r="AJ259">
        <v>263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</row>
    <row r="260" spans="1:44" x14ac:dyDescent="0.2">
      <c r="A260">
        <f>ROW(Source!A945)</f>
        <v>945</v>
      </c>
      <c r="B260">
        <v>38216141</v>
      </c>
      <c r="C260">
        <v>38216131</v>
      </c>
      <c r="D260">
        <v>34880768</v>
      </c>
      <c r="E260">
        <v>1</v>
      </c>
      <c r="F260">
        <v>1</v>
      </c>
      <c r="G260">
        <v>25</v>
      </c>
      <c r="H260">
        <v>3</v>
      </c>
      <c r="I260" t="s">
        <v>531</v>
      </c>
      <c r="J260" t="s">
        <v>532</v>
      </c>
      <c r="K260" t="s">
        <v>533</v>
      </c>
      <c r="L260">
        <v>1346</v>
      </c>
      <c r="N260">
        <v>1009</v>
      </c>
      <c r="O260" t="s">
        <v>534</v>
      </c>
      <c r="P260" t="s">
        <v>534</v>
      </c>
      <c r="Q260">
        <v>1</v>
      </c>
      <c r="X260">
        <v>9.4600000000000009</v>
      </c>
      <c r="Y260">
        <v>80.150000000000006</v>
      </c>
      <c r="Z260">
        <v>0</v>
      </c>
      <c r="AA260">
        <v>0</v>
      </c>
      <c r="AB260">
        <v>0</v>
      </c>
      <c r="AC260">
        <v>0</v>
      </c>
      <c r="AD260">
        <v>1</v>
      </c>
      <c r="AE260">
        <v>0</v>
      </c>
      <c r="AF260" t="s">
        <v>3</v>
      </c>
      <c r="AG260">
        <v>9.4600000000000009</v>
      </c>
      <c r="AH260">
        <v>2</v>
      </c>
      <c r="AI260">
        <v>38216136</v>
      </c>
      <c r="AJ260">
        <v>264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6</vt:i4>
      </vt:variant>
    </vt:vector>
  </HeadingPairs>
  <TitlesOfParts>
    <vt:vector size="14" baseType="lpstr">
      <vt:lpstr>Смета СН-2012 по гл. 1-5</vt:lpstr>
      <vt:lpstr>Ведомость объемов работ</vt:lpstr>
      <vt:lpstr>RV_DATA</vt:lpstr>
      <vt:lpstr>Расчет стоимости ресурсов</vt:lpstr>
      <vt:lpstr>Source</vt:lpstr>
      <vt:lpstr>SourceObSm</vt:lpstr>
      <vt:lpstr>SmtRes</vt:lpstr>
      <vt:lpstr>EtalonRes</vt:lpstr>
      <vt:lpstr>'Ведомость объемов работ'!Заголовки_для_печати</vt:lpstr>
      <vt:lpstr>'Расчет стоимости ресурсов'!Заголовки_для_печати</vt:lpstr>
      <vt:lpstr>'Смета СН-2012 по гл. 1-5'!Заголовки_для_печати</vt:lpstr>
      <vt:lpstr>'Ведомость объемов работ'!Область_печати</vt:lpstr>
      <vt:lpstr>'Расчет стоимости ресурсов'!Область_печати</vt:lpstr>
      <vt:lpstr>'Смета СН-2012 по гл. 1-5'!Область_печати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USER-81</dc:creator>
  <cp:lastModifiedBy>Микаилова Амина Р.</cp:lastModifiedBy>
  <dcterms:created xsi:type="dcterms:W3CDTF">2020-10-26T13:09:10Z</dcterms:created>
  <dcterms:modified xsi:type="dcterms:W3CDTF">2020-12-21T14:11:17Z</dcterms:modified>
</cp:coreProperties>
</file>