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метчик\2021\Сметы благоустройство ГБОУ 2020\Закупки\Подряд\Лот № 1 Ремонтные работы\Лот № 1 Ремонтные работы (экспертиза)\2021.01.27 Правка 2\"/>
    </mc:Choice>
  </mc:AlternateContent>
  <xr:revisionPtr revIDLastSave="0" documentId="13_ncr:1_{0D36D4A4-16ED-4990-8749-C281919E178B}" xr6:coauthVersionLast="46" xr6:coauthVersionMax="46" xr10:uidLastSave="{00000000-0000-0000-0000-000000000000}"/>
  <bookViews>
    <workbookView xWindow="11190" yWindow="825" windowWidth="17565" windowHeight="14235" xr2:uid="{00000000-000D-0000-FFFF-FFFF00000000}"/>
  </bookViews>
  <sheets>
    <sheet name="Смета СН-2012 по гл. 1-5" sheetId="5" r:id="rId1"/>
    <sheet name="Дефектная ведомость" sheetId="6" r:id="rId2"/>
    <sheet name="RV_DATA" sheetId="8" state="hidden" r:id="rId3"/>
    <sheet name="Расчет стоимости ресурсов" sheetId="7" r:id="rId4"/>
    <sheet name="Локальная ресурсная ведомо" sheetId="9" r:id="rId5"/>
    <sheet name="Source" sheetId="1" r:id="rId6"/>
    <sheet name="SourceObSm" sheetId="2" r:id="rId7"/>
    <sheet name="SmtRes" sheetId="3" r:id="rId8"/>
    <sheet name="EtalonRes" sheetId="4" r:id="rId9"/>
  </sheets>
  <definedNames>
    <definedName name="_xlnm.Print_Titles" localSheetId="1">'Дефектная ведомость'!$18:$18</definedName>
    <definedName name="_xlnm.Print_Titles" localSheetId="4">'Локальная ресурсная ведомо'!$16:$16</definedName>
    <definedName name="_xlnm.Print_Titles" localSheetId="3">'Расчет стоимости ресурсов'!$4:$7</definedName>
    <definedName name="_xlnm.Print_Titles" localSheetId="0">'Смета СН-2012 по гл. 1-5'!$30:$30</definedName>
    <definedName name="_xlnm.Print_Area" localSheetId="1">'Дефектная ведомость'!$A$1:$E$115</definedName>
    <definedName name="_xlnm.Print_Area" localSheetId="4">'Локальная ресурсная ведомо'!$A$1:$G$282</definedName>
    <definedName name="_xlnm.Print_Area" localSheetId="3">'Расчет стоимости ресурсов'!$A$1:$F$79</definedName>
    <definedName name="_xlnm.Print_Area" localSheetId="0">'Смета СН-2012 по гл. 1-5'!$A$1:$K$495</definedName>
  </definedNames>
  <calcPr calcId="191029"/>
</workbook>
</file>

<file path=xl/calcChain.xml><?xml version="1.0" encoding="utf-8"?>
<calcChain xmlns="http://schemas.openxmlformats.org/spreadsheetml/2006/main">
  <c r="D89" i="6" l="1"/>
  <c r="C89" i="6"/>
  <c r="B89" i="6"/>
  <c r="D81" i="6"/>
  <c r="C81" i="6"/>
  <c r="B81" i="6"/>
  <c r="D74" i="6"/>
  <c r="C74" i="6"/>
  <c r="B74" i="6"/>
  <c r="D44" i="6"/>
  <c r="C44" i="6"/>
  <c r="B44" i="6"/>
  <c r="F280" i="9"/>
  <c r="F277" i="9"/>
  <c r="C280" i="9"/>
  <c r="C277" i="9"/>
  <c r="G274" i="9"/>
  <c r="F274" i="9"/>
  <c r="E274" i="9"/>
  <c r="D274" i="9"/>
  <c r="C274" i="9"/>
  <c r="B274" i="9"/>
  <c r="G273" i="9"/>
  <c r="F273" i="9"/>
  <c r="E273" i="9"/>
  <c r="D273" i="9"/>
  <c r="C273" i="9"/>
  <c r="B273" i="9"/>
  <c r="G272" i="9"/>
  <c r="F272" i="9"/>
  <c r="E272" i="9"/>
  <c r="D272" i="9"/>
  <c r="C272" i="9"/>
  <c r="B272" i="9"/>
  <c r="G271" i="9"/>
  <c r="F271" i="9"/>
  <c r="E271" i="9"/>
  <c r="D271" i="9"/>
  <c r="C271" i="9"/>
  <c r="B271" i="9"/>
  <c r="G270" i="9"/>
  <c r="F270" i="9"/>
  <c r="E270" i="9"/>
  <c r="D270" i="9"/>
  <c r="C270" i="9"/>
  <c r="B270" i="9"/>
  <c r="G269" i="9"/>
  <c r="F269" i="9"/>
  <c r="E269" i="9"/>
  <c r="D269" i="9"/>
  <c r="C269" i="9"/>
  <c r="B269" i="9"/>
  <c r="G268" i="9"/>
  <c r="D268" i="9"/>
  <c r="B268" i="9"/>
  <c r="A268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C258" i="9"/>
  <c r="G257" i="9"/>
  <c r="D257" i="9"/>
  <c r="C257" i="9"/>
  <c r="B257" i="9"/>
  <c r="A257" i="9"/>
  <c r="A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C251" i="9"/>
  <c r="G250" i="9"/>
  <c r="D250" i="9"/>
  <c r="C250" i="9"/>
  <c r="B250" i="9"/>
  <c r="A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C240" i="9"/>
  <c r="G239" i="9"/>
  <c r="D239" i="9"/>
  <c r="C239" i="9"/>
  <c r="B239" i="9"/>
  <c r="A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C229" i="9"/>
  <c r="G228" i="9"/>
  <c r="D228" i="9"/>
  <c r="C228" i="9"/>
  <c r="B228" i="9"/>
  <c r="A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C219" i="9"/>
  <c r="G218" i="9"/>
  <c r="D218" i="9"/>
  <c r="C218" i="9"/>
  <c r="B218" i="9"/>
  <c r="A218" i="9"/>
  <c r="A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C213" i="9"/>
  <c r="G212" i="9"/>
  <c r="D212" i="9"/>
  <c r="C212" i="9"/>
  <c r="B212" i="9"/>
  <c r="A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D209" i="9"/>
  <c r="B209" i="9"/>
  <c r="A209" i="9"/>
  <c r="G208" i="9"/>
  <c r="F208" i="9"/>
  <c r="E208" i="9"/>
  <c r="D208" i="9"/>
  <c r="C208" i="9"/>
  <c r="B208" i="9"/>
  <c r="G207" i="9"/>
  <c r="F207" i="9"/>
  <c r="E207" i="9"/>
  <c r="D207" i="9"/>
  <c r="C207" i="9"/>
  <c r="B207" i="9"/>
  <c r="C206" i="9"/>
  <c r="G205" i="9"/>
  <c r="D205" i="9"/>
  <c r="C205" i="9"/>
  <c r="B205" i="9"/>
  <c r="A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C200" i="9"/>
  <c r="G199" i="9"/>
  <c r="D199" i="9"/>
  <c r="C199" i="9"/>
  <c r="B199" i="9"/>
  <c r="A199" i="9"/>
  <c r="C198" i="9"/>
  <c r="G197" i="9"/>
  <c r="D197" i="9"/>
  <c r="C197" i="9"/>
  <c r="B197" i="9"/>
  <c r="A197" i="9"/>
  <c r="G196" i="9"/>
  <c r="F196" i="9"/>
  <c r="E196" i="9"/>
  <c r="D196" i="9"/>
  <c r="C196" i="9"/>
  <c r="B196" i="9"/>
  <c r="G195" i="9"/>
  <c r="D195" i="9"/>
  <c r="B195" i="9"/>
  <c r="A195" i="9"/>
  <c r="G194" i="9"/>
  <c r="F194" i="9"/>
  <c r="E194" i="9"/>
  <c r="D194" i="9"/>
  <c r="C194" i="9"/>
  <c r="B194" i="9"/>
  <c r="C193" i="9"/>
  <c r="G192" i="9"/>
  <c r="D192" i="9"/>
  <c r="C192" i="9"/>
  <c r="B192" i="9"/>
  <c r="A192" i="9"/>
  <c r="G191" i="9"/>
  <c r="F191" i="9"/>
  <c r="E191" i="9"/>
  <c r="D191" i="9"/>
  <c r="C191" i="9"/>
  <c r="B191" i="9"/>
  <c r="C190" i="9"/>
  <c r="G189" i="9"/>
  <c r="D189" i="9"/>
  <c r="C189" i="9"/>
  <c r="B189" i="9"/>
  <c r="A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C185" i="9"/>
  <c r="G184" i="9"/>
  <c r="D184" i="9"/>
  <c r="C184" i="9"/>
  <c r="B184" i="9"/>
  <c r="A184" i="9"/>
  <c r="G183" i="9"/>
  <c r="F183" i="9"/>
  <c r="E183" i="9"/>
  <c r="D183" i="9"/>
  <c r="C183" i="9"/>
  <c r="B183" i="9"/>
  <c r="C182" i="9"/>
  <c r="G181" i="9"/>
  <c r="D181" i="9"/>
  <c r="C181" i="9"/>
  <c r="B181" i="9"/>
  <c r="A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C177" i="9"/>
  <c r="G176" i="9"/>
  <c r="D176" i="9"/>
  <c r="C176" i="9"/>
  <c r="B176" i="9"/>
  <c r="A176" i="9"/>
  <c r="A175" i="9"/>
  <c r="C174" i="9"/>
  <c r="G173" i="9"/>
  <c r="D173" i="9"/>
  <c r="C173" i="9"/>
  <c r="B173" i="9"/>
  <c r="A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D170" i="9"/>
  <c r="B170" i="9"/>
  <c r="A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C167" i="9"/>
  <c r="G166" i="9"/>
  <c r="D166" i="9"/>
  <c r="C166" i="9"/>
  <c r="B166" i="9"/>
  <c r="A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C163" i="9"/>
  <c r="G162" i="9"/>
  <c r="D162" i="9"/>
  <c r="C162" i="9"/>
  <c r="B162" i="9"/>
  <c r="A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D153" i="9"/>
  <c r="C153" i="9"/>
  <c r="B153" i="9"/>
  <c r="A153" i="9"/>
  <c r="A152" i="9"/>
  <c r="G151" i="9"/>
  <c r="D151" i="9"/>
  <c r="C151" i="9"/>
  <c r="B151" i="9"/>
  <c r="A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C148" i="9"/>
  <c r="G147" i="9"/>
  <c r="D147" i="9"/>
  <c r="B147" i="9"/>
  <c r="A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C144" i="9"/>
  <c r="G143" i="9"/>
  <c r="D143" i="9"/>
  <c r="C143" i="9"/>
  <c r="B143" i="9"/>
  <c r="A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C140" i="9"/>
  <c r="G139" i="9"/>
  <c r="D139" i="9"/>
  <c r="C139" i="9"/>
  <c r="B139" i="9"/>
  <c r="A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C133" i="9"/>
  <c r="G132" i="9"/>
  <c r="D132" i="9"/>
  <c r="C132" i="9"/>
  <c r="B132" i="9"/>
  <c r="A132" i="9"/>
  <c r="G131" i="9"/>
  <c r="F131" i="9"/>
  <c r="E131" i="9"/>
  <c r="D131" i="9"/>
  <c r="C131" i="9"/>
  <c r="B131" i="9"/>
  <c r="C130" i="9"/>
  <c r="G129" i="9"/>
  <c r="D129" i="9"/>
  <c r="C129" i="9"/>
  <c r="B129" i="9"/>
  <c r="A129" i="9"/>
  <c r="A128" i="9"/>
  <c r="G127" i="9"/>
  <c r="F127" i="9"/>
  <c r="E127" i="9"/>
  <c r="D127" i="9"/>
  <c r="C127" i="9"/>
  <c r="B127" i="9"/>
  <c r="G126" i="9"/>
  <c r="F126" i="9"/>
  <c r="E126" i="9"/>
  <c r="D126" i="9"/>
  <c r="C126" i="9"/>
  <c r="B126" i="9"/>
  <c r="G125" i="9"/>
  <c r="F125" i="9"/>
  <c r="E125" i="9"/>
  <c r="D125" i="9"/>
  <c r="C125" i="9"/>
  <c r="B125" i="9"/>
  <c r="G124" i="9"/>
  <c r="F124" i="9"/>
  <c r="E124" i="9"/>
  <c r="D124" i="9"/>
  <c r="C124" i="9"/>
  <c r="B124" i="9"/>
  <c r="G123" i="9"/>
  <c r="F123" i="9"/>
  <c r="E123" i="9"/>
  <c r="D123" i="9"/>
  <c r="C123" i="9"/>
  <c r="B123" i="9"/>
  <c r="G122" i="9"/>
  <c r="F122" i="9"/>
  <c r="E122" i="9"/>
  <c r="D122" i="9"/>
  <c r="C122" i="9"/>
  <c r="B122" i="9"/>
  <c r="G121" i="9"/>
  <c r="D121" i="9"/>
  <c r="B121" i="9"/>
  <c r="A121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F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C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C111" i="9"/>
  <c r="G110" i="9"/>
  <c r="D110" i="9"/>
  <c r="C110" i="9"/>
  <c r="B110" i="9"/>
  <c r="A110" i="9"/>
  <c r="A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C101" i="9"/>
  <c r="G100" i="9"/>
  <c r="D100" i="9"/>
  <c r="C100" i="9"/>
  <c r="B100" i="9"/>
  <c r="A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C91" i="9"/>
  <c r="G90" i="9"/>
  <c r="D90" i="9"/>
  <c r="C90" i="9"/>
  <c r="B90" i="9"/>
  <c r="A90" i="9"/>
  <c r="A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C85" i="9"/>
  <c r="G84" i="9"/>
  <c r="D84" i="9"/>
  <c r="C84" i="9"/>
  <c r="B84" i="9"/>
  <c r="A84" i="9"/>
  <c r="G83" i="9"/>
  <c r="F83" i="9"/>
  <c r="E83" i="9"/>
  <c r="D83" i="9"/>
  <c r="C83" i="9"/>
  <c r="B83" i="9"/>
  <c r="G82" i="9"/>
  <c r="D82" i="9"/>
  <c r="C82" i="9"/>
  <c r="B82" i="9"/>
  <c r="A82" i="9"/>
  <c r="A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C75" i="9"/>
  <c r="G74" i="9"/>
  <c r="D74" i="9"/>
  <c r="C74" i="9"/>
  <c r="B74" i="9"/>
  <c r="A74" i="9"/>
  <c r="C73" i="9"/>
  <c r="G72" i="9"/>
  <c r="D72" i="9"/>
  <c r="C72" i="9"/>
  <c r="B72" i="9"/>
  <c r="A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D69" i="9"/>
  <c r="B69" i="9"/>
  <c r="A69" i="9"/>
  <c r="G68" i="9"/>
  <c r="F68" i="9"/>
  <c r="E68" i="9"/>
  <c r="D68" i="9"/>
  <c r="C68" i="9"/>
  <c r="B68" i="9"/>
  <c r="G67" i="9"/>
  <c r="F67" i="9"/>
  <c r="E67" i="9"/>
  <c r="D67" i="9"/>
  <c r="C67" i="9"/>
  <c r="B67" i="9"/>
  <c r="C66" i="9"/>
  <c r="G65" i="9"/>
  <c r="D65" i="9"/>
  <c r="C65" i="9"/>
  <c r="B65" i="9"/>
  <c r="A65" i="9"/>
  <c r="G64" i="9"/>
  <c r="F64" i="9"/>
  <c r="E64" i="9"/>
  <c r="D64" i="9"/>
  <c r="C64" i="9"/>
  <c r="B64" i="9"/>
  <c r="G63" i="9"/>
  <c r="F63" i="9"/>
  <c r="E63" i="9"/>
  <c r="D63" i="9"/>
  <c r="C63" i="9"/>
  <c r="B63" i="9"/>
  <c r="C62" i="9"/>
  <c r="G61" i="9"/>
  <c r="D61" i="9"/>
  <c r="C61" i="9"/>
  <c r="B61" i="9"/>
  <c r="A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D58" i="9"/>
  <c r="C58" i="9"/>
  <c r="B58" i="9"/>
  <c r="A58" i="9"/>
  <c r="G57" i="9"/>
  <c r="F57" i="9"/>
  <c r="E57" i="9"/>
  <c r="D57" i="9"/>
  <c r="C57" i="9"/>
  <c r="B57" i="9"/>
  <c r="G56" i="9"/>
  <c r="D56" i="9"/>
  <c r="C56" i="9"/>
  <c r="B56" i="9"/>
  <c r="A56" i="9"/>
  <c r="G55" i="9"/>
  <c r="F55" i="9"/>
  <c r="E55" i="9"/>
  <c r="D55" i="9"/>
  <c r="C55" i="9"/>
  <c r="B55" i="9"/>
  <c r="C54" i="9"/>
  <c r="G53" i="9"/>
  <c r="D53" i="9"/>
  <c r="C53" i="9"/>
  <c r="B53" i="9"/>
  <c r="A53" i="9"/>
  <c r="A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C47" i="9"/>
  <c r="G46" i="9"/>
  <c r="D46" i="9"/>
  <c r="C46" i="9"/>
  <c r="B46" i="9"/>
  <c r="A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C37" i="9"/>
  <c r="G36" i="9"/>
  <c r="D36" i="9"/>
  <c r="C36" i="9"/>
  <c r="B36" i="9"/>
  <c r="A36" i="9"/>
  <c r="A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C30" i="9"/>
  <c r="G29" i="9"/>
  <c r="D29" i="9"/>
  <c r="C29" i="9"/>
  <c r="B29" i="9"/>
  <c r="A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C20" i="9"/>
  <c r="G19" i="9"/>
  <c r="D19" i="9"/>
  <c r="C19" i="9"/>
  <c r="B19" i="9"/>
  <c r="A19" i="9"/>
  <c r="A18" i="9"/>
  <c r="R17" i="9"/>
  <c r="A17" i="9"/>
  <c r="C11" i="9"/>
  <c r="R8" i="9"/>
  <c r="A8" i="9"/>
  <c r="A6" i="9"/>
  <c r="R3" i="9"/>
  <c r="A3" i="9"/>
  <c r="A1" i="9"/>
  <c r="D48" i="7"/>
  <c r="D14" i="7"/>
  <c r="A3" i="7"/>
  <c r="U229" i="8"/>
  <c r="S229" i="8"/>
  <c r="P229" i="8"/>
  <c r="R229" i="8" s="1"/>
  <c r="N229" i="8"/>
  <c r="K229" i="8"/>
  <c r="M229" i="8" s="1"/>
  <c r="I229" i="8"/>
  <c r="T229" i="8" s="1"/>
  <c r="H229" i="8"/>
  <c r="G229" i="8"/>
  <c r="F229" i="8"/>
  <c r="E229" i="8"/>
  <c r="D229" i="8"/>
  <c r="A229" i="8"/>
  <c r="U228" i="8"/>
  <c r="Q228" i="8"/>
  <c r="T228" i="8" s="1"/>
  <c r="S228" i="8"/>
  <c r="P228" i="8"/>
  <c r="L228" i="8"/>
  <c r="N228" i="8"/>
  <c r="K228" i="8"/>
  <c r="J228" i="8"/>
  <c r="I228" i="8"/>
  <c r="H228" i="8"/>
  <c r="G228" i="8"/>
  <c r="F228" i="8"/>
  <c r="E228" i="8"/>
  <c r="U227" i="8"/>
  <c r="Q227" i="8"/>
  <c r="S227" i="8"/>
  <c r="P227" i="8"/>
  <c r="O227" i="8"/>
  <c r="M227" i="8"/>
  <c r="L227" i="8"/>
  <c r="N227" i="8"/>
  <c r="K227" i="8"/>
  <c r="J227" i="8"/>
  <c r="I227" i="8"/>
  <c r="H227" i="8"/>
  <c r="G227" i="8"/>
  <c r="F227" i="8"/>
  <c r="E227" i="8"/>
  <c r="U226" i="8"/>
  <c r="T226" i="8"/>
  <c r="R226" i="8"/>
  <c r="Q226" i="8"/>
  <c r="S226" i="8"/>
  <c r="P226" i="8"/>
  <c r="O226" i="8"/>
  <c r="M226" i="8"/>
  <c r="L226" i="8"/>
  <c r="N226" i="8"/>
  <c r="K226" i="8"/>
  <c r="J226" i="8"/>
  <c r="I226" i="8"/>
  <c r="H226" i="8"/>
  <c r="G226" i="8"/>
  <c r="F226" i="8"/>
  <c r="E226" i="8"/>
  <c r="U225" i="8"/>
  <c r="T225" i="8"/>
  <c r="R225" i="8"/>
  <c r="Q225" i="8"/>
  <c r="S225" i="8"/>
  <c r="P225" i="8"/>
  <c r="L225" i="8"/>
  <c r="O225" i="8" s="1"/>
  <c r="N225" i="8"/>
  <c r="K225" i="8"/>
  <c r="J225" i="8"/>
  <c r="I225" i="8"/>
  <c r="H225" i="8"/>
  <c r="G225" i="8"/>
  <c r="F225" i="8"/>
  <c r="E225" i="8"/>
  <c r="U224" i="8"/>
  <c r="Q224" i="8"/>
  <c r="T224" i="8" s="1"/>
  <c r="S224" i="8"/>
  <c r="P224" i="8"/>
  <c r="L224" i="8"/>
  <c r="N224" i="8"/>
  <c r="K224" i="8"/>
  <c r="J224" i="8"/>
  <c r="I224" i="8"/>
  <c r="H224" i="8"/>
  <c r="G224" i="8"/>
  <c r="F224" i="8"/>
  <c r="E224" i="8"/>
  <c r="U223" i="8"/>
  <c r="Q223" i="8"/>
  <c r="S223" i="8"/>
  <c r="P223" i="8"/>
  <c r="O223" i="8"/>
  <c r="M223" i="8"/>
  <c r="L223" i="8"/>
  <c r="N223" i="8"/>
  <c r="K223" i="8"/>
  <c r="J223" i="8"/>
  <c r="I223" i="8"/>
  <c r="H223" i="8"/>
  <c r="G223" i="8"/>
  <c r="F223" i="8"/>
  <c r="E223" i="8"/>
  <c r="U222" i="8"/>
  <c r="T222" i="8"/>
  <c r="R222" i="8"/>
  <c r="Q222" i="8"/>
  <c r="S222" i="8"/>
  <c r="P222" i="8"/>
  <c r="O222" i="8"/>
  <c r="M222" i="8"/>
  <c r="L222" i="8"/>
  <c r="N222" i="8"/>
  <c r="K222" i="8"/>
  <c r="J222" i="8"/>
  <c r="I222" i="8"/>
  <c r="H222" i="8"/>
  <c r="G222" i="8"/>
  <c r="F222" i="8"/>
  <c r="E222" i="8"/>
  <c r="U221" i="8"/>
  <c r="T221" i="8"/>
  <c r="R221" i="8"/>
  <c r="Q221" i="8"/>
  <c r="S221" i="8"/>
  <c r="P221" i="8"/>
  <c r="L221" i="8"/>
  <c r="O221" i="8" s="1"/>
  <c r="N221" i="8"/>
  <c r="K221" i="8"/>
  <c r="J221" i="8"/>
  <c r="I221" i="8"/>
  <c r="H221" i="8"/>
  <c r="G221" i="8"/>
  <c r="F221" i="8"/>
  <c r="E221" i="8"/>
  <c r="U220" i="8"/>
  <c r="Q220" i="8"/>
  <c r="T220" i="8" s="1"/>
  <c r="S220" i="8"/>
  <c r="P220" i="8"/>
  <c r="L220" i="8"/>
  <c r="N220" i="8"/>
  <c r="K220" i="8"/>
  <c r="J220" i="8"/>
  <c r="I220" i="8"/>
  <c r="H220" i="8"/>
  <c r="G220" i="8"/>
  <c r="F220" i="8"/>
  <c r="E220" i="8"/>
  <c r="U219" i="8"/>
  <c r="Q219" i="8"/>
  <c r="S219" i="8"/>
  <c r="P219" i="8"/>
  <c r="O219" i="8"/>
  <c r="M219" i="8"/>
  <c r="L219" i="8"/>
  <c r="N219" i="8"/>
  <c r="K219" i="8"/>
  <c r="J219" i="8"/>
  <c r="I219" i="8"/>
  <c r="H219" i="8"/>
  <c r="G219" i="8"/>
  <c r="F219" i="8"/>
  <c r="E219" i="8"/>
  <c r="U218" i="8"/>
  <c r="T218" i="8"/>
  <c r="R218" i="8"/>
  <c r="Q218" i="8"/>
  <c r="S218" i="8"/>
  <c r="P218" i="8"/>
  <c r="O218" i="8"/>
  <c r="M218" i="8"/>
  <c r="L218" i="8"/>
  <c r="N218" i="8"/>
  <c r="K218" i="8"/>
  <c r="J218" i="8"/>
  <c r="I218" i="8"/>
  <c r="H218" i="8"/>
  <c r="G218" i="8"/>
  <c r="F218" i="8"/>
  <c r="E218" i="8"/>
  <c r="U217" i="8"/>
  <c r="T217" i="8"/>
  <c r="R217" i="8"/>
  <c r="Q217" i="8"/>
  <c r="S217" i="8"/>
  <c r="P217" i="8"/>
  <c r="L217" i="8"/>
  <c r="O217" i="8" s="1"/>
  <c r="N217" i="8"/>
  <c r="K217" i="8"/>
  <c r="J217" i="8"/>
  <c r="I217" i="8"/>
  <c r="H217" i="8"/>
  <c r="G217" i="8"/>
  <c r="F217" i="8"/>
  <c r="E217" i="8"/>
  <c r="U216" i="8"/>
  <c r="Q216" i="8"/>
  <c r="T216" i="8" s="1"/>
  <c r="S216" i="8"/>
  <c r="P216" i="8"/>
  <c r="L216" i="8"/>
  <c r="N216" i="8"/>
  <c r="K216" i="8"/>
  <c r="J216" i="8"/>
  <c r="I216" i="8"/>
  <c r="H216" i="8"/>
  <c r="G216" i="8"/>
  <c r="F216" i="8"/>
  <c r="E216" i="8"/>
  <c r="U215" i="8"/>
  <c r="Q215" i="8"/>
  <c r="S215" i="8"/>
  <c r="P215" i="8"/>
  <c r="O215" i="8"/>
  <c r="M215" i="8"/>
  <c r="L215" i="8"/>
  <c r="N215" i="8"/>
  <c r="K215" i="8"/>
  <c r="J215" i="8"/>
  <c r="I215" i="8"/>
  <c r="H215" i="8"/>
  <c r="G215" i="8"/>
  <c r="F215" i="8"/>
  <c r="E215" i="8"/>
  <c r="G214" i="8"/>
  <c r="A214" i="8"/>
  <c r="U213" i="8"/>
  <c r="S213" i="8"/>
  <c r="P213" i="8"/>
  <c r="R213" i="8" s="1"/>
  <c r="N213" i="8"/>
  <c r="K213" i="8"/>
  <c r="M213" i="8" s="1"/>
  <c r="I213" i="8"/>
  <c r="T213" i="8" s="1"/>
  <c r="H213" i="8"/>
  <c r="G213" i="8"/>
  <c r="F213" i="8"/>
  <c r="E213" i="8"/>
  <c r="D213" i="8"/>
  <c r="A213" i="8"/>
  <c r="U212" i="8"/>
  <c r="Q212" i="8"/>
  <c r="T212" i="8" s="1"/>
  <c r="S212" i="8"/>
  <c r="P212" i="8"/>
  <c r="L212" i="8"/>
  <c r="N212" i="8"/>
  <c r="K212" i="8"/>
  <c r="J212" i="8"/>
  <c r="I212" i="8"/>
  <c r="H212" i="8"/>
  <c r="G212" i="8"/>
  <c r="F212" i="8"/>
  <c r="E212" i="8"/>
  <c r="U211" i="8"/>
  <c r="Q211" i="8"/>
  <c r="S211" i="8"/>
  <c r="P211" i="8"/>
  <c r="O211" i="8"/>
  <c r="M211" i="8"/>
  <c r="L211" i="8"/>
  <c r="N211" i="8"/>
  <c r="K211" i="8"/>
  <c r="J211" i="8"/>
  <c r="I211" i="8"/>
  <c r="H211" i="8"/>
  <c r="G211" i="8"/>
  <c r="F211" i="8"/>
  <c r="E211" i="8"/>
  <c r="U210" i="8"/>
  <c r="T210" i="8"/>
  <c r="R210" i="8"/>
  <c r="Q210" i="8"/>
  <c r="S210" i="8"/>
  <c r="P210" i="8"/>
  <c r="O210" i="8"/>
  <c r="M210" i="8"/>
  <c r="L210" i="8"/>
  <c r="N210" i="8"/>
  <c r="K210" i="8"/>
  <c r="J210" i="8"/>
  <c r="I210" i="8"/>
  <c r="H210" i="8"/>
  <c r="G210" i="8"/>
  <c r="F210" i="8"/>
  <c r="E210" i="8"/>
  <c r="U209" i="8"/>
  <c r="S209" i="8"/>
  <c r="P209" i="8"/>
  <c r="N209" i="8"/>
  <c r="K209" i="8"/>
  <c r="M209" i="8" s="1"/>
  <c r="I209" i="8"/>
  <c r="O209" i="8" s="1"/>
  <c r="H209" i="8"/>
  <c r="G209" i="8"/>
  <c r="F209" i="8"/>
  <c r="E209" i="8"/>
  <c r="D209" i="8"/>
  <c r="A209" i="8"/>
  <c r="U208" i="8"/>
  <c r="T208" i="8"/>
  <c r="R208" i="8"/>
  <c r="Q208" i="8"/>
  <c r="S208" i="8"/>
  <c r="P208" i="8"/>
  <c r="L208" i="8"/>
  <c r="O208" i="8" s="1"/>
  <c r="N208" i="8"/>
  <c r="K208" i="8"/>
  <c r="J208" i="8"/>
  <c r="I208" i="8"/>
  <c r="H208" i="8"/>
  <c r="G208" i="8"/>
  <c r="F208" i="8"/>
  <c r="E208" i="8"/>
  <c r="U207" i="8"/>
  <c r="Q207" i="8"/>
  <c r="T207" i="8" s="1"/>
  <c r="S207" i="8"/>
  <c r="P207" i="8"/>
  <c r="L207" i="8"/>
  <c r="N207" i="8"/>
  <c r="K207" i="8"/>
  <c r="J207" i="8"/>
  <c r="I207" i="8"/>
  <c r="H207" i="8"/>
  <c r="G207" i="8"/>
  <c r="F207" i="8"/>
  <c r="E207" i="8"/>
  <c r="U206" i="8"/>
  <c r="Q206" i="8"/>
  <c r="S206" i="8"/>
  <c r="P206" i="8"/>
  <c r="O206" i="8"/>
  <c r="M206" i="8"/>
  <c r="L206" i="8"/>
  <c r="N206" i="8"/>
  <c r="K206" i="8"/>
  <c r="J206" i="8"/>
  <c r="I206" i="8"/>
  <c r="H206" i="8"/>
  <c r="G206" i="8"/>
  <c r="F206" i="8"/>
  <c r="E206" i="8"/>
  <c r="U205" i="8"/>
  <c r="T205" i="8"/>
  <c r="R205" i="8"/>
  <c r="Q205" i="8"/>
  <c r="S205" i="8"/>
  <c r="P205" i="8"/>
  <c r="O205" i="8"/>
  <c r="M205" i="8"/>
  <c r="L205" i="8"/>
  <c r="N205" i="8"/>
  <c r="K205" i="8"/>
  <c r="J205" i="8"/>
  <c r="I205" i="8"/>
  <c r="H205" i="8"/>
  <c r="G205" i="8"/>
  <c r="F205" i="8"/>
  <c r="E205" i="8"/>
  <c r="U204" i="8"/>
  <c r="T204" i="8"/>
  <c r="R204" i="8"/>
  <c r="Q204" i="8"/>
  <c r="S204" i="8"/>
  <c r="P204" i="8"/>
  <c r="L204" i="8"/>
  <c r="N204" i="8"/>
  <c r="K204" i="8"/>
  <c r="J204" i="8"/>
  <c r="I204" i="8"/>
  <c r="H204" i="8"/>
  <c r="G204" i="8"/>
  <c r="F204" i="8"/>
  <c r="E204" i="8"/>
  <c r="U203" i="8"/>
  <c r="T203" i="8"/>
  <c r="Q203" i="8"/>
  <c r="R203" i="8" s="1"/>
  <c r="S203" i="8"/>
  <c r="P203" i="8"/>
  <c r="M203" i="8"/>
  <c r="L203" i="8"/>
  <c r="O203" i="8" s="1"/>
  <c r="N203" i="8"/>
  <c r="K203" i="8"/>
  <c r="J203" i="8"/>
  <c r="I203" i="8"/>
  <c r="H203" i="8"/>
  <c r="G203" i="8"/>
  <c r="F203" i="8"/>
  <c r="E203" i="8"/>
  <c r="U202" i="8"/>
  <c r="Q202" i="8"/>
  <c r="S202" i="8"/>
  <c r="P202" i="8"/>
  <c r="M202" i="8"/>
  <c r="L202" i="8"/>
  <c r="O202" i="8" s="1"/>
  <c r="N202" i="8"/>
  <c r="K202" i="8"/>
  <c r="J202" i="8"/>
  <c r="I202" i="8"/>
  <c r="H202" i="8"/>
  <c r="G202" i="8"/>
  <c r="F202" i="8"/>
  <c r="E202" i="8"/>
  <c r="U201" i="8"/>
  <c r="R201" i="8"/>
  <c r="Q201" i="8"/>
  <c r="T201" i="8" s="1"/>
  <c r="S201" i="8"/>
  <c r="P201" i="8"/>
  <c r="O201" i="8"/>
  <c r="M201" i="8"/>
  <c r="L201" i="8"/>
  <c r="N201" i="8"/>
  <c r="K201" i="8"/>
  <c r="J201" i="8"/>
  <c r="I201" i="8"/>
  <c r="H201" i="8"/>
  <c r="G201" i="8"/>
  <c r="F201" i="8"/>
  <c r="E201" i="8"/>
  <c r="U200" i="8"/>
  <c r="T200" i="8"/>
  <c r="S200" i="8"/>
  <c r="P200" i="8"/>
  <c r="N200" i="8"/>
  <c r="O200" i="8" s="1"/>
  <c r="K200" i="8"/>
  <c r="M200" i="8" s="1"/>
  <c r="I200" i="8"/>
  <c r="H200" i="8"/>
  <c r="G200" i="8"/>
  <c r="F200" i="8"/>
  <c r="E200" i="8"/>
  <c r="D200" i="8"/>
  <c r="A200" i="8"/>
  <c r="U199" i="8"/>
  <c r="T199" i="8"/>
  <c r="R199" i="8"/>
  <c r="Q199" i="8"/>
  <c r="S199" i="8"/>
  <c r="P199" i="8"/>
  <c r="L199" i="8"/>
  <c r="N199" i="8"/>
  <c r="K199" i="8"/>
  <c r="J199" i="8"/>
  <c r="I199" i="8"/>
  <c r="H199" i="8"/>
  <c r="G199" i="8"/>
  <c r="F199" i="8"/>
  <c r="E199" i="8"/>
  <c r="U198" i="8"/>
  <c r="Q198" i="8"/>
  <c r="R198" i="8" s="1"/>
  <c r="S198" i="8"/>
  <c r="P198" i="8"/>
  <c r="L198" i="8"/>
  <c r="O198" i="8" s="1"/>
  <c r="N198" i="8"/>
  <c r="K198" i="8"/>
  <c r="J198" i="8"/>
  <c r="I198" i="8"/>
  <c r="H198" i="8"/>
  <c r="G198" i="8"/>
  <c r="F198" i="8"/>
  <c r="E198" i="8"/>
  <c r="U197" i="8"/>
  <c r="R197" i="8"/>
  <c r="Q197" i="8"/>
  <c r="T197" i="8" s="1"/>
  <c r="S197" i="8"/>
  <c r="P197" i="8"/>
  <c r="O197" i="8"/>
  <c r="L197" i="8"/>
  <c r="M197" i="8" s="1"/>
  <c r="N197" i="8"/>
  <c r="K197" i="8"/>
  <c r="J197" i="8"/>
  <c r="I197" i="8"/>
  <c r="H197" i="8"/>
  <c r="G197" i="8"/>
  <c r="F197" i="8"/>
  <c r="E197" i="8"/>
  <c r="U196" i="8"/>
  <c r="T196" i="8"/>
  <c r="Q196" i="8"/>
  <c r="R196" i="8" s="1"/>
  <c r="S196" i="8"/>
  <c r="P196" i="8"/>
  <c r="O196" i="8"/>
  <c r="M196" i="8"/>
  <c r="L196" i="8"/>
  <c r="N196" i="8"/>
  <c r="K196" i="8"/>
  <c r="J196" i="8"/>
  <c r="I196" i="8"/>
  <c r="H196" i="8"/>
  <c r="G196" i="8"/>
  <c r="F196" i="8"/>
  <c r="E196" i="8"/>
  <c r="U195" i="8"/>
  <c r="T195" i="8"/>
  <c r="R195" i="8"/>
  <c r="Q195" i="8"/>
  <c r="S195" i="8"/>
  <c r="P195" i="8"/>
  <c r="L195" i="8"/>
  <c r="N195" i="8"/>
  <c r="K195" i="8"/>
  <c r="J195" i="8"/>
  <c r="I195" i="8"/>
  <c r="H195" i="8"/>
  <c r="G195" i="8"/>
  <c r="F195" i="8"/>
  <c r="E195" i="8"/>
  <c r="U194" i="8"/>
  <c r="Q194" i="8"/>
  <c r="S194" i="8"/>
  <c r="P194" i="8"/>
  <c r="M194" i="8"/>
  <c r="L194" i="8"/>
  <c r="O194" i="8" s="1"/>
  <c r="N194" i="8"/>
  <c r="K194" i="8"/>
  <c r="J194" i="8"/>
  <c r="I194" i="8"/>
  <c r="H194" i="8"/>
  <c r="G194" i="8"/>
  <c r="F194" i="8"/>
  <c r="E194" i="8"/>
  <c r="U193" i="8"/>
  <c r="R193" i="8"/>
  <c r="Q193" i="8"/>
  <c r="T193" i="8" s="1"/>
  <c r="S193" i="8"/>
  <c r="P193" i="8"/>
  <c r="O193" i="8"/>
  <c r="M193" i="8"/>
  <c r="L193" i="8"/>
  <c r="N193" i="8"/>
  <c r="K193" i="8"/>
  <c r="J193" i="8"/>
  <c r="I193" i="8"/>
  <c r="H193" i="8"/>
  <c r="G193" i="8"/>
  <c r="F193" i="8"/>
  <c r="E193" i="8"/>
  <c r="U192" i="8"/>
  <c r="T192" i="8"/>
  <c r="R192" i="8"/>
  <c r="Q192" i="8"/>
  <c r="S192" i="8"/>
  <c r="P192" i="8"/>
  <c r="O192" i="8"/>
  <c r="L192" i="8"/>
  <c r="M192" i="8" s="1"/>
  <c r="N192" i="8"/>
  <c r="K192" i="8"/>
  <c r="J192" i="8"/>
  <c r="I192" i="8"/>
  <c r="H192" i="8"/>
  <c r="G192" i="8"/>
  <c r="F192" i="8"/>
  <c r="E192" i="8"/>
  <c r="U191" i="8"/>
  <c r="T191" i="8"/>
  <c r="Q191" i="8"/>
  <c r="R191" i="8" s="1"/>
  <c r="S191" i="8"/>
  <c r="P191" i="8"/>
  <c r="L191" i="8"/>
  <c r="N191" i="8"/>
  <c r="K191" i="8"/>
  <c r="J191" i="8"/>
  <c r="I191" i="8"/>
  <c r="H191" i="8"/>
  <c r="G191" i="8"/>
  <c r="F191" i="8"/>
  <c r="E191" i="8"/>
  <c r="U190" i="8"/>
  <c r="Q190" i="8"/>
  <c r="S190" i="8"/>
  <c r="P190" i="8"/>
  <c r="M190" i="8"/>
  <c r="L190" i="8"/>
  <c r="O190" i="8" s="1"/>
  <c r="N190" i="8"/>
  <c r="K190" i="8"/>
  <c r="J190" i="8"/>
  <c r="I190" i="8"/>
  <c r="H190" i="8"/>
  <c r="G190" i="8"/>
  <c r="F190" i="8"/>
  <c r="E190" i="8"/>
  <c r="U189" i="8"/>
  <c r="R189" i="8"/>
  <c r="Q189" i="8"/>
  <c r="T189" i="8" s="1"/>
  <c r="S189" i="8"/>
  <c r="P189" i="8"/>
  <c r="O189" i="8"/>
  <c r="M189" i="8"/>
  <c r="L189" i="8"/>
  <c r="N189" i="8"/>
  <c r="K189" i="8"/>
  <c r="J189" i="8"/>
  <c r="I189" i="8"/>
  <c r="H189" i="8"/>
  <c r="G189" i="8"/>
  <c r="F189" i="8"/>
  <c r="E189" i="8"/>
  <c r="U188" i="8"/>
  <c r="T188" i="8"/>
  <c r="R188" i="8"/>
  <c r="Q188" i="8"/>
  <c r="S188" i="8"/>
  <c r="P188" i="8"/>
  <c r="O188" i="8"/>
  <c r="L188" i="8"/>
  <c r="M188" i="8" s="1"/>
  <c r="N188" i="8"/>
  <c r="K188" i="8"/>
  <c r="J188" i="8"/>
  <c r="I188" i="8"/>
  <c r="H188" i="8"/>
  <c r="G188" i="8"/>
  <c r="F188" i="8"/>
  <c r="E188" i="8"/>
  <c r="U187" i="8"/>
  <c r="T187" i="8"/>
  <c r="Q187" i="8"/>
  <c r="R187" i="8" s="1"/>
  <c r="S187" i="8"/>
  <c r="P187" i="8"/>
  <c r="L187" i="8"/>
  <c r="N187" i="8"/>
  <c r="K187" i="8"/>
  <c r="J187" i="8"/>
  <c r="I187" i="8"/>
  <c r="H187" i="8"/>
  <c r="G187" i="8"/>
  <c r="F187" i="8"/>
  <c r="E187" i="8"/>
  <c r="U186" i="8"/>
  <c r="Q186" i="8"/>
  <c r="S186" i="8"/>
  <c r="P186" i="8"/>
  <c r="M186" i="8"/>
  <c r="L186" i="8"/>
  <c r="O186" i="8" s="1"/>
  <c r="N186" i="8"/>
  <c r="K186" i="8"/>
  <c r="J186" i="8"/>
  <c r="I186" i="8"/>
  <c r="H186" i="8"/>
  <c r="G186" i="8"/>
  <c r="F186" i="8"/>
  <c r="E186" i="8"/>
  <c r="U185" i="8"/>
  <c r="R185" i="8"/>
  <c r="Q185" i="8"/>
  <c r="T185" i="8" s="1"/>
  <c r="S185" i="8"/>
  <c r="P185" i="8"/>
  <c r="O185" i="8"/>
  <c r="M185" i="8"/>
  <c r="L185" i="8"/>
  <c r="N185" i="8"/>
  <c r="K185" i="8"/>
  <c r="J185" i="8"/>
  <c r="I185" i="8"/>
  <c r="H185" i="8"/>
  <c r="G185" i="8"/>
  <c r="F185" i="8"/>
  <c r="E185" i="8"/>
  <c r="U184" i="8"/>
  <c r="T184" i="8"/>
  <c r="R184" i="8"/>
  <c r="Q184" i="8"/>
  <c r="S184" i="8"/>
  <c r="P184" i="8"/>
  <c r="O184" i="8"/>
  <c r="L184" i="8"/>
  <c r="M184" i="8" s="1"/>
  <c r="N184" i="8"/>
  <c r="K184" i="8"/>
  <c r="J184" i="8"/>
  <c r="I184" i="8"/>
  <c r="H184" i="8"/>
  <c r="G184" i="8"/>
  <c r="F184" i="8"/>
  <c r="E184" i="8"/>
  <c r="U183" i="8"/>
  <c r="S183" i="8"/>
  <c r="P183" i="8"/>
  <c r="R183" i="8" s="1"/>
  <c r="N183" i="8"/>
  <c r="E54" i="7" s="1"/>
  <c r="K183" i="8"/>
  <c r="M183" i="8" s="1"/>
  <c r="I183" i="8"/>
  <c r="D54" i="7" s="1"/>
  <c r="H183" i="8"/>
  <c r="G183" i="8"/>
  <c r="F183" i="8"/>
  <c r="E183" i="8"/>
  <c r="D183" i="8"/>
  <c r="A183" i="8"/>
  <c r="U182" i="8"/>
  <c r="T182" i="8"/>
  <c r="Q182" i="8"/>
  <c r="R182" i="8" s="1"/>
  <c r="S182" i="8"/>
  <c r="P182" i="8"/>
  <c r="L182" i="8"/>
  <c r="N182" i="8"/>
  <c r="K182" i="8"/>
  <c r="J182" i="8"/>
  <c r="I182" i="8"/>
  <c r="H182" i="8"/>
  <c r="G182" i="8"/>
  <c r="F182" i="8"/>
  <c r="E182" i="8"/>
  <c r="U181" i="8"/>
  <c r="Q181" i="8"/>
  <c r="S181" i="8"/>
  <c r="P181" i="8"/>
  <c r="M181" i="8"/>
  <c r="L181" i="8"/>
  <c r="O181" i="8" s="1"/>
  <c r="N181" i="8"/>
  <c r="K181" i="8"/>
  <c r="J181" i="8"/>
  <c r="I181" i="8"/>
  <c r="H181" i="8"/>
  <c r="G181" i="8"/>
  <c r="F181" i="8"/>
  <c r="E181" i="8"/>
  <c r="U180" i="8"/>
  <c r="R180" i="8"/>
  <c r="Q180" i="8"/>
  <c r="T180" i="8" s="1"/>
  <c r="S180" i="8"/>
  <c r="P180" i="8"/>
  <c r="O180" i="8"/>
  <c r="M180" i="8"/>
  <c r="L180" i="8"/>
  <c r="N180" i="8"/>
  <c r="K180" i="8"/>
  <c r="J180" i="8"/>
  <c r="I180" i="8"/>
  <c r="H180" i="8"/>
  <c r="G180" i="8"/>
  <c r="F180" i="8"/>
  <c r="E180" i="8"/>
  <c r="U179" i="8"/>
  <c r="T179" i="8"/>
  <c r="R179" i="8"/>
  <c r="Q179" i="8"/>
  <c r="S179" i="8"/>
  <c r="P179" i="8"/>
  <c r="O179" i="8"/>
  <c r="F46" i="7" s="1"/>
  <c r="L179" i="8"/>
  <c r="M179" i="8" s="1"/>
  <c r="N179" i="8"/>
  <c r="E46" i="7" s="1"/>
  <c r="K179" i="8"/>
  <c r="J179" i="8"/>
  <c r="I179" i="8"/>
  <c r="D46" i="7" s="1"/>
  <c r="H179" i="8"/>
  <c r="G179" i="8"/>
  <c r="F179" i="8"/>
  <c r="E179" i="8"/>
  <c r="G178" i="8"/>
  <c r="A178" i="8"/>
  <c r="U177" i="8"/>
  <c r="R177" i="8"/>
  <c r="Q177" i="8"/>
  <c r="T177" i="8" s="1"/>
  <c r="S177" i="8"/>
  <c r="P177" i="8"/>
  <c r="O177" i="8"/>
  <c r="M177" i="8"/>
  <c r="L177" i="8"/>
  <c r="N177" i="8"/>
  <c r="K177" i="8"/>
  <c r="J177" i="8"/>
  <c r="I177" i="8"/>
  <c r="H177" i="8"/>
  <c r="G177" i="8"/>
  <c r="F177" i="8"/>
  <c r="E177" i="8"/>
  <c r="U176" i="8"/>
  <c r="T176" i="8"/>
  <c r="R176" i="8"/>
  <c r="Q176" i="8"/>
  <c r="S176" i="8"/>
  <c r="P176" i="8"/>
  <c r="O176" i="8"/>
  <c r="F60" i="7" s="1"/>
  <c r="L176" i="8"/>
  <c r="M176" i="8" s="1"/>
  <c r="N176" i="8"/>
  <c r="E60" i="7" s="1"/>
  <c r="K176" i="8"/>
  <c r="J176" i="8"/>
  <c r="I176" i="8"/>
  <c r="D60" i="7" s="1"/>
  <c r="H176" i="8"/>
  <c r="G176" i="8"/>
  <c r="F176" i="8"/>
  <c r="E176" i="8"/>
  <c r="U175" i="8"/>
  <c r="T175" i="8"/>
  <c r="Q175" i="8"/>
  <c r="R175" i="8" s="1"/>
  <c r="S175" i="8"/>
  <c r="P175" i="8"/>
  <c r="L175" i="8"/>
  <c r="N175" i="8"/>
  <c r="E69" i="7" s="1"/>
  <c r="K175" i="8"/>
  <c r="J175" i="8"/>
  <c r="I175" i="8"/>
  <c r="D69" i="7" s="1"/>
  <c r="H175" i="8"/>
  <c r="G175" i="8"/>
  <c r="F175" i="8"/>
  <c r="E175" i="8"/>
  <c r="U174" i="8"/>
  <c r="Q174" i="8"/>
  <c r="S174" i="8"/>
  <c r="P174" i="8"/>
  <c r="M174" i="8"/>
  <c r="L174" i="8"/>
  <c r="O174" i="8" s="1"/>
  <c r="N174" i="8"/>
  <c r="K174" i="8"/>
  <c r="J174" i="8"/>
  <c r="I174" i="8"/>
  <c r="H174" i="8"/>
  <c r="G174" i="8"/>
  <c r="F174" i="8"/>
  <c r="E174" i="8"/>
  <c r="U173" i="8"/>
  <c r="R173" i="8"/>
  <c r="Q173" i="8"/>
  <c r="T173" i="8" s="1"/>
  <c r="S173" i="8"/>
  <c r="P173" i="8"/>
  <c r="O173" i="8"/>
  <c r="M173" i="8"/>
  <c r="L173" i="8"/>
  <c r="N173" i="8"/>
  <c r="K173" i="8"/>
  <c r="J173" i="8"/>
  <c r="I173" i="8"/>
  <c r="H173" i="8"/>
  <c r="G173" i="8"/>
  <c r="F173" i="8"/>
  <c r="E173" i="8"/>
  <c r="U172" i="8"/>
  <c r="T172" i="8"/>
  <c r="R172" i="8"/>
  <c r="Q172" i="8"/>
  <c r="S172" i="8"/>
  <c r="P172" i="8"/>
  <c r="O172" i="8"/>
  <c r="L172" i="8"/>
  <c r="M172" i="8" s="1"/>
  <c r="N172" i="8"/>
  <c r="K172" i="8"/>
  <c r="J172" i="8"/>
  <c r="I172" i="8"/>
  <c r="H172" i="8"/>
  <c r="G172" i="8"/>
  <c r="F172" i="8"/>
  <c r="E172" i="8"/>
  <c r="U171" i="8"/>
  <c r="T171" i="8"/>
  <c r="Q171" i="8"/>
  <c r="R171" i="8" s="1"/>
  <c r="S171" i="8"/>
  <c r="P171" i="8"/>
  <c r="L171" i="8"/>
  <c r="N171" i="8"/>
  <c r="K171" i="8"/>
  <c r="J171" i="8"/>
  <c r="I171" i="8"/>
  <c r="H171" i="8"/>
  <c r="G171" i="8"/>
  <c r="F171" i="8"/>
  <c r="E171" i="8"/>
  <c r="U170" i="8"/>
  <c r="Q170" i="8"/>
  <c r="S170" i="8"/>
  <c r="P170" i="8"/>
  <c r="M170" i="8"/>
  <c r="L170" i="8"/>
  <c r="O170" i="8" s="1"/>
  <c r="N170" i="8"/>
  <c r="K170" i="8"/>
  <c r="J170" i="8"/>
  <c r="I170" i="8"/>
  <c r="H170" i="8"/>
  <c r="G170" i="8"/>
  <c r="F170" i="8"/>
  <c r="E170" i="8"/>
  <c r="U169" i="8"/>
  <c r="R169" i="8"/>
  <c r="Q169" i="8"/>
  <c r="T169" i="8" s="1"/>
  <c r="S169" i="8"/>
  <c r="P169" i="8"/>
  <c r="O169" i="8"/>
  <c r="F18" i="7" s="1"/>
  <c r="M169" i="8"/>
  <c r="L169" i="8"/>
  <c r="N169" i="8"/>
  <c r="E18" i="7" s="1"/>
  <c r="K169" i="8"/>
  <c r="J169" i="8"/>
  <c r="I169" i="8"/>
  <c r="D18" i="7" s="1"/>
  <c r="H169" i="8"/>
  <c r="G169" i="8"/>
  <c r="F169" i="8"/>
  <c r="E169" i="8"/>
  <c r="U168" i="8"/>
  <c r="T168" i="8"/>
  <c r="R168" i="8"/>
  <c r="Q168" i="8"/>
  <c r="S168" i="8"/>
  <c r="P168" i="8"/>
  <c r="O168" i="8"/>
  <c r="F25" i="7" s="1"/>
  <c r="L168" i="8"/>
  <c r="M168" i="8" s="1"/>
  <c r="N168" i="8"/>
  <c r="E25" i="7" s="1"/>
  <c r="K168" i="8"/>
  <c r="J168" i="8"/>
  <c r="I168" i="8"/>
  <c r="D25" i="7" s="1"/>
  <c r="H168" i="8"/>
  <c r="G168" i="8"/>
  <c r="F168" i="8"/>
  <c r="E168" i="8"/>
  <c r="U167" i="8"/>
  <c r="T167" i="8"/>
  <c r="Q167" i="8"/>
  <c r="R167" i="8" s="1"/>
  <c r="S167" i="8"/>
  <c r="P167" i="8"/>
  <c r="L167" i="8"/>
  <c r="N167" i="8"/>
  <c r="E70" i="7" s="1"/>
  <c r="K167" i="8"/>
  <c r="J167" i="8"/>
  <c r="I167" i="8"/>
  <c r="D70" i="7" s="1"/>
  <c r="H167" i="8"/>
  <c r="G167" i="8"/>
  <c r="F167" i="8"/>
  <c r="E167" i="8"/>
  <c r="U166" i="8"/>
  <c r="S166" i="8"/>
  <c r="T166" i="8" s="1"/>
  <c r="R166" i="8"/>
  <c r="P166" i="8"/>
  <c r="N166" i="8"/>
  <c r="E62" i="7" s="1"/>
  <c r="M166" i="8"/>
  <c r="K166" i="8"/>
  <c r="I166" i="8"/>
  <c r="D62" i="7" s="1"/>
  <c r="H166" i="8"/>
  <c r="G166" i="8"/>
  <c r="F166" i="8"/>
  <c r="E166" i="8"/>
  <c r="D166" i="8"/>
  <c r="A166" i="8"/>
  <c r="U165" i="8"/>
  <c r="Q165" i="8"/>
  <c r="S165" i="8"/>
  <c r="P165" i="8"/>
  <c r="M165" i="8"/>
  <c r="L165" i="8"/>
  <c r="O165" i="8" s="1"/>
  <c r="N165" i="8"/>
  <c r="K165" i="8"/>
  <c r="J165" i="8"/>
  <c r="I165" i="8"/>
  <c r="H165" i="8"/>
  <c r="G165" i="8"/>
  <c r="F165" i="8"/>
  <c r="E165" i="8"/>
  <c r="U164" i="8"/>
  <c r="R164" i="8"/>
  <c r="Q164" i="8"/>
  <c r="T164" i="8" s="1"/>
  <c r="S164" i="8"/>
  <c r="P164" i="8"/>
  <c r="O164" i="8"/>
  <c r="M164" i="8"/>
  <c r="L164" i="8"/>
  <c r="N164" i="8"/>
  <c r="K164" i="8"/>
  <c r="J164" i="8"/>
  <c r="I164" i="8"/>
  <c r="H164" i="8"/>
  <c r="G164" i="8"/>
  <c r="F164" i="8"/>
  <c r="E164" i="8"/>
  <c r="U163" i="8"/>
  <c r="T163" i="8"/>
  <c r="R163" i="8"/>
  <c r="Q163" i="8"/>
  <c r="S163" i="8"/>
  <c r="P163" i="8"/>
  <c r="O163" i="8"/>
  <c r="M163" i="8"/>
  <c r="L163" i="8"/>
  <c r="N163" i="8"/>
  <c r="K163" i="8"/>
  <c r="J163" i="8"/>
  <c r="I163" i="8"/>
  <c r="H163" i="8"/>
  <c r="G163" i="8"/>
  <c r="F163" i="8"/>
  <c r="E163" i="8"/>
  <c r="U162" i="8"/>
  <c r="T162" i="8"/>
  <c r="R162" i="8"/>
  <c r="Q162" i="8"/>
  <c r="S162" i="8"/>
  <c r="P162" i="8"/>
  <c r="L162" i="8"/>
  <c r="N162" i="8"/>
  <c r="K162" i="8"/>
  <c r="J162" i="8"/>
  <c r="I162" i="8"/>
  <c r="H162" i="8"/>
  <c r="G162" i="8"/>
  <c r="F162" i="8"/>
  <c r="E162" i="8"/>
  <c r="U161" i="8"/>
  <c r="Q161" i="8"/>
  <c r="S161" i="8"/>
  <c r="P161" i="8"/>
  <c r="M161" i="8"/>
  <c r="L161" i="8"/>
  <c r="O161" i="8" s="1"/>
  <c r="N161" i="8"/>
  <c r="K161" i="8"/>
  <c r="J161" i="8"/>
  <c r="I161" i="8"/>
  <c r="H161" i="8"/>
  <c r="G161" i="8"/>
  <c r="F161" i="8"/>
  <c r="E161" i="8"/>
  <c r="U160" i="8"/>
  <c r="R160" i="8"/>
  <c r="Q160" i="8"/>
  <c r="T160" i="8" s="1"/>
  <c r="S160" i="8"/>
  <c r="P160" i="8"/>
  <c r="O160" i="8"/>
  <c r="M160" i="8"/>
  <c r="L160" i="8"/>
  <c r="N160" i="8"/>
  <c r="K160" i="8"/>
  <c r="J160" i="8"/>
  <c r="I160" i="8"/>
  <c r="H160" i="8"/>
  <c r="G160" i="8"/>
  <c r="F160" i="8"/>
  <c r="E160" i="8"/>
  <c r="U159" i="8"/>
  <c r="T159" i="8"/>
  <c r="R159" i="8"/>
  <c r="Q159" i="8"/>
  <c r="S159" i="8"/>
  <c r="P159" i="8"/>
  <c r="O159" i="8"/>
  <c r="M159" i="8"/>
  <c r="L159" i="8"/>
  <c r="N159" i="8"/>
  <c r="K159" i="8"/>
  <c r="J159" i="8"/>
  <c r="I159" i="8"/>
  <c r="H159" i="8"/>
  <c r="G159" i="8"/>
  <c r="F159" i="8"/>
  <c r="E159" i="8"/>
  <c r="U158" i="8"/>
  <c r="T158" i="8"/>
  <c r="R158" i="8"/>
  <c r="Q158" i="8"/>
  <c r="S158" i="8"/>
  <c r="P158" i="8"/>
  <c r="L158" i="8"/>
  <c r="N158" i="8"/>
  <c r="K158" i="8"/>
  <c r="J158" i="8"/>
  <c r="I158" i="8"/>
  <c r="H158" i="8"/>
  <c r="G158" i="8"/>
  <c r="F158" i="8"/>
  <c r="E158" i="8"/>
  <c r="U157" i="8"/>
  <c r="Q157" i="8"/>
  <c r="S157" i="8"/>
  <c r="P157" i="8"/>
  <c r="M157" i="8"/>
  <c r="L157" i="8"/>
  <c r="O157" i="8" s="1"/>
  <c r="F13" i="7" s="1"/>
  <c r="N157" i="8"/>
  <c r="E13" i="7" s="1"/>
  <c r="K157" i="8"/>
  <c r="J157" i="8"/>
  <c r="I157" i="8"/>
  <c r="D13" i="7" s="1"/>
  <c r="H157" i="8"/>
  <c r="G157" i="8"/>
  <c r="F157" i="8"/>
  <c r="E157" i="8"/>
  <c r="U156" i="8"/>
  <c r="R156" i="8"/>
  <c r="Q156" i="8"/>
  <c r="T156" i="8" s="1"/>
  <c r="S156" i="8"/>
  <c r="P156" i="8"/>
  <c r="O156" i="8"/>
  <c r="F15" i="7" s="1"/>
  <c r="M156" i="8"/>
  <c r="L156" i="8"/>
  <c r="N156" i="8"/>
  <c r="E15" i="7" s="1"/>
  <c r="K156" i="8"/>
  <c r="J156" i="8"/>
  <c r="I156" i="8"/>
  <c r="D15" i="7" s="1"/>
  <c r="H156" i="8"/>
  <c r="G156" i="8"/>
  <c r="F156" i="8"/>
  <c r="E156" i="8"/>
  <c r="G155" i="8"/>
  <c r="A155" i="8"/>
  <c r="U154" i="8"/>
  <c r="Q154" i="8"/>
  <c r="S154" i="8"/>
  <c r="P154" i="8"/>
  <c r="M154" i="8"/>
  <c r="L154" i="8"/>
  <c r="O154" i="8" s="1"/>
  <c r="N154" i="8"/>
  <c r="K154" i="8"/>
  <c r="J154" i="8"/>
  <c r="I154" i="8"/>
  <c r="H154" i="8"/>
  <c r="G154" i="8"/>
  <c r="F154" i="8"/>
  <c r="E154" i="8"/>
  <c r="U153" i="8"/>
  <c r="R153" i="8"/>
  <c r="Q153" i="8"/>
  <c r="T153" i="8" s="1"/>
  <c r="S153" i="8"/>
  <c r="P153" i="8"/>
  <c r="O153" i="8"/>
  <c r="M153" i="8"/>
  <c r="L153" i="8"/>
  <c r="N153" i="8"/>
  <c r="K153" i="8"/>
  <c r="J153" i="8"/>
  <c r="I153" i="8"/>
  <c r="H153" i="8"/>
  <c r="G153" i="8"/>
  <c r="F153" i="8"/>
  <c r="E153" i="8"/>
  <c r="U152" i="8"/>
  <c r="T152" i="8"/>
  <c r="R152" i="8"/>
  <c r="Q152" i="8"/>
  <c r="S152" i="8"/>
  <c r="P152" i="8"/>
  <c r="O152" i="8"/>
  <c r="M152" i="8"/>
  <c r="L152" i="8"/>
  <c r="N152" i="8"/>
  <c r="K152" i="8"/>
  <c r="J152" i="8"/>
  <c r="I152" i="8"/>
  <c r="H152" i="8"/>
  <c r="G152" i="8"/>
  <c r="F152" i="8"/>
  <c r="E152" i="8"/>
  <c r="U151" i="8"/>
  <c r="T151" i="8"/>
  <c r="R151" i="8"/>
  <c r="Q151" i="8"/>
  <c r="S151" i="8"/>
  <c r="P151" i="8"/>
  <c r="L151" i="8"/>
  <c r="N151" i="8"/>
  <c r="K151" i="8"/>
  <c r="J151" i="8"/>
  <c r="I151" i="8"/>
  <c r="H151" i="8"/>
  <c r="G151" i="8"/>
  <c r="F151" i="8"/>
  <c r="E151" i="8"/>
  <c r="U150" i="8"/>
  <c r="S150" i="8"/>
  <c r="R150" i="8"/>
  <c r="P150" i="8"/>
  <c r="N150" i="8"/>
  <c r="K150" i="8"/>
  <c r="M150" i="8" s="1"/>
  <c r="I150" i="8"/>
  <c r="T150" i="8" s="1"/>
  <c r="H150" i="8"/>
  <c r="G150" i="8"/>
  <c r="F150" i="8"/>
  <c r="E150" i="8"/>
  <c r="D150" i="8"/>
  <c r="A150" i="8"/>
  <c r="U149" i="8"/>
  <c r="Q149" i="8"/>
  <c r="S149" i="8"/>
  <c r="P149" i="8"/>
  <c r="M149" i="8"/>
  <c r="L149" i="8"/>
  <c r="O149" i="8" s="1"/>
  <c r="N149" i="8"/>
  <c r="K149" i="8"/>
  <c r="J149" i="8"/>
  <c r="I149" i="8"/>
  <c r="H149" i="8"/>
  <c r="G149" i="8"/>
  <c r="F149" i="8"/>
  <c r="E149" i="8"/>
  <c r="U148" i="8"/>
  <c r="Q148" i="8"/>
  <c r="T148" i="8" s="1"/>
  <c r="S148" i="8"/>
  <c r="P148" i="8"/>
  <c r="O148" i="8"/>
  <c r="M148" i="8"/>
  <c r="L148" i="8"/>
  <c r="N148" i="8"/>
  <c r="K148" i="8"/>
  <c r="J148" i="8"/>
  <c r="I148" i="8"/>
  <c r="H148" i="8"/>
  <c r="G148" i="8"/>
  <c r="F148" i="8"/>
  <c r="E148" i="8"/>
  <c r="U147" i="8"/>
  <c r="T147" i="8"/>
  <c r="R147" i="8"/>
  <c r="Q147" i="8"/>
  <c r="S147" i="8"/>
  <c r="P147" i="8"/>
  <c r="O147" i="8"/>
  <c r="M147" i="8"/>
  <c r="L147" i="8"/>
  <c r="N147" i="8"/>
  <c r="K147" i="8"/>
  <c r="J147" i="8"/>
  <c r="I147" i="8"/>
  <c r="H147" i="8"/>
  <c r="G147" i="8"/>
  <c r="F147" i="8"/>
  <c r="E147" i="8"/>
  <c r="U146" i="8"/>
  <c r="T146" i="8"/>
  <c r="R146" i="8"/>
  <c r="Q146" i="8"/>
  <c r="S146" i="8"/>
  <c r="P146" i="8"/>
  <c r="L146" i="8"/>
  <c r="N146" i="8"/>
  <c r="K146" i="8"/>
  <c r="J146" i="8"/>
  <c r="I146" i="8"/>
  <c r="H146" i="8"/>
  <c r="G146" i="8"/>
  <c r="F146" i="8"/>
  <c r="E146" i="8"/>
  <c r="U145" i="8"/>
  <c r="Q145" i="8"/>
  <c r="S145" i="8"/>
  <c r="P145" i="8"/>
  <c r="L145" i="8"/>
  <c r="O145" i="8" s="1"/>
  <c r="N145" i="8"/>
  <c r="K145" i="8"/>
  <c r="J145" i="8"/>
  <c r="I145" i="8"/>
  <c r="H145" i="8"/>
  <c r="G145" i="8"/>
  <c r="F145" i="8"/>
  <c r="E145" i="8"/>
  <c r="U144" i="8"/>
  <c r="R144" i="8"/>
  <c r="Q144" i="8"/>
  <c r="T144" i="8" s="1"/>
  <c r="S144" i="8"/>
  <c r="P144" i="8"/>
  <c r="O144" i="8"/>
  <c r="M144" i="8"/>
  <c r="L144" i="8"/>
  <c r="N144" i="8"/>
  <c r="K144" i="8"/>
  <c r="J144" i="8"/>
  <c r="I144" i="8"/>
  <c r="H144" i="8"/>
  <c r="G144" i="8"/>
  <c r="F144" i="8"/>
  <c r="E144" i="8"/>
  <c r="U143" i="8"/>
  <c r="T143" i="8"/>
  <c r="R143" i="8"/>
  <c r="Q143" i="8"/>
  <c r="S143" i="8"/>
  <c r="P143" i="8"/>
  <c r="O143" i="8"/>
  <c r="M143" i="8"/>
  <c r="L143" i="8"/>
  <c r="N143" i="8"/>
  <c r="K143" i="8"/>
  <c r="J143" i="8"/>
  <c r="I143" i="8"/>
  <c r="H143" i="8"/>
  <c r="G143" i="8"/>
  <c r="F143" i="8"/>
  <c r="E143" i="8"/>
  <c r="U142" i="8"/>
  <c r="T142" i="8"/>
  <c r="R142" i="8"/>
  <c r="Q142" i="8"/>
  <c r="S142" i="8"/>
  <c r="P142" i="8"/>
  <c r="L142" i="8"/>
  <c r="N142" i="8"/>
  <c r="E12" i="7" s="1"/>
  <c r="K142" i="8"/>
  <c r="J142" i="8"/>
  <c r="I142" i="8"/>
  <c r="D12" i="7" s="1"/>
  <c r="H142" i="8"/>
  <c r="G142" i="8"/>
  <c r="F142" i="8"/>
  <c r="E142" i="8"/>
  <c r="U141" i="8"/>
  <c r="Q141" i="8"/>
  <c r="S141" i="8"/>
  <c r="P141" i="8"/>
  <c r="M141" i="8"/>
  <c r="L141" i="8"/>
  <c r="O141" i="8" s="1"/>
  <c r="F23" i="7" s="1"/>
  <c r="N141" i="8"/>
  <c r="E23" i="7" s="1"/>
  <c r="K141" i="8"/>
  <c r="J141" i="8"/>
  <c r="I141" i="8"/>
  <c r="D23" i="7" s="1"/>
  <c r="H141" i="8"/>
  <c r="G141" i="8"/>
  <c r="F141" i="8"/>
  <c r="E141" i="8"/>
  <c r="U140" i="8"/>
  <c r="Q140" i="8"/>
  <c r="T140" i="8" s="1"/>
  <c r="S140" i="8"/>
  <c r="P140" i="8"/>
  <c r="O140" i="8"/>
  <c r="F29" i="7" s="1"/>
  <c r="M140" i="8"/>
  <c r="L140" i="8"/>
  <c r="N140" i="8"/>
  <c r="E29" i="7" s="1"/>
  <c r="K140" i="8"/>
  <c r="J140" i="8"/>
  <c r="I140" i="8"/>
  <c r="D29" i="7" s="1"/>
  <c r="H140" i="8"/>
  <c r="G140" i="8"/>
  <c r="F140" i="8"/>
  <c r="E140" i="8"/>
  <c r="U139" i="8"/>
  <c r="T139" i="8"/>
  <c r="R139" i="8"/>
  <c r="Q139" i="8"/>
  <c r="S139" i="8"/>
  <c r="P139" i="8"/>
  <c r="O139" i="8"/>
  <c r="F30" i="7" s="1"/>
  <c r="M139" i="8"/>
  <c r="L139" i="8"/>
  <c r="N139" i="8"/>
  <c r="E30" i="7" s="1"/>
  <c r="K139" i="8"/>
  <c r="J139" i="8"/>
  <c r="I139" i="8"/>
  <c r="D30" i="7" s="1"/>
  <c r="H139" i="8"/>
  <c r="G139" i="8"/>
  <c r="F139" i="8"/>
  <c r="E139" i="8"/>
  <c r="U138" i="8"/>
  <c r="T138" i="8"/>
  <c r="R138" i="8"/>
  <c r="Q138" i="8"/>
  <c r="S138" i="8"/>
  <c r="P138" i="8"/>
  <c r="O138" i="8"/>
  <c r="F64" i="7" s="1"/>
  <c r="L138" i="8"/>
  <c r="M138" i="8" s="1"/>
  <c r="N138" i="8"/>
  <c r="E64" i="7" s="1"/>
  <c r="K138" i="8"/>
  <c r="J138" i="8"/>
  <c r="I138" i="8"/>
  <c r="D64" i="7" s="1"/>
  <c r="H138" i="8"/>
  <c r="G138" i="8"/>
  <c r="F138" i="8"/>
  <c r="E138" i="8"/>
  <c r="U137" i="8"/>
  <c r="T137" i="8"/>
  <c r="Q137" i="8"/>
  <c r="R137" i="8" s="1"/>
  <c r="S137" i="8"/>
  <c r="P137" i="8"/>
  <c r="M137" i="8"/>
  <c r="L137" i="8"/>
  <c r="O137" i="8" s="1"/>
  <c r="N137" i="8"/>
  <c r="K137" i="8"/>
  <c r="J137" i="8"/>
  <c r="I137" i="8"/>
  <c r="H137" i="8"/>
  <c r="G137" i="8"/>
  <c r="F137" i="8"/>
  <c r="E137" i="8"/>
  <c r="U136" i="8"/>
  <c r="Q136" i="8"/>
  <c r="T136" i="8" s="1"/>
  <c r="S136" i="8"/>
  <c r="P136" i="8"/>
  <c r="M136" i="8"/>
  <c r="L136" i="8"/>
  <c r="O136" i="8" s="1"/>
  <c r="N136" i="8"/>
  <c r="E72" i="7" s="1"/>
  <c r="K136" i="8"/>
  <c r="J136" i="8"/>
  <c r="I136" i="8"/>
  <c r="D72" i="7" s="1"/>
  <c r="H136" i="8"/>
  <c r="G136" i="8"/>
  <c r="F136" i="8"/>
  <c r="E136" i="8"/>
  <c r="U135" i="8"/>
  <c r="S135" i="8"/>
  <c r="T135" i="8" s="1"/>
  <c r="R135" i="8"/>
  <c r="P135" i="8"/>
  <c r="N135" i="8"/>
  <c r="O135" i="8" s="1"/>
  <c r="M135" i="8"/>
  <c r="K135" i="8"/>
  <c r="I135" i="8"/>
  <c r="H135" i="8"/>
  <c r="G135" i="8"/>
  <c r="F135" i="8"/>
  <c r="E135" i="8"/>
  <c r="D135" i="8"/>
  <c r="A135" i="8"/>
  <c r="U134" i="8"/>
  <c r="R134" i="8"/>
  <c r="Q134" i="8"/>
  <c r="T134" i="8" s="1"/>
  <c r="S134" i="8"/>
  <c r="P134" i="8"/>
  <c r="O134" i="8"/>
  <c r="M134" i="8"/>
  <c r="L134" i="8"/>
  <c r="N134" i="8"/>
  <c r="K134" i="8"/>
  <c r="J134" i="8"/>
  <c r="I134" i="8"/>
  <c r="H134" i="8"/>
  <c r="G134" i="8"/>
  <c r="F134" i="8"/>
  <c r="E134" i="8"/>
  <c r="U133" i="8"/>
  <c r="T133" i="8"/>
  <c r="R133" i="8"/>
  <c r="Q133" i="8"/>
  <c r="S133" i="8"/>
  <c r="P133" i="8"/>
  <c r="O133" i="8"/>
  <c r="L133" i="8"/>
  <c r="M133" i="8" s="1"/>
  <c r="N133" i="8"/>
  <c r="K133" i="8"/>
  <c r="J133" i="8"/>
  <c r="I133" i="8"/>
  <c r="H133" i="8"/>
  <c r="G133" i="8"/>
  <c r="F133" i="8"/>
  <c r="E133" i="8"/>
  <c r="U132" i="8"/>
  <c r="T132" i="8"/>
  <c r="Q132" i="8"/>
  <c r="R132" i="8" s="1"/>
  <c r="S132" i="8"/>
  <c r="P132" i="8"/>
  <c r="M132" i="8"/>
  <c r="L132" i="8"/>
  <c r="O132" i="8" s="1"/>
  <c r="N132" i="8"/>
  <c r="K132" i="8"/>
  <c r="J132" i="8"/>
  <c r="I132" i="8"/>
  <c r="H132" i="8"/>
  <c r="G132" i="8"/>
  <c r="F132" i="8"/>
  <c r="E132" i="8"/>
  <c r="U131" i="8"/>
  <c r="Q131" i="8"/>
  <c r="T131" i="8" s="1"/>
  <c r="S131" i="8"/>
  <c r="P131" i="8"/>
  <c r="M131" i="8"/>
  <c r="L131" i="8"/>
  <c r="O131" i="8" s="1"/>
  <c r="N131" i="8"/>
  <c r="K131" i="8"/>
  <c r="J131" i="8"/>
  <c r="I131" i="8"/>
  <c r="H131" i="8"/>
  <c r="G131" i="8"/>
  <c r="F131" i="8"/>
  <c r="E131" i="8"/>
  <c r="U130" i="8"/>
  <c r="R130" i="8"/>
  <c r="Q130" i="8"/>
  <c r="T130" i="8" s="1"/>
  <c r="S130" i="8"/>
  <c r="P130" i="8"/>
  <c r="O130" i="8"/>
  <c r="M130" i="8"/>
  <c r="L130" i="8"/>
  <c r="N130" i="8"/>
  <c r="K130" i="8"/>
  <c r="J130" i="8"/>
  <c r="I130" i="8"/>
  <c r="H130" i="8"/>
  <c r="G130" i="8"/>
  <c r="F130" i="8"/>
  <c r="E130" i="8"/>
  <c r="U129" i="8"/>
  <c r="T129" i="8"/>
  <c r="R129" i="8"/>
  <c r="Q129" i="8"/>
  <c r="S129" i="8"/>
  <c r="P129" i="8"/>
  <c r="O129" i="8"/>
  <c r="L129" i="8"/>
  <c r="M129" i="8" s="1"/>
  <c r="N129" i="8"/>
  <c r="K129" i="8"/>
  <c r="J129" i="8"/>
  <c r="I129" i="8"/>
  <c r="H129" i="8"/>
  <c r="G129" i="8"/>
  <c r="F129" i="8"/>
  <c r="E129" i="8"/>
  <c r="U128" i="8"/>
  <c r="T128" i="8"/>
  <c r="Q128" i="8"/>
  <c r="R128" i="8" s="1"/>
  <c r="S128" i="8"/>
  <c r="P128" i="8"/>
  <c r="M128" i="8"/>
  <c r="L128" i="8"/>
  <c r="O128" i="8" s="1"/>
  <c r="N128" i="8"/>
  <c r="K128" i="8"/>
  <c r="J128" i="8"/>
  <c r="I128" i="8"/>
  <c r="H128" i="8"/>
  <c r="G128" i="8"/>
  <c r="F128" i="8"/>
  <c r="E128" i="8"/>
  <c r="U127" i="8"/>
  <c r="R127" i="8"/>
  <c r="Q127" i="8"/>
  <c r="T127" i="8" s="1"/>
  <c r="S127" i="8"/>
  <c r="P127" i="8"/>
  <c r="O127" i="8"/>
  <c r="M127" i="8"/>
  <c r="L127" i="8"/>
  <c r="N127" i="8"/>
  <c r="K127" i="8"/>
  <c r="J127" i="8"/>
  <c r="I127" i="8"/>
  <c r="H127" i="8"/>
  <c r="G127" i="8"/>
  <c r="F127" i="8"/>
  <c r="E127" i="8"/>
  <c r="U126" i="8"/>
  <c r="T126" i="8"/>
  <c r="R126" i="8"/>
  <c r="Q126" i="8"/>
  <c r="S126" i="8"/>
  <c r="P126" i="8"/>
  <c r="O126" i="8"/>
  <c r="L126" i="8"/>
  <c r="M126" i="8" s="1"/>
  <c r="N126" i="8"/>
  <c r="K126" i="8"/>
  <c r="J126" i="8"/>
  <c r="I126" i="8"/>
  <c r="H126" i="8"/>
  <c r="G126" i="8"/>
  <c r="F126" i="8"/>
  <c r="E126" i="8"/>
  <c r="U125" i="8"/>
  <c r="T125" i="8"/>
  <c r="Q125" i="8"/>
  <c r="R125" i="8" s="1"/>
  <c r="S125" i="8"/>
  <c r="P125" i="8"/>
  <c r="L125" i="8"/>
  <c r="O125" i="8" s="1"/>
  <c r="N125" i="8"/>
  <c r="K125" i="8"/>
  <c r="J125" i="8"/>
  <c r="I125" i="8"/>
  <c r="H125" i="8"/>
  <c r="G125" i="8"/>
  <c r="F125" i="8"/>
  <c r="E125" i="8"/>
  <c r="U124" i="8"/>
  <c r="Q124" i="8"/>
  <c r="T124" i="8" s="1"/>
  <c r="S124" i="8"/>
  <c r="P124" i="8"/>
  <c r="M124" i="8"/>
  <c r="L124" i="8"/>
  <c r="O124" i="8" s="1"/>
  <c r="N124" i="8"/>
  <c r="K124" i="8"/>
  <c r="J124" i="8"/>
  <c r="I124" i="8"/>
  <c r="H124" i="8"/>
  <c r="G124" i="8"/>
  <c r="F124" i="8"/>
  <c r="E124" i="8"/>
  <c r="U123" i="8"/>
  <c r="R123" i="8"/>
  <c r="Q123" i="8"/>
  <c r="T123" i="8" s="1"/>
  <c r="S123" i="8"/>
  <c r="P123" i="8"/>
  <c r="O123" i="8"/>
  <c r="M123" i="8"/>
  <c r="L123" i="8"/>
  <c r="N123" i="8"/>
  <c r="K123" i="8"/>
  <c r="J123" i="8"/>
  <c r="I123" i="8"/>
  <c r="H123" i="8"/>
  <c r="G123" i="8"/>
  <c r="F123" i="8"/>
  <c r="E123" i="8"/>
  <c r="U122" i="8"/>
  <c r="T122" i="8"/>
  <c r="R122" i="8"/>
  <c r="Q122" i="8"/>
  <c r="S122" i="8"/>
  <c r="P122" i="8"/>
  <c r="O122" i="8"/>
  <c r="L122" i="8"/>
  <c r="M122" i="8" s="1"/>
  <c r="N122" i="8"/>
  <c r="K122" i="8"/>
  <c r="J122" i="8"/>
  <c r="I122" i="8"/>
  <c r="H122" i="8"/>
  <c r="G122" i="8"/>
  <c r="F122" i="8"/>
  <c r="E122" i="8"/>
  <c r="U121" i="8"/>
  <c r="T121" i="8"/>
  <c r="Q121" i="8"/>
  <c r="R121" i="8" s="1"/>
  <c r="S121" i="8"/>
  <c r="P121" i="8"/>
  <c r="L121" i="8"/>
  <c r="O121" i="8" s="1"/>
  <c r="N121" i="8"/>
  <c r="K121" i="8"/>
  <c r="J121" i="8"/>
  <c r="I121" i="8"/>
  <c r="H121" i="8"/>
  <c r="G121" i="8"/>
  <c r="F121" i="8"/>
  <c r="E121" i="8"/>
  <c r="U120" i="8"/>
  <c r="Q120" i="8"/>
  <c r="T120" i="8" s="1"/>
  <c r="S120" i="8"/>
  <c r="P120" i="8"/>
  <c r="M120" i="8"/>
  <c r="L120" i="8"/>
  <c r="O120" i="8" s="1"/>
  <c r="N120" i="8"/>
  <c r="K120" i="8"/>
  <c r="J120" i="8"/>
  <c r="I120" i="8"/>
  <c r="H120" i="8"/>
  <c r="G120" i="8"/>
  <c r="F120" i="8"/>
  <c r="E120" i="8"/>
  <c r="U119" i="8"/>
  <c r="R119" i="8"/>
  <c r="Q119" i="8"/>
  <c r="T119" i="8" s="1"/>
  <c r="S119" i="8"/>
  <c r="P119" i="8"/>
  <c r="O119" i="8"/>
  <c r="M119" i="8"/>
  <c r="L119" i="8"/>
  <c r="N119" i="8"/>
  <c r="K119" i="8"/>
  <c r="J119" i="8"/>
  <c r="I119" i="8"/>
  <c r="H119" i="8"/>
  <c r="G119" i="8"/>
  <c r="F119" i="8"/>
  <c r="E119" i="8"/>
  <c r="G118" i="8"/>
  <c r="A118" i="8"/>
  <c r="U117" i="8"/>
  <c r="S117" i="8"/>
  <c r="T117" i="8" s="1"/>
  <c r="R117" i="8"/>
  <c r="P117" i="8"/>
  <c r="N117" i="8"/>
  <c r="E63" i="7" s="1"/>
  <c r="M117" i="8"/>
  <c r="K117" i="8"/>
  <c r="I117" i="8"/>
  <c r="D63" i="7" s="1"/>
  <c r="H117" i="8"/>
  <c r="G117" i="8"/>
  <c r="F117" i="8"/>
  <c r="E117" i="8"/>
  <c r="D117" i="8"/>
  <c r="A117" i="8"/>
  <c r="U116" i="8"/>
  <c r="Q116" i="8"/>
  <c r="T116" i="8" s="1"/>
  <c r="S116" i="8"/>
  <c r="P116" i="8"/>
  <c r="M116" i="8"/>
  <c r="L116" i="8"/>
  <c r="O116" i="8" s="1"/>
  <c r="N116" i="8"/>
  <c r="K116" i="8"/>
  <c r="J116" i="8"/>
  <c r="I116" i="8"/>
  <c r="H116" i="8"/>
  <c r="G116" i="8"/>
  <c r="F116" i="8"/>
  <c r="E116" i="8"/>
  <c r="U115" i="8"/>
  <c r="R115" i="8"/>
  <c r="Q115" i="8"/>
  <c r="T115" i="8" s="1"/>
  <c r="S115" i="8"/>
  <c r="P115" i="8"/>
  <c r="O115" i="8"/>
  <c r="M115" i="8"/>
  <c r="L115" i="8"/>
  <c r="N115" i="8"/>
  <c r="K115" i="8"/>
  <c r="J115" i="8"/>
  <c r="I115" i="8"/>
  <c r="H115" i="8"/>
  <c r="G115" i="8"/>
  <c r="F115" i="8"/>
  <c r="E115" i="8"/>
  <c r="U114" i="8"/>
  <c r="T114" i="8"/>
  <c r="R114" i="8"/>
  <c r="Q114" i="8"/>
  <c r="S114" i="8"/>
  <c r="P114" i="8"/>
  <c r="O114" i="8"/>
  <c r="L114" i="8"/>
  <c r="M114" i="8" s="1"/>
  <c r="N114" i="8"/>
  <c r="K114" i="8"/>
  <c r="J114" i="8"/>
  <c r="I114" i="8"/>
  <c r="H114" i="8"/>
  <c r="G114" i="8"/>
  <c r="F114" i="8"/>
  <c r="E114" i="8"/>
  <c r="U113" i="8"/>
  <c r="T113" i="8"/>
  <c r="Q113" i="8"/>
  <c r="R113" i="8" s="1"/>
  <c r="S113" i="8"/>
  <c r="P113" i="8"/>
  <c r="L113" i="8"/>
  <c r="O113" i="8" s="1"/>
  <c r="N113" i="8"/>
  <c r="K113" i="8"/>
  <c r="J113" i="8"/>
  <c r="I113" i="8"/>
  <c r="H113" i="8"/>
  <c r="G113" i="8"/>
  <c r="F113" i="8"/>
  <c r="E113" i="8"/>
  <c r="U112" i="8"/>
  <c r="Q112" i="8"/>
  <c r="T112" i="8" s="1"/>
  <c r="S112" i="8"/>
  <c r="P112" i="8"/>
  <c r="M112" i="8"/>
  <c r="L112" i="8"/>
  <c r="O112" i="8" s="1"/>
  <c r="N112" i="8"/>
  <c r="K112" i="8"/>
  <c r="J112" i="8"/>
  <c r="I112" i="8"/>
  <c r="H112" i="8"/>
  <c r="G112" i="8"/>
  <c r="F112" i="8"/>
  <c r="E112" i="8"/>
  <c r="U111" i="8"/>
  <c r="R111" i="8"/>
  <c r="Q111" i="8"/>
  <c r="T111" i="8" s="1"/>
  <c r="S111" i="8"/>
  <c r="P111" i="8"/>
  <c r="O111" i="8"/>
  <c r="M111" i="8"/>
  <c r="L111" i="8"/>
  <c r="N111" i="8"/>
  <c r="K111" i="8"/>
  <c r="J111" i="8"/>
  <c r="I111" i="8"/>
  <c r="H111" i="8"/>
  <c r="G111" i="8"/>
  <c r="F111" i="8"/>
  <c r="E111" i="8"/>
  <c r="U110" i="8"/>
  <c r="T110" i="8"/>
  <c r="R110" i="8"/>
  <c r="Q110" i="8"/>
  <c r="S110" i="8"/>
  <c r="P110" i="8"/>
  <c r="O110" i="8"/>
  <c r="L110" i="8"/>
  <c r="M110" i="8" s="1"/>
  <c r="N110" i="8"/>
  <c r="K110" i="8"/>
  <c r="J110" i="8"/>
  <c r="I110" i="8"/>
  <c r="H110" i="8"/>
  <c r="G110" i="8"/>
  <c r="F110" i="8"/>
  <c r="E110" i="8"/>
  <c r="U109" i="8"/>
  <c r="T109" i="8"/>
  <c r="Q109" i="8"/>
  <c r="R109" i="8" s="1"/>
  <c r="S109" i="8"/>
  <c r="P109" i="8"/>
  <c r="L109" i="8"/>
  <c r="O109" i="8" s="1"/>
  <c r="F31" i="7" s="1"/>
  <c r="N109" i="8"/>
  <c r="E31" i="7" s="1"/>
  <c r="K109" i="8"/>
  <c r="J109" i="8"/>
  <c r="I109" i="8"/>
  <c r="D31" i="7" s="1"/>
  <c r="H109" i="8"/>
  <c r="G109" i="8"/>
  <c r="F109" i="8"/>
  <c r="E109" i="8"/>
  <c r="U108" i="8"/>
  <c r="Q108" i="8"/>
  <c r="T108" i="8" s="1"/>
  <c r="S108" i="8"/>
  <c r="P108" i="8"/>
  <c r="M108" i="8"/>
  <c r="L108" i="8"/>
  <c r="O108" i="8" s="1"/>
  <c r="F65" i="7" s="1"/>
  <c r="N108" i="8"/>
  <c r="E65" i="7" s="1"/>
  <c r="K108" i="8"/>
  <c r="J108" i="8"/>
  <c r="I108" i="8"/>
  <c r="D65" i="7" s="1"/>
  <c r="H108" i="8"/>
  <c r="G108" i="8"/>
  <c r="F108" i="8"/>
  <c r="E108" i="8"/>
  <c r="U107" i="8"/>
  <c r="R107" i="8"/>
  <c r="Q107" i="8"/>
  <c r="T107" i="8" s="1"/>
  <c r="S107" i="8"/>
  <c r="P107" i="8"/>
  <c r="O107" i="8"/>
  <c r="F66" i="7" s="1"/>
  <c r="M107" i="8"/>
  <c r="L107" i="8"/>
  <c r="N107" i="8"/>
  <c r="E66" i="7" s="1"/>
  <c r="K107" i="8"/>
  <c r="J107" i="8"/>
  <c r="I107" i="8"/>
  <c r="H107" i="8"/>
  <c r="G107" i="8"/>
  <c r="F107" i="8"/>
  <c r="E107" i="8"/>
  <c r="U106" i="8"/>
  <c r="T106" i="8"/>
  <c r="R106" i="8"/>
  <c r="Q106" i="8"/>
  <c r="S106" i="8"/>
  <c r="P106" i="8"/>
  <c r="O106" i="8"/>
  <c r="F71" i="7" s="1"/>
  <c r="L106" i="8"/>
  <c r="M106" i="8" s="1"/>
  <c r="N106" i="8"/>
  <c r="E71" i="7" s="1"/>
  <c r="K106" i="8"/>
  <c r="J106" i="8"/>
  <c r="I106" i="8"/>
  <c r="D71" i="7" s="1"/>
  <c r="H106" i="8"/>
  <c r="G106" i="8"/>
  <c r="F106" i="8"/>
  <c r="E106" i="8"/>
  <c r="U105" i="8"/>
  <c r="T105" i="8"/>
  <c r="Q105" i="8"/>
  <c r="R105" i="8" s="1"/>
  <c r="S105" i="8"/>
  <c r="P105" i="8"/>
  <c r="L105" i="8"/>
  <c r="O105" i="8" s="1"/>
  <c r="N105" i="8"/>
  <c r="K105" i="8"/>
  <c r="J105" i="8"/>
  <c r="I105" i="8"/>
  <c r="H105" i="8"/>
  <c r="G105" i="8"/>
  <c r="F105" i="8"/>
  <c r="E105" i="8"/>
  <c r="U104" i="8"/>
  <c r="S104" i="8"/>
  <c r="T104" i="8" s="1"/>
  <c r="R104" i="8"/>
  <c r="P104" i="8"/>
  <c r="N104" i="8"/>
  <c r="E50" i="7" s="1"/>
  <c r="M104" i="8"/>
  <c r="K104" i="8"/>
  <c r="I104" i="8"/>
  <c r="H104" i="8"/>
  <c r="G104" i="8"/>
  <c r="F104" i="8"/>
  <c r="E104" i="8"/>
  <c r="D104" i="8"/>
  <c r="A104" i="8"/>
  <c r="U103" i="8"/>
  <c r="Q103" i="8"/>
  <c r="T103" i="8" s="1"/>
  <c r="S103" i="8"/>
  <c r="P103" i="8"/>
  <c r="M103" i="8"/>
  <c r="L103" i="8"/>
  <c r="O103" i="8" s="1"/>
  <c r="N103" i="8"/>
  <c r="K103" i="8"/>
  <c r="J103" i="8"/>
  <c r="I103" i="8"/>
  <c r="H103" i="8"/>
  <c r="G103" i="8"/>
  <c r="F103" i="8"/>
  <c r="E103" i="8"/>
  <c r="U102" i="8"/>
  <c r="R102" i="8"/>
  <c r="Q102" i="8"/>
  <c r="T102" i="8" s="1"/>
  <c r="S102" i="8"/>
  <c r="P102" i="8"/>
  <c r="O102" i="8"/>
  <c r="M102" i="8"/>
  <c r="L102" i="8"/>
  <c r="N102" i="8"/>
  <c r="E14" i="7" s="1"/>
  <c r="K102" i="8"/>
  <c r="J102" i="8"/>
  <c r="I102" i="8"/>
  <c r="H102" i="8"/>
  <c r="G102" i="8"/>
  <c r="F102" i="8"/>
  <c r="E102" i="8"/>
  <c r="U101" i="8"/>
  <c r="T101" i="8"/>
  <c r="R101" i="8"/>
  <c r="Q101" i="8"/>
  <c r="S101" i="8"/>
  <c r="P101" i="8"/>
  <c r="O101" i="8"/>
  <c r="L101" i="8"/>
  <c r="M101" i="8" s="1"/>
  <c r="N101" i="8"/>
  <c r="K101" i="8"/>
  <c r="J101" i="8"/>
  <c r="I101" i="8"/>
  <c r="H101" i="8"/>
  <c r="G101" i="8"/>
  <c r="F101" i="8"/>
  <c r="E101" i="8"/>
  <c r="U100" i="8"/>
  <c r="T100" i="8"/>
  <c r="Q100" i="8"/>
  <c r="R100" i="8" s="1"/>
  <c r="S100" i="8"/>
  <c r="P100" i="8"/>
  <c r="L100" i="8"/>
  <c r="O100" i="8" s="1"/>
  <c r="N100" i="8"/>
  <c r="K100" i="8"/>
  <c r="J100" i="8"/>
  <c r="I100" i="8"/>
  <c r="H100" i="8"/>
  <c r="G100" i="8"/>
  <c r="F100" i="8"/>
  <c r="E100" i="8"/>
  <c r="U99" i="8"/>
  <c r="Q99" i="8"/>
  <c r="T99" i="8" s="1"/>
  <c r="S99" i="8"/>
  <c r="P99" i="8"/>
  <c r="M99" i="8"/>
  <c r="L99" i="8"/>
  <c r="O99" i="8" s="1"/>
  <c r="N99" i="8"/>
  <c r="K99" i="8"/>
  <c r="J99" i="8"/>
  <c r="I99" i="8"/>
  <c r="H99" i="8"/>
  <c r="G99" i="8"/>
  <c r="F99" i="8"/>
  <c r="E99" i="8"/>
  <c r="U98" i="8"/>
  <c r="R98" i="8"/>
  <c r="Q98" i="8"/>
  <c r="T98" i="8" s="1"/>
  <c r="S98" i="8"/>
  <c r="P98" i="8"/>
  <c r="O98" i="8"/>
  <c r="M98" i="8"/>
  <c r="L98" i="8"/>
  <c r="N98" i="8"/>
  <c r="K98" i="8"/>
  <c r="J98" i="8"/>
  <c r="I98" i="8"/>
  <c r="H98" i="8"/>
  <c r="G98" i="8"/>
  <c r="F98" i="8"/>
  <c r="E98" i="8"/>
  <c r="U97" i="8"/>
  <c r="T97" i="8"/>
  <c r="R97" i="8"/>
  <c r="Q97" i="8"/>
  <c r="S97" i="8"/>
  <c r="P97" i="8"/>
  <c r="O97" i="8"/>
  <c r="L97" i="8"/>
  <c r="M97" i="8" s="1"/>
  <c r="N97" i="8"/>
  <c r="K97" i="8"/>
  <c r="J97" i="8"/>
  <c r="I97" i="8"/>
  <c r="H97" i="8"/>
  <c r="G97" i="8"/>
  <c r="F97" i="8"/>
  <c r="E97" i="8"/>
  <c r="U96" i="8"/>
  <c r="T96" i="8"/>
  <c r="Q96" i="8"/>
  <c r="R96" i="8" s="1"/>
  <c r="S96" i="8"/>
  <c r="P96" i="8"/>
  <c r="L96" i="8"/>
  <c r="O96" i="8" s="1"/>
  <c r="N96" i="8"/>
  <c r="K96" i="8"/>
  <c r="J96" i="8"/>
  <c r="I96" i="8"/>
  <c r="H96" i="8"/>
  <c r="G96" i="8"/>
  <c r="F96" i="8"/>
  <c r="E96" i="8"/>
  <c r="U95" i="8"/>
  <c r="Q95" i="8"/>
  <c r="T95" i="8" s="1"/>
  <c r="S95" i="8"/>
  <c r="P95" i="8"/>
  <c r="M95" i="8"/>
  <c r="L95" i="8"/>
  <c r="O95" i="8" s="1"/>
  <c r="N95" i="8"/>
  <c r="K95" i="8"/>
  <c r="J95" i="8"/>
  <c r="I95" i="8"/>
  <c r="H95" i="8"/>
  <c r="G95" i="8"/>
  <c r="F95" i="8"/>
  <c r="E95" i="8"/>
  <c r="U94" i="8"/>
  <c r="R94" i="8"/>
  <c r="Q94" i="8"/>
  <c r="T94" i="8" s="1"/>
  <c r="S94" i="8"/>
  <c r="P94" i="8"/>
  <c r="O94" i="8"/>
  <c r="M94" i="8"/>
  <c r="L94" i="8"/>
  <c r="N94" i="8"/>
  <c r="K94" i="8"/>
  <c r="J94" i="8"/>
  <c r="I94" i="8"/>
  <c r="H94" i="8"/>
  <c r="G94" i="8"/>
  <c r="F94" i="8"/>
  <c r="E94" i="8"/>
  <c r="U93" i="8"/>
  <c r="T93" i="8"/>
  <c r="R93" i="8"/>
  <c r="Q93" i="8"/>
  <c r="S93" i="8"/>
  <c r="P93" i="8"/>
  <c r="O93" i="8"/>
  <c r="L93" i="8"/>
  <c r="M93" i="8" s="1"/>
  <c r="N93" i="8"/>
  <c r="E33" i="7" s="1"/>
  <c r="K93" i="8"/>
  <c r="J93" i="8"/>
  <c r="I93" i="8"/>
  <c r="D33" i="7" s="1"/>
  <c r="H93" i="8"/>
  <c r="G93" i="8"/>
  <c r="F93" i="8"/>
  <c r="E93" i="8"/>
  <c r="U92" i="8"/>
  <c r="T92" i="8"/>
  <c r="Q92" i="8"/>
  <c r="R92" i="8" s="1"/>
  <c r="S92" i="8"/>
  <c r="P92" i="8"/>
  <c r="L92" i="8"/>
  <c r="O92" i="8" s="1"/>
  <c r="F35" i="7" s="1"/>
  <c r="N92" i="8"/>
  <c r="E35" i="7" s="1"/>
  <c r="K92" i="8"/>
  <c r="J92" i="8"/>
  <c r="I92" i="8"/>
  <c r="D35" i="7" s="1"/>
  <c r="H92" i="8"/>
  <c r="G92" i="8"/>
  <c r="F92" i="8"/>
  <c r="E92" i="8"/>
  <c r="U91" i="8"/>
  <c r="Q91" i="8"/>
  <c r="T91" i="8" s="1"/>
  <c r="S91" i="8"/>
  <c r="P91" i="8"/>
  <c r="M91" i="8"/>
  <c r="L91" i="8"/>
  <c r="O91" i="8" s="1"/>
  <c r="N91" i="8"/>
  <c r="E40" i="7" s="1"/>
  <c r="K91" i="8"/>
  <c r="J91" i="8"/>
  <c r="I91" i="8"/>
  <c r="D40" i="7" s="1"/>
  <c r="H91" i="8"/>
  <c r="G91" i="8"/>
  <c r="F91" i="8"/>
  <c r="E91" i="8"/>
  <c r="U90" i="8"/>
  <c r="R90" i="8"/>
  <c r="Q90" i="8"/>
  <c r="T90" i="8" s="1"/>
  <c r="S90" i="8"/>
  <c r="P90" i="8"/>
  <c r="O90" i="8"/>
  <c r="M90" i="8"/>
  <c r="L90" i="8"/>
  <c r="N90" i="8"/>
  <c r="E42" i="7" s="1"/>
  <c r="K90" i="8"/>
  <c r="J90" i="8"/>
  <c r="I90" i="8"/>
  <c r="H90" i="8"/>
  <c r="G90" i="8"/>
  <c r="F90" i="8"/>
  <c r="E90" i="8"/>
  <c r="U89" i="8"/>
  <c r="T89" i="8"/>
  <c r="R89" i="8"/>
  <c r="Q89" i="8"/>
  <c r="S89" i="8"/>
  <c r="P89" i="8"/>
  <c r="O89" i="8"/>
  <c r="L89" i="8"/>
  <c r="M89" i="8" s="1"/>
  <c r="N89" i="8"/>
  <c r="E47" i="7" s="1"/>
  <c r="K89" i="8"/>
  <c r="J89" i="8"/>
  <c r="I89" i="8"/>
  <c r="D47" i="7" s="1"/>
  <c r="H89" i="8"/>
  <c r="G89" i="8"/>
  <c r="F89" i="8"/>
  <c r="E89" i="8"/>
  <c r="U88" i="8"/>
  <c r="T88" i="8"/>
  <c r="Q88" i="8"/>
  <c r="R88" i="8" s="1"/>
  <c r="S88" i="8"/>
  <c r="P88" i="8"/>
  <c r="L88" i="8"/>
  <c r="O88" i="8" s="1"/>
  <c r="N88" i="8"/>
  <c r="K88" i="8"/>
  <c r="J88" i="8"/>
  <c r="I88" i="8"/>
  <c r="H88" i="8"/>
  <c r="G88" i="8"/>
  <c r="F88" i="8"/>
  <c r="E88" i="8"/>
  <c r="G87" i="8"/>
  <c r="A87" i="8"/>
  <c r="U86" i="8"/>
  <c r="S86" i="8"/>
  <c r="P86" i="8"/>
  <c r="R86" i="8" s="1"/>
  <c r="N86" i="8"/>
  <c r="E57" i="7" s="1"/>
  <c r="K86" i="8"/>
  <c r="M86" i="8" s="1"/>
  <c r="I86" i="8"/>
  <c r="D57" i="7" s="1"/>
  <c r="H86" i="8"/>
  <c r="G86" i="8"/>
  <c r="F86" i="8"/>
  <c r="E86" i="8"/>
  <c r="D86" i="8"/>
  <c r="A86" i="8"/>
  <c r="U85" i="8"/>
  <c r="T85" i="8"/>
  <c r="R85" i="8"/>
  <c r="Q85" i="8"/>
  <c r="S85" i="8"/>
  <c r="P85" i="8"/>
  <c r="O85" i="8"/>
  <c r="L85" i="8"/>
  <c r="M85" i="8" s="1"/>
  <c r="N85" i="8"/>
  <c r="K85" i="8"/>
  <c r="J85" i="8"/>
  <c r="I85" i="8"/>
  <c r="H85" i="8"/>
  <c r="G85" i="8"/>
  <c r="F85" i="8"/>
  <c r="E85" i="8"/>
  <c r="U84" i="8"/>
  <c r="T84" i="8"/>
  <c r="Q84" i="8"/>
  <c r="R84" i="8" s="1"/>
  <c r="S84" i="8"/>
  <c r="P84" i="8"/>
  <c r="L84" i="8"/>
  <c r="O84" i="8" s="1"/>
  <c r="N84" i="8"/>
  <c r="K84" i="8"/>
  <c r="J84" i="8"/>
  <c r="I84" i="8"/>
  <c r="H84" i="8"/>
  <c r="G84" i="8"/>
  <c r="F84" i="8"/>
  <c r="E84" i="8"/>
  <c r="U83" i="8"/>
  <c r="Q83" i="8"/>
  <c r="T83" i="8" s="1"/>
  <c r="S83" i="8"/>
  <c r="P83" i="8"/>
  <c r="M83" i="8"/>
  <c r="L83" i="8"/>
  <c r="O83" i="8" s="1"/>
  <c r="N83" i="8"/>
  <c r="K83" i="8"/>
  <c r="J83" i="8"/>
  <c r="I83" i="8"/>
  <c r="H83" i="8"/>
  <c r="G83" i="8"/>
  <c r="F83" i="8"/>
  <c r="E83" i="8"/>
  <c r="U82" i="8"/>
  <c r="R82" i="8"/>
  <c r="Q82" i="8"/>
  <c r="T82" i="8" s="1"/>
  <c r="S82" i="8"/>
  <c r="P82" i="8"/>
  <c r="O82" i="8"/>
  <c r="M82" i="8"/>
  <c r="L82" i="8"/>
  <c r="N82" i="8"/>
  <c r="K82" i="8"/>
  <c r="J82" i="8"/>
  <c r="I82" i="8"/>
  <c r="H82" i="8"/>
  <c r="G82" i="8"/>
  <c r="F82" i="8"/>
  <c r="E82" i="8"/>
  <c r="U81" i="8"/>
  <c r="T81" i="8"/>
  <c r="R81" i="8"/>
  <c r="Q81" i="8"/>
  <c r="S81" i="8"/>
  <c r="P81" i="8"/>
  <c r="O81" i="8"/>
  <c r="L81" i="8"/>
  <c r="M81" i="8" s="1"/>
  <c r="N81" i="8"/>
  <c r="K81" i="8"/>
  <c r="J81" i="8"/>
  <c r="I81" i="8"/>
  <c r="H81" i="8"/>
  <c r="G81" i="8"/>
  <c r="F81" i="8"/>
  <c r="E81" i="8"/>
  <c r="U80" i="8"/>
  <c r="T80" i="8"/>
  <c r="Q80" i="8"/>
  <c r="R80" i="8" s="1"/>
  <c r="S80" i="8"/>
  <c r="P80" i="8"/>
  <c r="L80" i="8"/>
  <c r="O80" i="8" s="1"/>
  <c r="N80" i="8"/>
  <c r="K80" i="8"/>
  <c r="J80" i="8"/>
  <c r="I80" i="8"/>
  <c r="H80" i="8"/>
  <c r="G80" i="8"/>
  <c r="F80" i="8"/>
  <c r="E80" i="8"/>
  <c r="U79" i="8"/>
  <c r="Q79" i="8"/>
  <c r="T79" i="8" s="1"/>
  <c r="S79" i="8"/>
  <c r="P79" i="8"/>
  <c r="M79" i="8"/>
  <c r="L79" i="8"/>
  <c r="O79" i="8" s="1"/>
  <c r="F17" i="7" s="1"/>
  <c r="N79" i="8"/>
  <c r="E17" i="7" s="1"/>
  <c r="K79" i="8"/>
  <c r="J79" i="8"/>
  <c r="I79" i="8"/>
  <c r="H79" i="8"/>
  <c r="G79" i="8"/>
  <c r="F79" i="8"/>
  <c r="E79" i="8"/>
  <c r="U78" i="8"/>
  <c r="R78" i="8"/>
  <c r="Q78" i="8"/>
  <c r="T78" i="8" s="1"/>
  <c r="S78" i="8"/>
  <c r="P78" i="8"/>
  <c r="O78" i="8"/>
  <c r="F26" i="7" s="1"/>
  <c r="M78" i="8"/>
  <c r="L78" i="8"/>
  <c r="N78" i="8"/>
  <c r="E26" i="7" s="1"/>
  <c r="K78" i="8"/>
  <c r="J78" i="8"/>
  <c r="I78" i="8"/>
  <c r="D26" i="7" s="1"/>
  <c r="H78" i="8"/>
  <c r="G78" i="8"/>
  <c r="F78" i="8"/>
  <c r="E78" i="8"/>
  <c r="U77" i="8"/>
  <c r="T77" i="8"/>
  <c r="R77" i="8"/>
  <c r="Q77" i="8"/>
  <c r="S77" i="8"/>
  <c r="P77" i="8"/>
  <c r="O77" i="8"/>
  <c r="L77" i="8"/>
  <c r="M77" i="8" s="1"/>
  <c r="N77" i="8"/>
  <c r="E32" i="7" s="1"/>
  <c r="K77" i="8"/>
  <c r="J77" i="8"/>
  <c r="I77" i="8"/>
  <c r="D32" i="7" s="1"/>
  <c r="H77" i="8"/>
  <c r="G77" i="8"/>
  <c r="F77" i="8"/>
  <c r="E77" i="8"/>
  <c r="U76" i="8"/>
  <c r="T76" i="8"/>
  <c r="Q76" i="8"/>
  <c r="R76" i="8" s="1"/>
  <c r="S76" i="8"/>
  <c r="P76" i="8"/>
  <c r="L76" i="8"/>
  <c r="O76" i="8" s="1"/>
  <c r="N76" i="8"/>
  <c r="E43" i="7" s="1"/>
  <c r="K76" i="8"/>
  <c r="J76" i="8"/>
  <c r="I76" i="8"/>
  <c r="D43" i="7" s="1"/>
  <c r="H76" i="8"/>
  <c r="G76" i="8"/>
  <c r="F76" i="8"/>
  <c r="E76" i="8"/>
  <c r="U75" i="8"/>
  <c r="Q75" i="8"/>
  <c r="T75" i="8" s="1"/>
  <c r="S75" i="8"/>
  <c r="P75" i="8"/>
  <c r="M75" i="8"/>
  <c r="L75" i="8"/>
  <c r="O75" i="8" s="1"/>
  <c r="F52" i="7" s="1"/>
  <c r="N75" i="8"/>
  <c r="E52" i="7" s="1"/>
  <c r="K75" i="8"/>
  <c r="J75" i="8"/>
  <c r="I75" i="8"/>
  <c r="D52" i="7" s="1"/>
  <c r="H75" i="8"/>
  <c r="G75" i="8"/>
  <c r="F75" i="8"/>
  <c r="E75" i="8"/>
  <c r="U74" i="8"/>
  <c r="R74" i="8"/>
  <c r="Q74" i="8"/>
  <c r="T74" i="8" s="1"/>
  <c r="S74" i="8"/>
  <c r="P74" i="8"/>
  <c r="O74" i="8"/>
  <c r="F53" i="7" s="1"/>
  <c r="M74" i="8"/>
  <c r="L74" i="8"/>
  <c r="N74" i="8"/>
  <c r="E53" i="7" s="1"/>
  <c r="K74" i="8"/>
  <c r="J74" i="8"/>
  <c r="I74" i="8"/>
  <c r="D53" i="7" s="1"/>
  <c r="H74" i="8"/>
  <c r="G74" i="8"/>
  <c r="F74" i="8"/>
  <c r="E74" i="8"/>
  <c r="U73" i="8"/>
  <c r="T73" i="8"/>
  <c r="R73" i="8"/>
  <c r="Q73" i="8"/>
  <c r="S73" i="8"/>
  <c r="P73" i="8"/>
  <c r="O73" i="8"/>
  <c r="L73" i="8"/>
  <c r="M73" i="8" s="1"/>
  <c r="N73" i="8"/>
  <c r="E55" i="7" s="1"/>
  <c r="K73" i="8"/>
  <c r="J73" i="8"/>
  <c r="I73" i="8"/>
  <c r="D55" i="7" s="1"/>
  <c r="H73" i="8"/>
  <c r="G73" i="8"/>
  <c r="F73" i="8"/>
  <c r="E73" i="8"/>
  <c r="U72" i="8"/>
  <c r="T72" i="8"/>
  <c r="Q72" i="8"/>
  <c r="R72" i="8" s="1"/>
  <c r="S72" i="8"/>
  <c r="P72" i="8"/>
  <c r="L72" i="8"/>
  <c r="O72" i="8" s="1"/>
  <c r="N72" i="8"/>
  <c r="E56" i="7" s="1"/>
  <c r="K72" i="8"/>
  <c r="J72" i="8"/>
  <c r="I72" i="8"/>
  <c r="D56" i="7" s="1"/>
  <c r="H72" i="8"/>
  <c r="G72" i="8"/>
  <c r="F72" i="8"/>
  <c r="E72" i="8"/>
  <c r="G71" i="8"/>
  <c r="A71" i="8"/>
  <c r="U70" i="8"/>
  <c r="S70" i="8"/>
  <c r="P70" i="8"/>
  <c r="R70" i="8" s="1"/>
  <c r="N70" i="8"/>
  <c r="E73" i="7" s="1"/>
  <c r="K70" i="8"/>
  <c r="M70" i="8" s="1"/>
  <c r="I70" i="8"/>
  <c r="D73" i="7" s="1"/>
  <c r="H70" i="8"/>
  <c r="G70" i="8"/>
  <c r="F70" i="8"/>
  <c r="E70" i="8"/>
  <c r="D70" i="8"/>
  <c r="A70" i="8"/>
  <c r="U69" i="8"/>
  <c r="T69" i="8"/>
  <c r="R69" i="8"/>
  <c r="Q69" i="8"/>
  <c r="S69" i="8"/>
  <c r="P69" i="8"/>
  <c r="O69" i="8"/>
  <c r="L69" i="8"/>
  <c r="M69" i="8" s="1"/>
  <c r="N69" i="8"/>
  <c r="K69" i="8"/>
  <c r="J69" i="8"/>
  <c r="I69" i="8"/>
  <c r="H69" i="8"/>
  <c r="G69" i="8"/>
  <c r="F69" i="8"/>
  <c r="E69" i="8"/>
  <c r="U68" i="8"/>
  <c r="T68" i="8"/>
  <c r="Q68" i="8"/>
  <c r="R68" i="8" s="1"/>
  <c r="S68" i="8"/>
  <c r="P68" i="8"/>
  <c r="L68" i="8"/>
  <c r="O68" i="8" s="1"/>
  <c r="F20" i="7" s="1"/>
  <c r="N68" i="8"/>
  <c r="E20" i="7" s="1"/>
  <c r="K68" i="8"/>
  <c r="J68" i="8"/>
  <c r="I68" i="8"/>
  <c r="D20" i="7" s="1"/>
  <c r="H68" i="8"/>
  <c r="G68" i="8"/>
  <c r="F68" i="8"/>
  <c r="E68" i="8"/>
  <c r="U67" i="8"/>
  <c r="Q67" i="8"/>
  <c r="T67" i="8" s="1"/>
  <c r="S67" i="8"/>
  <c r="P67" i="8"/>
  <c r="M67" i="8"/>
  <c r="L67" i="8"/>
  <c r="O67" i="8" s="1"/>
  <c r="F27" i="7" s="1"/>
  <c r="N67" i="8"/>
  <c r="E27" i="7" s="1"/>
  <c r="K67" i="8"/>
  <c r="J67" i="8"/>
  <c r="I67" i="8"/>
  <c r="D27" i="7" s="1"/>
  <c r="H67" i="8"/>
  <c r="G67" i="8"/>
  <c r="F67" i="8"/>
  <c r="E67" i="8"/>
  <c r="U66" i="8"/>
  <c r="R66" i="8"/>
  <c r="Q66" i="8"/>
  <c r="T66" i="8" s="1"/>
  <c r="S66" i="8"/>
  <c r="P66" i="8"/>
  <c r="O66" i="8"/>
  <c r="F48" i="7" s="1"/>
  <c r="M66" i="8"/>
  <c r="L66" i="8"/>
  <c r="N66" i="8"/>
  <c r="E48" i="7" s="1"/>
  <c r="K66" i="8"/>
  <c r="J66" i="8"/>
  <c r="I66" i="8"/>
  <c r="H66" i="8"/>
  <c r="G66" i="8"/>
  <c r="F66" i="8"/>
  <c r="E66" i="8"/>
  <c r="U65" i="8"/>
  <c r="T65" i="8"/>
  <c r="R65" i="8"/>
  <c r="Q65" i="8"/>
  <c r="S65" i="8"/>
  <c r="P65" i="8"/>
  <c r="O65" i="8"/>
  <c r="F67" i="7" s="1"/>
  <c r="L65" i="8"/>
  <c r="M65" i="8" s="1"/>
  <c r="N65" i="8"/>
  <c r="E67" i="7" s="1"/>
  <c r="K65" i="8"/>
  <c r="J65" i="8"/>
  <c r="I65" i="8"/>
  <c r="D67" i="7" s="1"/>
  <c r="H65" i="8"/>
  <c r="G65" i="8"/>
  <c r="F65" i="8"/>
  <c r="E65" i="8"/>
  <c r="U64" i="8"/>
  <c r="T64" i="8"/>
  <c r="Q64" i="8"/>
  <c r="R64" i="8" s="1"/>
  <c r="S64" i="8"/>
  <c r="P64" i="8"/>
  <c r="L64" i="8"/>
  <c r="O64" i="8" s="1"/>
  <c r="F74" i="7" s="1"/>
  <c r="N64" i="8"/>
  <c r="E74" i="7" s="1"/>
  <c r="K64" i="8"/>
  <c r="J64" i="8"/>
  <c r="I64" i="8"/>
  <c r="D74" i="7" s="1"/>
  <c r="H64" i="8"/>
  <c r="G64" i="8"/>
  <c r="F64" i="8"/>
  <c r="E64" i="8"/>
  <c r="U63" i="8"/>
  <c r="S63" i="8"/>
  <c r="T63" i="8" s="1"/>
  <c r="R63" i="8"/>
  <c r="P63" i="8"/>
  <c r="N63" i="8"/>
  <c r="O63" i="8" s="1"/>
  <c r="M63" i="8"/>
  <c r="K63" i="8"/>
  <c r="I63" i="8"/>
  <c r="H63" i="8"/>
  <c r="G63" i="8"/>
  <c r="F63" i="8"/>
  <c r="E63" i="8"/>
  <c r="D63" i="8"/>
  <c r="A63" i="8"/>
  <c r="U62" i="8"/>
  <c r="Q62" i="8"/>
  <c r="T62" i="8" s="1"/>
  <c r="S62" i="8"/>
  <c r="P62" i="8"/>
  <c r="M62" i="8"/>
  <c r="L62" i="8"/>
  <c r="O62" i="8" s="1"/>
  <c r="N62" i="8"/>
  <c r="K62" i="8"/>
  <c r="J62" i="8"/>
  <c r="I62" i="8"/>
  <c r="H62" i="8"/>
  <c r="G62" i="8"/>
  <c r="F62" i="8"/>
  <c r="E62" i="8"/>
  <c r="U61" i="8"/>
  <c r="R61" i="8"/>
  <c r="Q61" i="8"/>
  <c r="T61" i="8" s="1"/>
  <c r="S61" i="8"/>
  <c r="P61" i="8"/>
  <c r="O61" i="8"/>
  <c r="M61" i="8"/>
  <c r="L61" i="8"/>
  <c r="N61" i="8"/>
  <c r="K61" i="8"/>
  <c r="J61" i="8"/>
  <c r="I61" i="8"/>
  <c r="H61" i="8"/>
  <c r="G61" i="8"/>
  <c r="F61" i="8"/>
  <c r="E61" i="8"/>
  <c r="U60" i="8"/>
  <c r="T60" i="8"/>
  <c r="R60" i="8"/>
  <c r="Q60" i="8"/>
  <c r="S60" i="8"/>
  <c r="P60" i="8"/>
  <c r="O60" i="8"/>
  <c r="L60" i="8"/>
  <c r="M60" i="8" s="1"/>
  <c r="N60" i="8"/>
  <c r="K60" i="8"/>
  <c r="J60" i="8"/>
  <c r="I60" i="8"/>
  <c r="H60" i="8"/>
  <c r="G60" i="8"/>
  <c r="F60" i="8"/>
  <c r="E60" i="8"/>
  <c r="U59" i="8"/>
  <c r="T59" i="8"/>
  <c r="Q59" i="8"/>
  <c r="R59" i="8" s="1"/>
  <c r="S59" i="8"/>
  <c r="P59" i="8"/>
  <c r="L59" i="8"/>
  <c r="O59" i="8" s="1"/>
  <c r="N59" i="8"/>
  <c r="K59" i="8"/>
  <c r="J59" i="8"/>
  <c r="I59" i="8"/>
  <c r="H59" i="8"/>
  <c r="G59" i="8"/>
  <c r="F59" i="8"/>
  <c r="E59" i="8"/>
  <c r="U58" i="8"/>
  <c r="Q58" i="8"/>
  <c r="T58" i="8" s="1"/>
  <c r="S58" i="8"/>
  <c r="P58" i="8"/>
  <c r="M58" i="8"/>
  <c r="L58" i="8"/>
  <c r="O58" i="8" s="1"/>
  <c r="N58" i="8"/>
  <c r="K58" i="8"/>
  <c r="J58" i="8"/>
  <c r="I58" i="8"/>
  <c r="H58" i="8"/>
  <c r="G58" i="8"/>
  <c r="F58" i="8"/>
  <c r="E58" i="8"/>
  <c r="U57" i="8"/>
  <c r="R57" i="8"/>
  <c r="Q57" i="8"/>
  <c r="T57" i="8" s="1"/>
  <c r="S57" i="8"/>
  <c r="P57" i="8"/>
  <c r="O57" i="8"/>
  <c r="M57" i="8"/>
  <c r="L57" i="8"/>
  <c r="N57" i="8"/>
  <c r="K57" i="8"/>
  <c r="J57" i="8"/>
  <c r="I57" i="8"/>
  <c r="H57" i="8"/>
  <c r="G57" i="8"/>
  <c r="F57" i="8"/>
  <c r="E57" i="8"/>
  <c r="U56" i="8"/>
  <c r="T56" i="8"/>
  <c r="R56" i="8"/>
  <c r="Q56" i="8"/>
  <c r="S56" i="8"/>
  <c r="P56" i="8"/>
  <c r="O56" i="8"/>
  <c r="L56" i="8"/>
  <c r="M56" i="8" s="1"/>
  <c r="N56" i="8"/>
  <c r="K56" i="8"/>
  <c r="J56" i="8"/>
  <c r="I56" i="8"/>
  <c r="H56" i="8"/>
  <c r="G56" i="8"/>
  <c r="F56" i="8"/>
  <c r="E56" i="8"/>
  <c r="G55" i="8"/>
  <c r="A55" i="8"/>
  <c r="U54" i="8"/>
  <c r="R54" i="8"/>
  <c r="Q54" i="8"/>
  <c r="T54" i="8" s="1"/>
  <c r="S54" i="8"/>
  <c r="P54" i="8"/>
  <c r="O54" i="8"/>
  <c r="M54" i="8"/>
  <c r="L54" i="8"/>
  <c r="N54" i="8"/>
  <c r="K54" i="8"/>
  <c r="J54" i="8"/>
  <c r="I54" i="8"/>
  <c r="H54" i="8"/>
  <c r="G54" i="8"/>
  <c r="F54" i="8"/>
  <c r="E54" i="8"/>
  <c r="U53" i="8"/>
  <c r="T53" i="8"/>
  <c r="R53" i="8"/>
  <c r="Q53" i="8"/>
  <c r="S53" i="8"/>
  <c r="P53" i="8"/>
  <c r="O53" i="8"/>
  <c r="F58" i="7" s="1"/>
  <c r="L53" i="8"/>
  <c r="M53" i="8" s="1"/>
  <c r="N53" i="8"/>
  <c r="E58" i="7" s="1"/>
  <c r="K53" i="8"/>
  <c r="J53" i="8"/>
  <c r="I53" i="8"/>
  <c r="D58" i="7" s="1"/>
  <c r="H53" i="8"/>
  <c r="G53" i="8"/>
  <c r="F53" i="8"/>
  <c r="E53" i="8"/>
  <c r="U52" i="8"/>
  <c r="T52" i="8"/>
  <c r="Q52" i="8"/>
  <c r="R52" i="8" s="1"/>
  <c r="S52" i="8"/>
  <c r="P52" i="8"/>
  <c r="L52" i="8"/>
  <c r="O52" i="8" s="1"/>
  <c r="F59" i="7" s="1"/>
  <c r="N52" i="8"/>
  <c r="E59" i="7" s="1"/>
  <c r="K52" i="8"/>
  <c r="J52" i="8"/>
  <c r="I52" i="8"/>
  <c r="D59" i="7" s="1"/>
  <c r="H52" i="8"/>
  <c r="G52" i="8"/>
  <c r="F52" i="8"/>
  <c r="E52" i="8"/>
  <c r="U51" i="8"/>
  <c r="Q51" i="8"/>
  <c r="T51" i="8" s="1"/>
  <c r="S51" i="8"/>
  <c r="P51" i="8"/>
  <c r="M51" i="8"/>
  <c r="L51" i="8"/>
  <c r="O51" i="8" s="1"/>
  <c r="N51" i="8"/>
  <c r="K51" i="8"/>
  <c r="J51" i="8"/>
  <c r="I51" i="8"/>
  <c r="H51" i="8"/>
  <c r="G51" i="8"/>
  <c r="F51" i="8"/>
  <c r="E51" i="8"/>
  <c r="G50" i="8"/>
  <c r="A50" i="8"/>
  <c r="U49" i="8"/>
  <c r="S49" i="8"/>
  <c r="P49" i="8"/>
  <c r="R49" i="8" s="1"/>
  <c r="N49" i="8"/>
  <c r="E77" i="7" s="1"/>
  <c r="K49" i="8"/>
  <c r="M49" i="8" s="1"/>
  <c r="I49" i="8"/>
  <c r="D77" i="7" s="1"/>
  <c r="H49" i="8"/>
  <c r="G49" i="8"/>
  <c r="F49" i="8"/>
  <c r="E49" i="8"/>
  <c r="D49" i="8"/>
  <c r="A49" i="8"/>
  <c r="U48" i="8"/>
  <c r="S48" i="8"/>
  <c r="P48" i="8"/>
  <c r="R48" i="8" s="1"/>
  <c r="N48" i="8"/>
  <c r="E76" i="7" s="1"/>
  <c r="K48" i="8"/>
  <c r="M48" i="8" s="1"/>
  <c r="I48" i="8"/>
  <c r="D76" i="7" s="1"/>
  <c r="H48" i="8"/>
  <c r="G48" i="8"/>
  <c r="F48" i="8"/>
  <c r="E48" i="8"/>
  <c r="D48" i="8"/>
  <c r="A48" i="8"/>
  <c r="U47" i="8"/>
  <c r="S47" i="8"/>
  <c r="P47" i="8"/>
  <c r="R47" i="8" s="1"/>
  <c r="N47" i="8"/>
  <c r="E75" i="7" s="1"/>
  <c r="K47" i="8"/>
  <c r="M47" i="8" s="1"/>
  <c r="I47" i="8"/>
  <c r="D75" i="7" s="1"/>
  <c r="H47" i="8"/>
  <c r="G47" i="8"/>
  <c r="F47" i="8"/>
  <c r="E47" i="8"/>
  <c r="D47" i="8"/>
  <c r="A47" i="8"/>
  <c r="U46" i="8"/>
  <c r="T46" i="8"/>
  <c r="Q46" i="8"/>
  <c r="R46" i="8" s="1"/>
  <c r="S46" i="8"/>
  <c r="P46" i="8"/>
  <c r="L46" i="8"/>
  <c r="O46" i="8" s="1"/>
  <c r="N46" i="8"/>
  <c r="K46" i="8"/>
  <c r="J46" i="8"/>
  <c r="I46" i="8"/>
  <c r="H46" i="8"/>
  <c r="G46" i="8"/>
  <c r="F46" i="8"/>
  <c r="E46" i="8"/>
  <c r="U45" i="8"/>
  <c r="Q45" i="8"/>
  <c r="T45" i="8" s="1"/>
  <c r="S45" i="8"/>
  <c r="P45" i="8"/>
  <c r="M45" i="8"/>
  <c r="L45" i="8"/>
  <c r="O45" i="8" s="1"/>
  <c r="F28" i="7" s="1"/>
  <c r="N45" i="8"/>
  <c r="E28" i="7" s="1"/>
  <c r="K45" i="8"/>
  <c r="J45" i="8"/>
  <c r="I45" i="8"/>
  <c r="D28" i="7" s="1"/>
  <c r="H45" i="8"/>
  <c r="G45" i="8"/>
  <c r="F45" i="8"/>
  <c r="E45" i="8"/>
  <c r="U44" i="8"/>
  <c r="S44" i="8"/>
  <c r="T44" i="8" s="1"/>
  <c r="R44" i="8"/>
  <c r="P44" i="8"/>
  <c r="N44" i="8"/>
  <c r="E61" i="7" s="1"/>
  <c r="M44" i="8"/>
  <c r="K44" i="8"/>
  <c r="I44" i="8"/>
  <c r="D61" i="7" s="1"/>
  <c r="H44" i="8"/>
  <c r="G44" i="8"/>
  <c r="F44" i="8"/>
  <c r="E44" i="8"/>
  <c r="D44" i="8"/>
  <c r="A44" i="8"/>
  <c r="U43" i="8"/>
  <c r="R43" i="8"/>
  <c r="Q43" i="8"/>
  <c r="T43" i="8" s="1"/>
  <c r="S43" i="8"/>
  <c r="P43" i="8"/>
  <c r="O43" i="8"/>
  <c r="M43" i="8"/>
  <c r="L43" i="8"/>
  <c r="N43" i="8"/>
  <c r="K43" i="8"/>
  <c r="J43" i="8"/>
  <c r="I43" i="8"/>
  <c r="H43" i="8"/>
  <c r="G43" i="8"/>
  <c r="F43" i="8"/>
  <c r="E43" i="8"/>
  <c r="U42" i="8"/>
  <c r="T42" i="8"/>
  <c r="R42" i="8"/>
  <c r="Q42" i="8"/>
  <c r="S42" i="8"/>
  <c r="P42" i="8"/>
  <c r="O42" i="8"/>
  <c r="L42" i="8"/>
  <c r="M42" i="8" s="1"/>
  <c r="N42" i="8"/>
  <c r="K42" i="8"/>
  <c r="J42" i="8"/>
  <c r="I42" i="8"/>
  <c r="H42" i="8"/>
  <c r="G42" i="8"/>
  <c r="F42" i="8"/>
  <c r="E42" i="8"/>
  <c r="U41" i="8"/>
  <c r="T41" i="8"/>
  <c r="Q41" i="8"/>
  <c r="R41" i="8" s="1"/>
  <c r="S41" i="8"/>
  <c r="P41" i="8"/>
  <c r="L41" i="8"/>
  <c r="O41" i="8" s="1"/>
  <c r="N41" i="8"/>
  <c r="K41" i="8"/>
  <c r="J41" i="8"/>
  <c r="I41" i="8"/>
  <c r="H41" i="8"/>
  <c r="G41" i="8"/>
  <c r="F41" i="8"/>
  <c r="E41" i="8"/>
  <c r="U40" i="8"/>
  <c r="Q40" i="8"/>
  <c r="T40" i="8" s="1"/>
  <c r="S40" i="8"/>
  <c r="P40" i="8"/>
  <c r="M40" i="8"/>
  <c r="L40" i="8"/>
  <c r="O40" i="8" s="1"/>
  <c r="N40" i="8"/>
  <c r="K40" i="8"/>
  <c r="J40" i="8"/>
  <c r="I40" i="8"/>
  <c r="H40" i="8"/>
  <c r="G40" i="8"/>
  <c r="F40" i="8"/>
  <c r="E40" i="8"/>
  <c r="U39" i="8"/>
  <c r="R39" i="8"/>
  <c r="Q39" i="8"/>
  <c r="T39" i="8" s="1"/>
  <c r="S39" i="8"/>
  <c r="P39" i="8"/>
  <c r="O39" i="8"/>
  <c r="M39" i="8"/>
  <c r="L39" i="8"/>
  <c r="N39" i="8"/>
  <c r="E21" i="7" s="1"/>
  <c r="K39" i="8"/>
  <c r="J39" i="8"/>
  <c r="I39" i="8"/>
  <c r="H39" i="8"/>
  <c r="G39" i="8"/>
  <c r="F39" i="8"/>
  <c r="E39" i="8"/>
  <c r="U38" i="8"/>
  <c r="T38" i="8"/>
  <c r="R38" i="8"/>
  <c r="Q38" i="8"/>
  <c r="S38" i="8"/>
  <c r="P38" i="8"/>
  <c r="O38" i="8"/>
  <c r="L38" i="8"/>
  <c r="M38" i="8" s="1"/>
  <c r="N38" i="8"/>
  <c r="E22" i="7" s="1"/>
  <c r="K38" i="8"/>
  <c r="J38" i="8"/>
  <c r="I38" i="8"/>
  <c r="H38" i="8"/>
  <c r="G38" i="8"/>
  <c r="F38" i="8"/>
  <c r="E38" i="8"/>
  <c r="U37" i="8"/>
  <c r="T37" i="8"/>
  <c r="Q37" i="8"/>
  <c r="R37" i="8" s="1"/>
  <c r="S37" i="8"/>
  <c r="P37" i="8"/>
  <c r="L37" i="8"/>
  <c r="O37" i="8" s="1"/>
  <c r="N37" i="8"/>
  <c r="K37" i="8"/>
  <c r="J37" i="8"/>
  <c r="I37" i="8"/>
  <c r="H37" i="8"/>
  <c r="G37" i="8"/>
  <c r="F37" i="8"/>
  <c r="E37" i="8"/>
  <c r="U36" i="8"/>
  <c r="Q36" i="8"/>
  <c r="T36" i="8" s="1"/>
  <c r="S36" i="8"/>
  <c r="P36" i="8"/>
  <c r="M36" i="8"/>
  <c r="L36" i="8"/>
  <c r="O36" i="8" s="1"/>
  <c r="F19" i="7" s="1"/>
  <c r="N36" i="8"/>
  <c r="E19" i="7" s="1"/>
  <c r="K36" i="8"/>
  <c r="J36" i="8"/>
  <c r="I36" i="8"/>
  <c r="D19" i="7" s="1"/>
  <c r="H36" i="8"/>
  <c r="G36" i="8"/>
  <c r="F36" i="8"/>
  <c r="E36" i="8"/>
  <c r="U35" i="8"/>
  <c r="R35" i="8"/>
  <c r="Q35" i="8"/>
  <c r="T35" i="8" s="1"/>
  <c r="S35" i="8"/>
  <c r="P35" i="8"/>
  <c r="O35" i="8"/>
  <c r="F16" i="7" s="1"/>
  <c r="M35" i="8"/>
  <c r="L35" i="8"/>
  <c r="N35" i="8"/>
  <c r="E16" i="7" s="1"/>
  <c r="K35" i="8"/>
  <c r="J35" i="8"/>
  <c r="I35" i="8"/>
  <c r="D16" i="7" s="1"/>
  <c r="H35" i="8"/>
  <c r="G35" i="8"/>
  <c r="F35" i="8"/>
  <c r="E35" i="8"/>
  <c r="U34" i="8"/>
  <c r="T34" i="8"/>
  <c r="R34" i="8"/>
  <c r="Q34" i="8"/>
  <c r="S34" i="8"/>
  <c r="P34" i="8"/>
  <c r="O34" i="8"/>
  <c r="L34" i="8"/>
  <c r="M34" i="8" s="1"/>
  <c r="N34" i="8"/>
  <c r="K34" i="8"/>
  <c r="J34" i="8"/>
  <c r="I34" i="8"/>
  <c r="H34" i="8"/>
  <c r="G34" i="8"/>
  <c r="F34" i="8"/>
  <c r="E34" i="8"/>
  <c r="G33" i="8"/>
  <c r="A33" i="8"/>
  <c r="U32" i="8"/>
  <c r="S32" i="8"/>
  <c r="T32" i="8" s="1"/>
  <c r="R32" i="8"/>
  <c r="P32" i="8"/>
  <c r="N32" i="8"/>
  <c r="O32" i="8" s="1"/>
  <c r="M32" i="8"/>
  <c r="K32" i="8"/>
  <c r="I32" i="8"/>
  <c r="H32" i="8"/>
  <c r="G32" i="8"/>
  <c r="F32" i="8"/>
  <c r="E32" i="8"/>
  <c r="D32" i="8"/>
  <c r="A32" i="8"/>
  <c r="U31" i="8"/>
  <c r="R31" i="8"/>
  <c r="Q31" i="8"/>
  <c r="T31" i="8" s="1"/>
  <c r="S31" i="8"/>
  <c r="P31" i="8"/>
  <c r="O31" i="8"/>
  <c r="M31" i="8"/>
  <c r="L31" i="8"/>
  <c r="N31" i="8"/>
  <c r="K31" i="8"/>
  <c r="J31" i="8"/>
  <c r="I31" i="8"/>
  <c r="H31" i="8"/>
  <c r="G31" i="8"/>
  <c r="F31" i="8"/>
  <c r="E31" i="8"/>
  <c r="U30" i="8"/>
  <c r="T30" i="8"/>
  <c r="R30" i="8"/>
  <c r="Q30" i="8"/>
  <c r="S30" i="8"/>
  <c r="P30" i="8"/>
  <c r="O30" i="8"/>
  <c r="L30" i="8"/>
  <c r="M30" i="8" s="1"/>
  <c r="N30" i="8"/>
  <c r="K30" i="8"/>
  <c r="J30" i="8"/>
  <c r="I30" i="8"/>
  <c r="H30" i="8"/>
  <c r="G30" i="8"/>
  <c r="F30" i="8"/>
  <c r="E30" i="8"/>
  <c r="U29" i="8"/>
  <c r="T29" i="8"/>
  <c r="Q29" i="8"/>
  <c r="R29" i="8" s="1"/>
  <c r="S29" i="8"/>
  <c r="P29" i="8"/>
  <c r="L29" i="8"/>
  <c r="O29" i="8" s="1"/>
  <c r="N29" i="8"/>
  <c r="K29" i="8"/>
  <c r="J29" i="8"/>
  <c r="I29" i="8"/>
  <c r="H29" i="8"/>
  <c r="G29" i="8"/>
  <c r="F29" i="8"/>
  <c r="E29" i="8"/>
  <c r="U28" i="8"/>
  <c r="S28" i="8"/>
  <c r="T28" i="8" s="1"/>
  <c r="R28" i="8"/>
  <c r="P28" i="8"/>
  <c r="N28" i="8"/>
  <c r="O28" i="8" s="1"/>
  <c r="M28" i="8"/>
  <c r="K28" i="8"/>
  <c r="I28" i="8"/>
  <c r="H28" i="8"/>
  <c r="G28" i="8"/>
  <c r="F28" i="8"/>
  <c r="E28" i="8"/>
  <c r="D28" i="8"/>
  <c r="A28" i="8"/>
  <c r="U27" i="8"/>
  <c r="Q27" i="8"/>
  <c r="T27" i="8" s="1"/>
  <c r="S27" i="8"/>
  <c r="P27" i="8"/>
  <c r="M27" i="8"/>
  <c r="L27" i="8"/>
  <c r="O27" i="8" s="1"/>
  <c r="N27" i="8"/>
  <c r="K27" i="8"/>
  <c r="J27" i="8"/>
  <c r="I27" i="8"/>
  <c r="H27" i="8"/>
  <c r="G27" i="8"/>
  <c r="F27" i="8"/>
  <c r="E27" i="8"/>
  <c r="U26" i="8"/>
  <c r="R26" i="8"/>
  <c r="Q26" i="8"/>
  <c r="T26" i="8" s="1"/>
  <c r="S26" i="8"/>
  <c r="P26" i="8"/>
  <c r="O26" i="8"/>
  <c r="M26" i="8"/>
  <c r="L26" i="8"/>
  <c r="N26" i="8"/>
  <c r="K26" i="8"/>
  <c r="J26" i="8"/>
  <c r="I26" i="8"/>
  <c r="H26" i="8"/>
  <c r="G26" i="8"/>
  <c r="F26" i="8"/>
  <c r="E26" i="8"/>
  <c r="U25" i="8"/>
  <c r="T25" i="8"/>
  <c r="R25" i="8"/>
  <c r="Q25" i="8"/>
  <c r="S25" i="8"/>
  <c r="P25" i="8"/>
  <c r="O25" i="8"/>
  <c r="L25" i="8"/>
  <c r="M25" i="8" s="1"/>
  <c r="N25" i="8"/>
  <c r="K25" i="8"/>
  <c r="J25" i="8"/>
  <c r="I25" i="8"/>
  <c r="H25" i="8"/>
  <c r="G25" i="8"/>
  <c r="F25" i="8"/>
  <c r="E25" i="8"/>
  <c r="U24" i="8"/>
  <c r="T24" i="8"/>
  <c r="Q24" i="8"/>
  <c r="R24" i="8" s="1"/>
  <c r="S24" i="8"/>
  <c r="P24" i="8"/>
  <c r="L24" i="8"/>
  <c r="O24" i="8" s="1"/>
  <c r="N24" i="8"/>
  <c r="K24" i="8"/>
  <c r="J24" i="8"/>
  <c r="I24" i="8"/>
  <c r="H24" i="8"/>
  <c r="G24" i="8"/>
  <c r="F24" i="8"/>
  <c r="E24" i="8"/>
  <c r="U23" i="8"/>
  <c r="Q23" i="8"/>
  <c r="T23" i="8" s="1"/>
  <c r="S23" i="8"/>
  <c r="P23" i="8"/>
  <c r="M23" i="8"/>
  <c r="L23" i="8"/>
  <c r="O23" i="8" s="1"/>
  <c r="N23" i="8"/>
  <c r="K23" i="8"/>
  <c r="J23" i="8"/>
  <c r="I23" i="8"/>
  <c r="H23" i="8"/>
  <c r="G23" i="8"/>
  <c r="F23" i="8"/>
  <c r="E23" i="8"/>
  <c r="U22" i="8"/>
  <c r="R22" i="8"/>
  <c r="Q22" i="8"/>
  <c r="T22" i="8" s="1"/>
  <c r="S22" i="8"/>
  <c r="P22" i="8"/>
  <c r="O22" i="8"/>
  <c r="M22" i="8"/>
  <c r="L22" i="8"/>
  <c r="N22" i="8"/>
  <c r="K22" i="8"/>
  <c r="J22" i="8"/>
  <c r="I22" i="8"/>
  <c r="H22" i="8"/>
  <c r="G22" i="8"/>
  <c r="F22" i="8"/>
  <c r="E22" i="8"/>
  <c r="U21" i="8"/>
  <c r="T21" i="8"/>
  <c r="R21" i="8"/>
  <c r="Q21" i="8"/>
  <c r="S21" i="8"/>
  <c r="P21" i="8"/>
  <c r="O21" i="8"/>
  <c r="L21" i="8"/>
  <c r="M21" i="8" s="1"/>
  <c r="N21" i="8"/>
  <c r="K21" i="8"/>
  <c r="J21" i="8"/>
  <c r="I21" i="8"/>
  <c r="H21" i="8"/>
  <c r="G21" i="8"/>
  <c r="F21" i="8"/>
  <c r="E21" i="8"/>
  <c r="G20" i="8"/>
  <c r="A20" i="8"/>
  <c r="U19" i="8"/>
  <c r="S19" i="8"/>
  <c r="T19" i="8" s="1"/>
  <c r="R19" i="8"/>
  <c r="P19" i="8"/>
  <c r="N19" i="8"/>
  <c r="E68" i="7" s="1"/>
  <c r="M19" i="8"/>
  <c r="K19" i="8"/>
  <c r="I19" i="8"/>
  <c r="D68" i="7" s="1"/>
  <c r="H19" i="8"/>
  <c r="G19" i="8"/>
  <c r="F19" i="8"/>
  <c r="E19" i="8"/>
  <c r="D19" i="8"/>
  <c r="A19" i="8"/>
  <c r="U18" i="8"/>
  <c r="R18" i="8"/>
  <c r="Q18" i="8"/>
  <c r="T18" i="8" s="1"/>
  <c r="S18" i="8"/>
  <c r="P18" i="8"/>
  <c r="O18" i="8"/>
  <c r="M18" i="8"/>
  <c r="L18" i="8"/>
  <c r="N18" i="8"/>
  <c r="K18" i="8"/>
  <c r="J18" i="8"/>
  <c r="I18" i="8"/>
  <c r="H18" i="8"/>
  <c r="G18" i="8"/>
  <c r="F18" i="8"/>
  <c r="E18" i="8"/>
  <c r="U17" i="8"/>
  <c r="T17" i="8"/>
  <c r="R17" i="8"/>
  <c r="Q17" i="8"/>
  <c r="S17" i="8"/>
  <c r="P17" i="8"/>
  <c r="O17" i="8"/>
  <c r="F38" i="7" s="1"/>
  <c r="L17" i="8"/>
  <c r="M17" i="8" s="1"/>
  <c r="N17" i="8"/>
  <c r="E38" i="7" s="1"/>
  <c r="K17" i="8"/>
  <c r="J17" i="8"/>
  <c r="I17" i="8"/>
  <c r="D38" i="7" s="1"/>
  <c r="H17" i="8"/>
  <c r="G17" i="8"/>
  <c r="F17" i="8"/>
  <c r="E17" i="8"/>
  <c r="U16" i="8"/>
  <c r="T16" i="8"/>
  <c r="Q16" i="8"/>
  <c r="R16" i="8" s="1"/>
  <c r="S16" i="8"/>
  <c r="P16" i="8"/>
  <c r="L16" i="8"/>
  <c r="O16" i="8" s="1"/>
  <c r="N16" i="8"/>
  <c r="E41" i="7" s="1"/>
  <c r="K16" i="8"/>
  <c r="J16" i="8"/>
  <c r="I16" i="8"/>
  <c r="D41" i="7" s="1"/>
  <c r="H16" i="8"/>
  <c r="G16" i="8"/>
  <c r="F16" i="8"/>
  <c r="E16" i="8"/>
  <c r="U15" i="8"/>
  <c r="S15" i="8"/>
  <c r="T15" i="8" s="1"/>
  <c r="R15" i="8"/>
  <c r="P15" i="8"/>
  <c r="N15" i="8"/>
  <c r="E49" i="7" s="1"/>
  <c r="M15" i="8"/>
  <c r="K15" i="8"/>
  <c r="I15" i="8"/>
  <c r="D49" i="7" s="1"/>
  <c r="H15" i="8"/>
  <c r="G15" i="8"/>
  <c r="F15" i="8"/>
  <c r="E15" i="8"/>
  <c r="D15" i="8"/>
  <c r="A15" i="8"/>
  <c r="U14" i="8"/>
  <c r="Q14" i="8"/>
  <c r="T14" i="8" s="1"/>
  <c r="S14" i="8"/>
  <c r="P14" i="8"/>
  <c r="M14" i="8"/>
  <c r="L14" i="8"/>
  <c r="O14" i="8" s="1"/>
  <c r="N14" i="8"/>
  <c r="E9" i="7" s="1"/>
  <c r="K14" i="8"/>
  <c r="J14" i="8"/>
  <c r="I14" i="8"/>
  <c r="H14" i="8"/>
  <c r="G14" i="8"/>
  <c r="F14" i="8"/>
  <c r="E14" i="8"/>
  <c r="U13" i="8"/>
  <c r="R13" i="8"/>
  <c r="Q13" i="8"/>
  <c r="T13" i="8" s="1"/>
  <c r="S13" i="8"/>
  <c r="P13" i="8"/>
  <c r="O13" i="8"/>
  <c r="M13" i="8"/>
  <c r="L13" i="8"/>
  <c r="N13" i="8"/>
  <c r="E24" i="7" s="1"/>
  <c r="K13" i="8"/>
  <c r="J13" i="8"/>
  <c r="I13" i="8"/>
  <c r="H13" i="8"/>
  <c r="G13" i="8"/>
  <c r="F13" i="8"/>
  <c r="E13" i="8"/>
  <c r="U12" i="8"/>
  <c r="T12" i="8"/>
  <c r="R12" i="8"/>
  <c r="Q12" i="8"/>
  <c r="S12" i="8"/>
  <c r="P12" i="8"/>
  <c r="O12" i="8"/>
  <c r="F34" i="7" s="1"/>
  <c r="L12" i="8"/>
  <c r="M12" i="8" s="1"/>
  <c r="N12" i="8"/>
  <c r="E34" i="7" s="1"/>
  <c r="K12" i="8"/>
  <c r="J12" i="8"/>
  <c r="I12" i="8"/>
  <c r="D34" i="7" s="1"/>
  <c r="H12" i="8"/>
  <c r="G12" i="8"/>
  <c r="F12" i="8"/>
  <c r="E12" i="8"/>
  <c r="U11" i="8"/>
  <c r="T11" i="8"/>
  <c r="Q11" i="8"/>
  <c r="R11" i="8" s="1"/>
  <c r="S11" i="8"/>
  <c r="P11" i="8"/>
  <c r="L11" i="8"/>
  <c r="O11" i="8" s="1"/>
  <c r="N11" i="8"/>
  <c r="E36" i="7" s="1"/>
  <c r="K11" i="8"/>
  <c r="J11" i="8"/>
  <c r="I11" i="8"/>
  <c r="D36" i="7" s="1"/>
  <c r="H11" i="8"/>
  <c r="G11" i="8"/>
  <c r="F11" i="8"/>
  <c r="E11" i="8"/>
  <c r="U10" i="8"/>
  <c r="Q10" i="8"/>
  <c r="T10" i="8" s="1"/>
  <c r="S10" i="8"/>
  <c r="P10" i="8"/>
  <c r="M10" i="8"/>
  <c r="L10" i="8"/>
  <c r="O10" i="8" s="1"/>
  <c r="N10" i="8"/>
  <c r="E37" i="7" s="1"/>
  <c r="K10" i="8"/>
  <c r="J10" i="8"/>
  <c r="I10" i="8"/>
  <c r="D37" i="7" s="1"/>
  <c r="H10" i="8"/>
  <c r="G10" i="8"/>
  <c r="F10" i="8"/>
  <c r="E10" i="8"/>
  <c r="U9" i="8"/>
  <c r="R9" i="8"/>
  <c r="Q9" i="8"/>
  <c r="T9" i="8" s="1"/>
  <c r="S9" i="8"/>
  <c r="P9" i="8"/>
  <c r="O9" i="8"/>
  <c r="F39" i="7" s="1"/>
  <c r="M9" i="8"/>
  <c r="L9" i="8"/>
  <c r="N9" i="8"/>
  <c r="E39" i="7" s="1"/>
  <c r="K9" i="8"/>
  <c r="J9" i="8"/>
  <c r="I9" i="8"/>
  <c r="D39" i="7" s="1"/>
  <c r="H9" i="8"/>
  <c r="G9" i="8"/>
  <c r="F9" i="8"/>
  <c r="E9" i="8"/>
  <c r="U8" i="8"/>
  <c r="T8" i="8"/>
  <c r="R8" i="8"/>
  <c r="Q8" i="8"/>
  <c r="S8" i="8"/>
  <c r="P8" i="8"/>
  <c r="O8" i="8"/>
  <c r="L8" i="8"/>
  <c r="M8" i="8" s="1"/>
  <c r="N8" i="8"/>
  <c r="E51" i="7" s="1"/>
  <c r="K8" i="8"/>
  <c r="J8" i="8"/>
  <c r="I8" i="8"/>
  <c r="H8" i="8"/>
  <c r="G8" i="8"/>
  <c r="F8" i="8"/>
  <c r="E8" i="8"/>
  <c r="G7" i="8"/>
  <c r="A7" i="8"/>
  <c r="G6" i="8"/>
  <c r="A6" i="8"/>
  <c r="D110" i="6"/>
  <c r="C110" i="6"/>
  <c r="B110" i="6"/>
  <c r="D109" i="6"/>
  <c r="C109" i="6"/>
  <c r="B109" i="6"/>
  <c r="D108" i="6"/>
  <c r="C108" i="6"/>
  <c r="B108" i="6"/>
  <c r="D107" i="6"/>
  <c r="C107" i="6"/>
  <c r="B107" i="6"/>
  <c r="D106" i="6"/>
  <c r="C106" i="6"/>
  <c r="B106" i="6"/>
  <c r="A105" i="6"/>
  <c r="D104" i="6"/>
  <c r="C104" i="6"/>
  <c r="B104" i="6"/>
  <c r="D103" i="6"/>
  <c r="C103" i="6"/>
  <c r="B103" i="6"/>
  <c r="D102" i="6"/>
  <c r="C102" i="6"/>
  <c r="B102" i="6"/>
  <c r="D101" i="6"/>
  <c r="C101" i="6"/>
  <c r="B101" i="6"/>
  <c r="D100" i="6"/>
  <c r="C100" i="6"/>
  <c r="B100" i="6"/>
  <c r="D99" i="6"/>
  <c r="C99" i="6"/>
  <c r="B99" i="6"/>
  <c r="D98" i="6"/>
  <c r="C98" i="6"/>
  <c r="B98" i="6"/>
  <c r="D97" i="6"/>
  <c r="C97" i="6"/>
  <c r="B97" i="6"/>
  <c r="D96" i="6"/>
  <c r="C96" i="6"/>
  <c r="B96" i="6"/>
  <c r="D95" i="6"/>
  <c r="C95" i="6"/>
  <c r="B95" i="6"/>
  <c r="A94" i="6"/>
  <c r="D93" i="6"/>
  <c r="C93" i="6"/>
  <c r="B93" i="6"/>
  <c r="D92" i="6"/>
  <c r="C92" i="6"/>
  <c r="B92" i="6"/>
  <c r="D91" i="6"/>
  <c r="C91" i="6"/>
  <c r="B91" i="6"/>
  <c r="D90" i="6"/>
  <c r="C90" i="6"/>
  <c r="B90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A82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A75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A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A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A54" i="6"/>
  <c r="D53" i="6"/>
  <c r="C53" i="6"/>
  <c r="B53" i="6"/>
  <c r="D52" i="6"/>
  <c r="C52" i="6"/>
  <c r="B52" i="6"/>
  <c r="A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A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A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A20" i="6"/>
  <c r="AE19" i="6"/>
  <c r="A19" i="6"/>
  <c r="AD12" i="6"/>
  <c r="A12" i="6"/>
  <c r="A11" i="6"/>
  <c r="A1" i="6"/>
  <c r="H493" i="5"/>
  <c r="H490" i="5"/>
  <c r="C493" i="5"/>
  <c r="C490" i="5"/>
  <c r="I487" i="5"/>
  <c r="C487" i="5"/>
  <c r="I486" i="5"/>
  <c r="C486" i="5"/>
  <c r="I485" i="5"/>
  <c r="C485" i="5"/>
  <c r="I484" i="5"/>
  <c r="C484" i="5"/>
  <c r="I25" i="5"/>
  <c r="I24" i="5"/>
  <c r="I23" i="5"/>
  <c r="I22" i="5"/>
  <c r="I21" i="5"/>
  <c r="I20" i="5"/>
  <c r="AF483" i="5"/>
  <c r="A483" i="5"/>
  <c r="AF480" i="5"/>
  <c r="A480" i="5"/>
  <c r="A477" i="5"/>
  <c r="K474" i="5"/>
  <c r="H474" i="5"/>
  <c r="G474" i="5"/>
  <c r="E474" i="5"/>
  <c r="E473" i="5"/>
  <c r="E472" i="5"/>
  <c r="E471" i="5"/>
  <c r="J470" i="5"/>
  <c r="I470" i="5"/>
  <c r="H470" i="5"/>
  <c r="F470" i="5"/>
  <c r="V470" i="5"/>
  <c r="T470" i="5"/>
  <c r="R470" i="5"/>
  <c r="U470" i="5"/>
  <c r="S470" i="5"/>
  <c r="Q470" i="5"/>
  <c r="E470" i="5"/>
  <c r="D470" i="5"/>
  <c r="C470" i="5"/>
  <c r="B470" i="5"/>
  <c r="A470" i="5"/>
  <c r="J469" i="5"/>
  <c r="I469" i="5"/>
  <c r="H469" i="5"/>
  <c r="F469" i="5"/>
  <c r="V469" i="5"/>
  <c r="T469" i="5"/>
  <c r="J472" i="5" s="1"/>
  <c r="R469" i="5"/>
  <c r="U469" i="5"/>
  <c r="S469" i="5"/>
  <c r="Q469" i="5"/>
  <c r="E469" i="5"/>
  <c r="D469" i="5"/>
  <c r="C469" i="5"/>
  <c r="B469" i="5"/>
  <c r="A469" i="5"/>
  <c r="J468" i="5"/>
  <c r="I468" i="5"/>
  <c r="H468" i="5"/>
  <c r="G468" i="5"/>
  <c r="F468" i="5"/>
  <c r="J467" i="5"/>
  <c r="I467" i="5"/>
  <c r="H467" i="5"/>
  <c r="G467" i="5"/>
  <c r="F467" i="5"/>
  <c r="J466" i="5"/>
  <c r="I466" i="5"/>
  <c r="H466" i="5"/>
  <c r="G466" i="5"/>
  <c r="F466" i="5"/>
  <c r="J465" i="5"/>
  <c r="I475" i="5" s="1"/>
  <c r="I465" i="5"/>
  <c r="H465" i="5"/>
  <c r="G465" i="5"/>
  <c r="F465" i="5"/>
  <c r="V464" i="5"/>
  <c r="J473" i="5" s="1"/>
  <c r="T464" i="5"/>
  <c r="R464" i="5"/>
  <c r="J471" i="5" s="1"/>
  <c r="U464" i="5"/>
  <c r="S464" i="5"/>
  <c r="Q464" i="5"/>
  <c r="E464" i="5"/>
  <c r="D464" i="5"/>
  <c r="C464" i="5"/>
  <c r="B464" i="5"/>
  <c r="A464" i="5"/>
  <c r="K462" i="5"/>
  <c r="H462" i="5"/>
  <c r="G462" i="5"/>
  <c r="E462" i="5"/>
  <c r="J461" i="5"/>
  <c r="E461" i="5"/>
  <c r="E460" i="5"/>
  <c r="E459" i="5"/>
  <c r="J458" i="5"/>
  <c r="I458" i="5"/>
  <c r="H458" i="5"/>
  <c r="F458" i="5"/>
  <c r="V458" i="5"/>
  <c r="T458" i="5"/>
  <c r="R458" i="5"/>
  <c r="U458" i="5"/>
  <c r="S458" i="5"/>
  <c r="Q458" i="5"/>
  <c r="E458" i="5"/>
  <c r="D458" i="5"/>
  <c r="C458" i="5"/>
  <c r="B458" i="5"/>
  <c r="A458" i="5"/>
  <c r="J457" i="5"/>
  <c r="I457" i="5"/>
  <c r="H457" i="5"/>
  <c r="G457" i="5"/>
  <c r="F457" i="5"/>
  <c r="J456" i="5"/>
  <c r="I456" i="5"/>
  <c r="H456" i="5"/>
  <c r="G456" i="5"/>
  <c r="F456" i="5"/>
  <c r="J455" i="5"/>
  <c r="I455" i="5"/>
  <c r="H455" i="5"/>
  <c r="G455" i="5"/>
  <c r="F455" i="5"/>
  <c r="J454" i="5"/>
  <c r="I454" i="5"/>
  <c r="H454" i="5"/>
  <c r="G454" i="5"/>
  <c r="F454" i="5"/>
  <c r="C453" i="5"/>
  <c r="V452" i="5"/>
  <c r="T452" i="5"/>
  <c r="J460" i="5" s="1"/>
  <c r="R452" i="5"/>
  <c r="J459" i="5" s="1"/>
  <c r="U452" i="5"/>
  <c r="S452" i="5"/>
  <c r="Q452" i="5"/>
  <c r="E452" i="5"/>
  <c r="D452" i="5"/>
  <c r="C452" i="5"/>
  <c r="B452" i="5"/>
  <c r="A452" i="5"/>
  <c r="A451" i="5"/>
  <c r="A448" i="5"/>
  <c r="K445" i="5"/>
  <c r="H445" i="5"/>
  <c r="G445" i="5"/>
  <c r="E445" i="5"/>
  <c r="E444" i="5"/>
  <c r="E443" i="5"/>
  <c r="E442" i="5"/>
  <c r="J441" i="5"/>
  <c r="I441" i="5"/>
  <c r="H441" i="5"/>
  <c r="F441" i="5"/>
  <c r="V441" i="5"/>
  <c r="T441" i="5"/>
  <c r="R441" i="5"/>
  <c r="J442" i="5" s="1"/>
  <c r="U441" i="5"/>
  <c r="S441" i="5"/>
  <c r="Q441" i="5"/>
  <c r="E441" i="5"/>
  <c r="D441" i="5"/>
  <c r="C441" i="5"/>
  <c r="B441" i="5"/>
  <c r="A441" i="5"/>
  <c r="J440" i="5"/>
  <c r="I440" i="5"/>
  <c r="H440" i="5"/>
  <c r="F440" i="5"/>
  <c r="V440" i="5"/>
  <c r="T440" i="5"/>
  <c r="R440" i="5"/>
  <c r="U440" i="5"/>
  <c r="S440" i="5"/>
  <c r="Q440" i="5"/>
  <c r="E440" i="5"/>
  <c r="D440" i="5"/>
  <c r="C440" i="5"/>
  <c r="B440" i="5"/>
  <c r="A440" i="5"/>
  <c r="J439" i="5"/>
  <c r="I439" i="5"/>
  <c r="H439" i="5"/>
  <c r="G439" i="5"/>
  <c r="F439" i="5"/>
  <c r="J438" i="5"/>
  <c r="I438" i="5"/>
  <c r="H438" i="5"/>
  <c r="G438" i="5"/>
  <c r="F438" i="5"/>
  <c r="J437" i="5"/>
  <c r="I437" i="5"/>
  <c r="H437" i="5"/>
  <c r="G437" i="5"/>
  <c r="F437" i="5"/>
  <c r="J436" i="5"/>
  <c r="I436" i="5"/>
  <c r="H436" i="5"/>
  <c r="G436" i="5"/>
  <c r="F436" i="5"/>
  <c r="C435" i="5"/>
  <c r="V434" i="5"/>
  <c r="J444" i="5" s="1"/>
  <c r="T434" i="5"/>
  <c r="J443" i="5" s="1"/>
  <c r="R434" i="5"/>
  <c r="U434" i="5"/>
  <c r="S434" i="5"/>
  <c r="Q434" i="5"/>
  <c r="E434" i="5"/>
  <c r="D434" i="5"/>
  <c r="C434" i="5"/>
  <c r="B434" i="5"/>
  <c r="A434" i="5"/>
  <c r="K432" i="5"/>
  <c r="H432" i="5"/>
  <c r="G432" i="5"/>
  <c r="E432" i="5"/>
  <c r="E431" i="5"/>
  <c r="J430" i="5"/>
  <c r="E430" i="5"/>
  <c r="E429" i="5"/>
  <c r="J428" i="5"/>
  <c r="I428" i="5"/>
  <c r="H428" i="5"/>
  <c r="F428" i="5"/>
  <c r="V428" i="5"/>
  <c r="T428" i="5"/>
  <c r="R428" i="5"/>
  <c r="U428" i="5"/>
  <c r="S428" i="5"/>
  <c r="Q428" i="5"/>
  <c r="E428" i="5"/>
  <c r="D428" i="5"/>
  <c r="C428" i="5"/>
  <c r="B428" i="5"/>
  <c r="A428" i="5"/>
  <c r="J427" i="5"/>
  <c r="I427" i="5"/>
  <c r="H427" i="5"/>
  <c r="F427" i="5"/>
  <c r="V427" i="5"/>
  <c r="T427" i="5"/>
  <c r="R427" i="5"/>
  <c r="U427" i="5"/>
  <c r="S427" i="5"/>
  <c r="Q427" i="5"/>
  <c r="E427" i="5"/>
  <c r="D427" i="5"/>
  <c r="C427" i="5"/>
  <c r="B427" i="5"/>
  <c r="A427" i="5"/>
  <c r="J426" i="5"/>
  <c r="I426" i="5"/>
  <c r="H426" i="5"/>
  <c r="G426" i="5"/>
  <c r="F426" i="5"/>
  <c r="J425" i="5"/>
  <c r="I425" i="5"/>
  <c r="H425" i="5"/>
  <c r="G425" i="5"/>
  <c r="F425" i="5"/>
  <c r="J424" i="5"/>
  <c r="I424" i="5"/>
  <c r="H424" i="5"/>
  <c r="G424" i="5"/>
  <c r="F424" i="5"/>
  <c r="J423" i="5"/>
  <c r="I423" i="5"/>
  <c r="H423" i="5"/>
  <c r="G423" i="5"/>
  <c r="F423" i="5"/>
  <c r="C422" i="5"/>
  <c r="V421" i="5"/>
  <c r="T421" i="5"/>
  <c r="R421" i="5"/>
  <c r="J429" i="5" s="1"/>
  <c r="U421" i="5"/>
  <c r="S421" i="5"/>
  <c r="Q421" i="5"/>
  <c r="E421" i="5"/>
  <c r="D421" i="5"/>
  <c r="C421" i="5"/>
  <c r="B421" i="5"/>
  <c r="A421" i="5"/>
  <c r="K419" i="5"/>
  <c r="H419" i="5"/>
  <c r="G419" i="5"/>
  <c r="E419" i="5"/>
  <c r="E418" i="5"/>
  <c r="E417" i="5"/>
  <c r="E416" i="5"/>
  <c r="J415" i="5"/>
  <c r="I415" i="5"/>
  <c r="H415" i="5"/>
  <c r="F415" i="5"/>
  <c r="V415" i="5"/>
  <c r="T415" i="5"/>
  <c r="R415" i="5"/>
  <c r="U415" i="5"/>
  <c r="S415" i="5"/>
  <c r="Q415" i="5"/>
  <c r="E415" i="5"/>
  <c r="D415" i="5"/>
  <c r="C415" i="5"/>
  <c r="B415" i="5"/>
  <c r="A415" i="5"/>
  <c r="J414" i="5"/>
  <c r="I414" i="5"/>
  <c r="H414" i="5"/>
  <c r="F414" i="5"/>
  <c r="V414" i="5"/>
  <c r="T414" i="5"/>
  <c r="R414" i="5"/>
  <c r="U414" i="5"/>
  <c r="S414" i="5"/>
  <c r="Q414" i="5"/>
  <c r="E414" i="5"/>
  <c r="D414" i="5"/>
  <c r="C414" i="5"/>
  <c r="B414" i="5"/>
  <c r="A414" i="5"/>
  <c r="J413" i="5"/>
  <c r="I413" i="5"/>
  <c r="H413" i="5"/>
  <c r="G413" i="5"/>
  <c r="F413" i="5"/>
  <c r="J412" i="5"/>
  <c r="I412" i="5"/>
  <c r="H412" i="5"/>
  <c r="G412" i="5"/>
  <c r="F412" i="5"/>
  <c r="J411" i="5"/>
  <c r="I411" i="5"/>
  <c r="H411" i="5"/>
  <c r="G411" i="5"/>
  <c r="F411" i="5"/>
  <c r="J410" i="5"/>
  <c r="I410" i="5"/>
  <c r="H410" i="5"/>
  <c r="G410" i="5"/>
  <c r="F410" i="5"/>
  <c r="C409" i="5"/>
  <c r="V408" i="5"/>
  <c r="J418" i="5" s="1"/>
  <c r="T408" i="5"/>
  <c r="J417" i="5" s="1"/>
  <c r="I420" i="5" s="1"/>
  <c r="R408" i="5"/>
  <c r="J416" i="5" s="1"/>
  <c r="U408" i="5"/>
  <c r="S408" i="5"/>
  <c r="Q408" i="5"/>
  <c r="E408" i="5"/>
  <c r="D408" i="5"/>
  <c r="C408" i="5"/>
  <c r="B408" i="5"/>
  <c r="A408" i="5"/>
  <c r="K406" i="5"/>
  <c r="H406" i="5"/>
  <c r="G406" i="5"/>
  <c r="E406" i="5"/>
  <c r="J405" i="5"/>
  <c r="E405" i="5"/>
  <c r="E404" i="5"/>
  <c r="J403" i="5"/>
  <c r="E403" i="5"/>
  <c r="J402" i="5"/>
  <c r="I402" i="5"/>
  <c r="H402" i="5"/>
  <c r="G402" i="5"/>
  <c r="F402" i="5"/>
  <c r="J401" i="5"/>
  <c r="I401" i="5"/>
  <c r="H401" i="5"/>
  <c r="G401" i="5"/>
  <c r="F401" i="5"/>
  <c r="J400" i="5"/>
  <c r="I400" i="5"/>
  <c r="H400" i="5"/>
  <c r="G400" i="5"/>
  <c r="F400" i="5"/>
  <c r="J399" i="5"/>
  <c r="I399" i="5"/>
  <c r="H399" i="5"/>
  <c r="G399" i="5"/>
  <c r="F399" i="5"/>
  <c r="C398" i="5"/>
  <c r="V397" i="5"/>
  <c r="T397" i="5"/>
  <c r="J404" i="5" s="1"/>
  <c r="R397" i="5"/>
  <c r="U397" i="5"/>
  <c r="S397" i="5"/>
  <c r="Q397" i="5"/>
  <c r="E397" i="5"/>
  <c r="D397" i="5"/>
  <c r="C397" i="5"/>
  <c r="B397" i="5"/>
  <c r="A397" i="5"/>
  <c r="A396" i="5"/>
  <c r="A393" i="5"/>
  <c r="K390" i="5"/>
  <c r="H390" i="5"/>
  <c r="G390" i="5"/>
  <c r="E390" i="5"/>
  <c r="E389" i="5"/>
  <c r="J388" i="5"/>
  <c r="E388" i="5"/>
  <c r="J387" i="5"/>
  <c r="I387" i="5"/>
  <c r="H387" i="5"/>
  <c r="G387" i="5"/>
  <c r="F387" i="5"/>
  <c r="J386" i="5"/>
  <c r="I386" i="5"/>
  <c r="H386" i="5"/>
  <c r="G386" i="5"/>
  <c r="F386" i="5"/>
  <c r="C385" i="5"/>
  <c r="V384" i="5"/>
  <c r="T384" i="5"/>
  <c r="J389" i="5" s="1"/>
  <c r="R384" i="5"/>
  <c r="U384" i="5"/>
  <c r="S384" i="5"/>
  <c r="Q384" i="5"/>
  <c r="E384" i="5"/>
  <c r="D384" i="5"/>
  <c r="C384" i="5"/>
  <c r="B384" i="5"/>
  <c r="A384" i="5"/>
  <c r="I383" i="5"/>
  <c r="K382" i="5"/>
  <c r="H382" i="5"/>
  <c r="G382" i="5"/>
  <c r="E382" i="5"/>
  <c r="E381" i="5"/>
  <c r="J380" i="5"/>
  <c r="E380" i="5"/>
  <c r="J379" i="5"/>
  <c r="I379" i="5"/>
  <c r="H379" i="5"/>
  <c r="G379" i="5"/>
  <c r="F379" i="5"/>
  <c r="J378" i="5"/>
  <c r="I378" i="5"/>
  <c r="H378" i="5"/>
  <c r="G378" i="5"/>
  <c r="F378" i="5"/>
  <c r="V377" i="5"/>
  <c r="T377" i="5"/>
  <c r="J381" i="5" s="1"/>
  <c r="R377" i="5"/>
  <c r="U377" i="5"/>
  <c r="S377" i="5"/>
  <c r="Q377" i="5"/>
  <c r="E377" i="5"/>
  <c r="D377" i="5"/>
  <c r="C377" i="5"/>
  <c r="B377" i="5"/>
  <c r="A377" i="5"/>
  <c r="K375" i="5"/>
  <c r="H375" i="5"/>
  <c r="G375" i="5"/>
  <c r="E375" i="5"/>
  <c r="E374" i="5"/>
  <c r="J373" i="5"/>
  <c r="E373" i="5"/>
  <c r="J372" i="5"/>
  <c r="I372" i="5"/>
  <c r="H372" i="5"/>
  <c r="G372" i="5"/>
  <c r="F372" i="5"/>
  <c r="J371" i="5"/>
  <c r="I371" i="5"/>
  <c r="H371" i="5"/>
  <c r="G371" i="5"/>
  <c r="F371" i="5"/>
  <c r="C370" i="5"/>
  <c r="V369" i="5"/>
  <c r="T369" i="5"/>
  <c r="J374" i="5" s="1"/>
  <c r="I376" i="5" s="1"/>
  <c r="R369" i="5"/>
  <c r="U369" i="5"/>
  <c r="S369" i="5"/>
  <c r="Q369" i="5"/>
  <c r="E369" i="5"/>
  <c r="D369" i="5"/>
  <c r="C369" i="5"/>
  <c r="B369" i="5"/>
  <c r="A369" i="5"/>
  <c r="K367" i="5"/>
  <c r="H367" i="5"/>
  <c r="G367" i="5"/>
  <c r="E367" i="5"/>
  <c r="J366" i="5"/>
  <c r="E366" i="5"/>
  <c r="J365" i="5"/>
  <c r="E365" i="5"/>
  <c r="E364" i="5"/>
  <c r="J363" i="5"/>
  <c r="I363" i="5"/>
  <c r="H363" i="5"/>
  <c r="G363" i="5"/>
  <c r="F363" i="5"/>
  <c r="J362" i="5"/>
  <c r="I362" i="5"/>
  <c r="H362" i="5"/>
  <c r="G362" i="5"/>
  <c r="F362" i="5"/>
  <c r="J361" i="5"/>
  <c r="I361" i="5"/>
  <c r="H361" i="5"/>
  <c r="G361" i="5"/>
  <c r="F361" i="5"/>
  <c r="J360" i="5"/>
  <c r="I360" i="5"/>
  <c r="H360" i="5"/>
  <c r="G360" i="5"/>
  <c r="F360" i="5"/>
  <c r="C359" i="5"/>
  <c r="V358" i="5"/>
  <c r="T358" i="5"/>
  <c r="R358" i="5"/>
  <c r="J364" i="5" s="1"/>
  <c r="U358" i="5"/>
  <c r="S358" i="5"/>
  <c r="Q358" i="5"/>
  <c r="E358" i="5"/>
  <c r="D358" i="5"/>
  <c r="C358" i="5"/>
  <c r="B358" i="5"/>
  <c r="A358" i="5"/>
  <c r="K357" i="5"/>
  <c r="C356" i="5"/>
  <c r="J355" i="5"/>
  <c r="I357" i="5" s="1"/>
  <c r="P357" i="5" s="1"/>
  <c r="I355" i="5"/>
  <c r="H355" i="5"/>
  <c r="G355" i="5"/>
  <c r="F355" i="5"/>
  <c r="V355" i="5"/>
  <c r="T355" i="5"/>
  <c r="R355" i="5"/>
  <c r="U355" i="5"/>
  <c r="S355" i="5"/>
  <c r="Q355" i="5"/>
  <c r="E355" i="5"/>
  <c r="D355" i="5"/>
  <c r="C355" i="5"/>
  <c r="B355" i="5"/>
  <c r="A355" i="5"/>
  <c r="J353" i="5"/>
  <c r="I353" i="5"/>
  <c r="H353" i="5"/>
  <c r="G353" i="5"/>
  <c r="F353" i="5"/>
  <c r="J352" i="5"/>
  <c r="I354" i="5" s="1"/>
  <c r="P354" i="5" s="1"/>
  <c r="I352" i="5"/>
  <c r="H352" i="5"/>
  <c r="G352" i="5"/>
  <c r="F352" i="5"/>
  <c r="V351" i="5"/>
  <c r="T351" i="5"/>
  <c r="R351" i="5"/>
  <c r="U351" i="5"/>
  <c r="S351" i="5"/>
  <c r="Q351" i="5"/>
  <c r="E351" i="5"/>
  <c r="D351" i="5"/>
  <c r="C351" i="5"/>
  <c r="B351" i="5"/>
  <c r="A351" i="5"/>
  <c r="K350" i="5"/>
  <c r="J349" i="5"/>
  <c r="I349" i="5"/>
  <c r="H349" i="5"/>
  <c r="G349" i="5"/>
  <c r="F349" i="5"/>
  <c r="J348" i="5"/>
  <c r="I350" i="5" s="1"/>
  <c r="P350" i="5" s="1"/>
  <c r="I348" i="5"/>
  <c r="H348" i="5"/>
  <c r="G348" i="5"/>
  <c r="F348" i="5"/>
  <c r="C347" i="5"/>
  <c r="V346" i="5"/>
  <c r="T346" i="5"/>
  <c r="R346" i="5"/>
  <c r="U346" i="5"/>
  <c r="S346" i="5"/>
  <c r="Q346" i="5"/>
  <c r="E346" i="5"/>
  <c r="D346" i="5"/>
  <c r="C346" i="5"/>
  <c r="B346" i="5"/>
  <c r="A346" i="5"/>
  <c r="K344" i="5"/>
  <c r="H344" i="5"/>
  <c r="G344" i="5"/>
  <c r="E344" i="5"/>
  <c r="J343" i="5"/>
  <c r="E343" i="5"/>
  <c r="E342" i="5"/>
  <c r="J341" i="5"/>
  <c r="I341" i="5"/>
  <c r="H341" i="5"/>
  <c r="G341" i="5"/>
  <c r="F341" i="5"/>
  <c r="C340" i="5"/>
  <c r="V339" i="5"/>
  <c r="T339" i="5"/>
  <c r="R339" i="5"/>
  <c r="J342" i="5" s="1"/>
  <c r="U339" i="5"/>
  <c r="S339" i="5"/>
  <c r="Q339" i="5"/>
  <c r="E339" i="5"/>
  <c r="D339" i="5"/>
  <c r="C339" i="5"/>
  <c r="B339" i="5"/>
  <c r="A339" i="5"/>
  <c r="K337" i="5"/>
  <c r="H337" i="5"/>
  <c r="G337" i="5"/>
  <c r="E337" i="5"/>
  <c r="J336" i="5"/>
  <c r="E336" i="5"/>
  <c r="E335" i="5"/>
  <c r="E334" i="5"/>
  <c r="J333" i="5"/>
  <c r="I333" i="5"/>
  <c r="H333" i="5"/>
  <c r="G333" i="5"/>
  <c r="F333" i="5"/>
  <c r="J332" i="5"/>
  <c r="I332" i="5"/>
  <c r="H332" i="5"/>
  <c r="G332" i="5"/>
  <c r="F332" i="5"/>
  <c r="J331" i="5"/>
  <c r="I331" i="5"/>
  <c r="H331" i="5"/>
  <c r="G331" i="5"/>
  <c r="F331" i="5"/>
  <c r="C330" i="5"/>
  <c r="V329" i="5"/>
  <c r="T329" i="5"/>
  <c r="J335" i="5" s="1"/>
  <c r="R329" i="5"/>
  <c r="J334" i="5" s="1"/>
  <c r="U329" i="5"/>
  <c r="S329" i="5"/>
  <c r="Q329" i="5"/>
  <c r="E329" i="5"/>
  <c r="D329" i="5"/>
  <c r="C329" i="5"/>
  <c r="B329" i="5"/>
  <c r="A329" i="5"/>
  <c r="K327" i="5"/>
  <c r="H327" i="5"/>
  <c r="G327" i="5"/>
  <c r="E327" i="5"/>
  <c r="J326" i="5"/>
  <c r="E326" i="5"/>
  <c r="E325" i="5"/>
  <c r="J324" i="5"/>
  <c r="I324" i="5"/>
  <c r="H324" i="5"/>
  <c r="G324" i="5"/>
  <c r="F324" i="5"/>
  <c r="C323" i="5"/>
  <c r="V322" i="5"/>
  <c r="T322" i="5"/>
  <c r="R322" i="5"/>
  <c r="J325" i="5" s="1"/>
  <c r="U322" i="5"/>
  <c r="S322" i="5"/>
  <c r="Q322" i="5"/>
  <c r="E322" i="5"/>
  <c r="D322" i="5"/>
  <c r="C322" i="5"/>
  <c r="B322" i="5"/>
  <c r="A322" i="5"/>
  <c r="K320" i="5"/>
  <c r="H320" i="5"/>
  <c r="G320" i="5"/>
  <c r="E320" i="5"/>
  <c r="J319" i="5"/>
  <c r="E319" i="5"/>
  <c r="E318" i="5"/>
  <c r="E317" i="5"/>
  <c r="J316" i="5"/>
  <c r="I316" i="5"/>
  <c r="H316" i="5"/>
  <c r="G316" i="5"/>
  <c r="F316" i="5"/>
  <c r="J315" i="5"/>
  <c r="I315" i="5"/>
  <c r="H315" i="5"/>
  <c r="G315" i="5"/>
  <c r="F315" i="5"/>
  <c r="J314" i="5"/>
  <c r="I314" i="5"/>
  <c r="H314" i="5"/>
  <c r="G314" i="5"/>
  <c r="F314" i="5"/>
  <c r="C313" i="5"/>
  <c r="V312" i="5"/>
  <c r="T312" i="5"/>
  <c r="J318" i="5" s="1"/>
  <c r="R312" i="5"/>
  <c r="J317" i="5" s="1"/>
  <c r="U312" i="5"/>
  <c r="S312" i="5"/>
  <c r="Q312" i="5"/>
  <c r="E312" i="5"/>
  <c r="D312" i="5"/>
  <c r="C312" i="5"/>
  <c r="B312" i="5"/>
  <c r="A312" i="5"/>
  <c r="A311" i="5"/>
  <c r="A308" i="5"/>
  <c r="C305" i="5"/>
  <c r="J304" i="5"/>
  <c r="I306" i="5" s="1"/>
  <c r="P306" i="5" s="1"/>
  <c r="I304" i="5"/>
  <c r="H304" i="5"/>
  <c r="G304" i="5"/>
  <c r="F304" i="5"/>
  <c r="V304" i="5"/>
  <c r="T304" i="5"/>
  <c r="R304" i="5"/>
  <c r="U304" i="5"/>
  <c r="S304" i="5"/>
  <c r="Q304" i="5"/>
  <c r="E304" i="5"/>
  <c r="D304" i="5"/>
  <c r="C304" i="5"/>
  <c r="B304" i="5"/>
  <c r="A304" i="5"/>
  <c r="K303" i="5"/>
  <c r="J302" i="5"/>
  <c r="I302" i="5"/>
  <c r="H302" i="5"/>
  <c r="G302" i="5"/>
  <c r="F302" i="5"/>
  <c r="J301" i="5"/>
  <c r="I303" i="5" s="1"/>
  <c r="P303" i="5" s="1"/>
  <c r="I301" i="5"/>
  <c r="H301" i="5"/>
  <c r="G301" i="5"/>
  <c r="F301" i="5"/>
  <c r="V300" i="5"/>
  <c r="T300" i="5"/>
  <c r="R300" i="5"/>
  <c r="U300" i="5"/>
  <c r="S300" i="5"/>
  <c r="Q300" i="5"/>
  <c r="E300" i="5"/>
  <c r="D300" i="5"/>
  <c r="C300" i="5"/>
  <c r="B300" i="5"/>
  <c r="A300" i="5"/>
  <c r="J298" i="5"/>
  <c r="I298" i="5"/>
  <c r="H298" i="5"/>
  <c r="G298" i="5"/>
  <c r="F298" i="5"/>
  <c r="J297" i="5"/>
  <c r="I299" i="5" s="1"/>
  <c r="P299" i="5" s="1"/>
  <c r="I297" i="5"/>
  <c r="H297" i="5"/>
  <c r="G297" i="5"/>
  <c r="F297" i="5"/>
  <c r="C296" i="5"/>
  <c r="V295" i="5"/>
  <c r="T295" i="5"/>
  <c r="R295" i="5"/>
  <c r="U295" i="5"/>
  <c r="S295" i="5"/>
  <c r="Q295" i="5"/>
  <c r="E295" i="5"/>
  <c r="D295" i="5"/>
  <c r="C295" i="5"/>
  <c r="B295" i="5"/>
  <c r="A295" i="5"/>
  <c r="I294" i="5"/>
  <c r="K294" i="5" s="1"/>
  <c r="J293" i="5"/>
  <c r="I293" i="5"/>
  <c r="H293" i="5"/>
  <c r="G293" i="5"/>
  <c r="F293" i="5"/>
  <c r="J292" i="5"/>
  <c r="I292" i="5"/>
  <c r="H292" i="5"/>
  <c r="G292" i="5"/>
  <c r="F292" i="5"/>
  <c r="C291" i="5"/>
  <c r="V290" i="5"/>
  <c r="T290" i="5"/>
  <c r="R290" i="5"/>
  <c r="U290" i="5"/>
  <c r="S290" i="5"/>
  <c r="Q290" i="5"/>
  <c r="E290" i="5"/>
  <c r="D290" i="5"/>
  <c r="C290" i="5"/>
  <c r="B290" i="5"/>
  <c r="A290" i="5"/>
  <c r="K288" i="5"/>
  <c r="H288" i="5"/>
  <c r="G288" i="5"/>
  <c r="E288" i="5"/>
  <c r="E287" i="5"/>
  <c r="E286" i="5"/>
  <c r="E285" i="5"/>
  <c r="J284" i="5"/>
  <c r="I284" i="5"/>
  <c r="H284" i="5"/>
  <c r="F284" i="5"/>
  <c r="V284" i="5"/>
  <c r="T284" i="5"/>
  <c r="R284" i="5"/>
  <c r="U284" i="5"/>
  <c r="S284" i="5"/>
  <c r="Q284" i="5"/>
  <c r="E284" i="5"/>
  <c r="D284" i="5"/>
  <c r="C284" i="5"/>
  <c r="B284" i="5"/>
  <c r="A284" i="5"/>
  <c r="J283" i="5"/>
  <c r="I283" i="5"/>
  <c r="H283" i="5"/>
  <c r="G283" i="5"/>
  <c r="F283" i="5"/>
  <c r="J282" i="5"/>
  <c r="I282" i="5"/>
  <c r="H282" i="5"/>
  <c r="G282" i="5"/>
  <c r="F282" i="5"/>
  <c r="J281" i="5"/>
  <c r="I281" i="5"/>
  <c r="H281" i="5"/>
  <c r="G281" i="5"/>
  <c r="F281" i="5"/>
  <c r="J280" i="5"/>
  <c r="I280" i="5"/>
  <c r="H280" i="5"/>
  <c r="G280" i="5"/>
  <c r="F280" i="5"/>
  <c r="V279" i="5"/>
  <c r="J287" i="5" s="1"/>
  <c r="T279" i="5"/>
  <c r="J286" i="5" s="1"/>
  <c r="I289" i="5" s="1"/>
  <c r="R279" i="5"/>
  <c r="J285" i="5" s="1"/>
  <c r="U279" i="5"/>
  <c r="S279" i="5"/>
  <c r="Q279" i="5"/>
  <c r="E279" i="5"/>
  <c r="D279" i="5"/>
  <c r="C279" i="5"/>
  <c r="B279" i="5"/>
  <c r="A279" i="5"/>
  <c r="A278" i="5"/>
  <c r="A275" i="5"/>
  <c r="K273" i="5"/>
  <c r="J272" i="5"/>
  <c r="I273" i="5" s="1"/>
  <c r="P273" i="5" s="1"/>
  <c r="I272" i="5"/>
  <c r="H272" i="5"/>
  <c r="G272" i="5"/>
  <c r="F272" i="5"/>
  <c r="V272" i="5"/>
  <c r="T272" i="5"/>
  <c r="R272" i="5"/>
  <c r="U272" i="5"/>
  <c r="S272" i="5"/>
  <c r="Q272" i="5"/>
  <c r="E272" i="5"/>
  <c r="D272" i="5"/>
  <c r="C272" i="5"/>
  <c r="B272" i="5"/>
  <c r="A272" i="5"/>
  <c r="P271" i="5"/>
  <c r="J270" i="5"/>
  <c r="I270" i="5"/>
  <c r="H270" i="5"/>
  <c r="G270" i="5"/>
  <c r="F270" i="5"/>
  <c r="J269" i="5"/>
  <c r="I271" i="5" s="1"/>
  <c r="K271" i="5" s="1"/>
  <c r="I269" i="5"/>
  <c r="H269" i="5"/>
  <c r="G269" i="5"/>
  <c r="F269" i="5"/>
  <c r="C268" i="5"/>
  <c r="V267" i="5"/>
  <c r="T267" i="5"/>
  <c r="R267" i="5"/>
  <c r="U267" i="5"/>
  <c r="S267" i="5"/>
  <c r="Q267" i="5"/>
  <c r="E267" i="5"/>
  <c r="D267" i="5"/>
  <c r="C267" i="5"/>
  <c r="B267" i="5"/>
  <c r="A267" i="5"/>
  <c r="K266" i="5"/>
  <c r="J265" i="5"/>
  <c r="I265" i="5"/>
  <c r="H265" i="5"/>
  <c r="G265" i="5"/>
  <c r="F265" i="5"/>
  <c r="J264" i="5"/>
  <c r="I266" i="5" s="1"/>
  <c r="P266" i="5" s="1"/>
  <c r="I264" i="5"/>
  <c r="H264" i="5"/>
  <c r="G264" i="5"/>
  <c r="F264" i="5"/>
  <c r="C263" i="5"/>
  <c r="V262" i="5"/>
  <c r="T262" i="5"/>
  <c r="R262" i="5"/>
  <c r="U262" i="5"/>
  <c r="S262" i="5"/>
  <c r="Q262" i="5"/>
  <c r="E262" i="5"/>
  <c r="D262" i="5"/>
  <c r="C262" i="5"/>
  <c r="B262" i="5"/>
  <c r="A262" i="5"/>
  <c r="I261" i="5"/>
  <c r="K261" i="5" s="1"/>
  <c r="J260" i="5"/>
  <c r="I260" i="5"/>
  <c r="H260" i="5"/>
  <c r="G260" i="5"/>
  <c r="F260" i="5"/>
  <c r="J259" i="5"/>
  <c r="I259" i="5"/>
  <c r="H259" i="5"/>
  <c r="G259" i="5"/>
  <c r="F259" i="5"/>
  <c r="C258" i="5"/>
  <c r="V257" i="5"/>
  <c r="T257" i="5"/>
  <c r="R257" i="5"/>
  <c r="U257" i="5"/>
  <c r="S257" i="5"/>
  <c r="Q257" i="5"/>
  <c r="E257" i="5"/>
  <c r="D257" i="5"/>
  <c r="C257" i="5"/>
  <c r="B257" i="5"/>
  <c r="A257" i="5"/>
  <c r="K255" i="5"/>
  <c r="H255" i="5"/>
  <c r="G255" i="5"/>
  <c r="E255" i="5"/>
  <c r="E254" i="5"/>
  <c r="J253" i="5"/>
  <c r="E253" i="5"/>
  <c r="E252" i="5"/>
  <c r="J251" i="5"/>
  <c r="I251" i="5"/>
  <c r="H251" i="5"/>
  <c r="G251" i="5"/>
  <c r="F251" i="5"/>
  <c r="J250" i="5"/>
  <c r="I250" i="5"/>
  <c r="H250" i="5"/>
  <c r="G250" i="5"/>
  <c r="F250" i="5"/>
  <c r="J249" i="5"/>
  <c r="I249" i="5"/>
  <c r="H249" i="5"/>
  <c r="G249" i="5"/>
  <c r="F249" i="5"/>
  <c r="J248" i="5"/>
  <c r="I248" i="5"/>
  <c r="H248" i="5"/>
  <c r="G248" i="5"/>
  <c r="F248" i="5"/>
  <c r="C247" i="5"/>
  <c r="V246" i="5"/>
  <c r="J254" i="5" s="1"/>
  <c r="T246" i="5"/>
  <c r="R246" i="5"/>
  <c r="J252" i="5" s="1"/>
  <c r="I256" i="5" s="1"/>
  <c r="U246" i="5"/>
  <c r="S246" i="5"/>
  <c r="Q246" i="5"/>
  <c r="E246" i="5"/>
  <c r="D246" i="5"/>
  <c r="C246" i="5"/>
  <c r="B246" i="5"/>
  <c r="A246" i="5"/>
  <c r="K244" i="5"/>
  <c r="H244" i="5"/>
  <c r="G244" i="5"/>
  <c r="E244" i="5"/>
  <c r="E243" i="5"/>
  <c r="E242" i="5"/>
  <c r="J241" i="5"/>
  <c r="I241" i="5"/>
  <c r="H241" i="5"/>
  <c r="F241" i="5"/>
  <c r="V241" i="5"/>
  <c r="T241" i="5"/>
  <c r="R241" i="5"/>
  <c r="J242" i="5" s="1"/>
  <c r="U241" i="5"/>
  <c r="S241" i="5"/>
  <c r="Q241" i="5"/>
  <c r="E241" i="5"/>
  <c r="D241" i="5"/>
  <c r="C241" i="5"/>
  <c r="B241" i="5"/>
  <c r="A241" i="5"/>
  <c r="J240" i="5"/>
  <c r="I240" i="5"/>
  <c r="H240" i="5"/>
  <c r="G240" i="5"/>
  <c r="F240" i="5"/>
  <c r="C239" i="5"/>
  <c r="V238" i="5"/>
  <c r="T238" i="5"/>
  <c r="J243" i="5" s="1"/>
  <c r="R238" i="5"/>
  <c r="U238" i="5"/>
  <c r="S238" i="5"/>
  <c r="Q238" i="5"/>
  <c r="E238" i="5"/>
  <c r="D238" i="5"/>
  <c r="C238" i="5"/>
  <c r="B238" i="5"/>
  <c r="A238" i="5"/>
  <c r="A237" i="5"/>
  <c r="A234" i="5"/>
  <c r="K231" i="5"/>
  <c r="H231" i="5"/>
  <c r="G231" i="5"/>
  <c r="E231" i="5"/>
  <c r="E230" i="5"/>
  <c r="E229" i="5"/>
  <c r="E228" i="5"/>
  <c r="J227" i="5"/>
  <c r="I227" i="5"/>
  <c r="H227" i="5"/>
  <c r="F227" i="5"/>
  <c r="V227" i="5"/>
  <c r="T227" i="5"/>
  <c r="R227" i="5"/>
  <c r="J228" i="5" s="1"/>
  <c r="U227" i="5"/>
  <c r="S227" i="5"/>
  <c r="Q227" i="5"/>
  <c r="E227" i="5"/>
  <c r="D227" i="5"/>
  <c r="C227" i="5"/>
  <c r="B227" i="5"/>
  <c r="A227" i="5"/>
  <c r="J226" i="5"/>
  <c r="I226" i="5"/>
  <c r="H226" i="5"/>
  <c r="F226" i="5"/>
  <c r="V226" i="5"/>
  <c r="T226" i="5"/>
  <c r="J229" i="5" s="1"/>
  <c r="R226" i="5"/>
  <c r="U226" i="5"/>
  <c r="S226" i="5"/>
  <c r="Q226" i="5"/>
  <c r="E226" i="5"/>
  <c r="D226" i="5"/>
  <c r="C226" i="5"/>
  <c r="B226" i="5"/>
  <c r="A226" i="5"/>
  <c r="J225" i="5"/>
  <c r="I225" i="5"/>
  <c r="H225" i="5"/>
  <c r="G225" i="5"/>
  <c r="F225" i="5"/>
  <c r="J224" i="5"/>
  <c r="I224" i="5"/>
  <c r="H224" i="5"/>
  <c r="G224" i="5"/>
  <c r="F224" i="5"/>
  <c r="J223" i="5"/>
  <c r="I223" i="5"/>
  <c r="H223" i="5"/>
  <c r="G223" i="5"/>
  <c r="F223" i="5"/>
  <c r="J222" i="5"/>
  <c r="I222" i="5"/>
  <c r="H222" i="5"/>
  <c r="G222" i="5"/>
  <c r="F222" i="5"/>
  <c r="V221" i="5"/>
  <c r="J230" i="5" s="1"/>
  <c r="T221" i="5"/>
  <c r="R221" i="5"/>
  <c r="U221" i="5"/>
  <c r="S221" i="5"/>
  <c r="Q221" i="5"/>
  <c r="E221" i="5"/>
  <c r="D221" i="5"/>
  <c r="C221" i="5"/>
  <c r="B221" i="5"/>
  <c r="A221" i="5"/>
  <c r="K219" i="5"/>
  <c r="H219" i="5"/>
  <c r="G219" i="5"/>
  <c r="E219" i="5"/>
  <c r="E218" i="5"/>
  <c r="J217" i="5"/>
  <c r="E217" i="5"/>
  <c r="E216" i="5"/>
  <c r="J215" i="5"/>
  <c r="I215" i="5"/>
  <c r="H215" i="5"/>
  <c r="F215" i="5"/>
  <c r="V215" i="5"/>
  <c r="T215" i="5"/>
  <c r="R215" i="5"/>
  <c r="U215" i="5"/>
  <c r="S215" i="5"/>
  <c r="Q215" i="5"/>
  <c r="E215" i="5"/>
  <c r="D215" i="5"/>
  <c r="C215" i="5"/>
  <c r="B215" i="5"/>
  <c r="A215" i="5"/>
  <c r="J214" i="5"/>
  <c r="I214" i="5"/>
  <c r="H214" i="5"/>
  <c r="G214" i="5"/>
  <c r="F214" i="5"/>
  <c r="J213" i="5"/>
  <c r="I213" i="5"/>
  <c r="H213" i="5"/>
  <c r="G213" i="5"/>
  <c r="F213" i="5"/>
  <c r="J212" i="5"/>
  <c r="I212" i="5"/>
  <c r="H212" i="5"/>
  <c r="G212" i="5"/>
  <c r="F212" i="5"/>
  <c r="J211" i="5"/>
  <c r="I211" i="5"/>
  <c r="H211" i="5"/>
  <c r="G211" i="5"/>
  <c r="F211" i="5"/>
  <c r="C210" i="5"/>
  <c r="V209" i="5"/>
  <c r="J218" i="5" s="1"/>
  <c r="T209" i="5"/>
  <c r="R209" i="5"/>
  <c r="J216" i="5" s="1"/>
  <c r="U209" i="5"/>
  <c r="S209" i="5"/>
  <c r="Q209" i="5"/>
  <c r="E209" i="5"/>
  <c r="D209" i="5"/>
  <c r="C209" i="5"/>
  <c r="B209" i="5"/>
  <c r="A209" i="5"/>
  <c r="A208" i="5"/>
  <c r="A205" i="5"/>
  <c r="K202" i="5"/>
  <c r="H202" i="5"/>
  <c r="G202" i="5"/>
  <c r="E202" i="5"/>
  <c r="E201" i="5"/>
  <c r="E200" i="5"/>
  <c r="E199" i="5"/>
  <c r="J198" i="5"/>
  <c r="I198" i="5"/>
  <c r="H198" i="5"/>
  <c r="F198" i="5"/>
  <c r="V198" i="5"/>
  <c r="T198" i="5"/>
  <c r="R198" i="5"/>
  <c r="U198" i="5"/>
  <c r="S198" i="5"/>
  <c r="Q198" i="5"/>
  <c r="E198" i="5"/>
  <c r="D198" i="5"/>
  <c r="C198" i="5"/>
  <c r="B198" i="5"/>
  <c r="A198" i="5"/>
  <c r="J197" i="5"/>
  <c r="I197" i="5"/>
  <c r="H197" i="5"/>
  <c r="G197" i="5"/>
  <c r="F197" i="5"/>
  <c r="J196" i="5"/>
  <c r="I196" i="5"/>
  <c r="H196" i="5"/>
  <c r="G196" i="5"/>
  <c r="F196" i="5"/>
  <c r="J195" i="5"/>
  <c r="I195" i="5"/>
  <c r="H195" i="5"/>
  <c r="G195" i="5"/>
  <c r="F195" i="5"/>
  <c r="J194" i="5"/>
  <c r="I194" i="5"/>
  <c r="H194" i="5"/>
  <c r="G194" i="5"/>
  <c r="F194" i="5"/>
  <c r="C193" i="5"/>
  <c r="V192" i="5"/>
  <c r="J201" i="5" s="1"/>
  <c r="T192" i="5"/>
  <c r="J200" i="5" s="1"/>
  <c r="R192" i="5"/>
  <c r="J199" i="5" s="1"/>
  <c r="I203" i="5" s="1"/>
  <c r="U192" i="5"/>
  <c r="S192" i="5"/>
  <c r="Q192" i="5"/>
  <c r="E192" i="5"/>
  <c r="D192" i="5"/>
  <c r="C192" i="5"/>
  <c r="B192" i="5"/>
  <c r="A192" i="5"/>
  <c r="K190" i="5"/>
  <c r="H190" i="5"/>
  <c r="G190" i="5"/>
  <c r="E190" i="5"/>
  <c r="E189" i="5"/>
  <c r="E188" i="5"/>
  <c r="E187" i="5"/>
  <c r="J186" i="5"/>
  <c r="I186" i="5"/>
  <c r="H186" i="5"/>
  <c r="F186" i="5"/>
  <c r="V186" i="5"/>
  <c r="T186" i="5"/>
  <c r="R186" i="5"/>
  <c r="U186" i="5"/>
  <c r="S186" i="5"/>
  <c r="Q186" i="5"/>
  <c r="E186" i="5"/>
  <c r="D186" i="5"/>
  <c r="C186" i="5"/>
  <c r="B186" i="5"/>
  <c r="A186" i="5"/>
  <c r="J185" i="5"/>
  <c r="I185" i="5"/>
  <c r="H185" i="5"/>
  <c r="F185" i="5"/>
  <c r="V185" i="5"/>
  <c r="T185" i="5"/>
  <c r="R185" i="5"/>
  <c r="U185" i="5"/>
  <c r="S185" i="5"/>
  <c r="Q185" i="5"/>
  <c r="E185" i="5"/>
  <c r="D185" i="5"/>
  <c r="C185" i="5"/>
  <c r="B185" i="5"/>
  <c r="A185" i="5"/>
  <c r="J184" i="5"/>
  <c r="I184" i="5"/>
  <c r="H184" i="5"/>
  <c r="F184" i="5"/>
  <c r="V184" i="5"/>
  <c r="T184" i="5"/>
  <c r="R184" i="5"/>
  <c r="U184" i="5"/>
  <c r="S184" i="5"/>
  <c r="Q184" i="5"/>
  <c r="E184" i="5"/>
  <c r="D184" i="5"/>
  <c r="C184" i="5"/>
  <c r="B184" i="5"/>
  <c r="A184" i="5"/>
  <c r="J183" i="5"/>
  <c r="I183" i="5"/>
  <c r="H183" i="5"/>
  <c r="G183" i="5"/>
  <c r="F183" i="5"/>
  <c r="J182" i="5"/>
  <c r="I182" i="5"/>
  <c r="H182" i="5"/>
  <c r="G182" i="5"/>
  <c r="F182" i="5"/>
  <c r="J181" i="5"/>
  <c r="I181" i="5"/>
  <c r="H181" i="5"/>
  <c r="G181" i="5"/>
  <c r="F181" i="5"/>
  <c r="J180" i="5"/>
  <c r="I180" i="5"/>
  <c r="H180" i="5"/>
  <c r="G180" i="5"/>
  <c r="F180" i="5"/>
  <c r="C179" i="5"/>
  <c r="V178" i="5"/>
  <c r="J189" i="5" s="1"/>
  <c r="T178" i="5"/>
  <c r="R178" i="5"/>
  <c r="U178" i="5"/>
  <c r="S178" i="5"/>
  <c r="Q178" i="5"/>
  <c r="E178" i="5"/>
  <c r="D178" i="5"/>
  <c r="C178" i="5"/>
  <c r="B178" i="5"/>
  <c r="A178" i="5"/>
  <c r="A177" i="5"/>
  <c r="A174" i="5"/>
  <c r="K171" i="5"/>
  <c r="H171" i="5"/>
  <c r="G171" i="5"/>
  <c r="E171" i="5"/>
  <c r="E170" i="5"/>
  <c r="J169" i="5"/>
  <c r="E169" i="5"/>
  <c r="J168" i="5"/>
  <c r="I168" i="5"/>
  <c r="H168" i="5"/>
  <c r="G168" i="5"/>
  <c r="F168" i="5"/>
  <c r="J167" i="5"/>
  <c r="I167" i="5"/>
  <c r="H167" i="5"/>
  <c r="G167" i="5"/>
  <c r="F167" i="5"/>
  <c r="C166" i="5"/>
  <c r="V165" i="5"/>
  <c r="T165" i="5"/>
  <c r="J170" i="5" s="1"/>
  <c r="R165" i="5"/>
  <c r="U165" i="5"/>
  <c r="S165" i="5"/>
  <c r="Q165" i="5"/>
  <c r="E165" i="5"/>
  <c r="D165" i="5"/>
  <c r="C165" i="5"/>
  <c r="B165" i="5"/>
  <c r="A165" i="5"/>
  <c r="K163" i="5"/>
  <c r="H163" i="5"/>
  <c r="G163" i="5"/>
  <c r="E163" i="5"/>
  <c r="J162" i="5"/>
  <c r="E162" i="5"/>
  <c r="E161" i="5"/>
  <c r="J160" i="5"/>
  <c r="I164" i="5" s="1"/>
  <c r="P164" i="5" s="1"/>
  <c r="I160" i="5"/>
  <c r="H160" i="5"/>
  <c r="G160" i="5"/>
  <c r="F160" i="5"/>
  <c r="V159" i="5"/>
  <c r="T159" i="5"/>
  <c r="R159" i="5"/>
  <c r="J161" i="5" s="1"/>
  <c r="U159" i="5"/>
  <c r="S159" i="5"/>
  <c r="Q159" i="5"/>
  <c r="E159" i="5"/>
  <c r="D159" i="5"/>
  <c r="C159" i="5"/>
  <c r="B159" i="5"/>
  <c r="A159" i="5"/>
  <c r="A158" i="5"/>
  <c r="A155" i="5"/>
  <c r="K152" i="5"/>
  <c r="H152" i="5"/>
  <c r="G152" i="5"/>
  <c r="E152" i="5"/>
  <c r="E151" i="5"/>
  <c r="E150" i="5"/>
  <c r="E149" i="5"/>
  <c r="J148" i="5"/>
  <c r="I148" i="5"/>
  <c r="H148" i="5"/>
  <c r="F148" i="5"/>
  <c r="V148" i="5"/>
  <c r="T148" i="5"/>
  <c r="R148" i="5"/>
  <c r="U148" i="5"/>
  <c r="S148" i="5"/>
  <c r="Q148" i="5"/>
  <c r="E148" i="5"/>
  <c r="D148" i="5"/>
  <c r="B148" i="5"/>
  <c r="A148" i="5"/>
  <c r="J147" i="5"/>
  <c r="I147" i="5"/>
  <c r="H147" i="5"/>
  <c r="F147" i="5"/>
  <c r="V147" i="5"/>
  <c r="T147" i="5"/>
  <c r="R147" i="5"/>
  <c r="U147" i="5"/>
  <c r="S147" i="5"/>
  <c r="Q147" i="5"/>
  <c r="E147" i="5"/>
  <c r="D147" i="5"/>
  <c r="B147" i="5"/>
  <c r="A147" i="5"/>
  <c r="J146" i="5"/>
  <c r="I146" i="5"/>
  <c r="H146" i="5"/>
  <c r="F146" i="5"/>
  <c r="V146" i="5"/>
  <c r="T146" i="5"/>
  <c r="R146" i="5"/>
  <c r="U146" i="5"/>
  <c r="S146" i="5"/>
  <c r="Q146" i="5"/>
  <c r="E146" i="5"/>
  <c r="D146" i="5"/>
  <c r="C146" i="5"/>
  <c r="B146" i="5"/>
  <c r="A146" i="5"/>
  <c r="J145" i="5"/>
  <c r="I145" i="5"/>
  <c r="H145" i="5"/>
  <c r="F145" i="5"/>
  <c r="V145" i="5"/>
  <c r="T145" i="5"/>
  <c r="R145" i="5"/>
  <c r="U145" i="5"/>
  <c r="S145" i="5"/>
  <c r="Q145" i="5"/>
  <c r="E145" i="5"/>
  <c r="D145" i="5"/>
  <c r="B145" i="5"/>
  <c r="A145" i="5"/>
  <c r="J144" i="5"/>
  <c r="I144" i="5"/>
  <c r="H144" i="5"/>
  <c r="F144" i="5"/>
  <c r="V144" i="5"/>
  <c r="T144" i="5"/>
  <c r="R144" i="5"/>
  <c r="U144" i="5"/>
  <c r="S144" i="5"/>
  <c r="Q144" i="5"/>
  <c r="E144" i="5"/>
  <c r="D144" i="5"/>
  <c r="C144" i="5"/>
  <c r="B144" i="5"/>
  <c r="A144" i="5"/>
  <c r="J143" i="5"/>
  <c r="I143" i="5"/>
  <c r="H143" i="5"/>
  <c r="G143" i="5"/>
  <c r="F143" i="5"/>
  <c r="J142" i="5"/>
  <c r="I142" i="5"/>
  <c r="H142" i="5"/>
  <c r="G142" i="5"/>
  <c r="F142" i="5"/>
  <c r="J141" i="5"/>
  <c r="I141" i="5"/>
  <c r="H141" i="5"/>
  <c r="G141" i="5"/>
  <c r="F141" i="5"/>
  <c r="J140" i="5"/>
  <c r="I140" i="5"/>
  <c r="H140" i="5"/>
  <c r="G140" i="5"/>
  <c r="F140" i="5"/>
  <c r="C139" i="5"/>
  <c r="V138" i="5"/>
  <c r="J151" i="5" s="1"/>
  <c r="T138" i="5"/>
  <c r="R138" i="5"/>
  <c r="J149" i="5" s="1"/>
  <c r="U138" i="5"/>
  <c r="S138" i="5"/>
  <c r="Q138" i="5"/>
  <c r="E138" i="5"/>
  <c r="D138" i="5"/>
  <c r="C138" i="5"/>
  <c r="B138" i="5"/>
  <c r="A138" i="5"/>
  <c r="P137" i="5"/>
  <c r="C136" i="5"/>
  <c r="J135" i="5"/>
  <c r="I137" i="5" s="1"/>
  <c r="K137" i="5" s="1"/>
  <c r="I135" i="5"/>
  <c r="H135" i="5"/>
  <c r="G135" i="5"/>
  <c r="F135" i="5"/>
  <c r="V135" i="5"/>
  <c r="T135" i="5"/>
  <c r="R135" i="5"/>
  <c r="U135" i="5"/>
  <c r="S135" i="5"/>
  <c r="Q135" i="5"/>
  <c r="E135" i="5"/>
  <c r="D135" i="5"/>
  <c r="C135" i="5"/>
  <c r="B135" i="5"/>
  <c r="A135" i="5"/>
  <c r="J133" i="5"/>
  <c r="I133" i="5"/>
  <c r="H133" i="5"/>
  <c r="G133" i="5"/>
  <c r="F133" i="5"/>
  <c r="J132" i="5"/>
  <c r="I134" i="5" s="1"/>
  <c r="K134" i="5" s="1"/>
  <c r="I132" i="5"/>
  <c r="H132" i="5"/>
  <c r="G132" i="5"/>
  <c r="F132" i="5"/>
  <c r="V131" i="5"/>
  <c r="T131" i="5"/>
  <c r="R131" i="5"/>
  <c r="U131" i="5"/>
  <c r="S131" i="5"/>
  <c r="Q131" i="5"/>
  <c r="E131" i="5"/>
  <c r="D131" i="5"/>
  <c r="C131" i="5"/>
  <c r="B131" i="5"/>
  <c r="A131" i="5"/>
  <c r="P130" i="5"/>
  <c r="J129" i="5"/>
  <c r="I129" i="5"/>
  <c r="H129" i="5"/>
  <c r="G129" i="5"/>
  <c r="F129" i="5"/>
  <c r="J128" i="5"/>
  <c r="I130" i="5" s="1"/>
  <c r="K130" i="5" s="1"/>
  <c r="I128" i="5"/>
  <c r="H128" i="5"/>
  <c r="G128" i="5"/>
  <c r="F128" i="5"/>
  <c r="C127" i="5"/>
  <c r="V126" i="5"/>
  <c r="T126" i="5"/>
  <c r="R126" i="5"/>
  <c r="U126" i="5"/>
  <c r="S126" i="5"/>
  <c r="Q126" i="5"/>
  <c r="E126" i="5"/>
  <c r="D126" i="5"/>
  <c r="C126" i="5"/>
  <c r="B126" i="5"/>
  <c r="A126" i="5"/>
  <c r="K125" i="5"/>
  <c r="J124" i="5"/>
  <c r="I124" i="5"/>
  <c r="H124" i="5"/>
  <c r="G124" i="5"/>
  <c r="F124" i="5"/>
  <c r="J123" i="5"/>
  <c r="I125" i="5" s="1"/>
  <c r="P125" i="5" s="1"/>
  <c r="I123" i="5"/>
  <c r="H123" i="5"/>
  <c r="G123" i="5"/>
  <c r="F123" i="5"/>
  <c r="C122" i="5"/>
  <c r="V121" i="5"/>
  <c r="T121" i="5"/>
  <c r="R121" i="5"/>
  <c r="U121" i="5"/>
  <c r="S121" i="5"/>
  <c r="Q121" i="5"/>
  <c r="E121" i="5"/>
  <c r="D121" i="5"/>
  <c r="C121" i="5"/>
  <c r="B121" i="5"/>
  <c r="A121" i="5"/>
  <c r="K119" i="5"/>
  <c r="H119" i="5"/>
  <c r="G119" i="5"/>
  <c r="E119" i="5"/>
  <c r="J118" i="5"/>
  <c r="E118" i="5"/>
  <c r="E117" i="5"/>
  <c r="J116" i="5"/>
  <c r="E116" i="5"/>
  <c r="J115" i="5"/>
  <c r="I115" i="5"/>
  <c r="H115" i="5"/>
  <c r="G115" i="5"/>
  <c r="F115" i="5"/>
  <c r="J114" i="5"/>
  <c r="I114" i="5"/>
  <c r="H114" i="5"/>
  <c r="G114" i="5"/>
  <c r="F114" i="5"/>
  <c r="J113" i="5"/>
  <c r="I113" i="5"/>
  <c r="H113" i="5"/>
  <c r="G113" i="5"/>
  <c r="F113" i="5"/>
  <c r="V112" i="5"/>
  <c r="T112" i="5"/>
  <c r="J117" i="5" s="1"/>
  <c r="R112" i="5"/>
  <c r="U112" i="5"/>
  <c r="S112" i="5"/>
  <c r="Q112" i="5"/>
  <c r="E112" i="5"/>
  <c r="D112" i="5"/>
  <c r="C112" i="5"/>
  <c r="B112" i="5"/>
  <c r="A112" i="5"/>
  <c r="E110" i="5"/>
  <c r="J109" i="5"/>
  <c r="I109" i="5"/>
  <c r="H109" i="5"/>
  <c r="G109" i="5"/>
  <c r="F109" i="5"/>
  <c r="J108" i="5"/>
  <c r="I108" i="5"/>
  <c r="H108" i="5"/>
  <c r="G108" i="5"/>
  <c r="F108" i="5"/>
  <c r="V107" i="5"/>
  <c r="J110" i="5" s="1"/>
  <c r="T107" i="5"/>
  <c r="R107" i="5"/>
  <c r="U107" i="5"/>
  <c r="S107" i="5"/>
  <c r="Q107" i="5"/>
  <c r="E107" i="5"/>
  <c r="D107" i="5"/>
  <c r="C107" i="5"/>
  <c r="B107" i="5"/>
  <c r="A107" i="5"/>
  <c r="K105" i="5"/>
  <c r="H105" i="5"/>
  <c r="G105" i="5"/>
  <c r="E105" i="5"/>
  <c r="E104" i="5"/>
  <c r="E103" i="5"/>
  <c r="J102" i="5"/>
  <c r="I102" i="5"/>
  <c r="H102" i="5"/>
  <c r="F102" i="5"/>
  <c r="V102" i="5"/>
  <c r="T102" i="5"/>
  <c r="R102" i="5"/>
  <c r="U102" i="5"/>
  <c r="S102" i="5"/>
  <c r="Q102" i="5"/>
  <c r="E102" i="5"/>
  <c r="D102" i="5"/>
  <c r="C102" i="5"/>
  <c r="B102" i="5"/>
  <c r="A102" i="5"/>
  <c r="J101" i="5"/>
  <c r="I106" i="5" s="1"/>
  <c r="I101" i="5"/>
  <c r="H101" i="5"/>
  <c r="G101" i="5"/>
  <c r="F101" i="5"/>
  <c r="C100" i="5"/>
  <c r="V99" i="5"/>
  <c r="T99" i="5"/>
  <c r="J104" i="5" s="1"/>
  <c r="R99" i="5"/>
  <c r="J103" i="5" s="1"/>
  <c r="U99" i="5"/>
  <c r="S99" i="5"/>
  <c r="Q99" i="5"/>
  <c r="E99" i="5"/>
  <c r="D99" i="5"/>
  <c r="C99" i="5"/>
  <c r="B99" i="5"/>
  <c r="A99" i="5"/>
  <c r="A98" i="5"/>
  <c r="A95" i="5"/>
  <c r="K92" i="5"/>
  <c r="H92" i="5"/>
  <c r="G92" i="5"/>
  <c r="E92" i="5"/>
  <c r="E91" i="5"/>
  <c r="E90" i="5"/>
  <c r="E89" i="5"/>
  <c r="J88" i="5"/>
  <c r="I88" i="5"/>
  <c r="H88" i="5"/>
  <c r="F88" i="5"/>
  <c r="V88" i="5"/>
  <c r="T88" i="5"/>
  <c r="R88" i="5"/>
  <c r="J89" i="5" s="1"/>
  <c r="U88" i="5"/>
  <c r="S88" i="5"/>
  <c r="Q88" i="5"/>
  <c r="E88" i="5"/>
  <c r="D88" i="5"/>
  <c r="C88" i="5"/>
  <c r="B88" i="5"/>
  <c r="A88" i="5"/>
  <c r="J87" i="5"/>
  <c r="I87" i="5"/>
  <c r="H87" i="5"/>
  <c r="F87" i="5"/>
  <c r="V87" i="5"/>
  <c r="T87" i="5"/>
  <c r="R87" i="5"/>
  <c r="U87" i="5"/>
  <c r="S87" i="5"/>
  <c r="Q87" i="5"/>
  <c r="E87" i="5"/>
  <c r="D87" i="5"/>
  <c r="C87" i="5"/>
  <c r="B87" i="5"/>
  <c r="A87" i="5"/>
  <c r="J86" i="5"/>
  <c r="I86" i="5"/>
  <c r="H86" i="5"/>
  <c r="G86" i="5"/>
  <c r="F86" i="5"/>
  <c r="J85" i="5"/>
  <c r="I85" i="5"/>
  <c r="H85" i="5"/>
  <c r="G85" i="5"/>
  <c r="F85" i="5"/>
  <c r="J84" i="5"/>
  <c r="I84" i="5"/>
  <c r="H84" i="5"/>
  <c r="G84" i="5"/>
  <c r="F84" i="5"/>
  <c r="J83" i="5"/>
  <c r="I83" i="5"/>
  <c r="H83" i="5"/>
  <c r="G83" i="5"/>
  <c r="F83" i="5"/>
  <c r="C82" i="5"/>
  <c r="V81" i="5"/>
  <c r="J91" i="5" s="1"/>
  <c r="T81" i="5"/>
  <c r="J90" i="5" s="1"/>
  <c r="R81" i="5"/>
  <c r="U81" i="5"/>
  <c r="S81" i="5"/>
  <c r="Q81" i="5"/>
  <c r="E81" i="5"/>
  <c r="D81" i="5"/>
  <c r="C81" i="5"/>
  <c r="B81" i="5"/>
  <c r="A81" i="5"/>
  <c r="K79" i="5"/>
  <c r="H79" i="5"/>
  <c r="G79" i="5"/>
  <c r="E79" i="5"/>
  <c r="E78" i="5"/>
  <c r="J77" i="5"/>
  <c r="E77" i="5"/>
  <c r="E76" i="5"/>
  <c r="J75" i="5"/>
  <c r="I75" i="5"/>
  <c r="H75" i="5"/>
  <c r="F75" i="5"/>
  <c r="V75" i="5"/>
  <c r="T75" i="5"/>
  <c r="R75" i="5"/>
  <c r="U75" i="5"/>
  <c r="S75" i="5"/>
  <c r="Q75" i="5"/>
  <c r="E75" i="5"/>
  <c r="D75" i="5"/>
  <c r="C75" i="5"/>
  <c r="B75" i="5"/>
  <c r="A75" i="5"/>
  <c r="J74" i="5"/>
  <c r="I74" i="5"/>
  <c r="H74" i="5"/>
  <c r="F74" i="5"/>
  <c r="V74" i="5"/>
  <c r="T74" i="5"/>
  <c r="R74" i="5"/>
  <c r="U74" i="5"/>
  <c r="S74" i="5"/>
  <c r="Q74" i="5"/>
  <c r="E74" i="5"/>
  <c r="D74" i="5"/>
  <c r="C74" i="5"/>
  <c r="B74" i="5"/>
  <c r="A74" i="5"/>
  <c r="J73" i="5"/>
  <c r="I73" i="5"/>
  <c r="H73" i="5"/>
  <c r="F73" i="5"/>
  <c r="V73" i="5"/>
  <c r="T73" i="5"/>
  <c r="R73" i="5"/>
  <c r="U73" i="5"/>
  <c r="S73" i="5"/>
  <c r="Q73" i="5"/>
  <c r="E73" i="5"/>
  <c r="D73" i="5"/>
  <c r="C73" i="5"/>
  <c r="B73" i="5"/>
  <c r="A73" i="5"/>
  <c r="J72" i="5"/>
  <c r="I72" i="5"/>
  <c r="H72" i="5"/>
  <c r="G72" i="5"/>
  <c r="F72" i="5"/>
  <c r="J71" i="5"/>
  <c r="I71" i="5"/>
  <c r="H71" i="5"/>
  <c r="G71" i="5"/>
  <c r="F71" i="5"/>
  <c r="J70" i="5"/>
  <c r="I70" i="5"/>
  <c r="H70" i="5"/>
  <c r="G70" i="5"/>
  <c r="F70" i="5"/>
  <c r="J69" i="5"/>
  <c r="I69" i="5"/>
  <c r="H69" i="5"/>
  <c r="G69" i="5"/>
  <c r="F69" i="5"/>
  <c r="C68" i="5"/>
  <c r="V67" i="5"/>
  <c r="T67" i="5"/>
  <c r="R67" i="5"/>
  <c r="J76" i="5" s="1"/>
  <c r="U67" i="5"/>
  <c r="S67" i="5"/>
  <c r="Q67" i="5"/>
  <c r="E67" i="5"/>
  <c r="D67" i="5"/>
  <c r="C67" i="5"/>
  <c r="B67" i="5"/>
  <c r="A67" i="5"/>
  <c r="A66" i="5"/>
  <c r="A63" i="5"/>
  <c r="K60" i="5"/>
  <c r="H60" i="5"/>
  <c r="G60" i="5"/>
  <c r="E60" i="5"/>
  <c r="E59" i="5"/>
  <c r="E58" i="5"/>
  <c r="E57" i="5"/>
  <c r="J56" i="5"/>
  <c r="I56" i="5"/>
  <c r="H56" i="5"/>
  <c r="F56" i="5"/>
  <c r="V56" i="5"/>
  <c r="T56" i="5"/>
  <c r="R56" i="5"/>
  <c r="J57" i="5" s="1"/>
  <c r="U56" i="5"/>
  <c r="S56" i="5"/>
  <c r="Q56" i="5"/>
  <c r="E56" i="5"/>
  <c r="D56" i="5"/>
  <c r="C56" i="5"/>
  <c r="B56" i="5"/>
  <c r="A56" i="5"/>
  <c r="J55" i="5"/>
  <c r="I55" i="5"/>
  <c r="H55" i="5"/>
  <c r="F55" i="5"/>
  <c r="V55" i="5"/>
  <c r="T55" i="5"/>
  <c r="R55" i="5"/>
  <c r="U55" i="5"/>
  <c r="S55" i="5"/>
  <c r="Q55" i="5"/>
  <c r="E55" i="5"/>
  <c r="D55" i="5"/>
  <c r="C55" i="5"/>
  <c r="B55" i="5"/>
  <c r="A55" i="5"/>
  <c r="J54" i="5"/>
  <c r="I54" i="5"/>
  <c r="H54" i="5"/>
  <c r="G54" i="5"/>
  <c r="F54" i="5"/>
  <c r="J53" i="5"/>
  <c r="I53" i="5"/>
  <c r="H53" i="5"/>
  <c r="G53" i="5"/>
  <c r="F53" i="5"/>
  <c r="J52" i="5"/>
  <c r="I52" i="5"/>
  <c r="H52" i="5"/>
  <c r="G52" i="5"/>
  <c r="F52" i="5"/>
  <c r="J51" i="5"/>
  <c r="I51" i="5"/>
  <c r="H51" i="5"/>
  <c r="G51" i="5"/>
  <c r="F51" i="5"/>
  <c r="C50" i="5"/>
  <c r="V49" i="5"/>
  <c r="J59" i="5" s="1"/>
  <c r="T49" i="5"/>
  <c r="J58" i="5" s="1"/>
  <c r="R49" i="5"/>
  <c r="U49" i="5"/>
  <c r="S49" i="5"/>
  <c r="Q49" i="5"/>
  <c r="E49" i="5"/>
  <c r="D49" i="5"/>
  <c r="C49" i="5"/>
  <c r="B49" i="5"/>
  <c r="A49" i="5"/>
  <c r="K47" i="5"/>
  <c r="H47" i="5"/>
  <c r="G47" i="5"/>
  <c r="E47" i="5"/>
  <c r="E46" i="5"/>
  <c r="J45" i="5"/>
  <c r="E45" i="5"/>
  <c r="E44" i="5"/>
  <c r="J43" i="5"/>
  <c r="I43" i="5"/>
  <c r="H43" i="5"/>
  <c r="F43" i="5"/>
  <c r="V43" i="5"/>
  <c r="T43" i="5"/>
  <c r="R43" i="5"/>
  <c r="U43" i="5"/>
  <c r="S43" i="5"/>
  <c r="Q43" i="5"/>
  <c r="E43" i="5"/>
  <c r="D43" i="5"/>
  <c r="C43" i="5"/>
  <c r="B43" i="5"/>
  <c r="A43" i="5"/>
  <c r="J42" i="5"/>
  <c r="I42" i="5"/>
  <c r="H42" i="5"/>
  <c r="F42" i="5"/>
  <c r="V42" i="5"/>
  <c r="T42" i="5"/>
  <c r="R42" i="5"/>
  <c r="U42" i="5"/>
  <c r="S42" i="5"/>
  <c r="Q42" i="5"/>
  <c r="E42" i="5"/>
  <c r="D42" i="5"/>
  <c r="C42" i="5"/>
  <c r="B42" i="5"/>
  <c r="A42" i="5"/>
  <c r="J41" i="5"/>
  <c r="I41" i="5"/>
  <c r="H41" i="5"/>
  <c r="F41" i="5"/>
  <c r="V41" i="5"/>
  <c r="T41" i="5"/>
  <c r="R41" i="5"/>
  <c r="U41" i="5"/>
  <c r="S41" i="5"/>
  <c r="Q41" i="5"/>
  <c r="E41" i="5"/>
  <c r="D41" i="5"/>
  <c r="C41" i="5"/>
  <c r="B41" i="5"/>
  <c r="A41" i="5"/>
  <c r="J40" i="5"/>
  <c r="I40" i="5"/>
  <c r="H40" i="5"/>
  <c r="G40" i="5"/>
  <c r="F40" i="5"/>
  <c r="J39" i="5"/>
  <c r="I39" i="5"/>
  <c r="H39" i="5"/>
  <c r="G39" i="5"/>
  <c r="F39" i="5"/>
  <c r="J38" i="5"/>
  <c r="I38" i="5"/>
  <c r="H38" i="5"/>
  <c r="G38" i="5"/>
  <c r="F38" i="5"/>
  <c r="J37" i="5"/>
  <c r="I37" i="5"/>
  <c r="H37" i="5"/>
  <c r="G37" i="5"/>
  <c r="F37" i="5"/>
  <c r="C36" i="5"/>
  <c r="V35" i="5"/>
  <c r="J46" i="5" s="1"/>
  <c r="T35" i="5"/>
  <c r="R35" i="5"/>
  <c r="J44" i="5" s="1"/>
  <c r="U35" i="5"/>
  <c r="S35" i="5"/>
  <c r="Q35" i="5"/>
  <c r="E35" i="5"/>
  <c r="D35" i="5"/>
  <c r="C35" i="5"/>
  <c r="B35" i="5"/>
  <c r="A35" i="5"/>
  <c r="A34" i="5"/>
  <c r="AE32" i="5"/>
  <c r="A32" i="5"/>
  <c r="A18" i="5"/>
  <c r="A15" i="5"/>
  <c r="A10" i="5"/>
  <c r="G6" i="5"/>
  <c r="B6" i="5"/>
  <c r="A1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1" i="3"/>
  <c r="CY1" i="3"/>
  <c r="CZ1" i="3"/>
  <c r="DB1" i="3" s="1"/>
  <c r="DA1" i="3"/>
  <c r="DC1" i="3"/>
  <c r="A2" i="3"/>
  <c r="CY2" i="3"/>
  <c r="CZ2" i="3"/>
  <c r="DA2" i="3"/>
  <c r="DB2" i="3"/>
  <c r="DC2" i="3"/>
  <c r="A3" i="3"/>
  <c r="CY3" i="3"/>
  <c r="CZ3" i="3"/>
  <c r="DA3" i="3"/>
  <c r="DB3" i="3"/>
  <c r="DC3" i="3"/>
  <c r="A4" i="3"/>
  <c r="CY4" i="3"/>
  <c r="CZ4" i="3"/>
  <c r="DB4" i="3" s="1"/>
  <c r="DA4" i="3"/>
  <c r="DC4" i="3"/>
  <c r="A5" i="3"/>
  <c r="CY5" i="3"/>
  <c r="CZ5" i="3"/>
  <c r="DB5" i="3" s="1"/>
  <c r="DA5" i="3"/>
  <c r="DC5" i="3"/>
  <c r="A6" i="3"/>
  <c r="CY6" i="3"/>
  <c r="CZ6" i="3"/>
  <c r="DA6" i="3"/>
  <c r="DB6" i="3"/>
  <c r="DC6" i="3"/>
  <c r="A7" i="3"/>
  <c r="CY7" i="3"/>
  <c r="CZ7" i="3"/>
  <c r="DA7" i="3"/>
  <c r="DB7" i="3"/>
  <c r="DC7" i="3"/>
  <c r="A8" i="3"/>
  <c r="CY8" i="3"/>
  <c r="CZ8" i="3"/>
  <c r="DB8" i="3" s="1"/>
  <c r="DA8" i="3"/>
  <c r="DC8" i="3"/>
  <c r="A9" i="3"/>
  <c r="CY9" i="3"/>
  <c r="CZ9" i="3"/>
  <c r="DB9" i="3" s="1"/>
  <c r="DA9" i="3"/>
  <c r="DC9" i="3"/>
  <c r="A10" i="3"/>
  <c r="CY10" i="3"/>
  <c r="CZ10" i="3"/>
  <c r="DA10" i="3"/>
  <c r="DB10" i="3"/>
  <c r="DC10" i="3"/>
  <c r="A11" i="3"/>
  <c r="CY11" i="3"/>
  <c r="CZ11" i="3"/>
  <c r="DA11" i="3"/>
  <c r="DB11" i="3"/>
  <c r="DC11" i="3"/>
  <c r="A12" i="3"/>
  <c r="CY12" i="3"/>
  <c r="CZ12" i="3"/>
  <c r="DB12" i="3" s="1"/>
  <c r="DA12" i="3"/>
  <c r="DC12" i="3"/>
  <c r="A13" i="3"/>
  <c r="CY13" i="3"/>
  <c r="CZ13" i="3"/>
  <c r="DB13" i="3" s="1"/>
  <c r="DA13" i="3"/>
  <c r="DC13" i="3"/>
  <c r="A14" i="3"/>
  <c r="CY14" i="3"/>
  <c r="CZ14" i="3"/>
  <c r="DA14" i="3"/>
  <c r="DB14" i="3"/>
  <c r="DC14" i="3"/>
  <c r="A15" i="3"/>
  <c r="CY15" i="3"/>
  <c r="CZ15" i="3"/>
  <c r="DA15" i="3"/>
  <c r="DB15" i="3"/>
  <c r="DC15" i="3"/>
  <c r="A16" i="3"/>
  <c r="CY16" i="3"/>
  <c r="CZ16" i="3"/>
  <c r="DB16" i="3" s="1"/>
  <c r="DA16" i="3"/>
  <c r="DC16" i="3"/>
  <c r="A17" i="3"/>
  <c r="CY17" i="3"/>
  <c r="CZ17" i="3"/>
  <c r="DB17" i="3" s="1"/>
  <c r="DA17" i="3"/>
  <c r="DC17" i="3"/>
  <c r="A18" i="3"/>
  <c r="CY18" i="3"/>
  <c r="CZ18" i="3"/>
  <c r="DA18" i="3"/>
  <c r="DB18" i="3"/>
  <c r="DC18" i="3"/>
  <c r="A19" i="3"/>
  <c r="CY19" i="3"/>
  <c r="CZ19" i="3"/>
  <c r="DA19" i="3"/>
  <c r="DB19" i="3"/>
  <c r="DC19" i="3"/>
  <c r="A20" i="3"/>
  <c r="CY20" i="3"/>
  <c r="CZ20" i="3"/>
  <c r="DB20" i="3" s="1"/>
  <c r="DA20" i="3"/>
  <c r="DC20" i="3"/>
  <c r="A21" i="3"/>
  <c r="CY21" i="3"/>
  <c r="CZ21" i="3"/>
  <c r="DB21" i="3" s="1"/>
  <c r="DA21" i="3"/>
  <c r="DC21" i="3"/>
  <c r="A22" i="3"/>
  <c r="CY22" i="3"/>
  <c r="CZ22" i="3"/>
  <c r="DA22" i="3"/>
  <c r="DB22" i="3"/>
  <c r="DC22" i="3"/>
  <c r="A23" i="3"/>
  <c r="CY23" i="3"/>
  <c r="CZ23" i="3"/>
  <c r="DA23" i="3"/>
  <c r="DB23" i="3"/>
  <c r="DC23" i="3"/>
  <c r="A24" i="3"/>
  <c r="CY24" i="3"/>
  <c r="CZ24" i="3"/>
  <c r="DB24" i="3" s="1"/>
  <c r="DA24" i="3"/>
  <c r="DC24" i="3"/>
  <c r="A25" i="3"/>
  <c r="CY25" i="3"/>
  <c r="CZ25" i="3"/>
  <c r="DB25" i="3" s="1"/>
  <c r="DA25" i="3"/>
  <c r="DC25" i="3"/>
  <c r="A26" i="3"/>
  <c r="CY26" i="3"/>
  <c r="CZ26" i="3"/>
  <c r="DA26" i="3"/>
  <c r="DB26" i="3"/>
  <c r="DC26" i="3"/>
  <c r="A27" i="3"/>
  <c r="CY27" i="3"/>
  <c r="CZ27" i="3"/>
  <c r="DA27" i="3"/>
  <c r="DB27" i="3"/>
  <c r="DC27" i="3"/>
  <c r="A28" i="3"/>
  <c r="CY28" i="3"/>
  <c r="CZ28" i="3"/>
  <c r="DB28" i="3" s="1"/>
  <c r="DA28" i="3"/>
  <c r="DC28" i="3"/>
  <c r="A29" i="3"/>
  <c r="CY29" i="3"/>
  <c r="CZ29" i="3"/>
  <c r="DB29" i="3" s="1"/>
  <c r="DA29" i="3"/>
  <c r="DC29" i="3"/>
  <c r="A30" i="3"/>
  <c r="CY30" i="3"/>
  <c r="CZ30" i="3"/>
  <c r="DA30" i="3"/>
  <c r="DB30" i="3"/>
  <c r="DC30" i="3"/>
  <c r="A31" i="3"/>
  <c r="CY31" i="3"/>
  <c r="CZ31" i="3"/>
  <c r="DA31" i="3"/>
  <c r="DB31" i="3"/>
  <c r="DC31" i="3"/>
  <c r="A32" i="3"/>
  <c r="CY32" i="3"/>
  <c r="CZ32" i="3"/>
  <c r="DB32" i="3" s="1"/>
  <c r="DA32" i="3"/>
  <c r="DC32" i="3"/>
  <c r="A33" i="3"/>
  <c r="CY33" i="3"/>
  <c r="CZ33" i="3"/>
  <c r="DB33" i="3" s="1"/>
  <c r="DA33" i="3"/>
  <c r="DC33" i="3"/>
  <c r="A34" i="3"/>
  <c r="CY34" i="3"/>
  <c r="CZ34" i="3"/>
  <c r="DA34" i="3"/>
  <c r="DB34" i="3"/>
  <c r="DC34" i="3"/>
  <c r="A35" i="3"/>
  <c r="CY35" i="3"/>
  <c r="CZ35" i="3"/>
  <c r="DA35" i="3"/>
  <c r="DB35" i="3"/>
  <c r="DC35" i="3"/>
  <c r="A36" i="3"/>
  <c r="CY36" i="3"/>
  <c r="CZ36" i="3"/>
  <c r="DB36" i="3" s="1"/>
  <c r="DA36" i="3"/>
  <c r="DC36" i="3"/>
  <c r="A37" i="3"/>
  <c r="CY37" i="3"/>
  <c r="CZ37" i="3"/>
  <c r="DB37" i="3" s="1"/>
  <c r="DA37" i="3"/>
  <c r="DC37" i="3"/>
  <c r="A38" i="3"/>
  <c r="CY38" i="3"/>
  <c r="CZ38" i="3"/>
  <c r="DA38" i="3"/>
  <c r="DB38" i="3"/>
  <c r="DC38" i="3"/>
  <c r="A39" i="3"/>
  <c r="CY39" i="3"/>
  <c r="CZ39" i="3"/>
  <c r="DA39" i="3"/>
  <c r="DB39" i="3"/>
  <c r="DC39" i="3"/>
  <c r="A40" i="3"/>
  <c r="CY40" i="3"/>
  <c r="CZ40" i="3"/>
  <c r="DB40" i="3" s="1"/>
  <c r="DA40" i="3"/>
  <c r="DC40" i="3"/>
  <c r="A41" i="3"/>
  <c r="CY41" i="3"/>
  <c r="CZ41" i="3"/>
  <c r="DB41" i="3" s="1"/>
  <c r="DA41" i="3"/>
  <c r="DC41" i="3"/>
  <c r="A42" i="3"/>
  <c r="CY42" i="3"/>
  <c r="CZ42" i="3"/>
  <c r="DA42" i="3"/>
  <c r="DB42" i="3"/>
  <c r="DC42" i="3"/>
  <c r="A43" i="3"/>
  <c r="CY43" i="3"/>
  <c r="CZ43" i="3"/>
  <c r="DA43" i="3"/>
  <c r="DB43" i="3"/>
  <c r="DC43" i="3"/>
  <c r="A44" i="3"/>
  <c r="CY44" i="3"/>
  <c r="CZ44" i="3"/>
  <c r="DB44" i="3" s="1"/>
  <c r="DA44" i="3"/>
  <c r="DC44" i="3"/>
  <c r="A45" i="3"/>
  <c r="CY45" i="3"/>
  <c r="CZ45" i="3"/>
  <c r="DB45" i="3" s="1"/>
  <c r="DA45" i="3"/>
  <c r="DC45" i="3"/>
  <c r="A46" i="3"/>
  <c r="CY46" i="3"/>
  <c r="CZ46" i="3"/>
  <c r="DA46" i="3"/>
  <c r="DB46" i="3"/>
  <c r="DC46" i="3"/>
  <c r="A47" i="3"/>
  <c r="CY47" i="3"/>
  <c r="CZ47" i="3"/>
  <c r="DA47" i="3"/>
  <c r="DB47" i="3"/>
  <c r="DC47" i="3"/>
  <c r="A48" i="3"/>
  <c r="CY48" i="3"/>
  <c r="CZ48" i="3"/>
  <c r="DB48" i="3" s="1"/>
  <c r="DA48" i="3"/>
  <c r="DC48" i="3"/>
  <c r="A49" i="3"/>
  <c r="CX49" i="3"/>
  <c r="CY49" i="3"/>
  <c r="CZ49" i="3"/>
  <c r="DB49" i="3" s="1"/>
  <c r="DA49" i="3"/>
  <c r="DC49" i="3"/>
  <c r="A50" i="3"/>
  <c r="CY50" i="3"/>
  <c r="CZ50" i="3"/>
  <c r="DA50" i="3"/>
  <c r="DB50" i="3"/>
  <c r="DC50" i="3"/>
  <c r="A51" i="3"/>
  <c r="CY51" i="3"/>
  <c r="CZ51" i="3"/>
  <c r="DA51" i="3"/>
  <c r="DB51" i="3"/>
  <c r="DC51" i="3"/>
  <c r="A52" i="3"/>
  <c r="CY52" i="3"/>
  <c r="CZ52" i="3"/>
  <c r="DB52" i="3" s="1"/>
  <c r="DA52" i="3"/>
  <c r="DC52" i="3"/>
  <c r="A53" i="3"/>
  <c r="CY53" i="3"/>
  <c r="CZ53" i="3"/>
  <c r="DB53" i="3" s="1"/>
  <c r="DA53" i="3"/>
  <c r="DC53" i="3"/>
  <c r="A54" i="3"/>
  <c r="CY54" i="3"/>
  <c r="CZ54" i="3"/>
  <c r="DA54" i="3"/>
  <c r="DB54" i="3"/>
  <c r="DC54" i="3"/>
  <c r="A55" i="3"/>
  <c r="CY55" i="3"/>
  <c r="CZ55" i="3"/>
  <c r="DA55" i="3"/>
  <c r="DB55" i="3"/>
  <c r="DC55" i="3"/>
  <c r="A56" i="3"/>
  <c r="CY56" i="3"/>
  <c r="CZ56" i="3"/>
  <c r="DB56" i="3" s="1"/>
  <c r="DA56" i="3"/>
  <c r="DC56" i="3"/>
  <c r="A57" i="3"/>
  <c r="CY57" i="3"/>
  <c r="CZ57" i="3"/>
  <c r="DB57" i="3" s="1"/>
  <c r="DA57" i="3"/>
  <c r="DC57" i="3"/>
  <c r="A58" i="3"/>
  <c r="CY58" i="3"/>
  <c r="CZ58" i="3"/>
  <c r="DA58" i="3"/>
  <c r="DB58" i="3"/>
  <c r="DC58" i="3"/>
  <c r="A59" i="3"/>
  <c r="CY59" i="3"/>
  <c r="CZ59" i="3"/>
  <c r="DA59" i="3"/>
  <c r="DB59" i="3"/>
  <c r="DC59" i="3"/>
  <c r="A60" i="3"/>
  <c r="CY60" i="3"/>
  <c r="CZ60" i="3"/>
  <c r="DB60" i="3" s="1"/>
  <c r="DA60" i="3"/>
  <c r="DC60" i="3"/>
  <c r="A61" i="3"/>
  <c r="CY61" i="3"/>
  <c r="CZ61" i="3"/>
  <c r="DB61" i="3" s="1"/>
  <c r="DA61" i="3"/>
  <c r="DC61" i="3"/>
  <c r="A62" i="3"/>
  <c r="CY62" i="3"/>
  <c r="CZ62" i="3"/>
  <c r="DA62" i="3"/>
  <c r="DB62" i="3"/>
  <c r="DC62" i="3"/>
  <c r="A63" i="3"/>
  <c r="CY63" i="3"/>
  <c r="CZ63" i="3"/>
  <c r="DA63" i="3"/>
  <c r="DB63" i="3"/>
  <c r="DC63" i="3"/>
  <c r="A64" i="3"/>
  <c r="CY64" i="3"/>
  <c r="CZ64" i="3"/>
  <c r="DB64" i="3" s="1"/>
  <c r="DA64" i="3"/>
  <c r="DC64" i="3"/>
  <c r="A65" i="3"/>
  <c r="CY65" i="3"/>
  <c r="CZ65" i="3"/>
  <c r="DB65" i="3" s="1"/>
  <c r="DA65" i="3"/>
  <c r="DC65" i="3"/>
  <c r="A66" i="3"/>
  <c r="CY66" i="3"/>
  <c r="CZ66" i="3"/>
  <c r="DA66" i="3"/>
  <c r="DB66" i="3"/>
  <c r="DC66" i="3"/>
  <c r="A67" i="3"/>
  <c r="CY67" i="3"/>
  <c r="CZ67" i="3"/>
  <c r="DA67" i="3"/>
  <c r="DB67" i="3"/>
  <c r="DC67" i="3"/>
  <c r="A68" i="3"/>
  <c r="CY68" i="3"/>
  <c r="CZ68" i="3"/>
  <c r="DB68" i="3" s="1"/>
  <c r="DA68" i="3"/>
  <c r="DC68" i="3"/>
  <c r="A69" i="3"/>
  <c r="CY69" i="3"/>
  <c r="CZ69" i="3"/>
  <c r="DB69" i="3" s="1"/>
  <c r="DA69" i="3"/>
  <c r="DC69" i="3"/>
  <c r="A70" i="3"/>
  <c r="CY70" i="3"/>
  <c r="CZ70" i="3"/>
  <c r="DA70" i="3"/>
  <c r="DB70" i="3"/>
  <c r="DC70" i="3"/>
  <c r="A71" i="3"/>
  <c r="CY71" i="3"/>
  <c r="CZ71" i="3"/>
  <c r="DA71" i="3"/>
  <c r="DB71" i="3"/>
  <c r="DC71" i="3"/>
  <c r="A72" i="3"/>
  <c r="CY72" i="3"/>
  <c r="CZ72" i="3"/>
  <c r="DB72" i="3" s="1"/>
  <c r="DA72" i="3"/>
  <c r="DC72" i="3"/>
  <c r="A73" i="3"/>
  <c r="CY73" i="3"/>
  <c r="CZ73" i="3"/>
  <c r="DB73" i="3" s="1"/>
  <c r="DA73" i="3"/>
  <c r="DC73" i="3"/>
  <c r="A74" i="3"/>
  <c r="CY74" i="3"/>
  <c r="CZ74" i="3"/>
  <c r="DA74" i="3"/>
  <c r="DB74" i="3"/>
  <c r="DC74" i="3"/>
  <c r="A75" i="3"/>
  <c r="CY75" i="3"/>
  <c r="CZ75" i="3"/>
  <c r="DA75" i="3"/>
  <c r="DB75" i="3"/>
  <c r="DC75" i="3"/>
  <c r="A76" i="3"/>
  <c r="CY76" i="3"/>
  <c r="CZ76" i="3"/>
  <c r="DB76" i="3" s="1"/>
  <c r="DA76" i="3"/>
  <c r="DC76" i="3"/>
  <c r="A77" i="3"/>
  <c r="CY77" i="3"/>
  <c r="CZ77" i="3"/>
  <c r="DB77" i="3" s="1"/>
  <c r="DA77" i="3"/>
  <c r="DC77" i="3"/>
  <c r="A78" i="3"/>
  <c r="CY78" i="3"/>
  <c r="CZ78" i="3"/>
  <c r="DA78" i="3"/>
  <c r="DB78" i="3"/>
  <c r="DC78" i="3"/>
  <c r="A79" i="3"/>
  <c r="CY79" i="3"/>
  <c r="CZ79" i="3"/>
  <c r="DA79" i="3"/>
  <c r="DB79" i="3"/>
  <c r="DC79" i="3"/>
  <c r="A80" i="3"/>
  <c r="CY80" i="3"/>
  <c r="CZ80" i="3"/>
  <c r="DB80" i="3" s="1"/>
  <c r="DA80" i="3"/>
  <c r="DC80" i="3"/>
  <c r="A81" i="3"/>
  <c r="CY81" i="3"/>
  <c r="CZ81" i="3"/>
  <c r="DB81" i="3" s="1"/>
  <c r="DA81" i="3"/>
  <c r="DC81" i="3"/>
  <c r="A82" i="3"/>
  <c r="CY82" i="3"/>
  <c r="CZ82" i="3"/>
  <c r="DA82" i="3"/>
  <c r="DB82" i="3"/>
  <c r="DC82" i="3"/>
  <c r="A83" i="3"/>
  <c r="CY83" i="3"/>
  <c r="CZ83" i="3"/>
  <c r="DA83" i="3"/>
  <c r="DB83" i="3"/>
  <c r="DC83" i="3"/>
  <c r="A84" i="3"/>
  <c r="CY84" i="3"/>
  <c r="CZ84" i="3"/>
  <c r="DB84" i="3" s="1"/>
  <c r="DA84" i="3"/>
  <c r="DC84" i="3"/>
  <c r="A85" i="3"/>
  <c r="CY85" i="3"/>
  <c r="CZ85" i="3"/>
  <c r="DB85" i="3" s="1"/>
  <c r="DA85" i="3"/>
  <c r="DC85" i="3"/>
  <c r="A86" i="3"/>
  <c r="CY86" i="3"/>
  <c r="CZ86" i="3"/>
  <c r="DA86" i="3"/>
  <c r="DB86" i="3"/>
  <c r="DC86" i="3"/>
  <c r="A87" i="3"/>
  <c r="CY87" i="3"/>
  <c r="CZ87" i="3"/>
  <c r="DA87" i="3"/>
  <c r="DB87" i="3"/>
  <c r="DC87" i="3"/>
  <c r="A88" i="3"/>
  <c r="CY88" i="3"/>
  <c r="CZ88" i="3"/>
  <c r="DB88" i="3" s="1"/>
  <c r="DA88" i="3"/>
  <c r="DC88" i="3"/>
  <c r="A89" i="3"/>
  <c r="CY89" i="3"/>
  <c r="CZ89" i="3"/>
  <c r="DB89" i="3" s="1"/>
  <c r="DA89" i="3"/>
  <c r="DC89" i="3"/>
  <c r="A90" i="3"/>
  <c r="CY90" i="3"/>
  <c r="CZ90" i="3"/>
  <c r="DA90" i="3"/>
  <c r="DB90" i="3"/>
  <c r="DC90" i="3"/>
  <c r="A91" i="3"/>
  <c r="CY91" i="3"/>
  <c r="CZ91" i="3"/>
  <c r="DA91" i="3"/>
  <c r="DB91" i="3"/>
  <c r="DC91" i="3"/>
  <c r="A92" i="3"/>
  <c r="CY92" i="3"/>
  <c r="CZ92" i="3"/>
  <c r="DB92" i="3" s="1"/>
  <c r="DA92" i="3"/>
  <c r="DC92" i="3"/>
  <c r="A93" i="3"/>
  <c r="CY93" i="3"/>
  <c r="CZ93" i="3"/>
  <c r="DB93" i="3" s="1"/>
  <c r="DA93" i="3"/>
  <c r="DC93" i="3"/>
  <c r="A94" i="3"/>
  <c r="CY94" i="3"/>
  <c r="CZ94" i="3"/>
  <c r="DA94" i="3"/>
  <c r="DB94" i="3"/>
  <c r="DC94" i="3"/>
  <c r="A95" i="3"/>
  <c r="CY95" i="3"/>
  <c r="CZ95" i="3"/>
  <c r="DA95" i="3"/>
  <c r="DB95" i="3"/>
  <c r="DC95" i="3"/>
  <c r="A96" i="3"/>
  <c r="CY96" i="3"/>
  <c r="CZ96" i="3"/>
  <c r="DB96" i="3" s="1"/>
  <c r="DA96" i="3"/>
  <c r="DC96" i="3"/>
  <c r="A97" i="3"/>
  <c r="CY97" i="3"/>
  <c r="CZ97" i="3"/>
  <c r="DB97" i="3" s="1"/>
  <c r="DA97" i="3"/>
  <c r="DC97" i="3"/>
  <c r="A98" i="3"/>
  <c r="CY98" i="3"/>
  <c r="CZ98" i="3"/>
  <c r="DA98" i="3"/>
  <c r="DB98" i="3"/>
  <c r="DC98" i="3"/>
  <c r="A99" i="3"/>
  <c r="CY99" i="3"/>
  <c r="CZ99" i="3"/>
  <c r="DA99" i="3"/>
  <c r="DB99" i="3"/>
  <c r="DC99" i="3"/>
  <c r="A100" i="3"/>
  <c r="CY100" i="3"/>
  <c r="CZ100" i="3"/>
  <c r="DB100" i="3" s="1"/>
  <c r="DA100" i="3"/>
  <c r="DC100" i="3"/>
  <c r="A101" i="3"/>
  <c r="CY101" i="3"/>
  <c r="CZ101" i="3"/>
  <c r="DB101" i="3" s="1"/>
  <c r="DA101" i="3"/>
  <c r="DC101" i="3"/>
  <c r="A102" i="3"/>
  <c r="CY102" i="3"/>
  <c r="CZ102" i="3"/>
  <c r="DA102" i="3"/>
  <c r="DB102" i="3"/>
  <c r="DC102" i="3"/>
  <c r="A103" i="3"/>
  <c r="CY103" i="3"/>
  <c r="CZ103" i="3"/>
  <c r="DA103" i="3"/>
  <c r="DB103" i="3"/>
  <c r="DC103" i="3"/>
  <c r="A104" i="3"/>
  <c r="CY104" i="3"/>
  <c r="CZ104" i="3"/>
  <c r="DB104" i="3" s="1"/>
  <c r="DA104" i="3"/>
  <c r="DC104" i="3"/>
  <c r="A105" i="3"/>
  <c r="CY105" i="3"/>
  <c r="CZ105" i="3"/>
  <c r="DB105" i="3" s="1"/>
  <c r="DA105" i="3"/>
  <c r="DC105" i="3"/>
  <c r="A106" i="3"/>
  <c r="CY106" i="3"/>
  <c r="CZ106" i="3"/>
  <c r="DA106" i="3"/>
  <c r="DB106" i="3"/>
  <c r="DC106" i="3"/>
  <c r="A107" i="3"/>
  <c r="CY107" i="3"/>
  <c r="CZ107" i="3"/>
  <c r="DA107" i="3"/>
  <c r="DB107" i="3"/>
  <c r="DC107" i="3"/>
  <c r="A108" i="3"/>
  <c r="CY108" i="3"/>
  <c r="CZ108" i="3"/>
  <c r="DB108" i="3" s="1"/>
  <c r="DA108" i="3"/>
  <c r="DC108" i="3"/>
  <c r="A109" i="3"/>
  <c r="CY109" i="3"/>
  <c r="CZ109" i="3"/>
  <c r="DB109" i="3" s="1"/>
  <c r="DA109" i="3"/>
  <c r="DC109" i="3"/>
  <c r="A110" i="3"/>
  <c r="CY110" i="3"/>
  <c r="CZ110" i="3"/>
  <c r="DA110" i="3"/>
  <c r="DB110" i="3"/>
  <c r="DC110" i="3"/>
  <c r="A111" i="3"/>
  <c r="CY111" i="3"/>
  <c r="CZ111" i="3"/>
  <c r="DA111" i="3"/>
  <c r="DB111" i="3"/>
  <c r="DC111" i="3"/>
  <c r="A112" i="3"/>
  <c r="CY112" i="3"/>
  <c r="CZ112" i="3"/>
  <c r="DB112" i="3" s="1"/>
  <c r="DA112" i="3"/>
  <c r="DC112" i="3"/>
  <c r="A113" i="3"/>
  <c r="CY113" i="3"/>
  <c r="CZ113" i="3"/>
  <c r="DB113" i="3" s="1"/>
  <c r="DA113" i="3"/>
  <c r="DC113" i="3"/>
  <c r="A114" i="3"/>
  <c r="CY114" i="3"/>
  <c r="CZ114" i="3"/>
  <c r="DA114" i="3"/>
  <c r="DB114" i="3"/>
  <c r="DC114" i="3"/>
  <c r="A115" i="3"/>
  <c r="CY115" i="3"/>
  <c r="CZ115" i="3"/>
  <c r="DA115" i="3"/>
  <c r="DB115" i="3"/>
  <c r="DC115" i="3"/>
  <c r="A116" i="3"/>
  <c r="CY116" i="3"/>
  <c r="CZ116" i="3"/>
  <c r="DB116" i="3" s="1"/>
  <c r="DA116" i="3"/>
  <c r="DC116" i="3"/>
  <c r="A117" i="3"/>
  <c r="CY117" i="3"/>
  <c r="CZ117" i="3"/>
  <c r="DB117" i="3" s="1"/>
  <c r="DA117" i="3"/>
  <c r="DC117" i="3"/>
  <c r="A118" i="3"/>
  <c r="CY118" i="3"/>
  <c r="CZ118" i="3"/>
  <c r="DA118" i="3"/>
  <c r="DB118" i="3"/>
  <c r="DC118" i="3"/>
  <c r="A119" i="3"/>
  <c r="CY119" i="3"/>
  <c r="CZ119" i="3"/>
  <c r="DA119" i="3"/>
  <c r="DB119" i="3"/>
  <c r="DC119" i="3"/>
  <c r="A120" i="3"/>
  <c r="CY120" i="3"/>
  <c r="CZ120" i="3"/>
  <c r="DB120" i="3" s="1"/>
  <c r="DA120" i="3"/>
  <c r="DC120" i="3"/>
  <c r="A121" i="3"/>
  <c r="CY121" i="3"/>
  <c r="CZ121" i="3"/>
  <c r="DB121" i="3" s="1"/>
  <c r="DA121" i="3"/>
  <c r="DC121" i="3"/>
  <c r="A122" i="3"/>
  <c r="CY122" i="3"/>
  <c r="CZ122" i="3"/>
  <c r="DA122" i="3"/>
  <c r="DB122" i="3"/>
  <c r="DC122" i="3"/>
  <c r="A123" i="3"/>
  <c r="CY123" i="3"/>
  <c r="CZ123" i="3"/>
  <c r="DA123" i="3"/>
  <c r="DB123" i="3"/>
  <c r="DC123" i="3"/>
  <c r="A124" i="3"/>
  <c r="CY124" i="3"/>
  <c r="CZ124" i="3"/>
  <c r="DB124" i="3" s="1"/>
  <c r="DA124" i="3"/>
  <c r="DC124" i="3"/>
  <c r="A125" i="3"/>
  <c r="CY125" i="3"/>
  <c r="CZ125" i="3"/>
  <c r="DB125" i="3" s="1"/>
  <c r="DA125" i="3"/>
  <c r="DC125" i="3"/>
  <c r="A126" i="3"/>
  <c r="CY126" i="3"/>
  <c r="CZ126" i="3"/>
  <c r="DA126" i="3"/>
  <c r="DB126" i="3"/>
  <c r="DC126" i="3"/>
  <c r="A127" i="3"/>
  <c r="CY127" i="3"/>
  <c r="CZ127" i="3"/>
  <c r="DA127" i="3"/>
  <c r="DB127" i="3"/>
  <c r="DC127" i="3"/>
  <c r="A128" i="3"/>
  <c r="CY128" i="3"/>
  <c r="CZ128" i="3"/>
  <c r="DB128" i="3" s="1"/>
  <c r="DA128" i="3"/>
  <c r="DC128" i="3"/>
  <c r="A129" i="3"/>
  <c r="CY129" i="3"/>
  <c r="CZ129" i="3"/>
  <c r="DB129" i="3" s="1"/>
  <c r="DA129" i="3"/>
  <c r="DC129" i="3"/>
  <c r="A130" i="3"/>
  <c r="CY130" i="3"/>
  <c r="CZ130" i="3"/>
  <c r="DA130" i="3"/>
  <c r="DB130" i="3"/>
  <c r="DC130" i="3"/>
  <c r="A131" i="3"/>
  <c r="CY131" i="3"/>
  <c r="CZ131" i="3"/>
  <c r="DA131" i="3"/>
  <c r="DB131" i="3"/>
  <c r="DC131" i="3"/>
  <c r="A132" i="3"/>
  <c r="CY132" i="3"/>
  <c r="CZ132" i="3"/>
  <c r="DB132" i="3" s="1"/>
  <c r="DA132" i="3"/>
  <c r="DC132" i="3"/>
  <c r="A133" i="3"/>
  <c r="CY133" i="3"/>
  <c r="CZ133" i="3"/>
  <c r="DB133" i="3" s="1"/>
  <c r="DA133" i="3"/>
  <c r="DC133" i="3"/>
  <c r="A134" i="3"/>
  <c r="CY134" i="3"/>
  <c r="CZ134" i="3"/>
  <c r="DA134" i="3"/>
  <c r="DB134" i="3"/>
  <c r="DC134" i="3"/>
  <c r="A135" i="3"/>
  <c r="CY135" i="3"/>
  <c r="CZ135" i="3"/>
  <c r="DA135" i="3"/>
  <c r="DB135" i="3"/>
  <c r="DC135" i="3"/>
  <c r="A136" i="3"/>
  <c r="CX136" i="3"/>
  <c r="CY136" i="3"/>
  <c r="CZ136" i="3"/>
  <c r="DB136" i="3" s="1"/>
  <c r="DA136" i="3"/>
  <c r="DC136" i="3"/>
  <c r="A137" i="3"/>
  <c r="CX137" i="3"/>
  <c r="CY137" i="3"/>
  <c r="CZ137" i="3"/>
  <c r="DB137" i="3" s="1"/>
  <c r="DA137" i="3"/>
  <c r="DC137" i="3"/>
  <c r="A138" i="3"/>
  <c r="CX138" i="3"/>
  <c r="CY138" i="3"/>
  <c r="CZ138" i="3"/>
  <c r="DA138" i="3"/>
  <c r="DB138" i="3"/>
  <c r="DC138" i="3"/>
  <c r="A139" i="3"/>
  <c r="CX139" i="3"/>
  <c r="CY139" i="3"/>
  <c r="CZ139" i="3"/>
  <c r="DA139" i="3"/>
  <c r="DB139" i="3"/>
  <c r="DC139" i="3"/>
  <c r="A140" i="3"/>
  <c r="CX140" i="3"/>
  <c r="CY140" i="3"/>
  <c r="CZ140" i="3"/>
  <c r="DB140" i="3" s="1"/>
  <c r="DA140" i="3"/>
  <c r="DC140" i="3"/>
  <c r="A141" i="3"/>
  <c r="CX141" i="3"/>
  <c r="CY141" i="3"/>
  <c r="CZ141" i="3"/>
  <c r="DB141" i="3" s="1"/>
  <c r="DA141" i="3"/>
  <c r="DC141" i="3"/>
  <c r="A142" i="3"/>
  <c r="CX142" i="3"/>
  <c r="CY142" i="3"/>
  <c r="CZ142" i="3"/>
  <c r="DA142" i="3"/>
  <c r="DB142" i="3"/>
  <c r="DC142" i="3"/>
  <c r="A143" i="3"/>
  <c r="CX143" i="3"/>
  <c r="CY143" i="3"/>
  <c r="CZ143" i="3"/>
  <c r="DA143" i="3"/>
  <c r="DB143" i="3"/>
  <c r="DC143" i="3"/>
  <c r="A144" i="3"/>
  <c r="CX144" i="3"/>
  <c r="CY144" i="3"/>
  <c r="CZ144" i="3"/>
  <c r="DB144" i="3" s="1"/>
  <c r="DA144" i="3"/>
  <c r="DC144" i="3"/>
  <c r="A145" i="3"/>
  <c r="CY145" i="3"/>
  <c r="CZ145" i="3"/>
  <c r="DB145" i="3" s="1"/>
  <c r="DA145" i="3"/>
  <c r="DC145" i="3"/>
  <c r="A146" i="3"/>
  <c r="CY146" i="3"/>
  <c r="CZ146" i="3"/>
  <c r="DA146" i="3"/>
  <c r="DB146" i="3"/>
  <c r="DC146" i="3"/>
  <c r="A147" i="3"/>
  <c r="CY147" i="3"/>
  <c r="CZ147" i="3"/>
  <c r="DA147" i="3"/>
  <c r="DB147" i="3"/>
  <c r="DC147" i="3"/>
  <c r="A148" i="3"/>
  <c r="CY148" i="3"/>
  <c r="CZ148" i="3"/>
  <c r="DB148" i="3" s="1"/>
  <c r="DA148" i="3"/>
  <c r="DC148" i="3"/>
  <c r="A149" i="3"/>
  <c r="CY149" i="3"/>
  <c r="CZ149" i="3"/>
  <c r="DB149" i="3" s="1"/>
  <c r="DA149" i="3"/>
  <c r="DC149" i="3"/>
  <c r="A150" i="3"/>
  <c r="CY150" i="3"/>
  <c r="CZ150" i="3"/>
  <c r="DA150" i="3"/>
  <c r="DB150" i="3"/>
  <c r="DC150" i="3"/>
  <c r="A151" i="3"/>
  <c r="CX151" i="3"/>
  <c r="CY151" i="3"/>
  <c r="CZ151" i="3"/>
  <c r="DA151" i="3"/>
  <c r="DB151" i="3"/>
  <c r="DC151" i="3"/>
  <c r="A152" i="3"/>
  <c r="CX152" i="3"/>
  <c r="CY152" i="3"/>
  <c r="CZ152" i="3"/>
  <c r="DB152" i="3" s="1"/>
  <c r="DA152" i="3"/>
  <c r="DC152" i="3"/>
  <c r="A153" i="3"/>
  <c r="CX153" i="3"/>
  <c r="CY153" i="3"/>
  <c r="CZ153" i="3"/>
  <c r="DB153" i="3" s="1"/>
  <c r="DA153" i="3"/>
  <c r="DC153" i="3"/>
  <c r="A154" i="3"/>
  <c r="CX154" i="3"/>
  <c r="CY154" i="3"/>
  <c r="CZ154" i="3"/>
  <c r="DA154" i="3"/>
  <c r="DB154" i="3"/>
  <c r="DC154" i="3"/>
  <c r="A155" i="3"/>
  <c r="CY155" i="3"/>
  <c r="CZ155" i="3"/>
  <c r="DA155" i="3"/>
  <c r="DB155" i="3"/>
  <c r="DC155" i="3"/>
  <c r="A156" i="3"/>
  <c r="CY156" i="3"/>
  <c r="CZ156" i="3"/>
  <c r="DB156" i="3" s="1"/>
  <c r="DA156" i="3"/>
  <c r="DC156" i="3"/>
  <c r="A157" i="3"/>
  <c r="CY157" i="3"/>
  <c r="CZ157" i="3"/>
  <c r="DB157" i="3" s="1"/>
  <c r="DA157" i="3"/>
  <c r="DC157" i="3"/>
  <c r="A158" i="3"/>
  <c r="CY158" i="3"/>
  <c r="CZ158" i="3"/>
  <c r="DA158" i="3"/>
  <c r="DB158" i="3"/>
  <c r="DC158" i="3"/>
  <c r="A159" i="3"/>
  <c r="CY159" i="3"/>
  <c r="CZ159" i="3"/>
  <c r="DA159" i="3"/>
  <c r="DB159" i="3"/>
  <c r="DC159" i="3"/>
  <c r="A160" i="3"/>
  <c r="CY160" i="3"/>
  <c r="CZ160" i="3"/>
  <c r="DB160" i="3" s="1"/>
  <c r="DA160" i="3"/>
  <c r="DC160" i="3"/>
  <c r="A161" i="3"/>
  <c r="CY161" i="3"/>
  <c r="CZ161" i="3"/>
  <c r="DB161" i="3" s="1"/>
  <c r="DA161" i="3"/>
  <c r="DC161" i="3"/>
  <c r="A162" i="3"/>
  <c r="CY162" i="3"/>
  <c r="CZ162" i="3"/>
  <c r="DA162" i="3"/>
  <c r="DB162" i="3"/>
  <c r="DC162" i="3"/>
  <c r="A163" i="3"/>
  <c r="CY163" i="3"/>
  <c r="CZ163" i="3"/>
  <c r="DA163" i="3"/>
  <c r="DB163" i="3"/>
  <c r="DC163" i="3"/>
  <c r="A164" i="3"/>
  <c r="CY164" i="3"/>
  <c r="CZ164" i="3"/>
  <c r="DB164" i="3" s="1"/>
  <c r="DA164" i="3"/>
  <c r="DC164" i="3"/>
  <c r="A165" i="3"/>
  <c r="CY165" i="3"/>
  <c r="CZ165" i="3"/>
  <c r="DB165" i="3" s="1"/>
  <c r="DA165" i="3"/>
  <c r="DC165" i="3"/>
  <c r="A166" i="3"/>
  <c r="CY166" i="3"/>
  <c r="CZ166" i="3"/>
  <c r="DA166" i="3"/>
  <c r="DB166" i="3"/>
  <c r="DC166" i="3"/>
  <c r="A167" i="3"/>
  <c r="CY167" i="3"/>
  <c r="CZ167" i="3"/>
  <c r="DA167" i="3"/>
  <c r="DB167" i="3"/>
  <c r="DC167" i="3"/>
  <c r="A168" i="3"/>
  <c r="CY168" i="3"/>
  <c r="CZ168" i="3"/>
  <c r="DB168" i="3" s="1"/>
  <c r="DA168" i="3"/>
  <c r="DC168" i="3"/>
  <c r="A169" i="3"/>
  <c r="CY169" i="3"/>
  <c r="CZ169" i="3"/>
  <c r="DB169" i="3" s="1"/>
  <c r="DA169" i="3"/>
  <c r="DC169" i="3"/>
  <c r="A170" i="3"/>
  <c r="CY170" i="3"/>
  <c r="CZ170" i="3"/>
  <c r="DA170" i="3"/>
  <c r="DB170" i="3"/>
  <c r="DC170" i="3"/>
  <c r="A171" i="3"/>
  <c r="CY171" i="3"/>
  <c r="CZ171" i="3"/>
  <c r="DA171" i="3"/>
  <c r="DB171" i="3"/>
  <c r="DC171" i="3"/>
  <c r="A172" i="3"/>
  <c r="CY172" i="3"/>
  <c r="CZ172" i="3"/>
  <c r="DB172" i="3" s="1"/>
  <c r="DA172" i="3"/>
  <c r="DC172" i="3"/>
  <c r="A173" i="3"/>
  <c r="CY173" i="3"/>
  <c r="CZ173" i="3"/>
  <c r="DB173" i="3" s="1"/>
  <c r="DA173" i="3"/>
  <c r="DC173" i="3"/>
  <c r="A174" i="3"/>
  <c r="CY174" i="3"/>
  <c r="CZ174" i="3"/>
  <c r="DA174" i="3"/>
  <c r="DB174" i="3"/>
  <c r="DC174" i="3"/>
  <c r="A175" i="3"/>
  <c r="CY175" i="3"/>
  <c r="CZ175" i="3"/>
  <c r="DA175" i="3"/>
  <c r="DB175" i="3"/>
  <c r="DC175" i="3"/>
  <c r="A176" i="3"/>
  <c r="CY176" i="3"/>
  <c r="CZ176" i="3"/>
  <c r="DB176" i="3" s="1"/>
  <c r="DA176" i="3"/>
  <c r="DC176" i="3"/>
  <c r="A177" i="3"/>
  <c r="CY177" i="3"/>
  <c r="CZ177" i="3"/>
  <c r="DA177" i="3"/>
  <c r="DB177" i="3"/>
  <c r="DC177" i="3"/>
  <c r="A178" i="3"/>
  <c r="CY178" i="3"/>
  <c r="CZ178" i="3"/>
  <c r="DA178" i="3"/>
  <c r="DB178" i="3"/>
  <c r="DC178" i="3"/>
  <c r="A179" i="3"/>
  <c r="CY179" i="3"/>
  <c r="CZ179" i="3"/>
  <c r="DB179" i="3" s="1"/>
  <c r="DA179" i="3"/>
  <c r="DC179" i="3"/>
  <c r="A180" i="3"/>
  <c r="CY180" i="3"/>
  <c r="CZ180" i="3"/>
  <c r="DA180" i="3"/>
  <c r="DB180" i="3"/>
  <c r="DC180" i="3"/>
  <c r="A181" i="3"/>
  <c r="CY181" i="3"/>
  <c r="CZ181" i="3"/>
  <c r="DB181" i="3" s="1"/>
  <c r="DA181" i="3"/>
  <c r="DC181" i="3"/>
  <c r="A182" i="3"/>
  <c r="CY182" i="3"/>
  <c r="CZ182" i="3"/>
  <c r="DB182" i="3" s="1"/>
  <c r="DA182" i="3"/>
  <c r="DC182" i="3"/>
  <c r="A183" i="3"/>
  <c r="CY183" i="3"/>
  <c r="CZ183" i="3"/>
  <c r="DA183" i="3"/>
  <c r="DB183" i="3"/>
  <c r="DC183" i="3"/>
  <c r="A184" i="3"/>
  <c r="CY184" i="3"/>
  <c r="CZ184" i="3"/>
  <c r="DA184" i="3"/>
  <c r="DB184" i="3"/>
  <c r="DC184" i="3"/>
  <c r="A185" i="3"/>
  <c r="CY185" i="3"/>
  <c r="CZ185" i="3"/>
  <c r="DB185" i="3" s="1"/>
  <c r="DA185" i="3"/>
  <c r="DC185" i="3"/>
  <c r="A186" i="3"/>
  <c r="CY186" i="3"/>
  <c r="CZ186" i="3"/>
  <c r="DB186" i="3" s="1"/>
  <c r="DA186" i="3"/>
  <c r="DC186" i="3"/>
  <c r="A187" i="3"/>
  <c r="CY187" i="3"/>
  <c r="CZ187" i="3"/>
  <c r="DA187" i="3"/>
  <c r="DB187" i="3"/>
  <c r="DC187" i="3"/>
  <c r="A188" i="3"/>
  <c r="CY188" i="3"/>
  <c r="CZ188" i="3"/>
  <c r="DA188" i="3"/>
  <c r="DB188" i="3"/>
  <c r="DC188" i="3"/>
  <c r="A189" i="3"/>
  <c r="CY189" i="3"/>
  <c r="CZ189" i="3"/>
  <c r="DB189" i="3" s="1"/>
  <c r="DA189" i="3"/>
  <c r="DC189" i="3"/>
  <c r="A190" i="3"/>
  <c r="CY190" i="3"/>
  <c r="CZ190" i="3"/>
  <c r="DB190" i="3" s="1"/>
  <c r="DA190" i="3"/>
  <c r="DC190" i="3"/>
  <c r="A191" i="3"/>
  <c r="CY191" i="3"/>
  <c r="CZ191" i="3"/>
  <c r="DA191" i="3"/>
  <c r="DB191" i="3"/>
  <c r="DC191" i="3"/>
  <c r="A192" i="3"/>
  <c r="CY192" i="3"/>
  <c r="CZ192" i="3"/>
  <c r="DA192" i="3"/>
  <c r="DB192" i="3"/>
  <c r="DC192" i="3"/>
  <c r="A193" i="3"/>
  <c r="CY193" i="3"/>
  <c r="CZ193" i="3"/>
  <c r="DB193" i="3" s="1"/>
  <c r="DA193" i="3"/>
  <c r="DC193" i="3"/>
  <c r="A194" i="3"/>
  <c r="CY194" i="3"/>
  <c r="CZ194" i="3"/>
  <c r="DB194" i="3" s="1"/>
  <c r="DA194" i="3"/>
  <c r="DC194" i="3"/>
  <c r="A195" i="3"/>
  <c r="CY195" i="3"/>
  <c r="CZ195" i="3"/>
  <c r="DA195" i="3"/>
  <c r="DB195" i="3"/>
  <c r="DC195" i="3"/>
  <c r="A196" i="3"/>
  <c r="CY196" i="3"/>
  <c r="CZ196" i="3"/>
  <c r="DA196" i="3"/>
  <c r="DB196" i="3"/>
  <c r="DC196" i="3"/>
  <c r="A197" i="3"/>
  <c r="CY197" i="3"/>
  <c r="CZ197" i="3"/>
  <c r="DB197" i="3" s="1"/>
  <c r="DA197" i="3"/>
  <c r="DC197" i="3"/>
  <c r="A198" i="3"/>
  <c r="CY198" i="3"/>
  <c r="CZ198" i="3"/>
  <c r="DB198" i="3" s="1"/>
  <c r="DA198" i="3"/>
  <c r="DC198" i="3"/>
  <c r="A199" i="3"/>
  <c r="CY199" i="3"/>
  <c r="CZ199" i="3"/>
  <c r="DA199" i="3"/>
  <c r="DB199" i="3"/>
  <c r="DC199" i="3"/>
  <c r="A200" i="3"/>
  <c r="CY200" i="3"/>
  <c r="CZ200" i="3"/>
  <c r="DA200" i="3"/>
  <c r="DB200" i="3"/>
  <c r="DC200" i="3"/>
  <c r="A201" i="3"/>
  <c r="CY201" i="3"/>
  <c r="CZ201" i="3"/>
  <c r="DB201" i="3" s="1"/>
  <c r="DA201" i="3"/>
  <c r="DC201" i="3"/>
  <c r="A202" i="3"/>
  <c r="CY202" i="3"/>
  <c r="CZ202" i="3"/>
  <c r="DB202" i="3" s="1"/>
  <c r="DA202" i="3"/>
  <c r="DC202" i="3"/>
  <c r="A203" i="3"/>
  <c r="CY203" i="3"/>
  <c r="CZ203" i="3"/>
  <c r="DA203" i="3"/>
  <c r="DB203" i="3"/>
  <c r="DC203" i="3"/>
  <c r="A204" i="3"/>
  <c r="CY204" i="3"/>
  <c r="CZ204" i="3"/>
  <c r="DA204" i="3"/>
  <c r="DB204" i="3"/>
  <c r="DC204" i="3"/>
  <c r="A205" i="3"/>
  <c r="CY205" i="3"/>
  <c r="CZ205" i="3"/>
  <c r="DB205" i="3" s="1"/>
  <c r="DA205" i="3"/>
  <c r="DC205" i="3"/>
  <c r="A206" i="3"/>
  <c r="CY206" i="3"/>
  <c r="CZ206" i="3"/>
  <c r="DB206" i="3" s="1"/>
  <c r="DA206" i="3"/>
  <c r="DC206" i="3"/>
  <c r="A207" i="3"/>
  <c r="CY207" i="3"/>
  <c r="CZ207" i="3"/>
  <c r="DA207" i="3"/>
  <c r="DB207" i="3"/>
  <c r="DC207" i="3"/>
  <c r="A208" i="3"/>
  <c r="CY208" i="3"/>
  <c r="CZ208" i="3"/>
  <c r="DA208" i="3"/>
  <c r="DB208" i="3"/>
  <c r="DC208" i="3"/>
  <c r="A209" i="3"/>
  <c r="CY209" i="3"/>
  <c r="CZ209" i="3"/>
  <c r="DB209" i="3" s="1"/>
  <c r="DA209" i="3"/>
  <c r="DC209" i="3"/>
  <c r="A210" i="3"/>
  <c r="CY210" i="3"/>
  <c r="CZ210" i="3"/>
  <c r="DB210" i="3" s="1"/>
  <c r="DA210" i="3"/>
  <c r="DC210" i="3"/>
  <c r="A211" i="3"/>
  <c r="CY211" i="3"/>
  <c r="CZ211" i="3"/>
  <c r="DA211" i="3"/>
  <c r="DB211" i="3"/>
  <c r="DC211" i="3"/>
  <c r="A212" i="3"/>
  <c r="CY212" i="3"/>
  <c r="CZ212" i="3"/>
  <c r="DA212" i="3"/>
  <c r="DB212" i="3"/>
  <c r="DC212" i="3"/>
  <c r="A213" i="3"/>
  <c r="CY213" i="3"/>
  <c r="CZ213" i="3"/>
  <c r="DB213" i="3" s="1"/>
  <c r="DA213" i="3"/>
  <c r="DC213" i="3"/>
  <c r="A214" i="3"/>
  <c r="CY214" i="3"/>
  <c r="CZ214" i="3"/>
  <c r="DB214" i="3" s="1"/>
  <c r="DA214" i="3"/>
  <c r="DC214" i="3"/>
  <c r="A215" i="3"/>
  <c r="CY215" i="3"/>
  <c r="CZ215" i="3"/>
  <c r="DA215" i="3"/>
  <c r="DB215" i="3"/>
  <c r="DC215" i="3"/>
  <c r="A216" i="3"/>
  <c r="CY216" i="3"/>
  <c r="CZ216" i="3"/>
  <c r="DA216" i="3"/>
  <c r="DB216" i="3"/>
  <c r="DC216" i="3"/>
  <c r="A217" i="3"/>
  <c r="CY217" i="3"/>
  <c r="CZ217" i="3"/>
  <c r="DB217" i="3" s="1"/>
  <c r="DA217" i="3"/>
  <c r="DC217" i="3"/>
  <c r="A218" i="3"/>
  <c r="CY218" i="3"/>
  <c r="CZ218" i="3"/>
  <c r="DB218" i="3" s="1"/>
  <c r="DA218" i="3"/>
  <c r="DC218" i="3"/>
  <c r="A219" i="3"/>
  <c r="CY219" i="3"/>
  <c r="CZ219" i="3"/>
  <c r="DA219" i="3"/>
  <c r="DB219" i="3"/>
  <c r="DC219" i="3"/>
  <c r="A220" i="3"/>
  <c r="CY220" i="3"/>
  <c r="CZ220" i="3"/>
  <c r="DA220" i="3"/>
  <c r="DB220" i="3"/>
  <c r="DC220" i="3"/>
  <c r="A221" i="3"/>
  <c r="CY221" i="3"/>
  <c r="CZ221" i="3"/>
  <c r="DB221" i="3" s="1"/>
  <c r="DA221" i="3"/>
  <c r="DC221" i="3"/>
  <c r="A222" i="3"/>
  <c r="CY222" i="3"/>
  <c r="CZ222" i="3"/>
  <c r="DB222" i="3" s="1"/>
  <c r="DA222" i="3"/>
  <c r="DC222" i="3"/>
  <c r="A223" i="3"/>
  <c r="CY223" i="3"/>
  <c r="CZ223" i="3"/>
  <c r="DA223" i="3"/>
  <c r="DB223" i="3"/>
  <c r="DC223" i="3"/>
  <c r="A224" i="3"/>
  <c r="CY224" i="3"/>
  <c r="CZ224" i="3"/>
  <c r="DA224" i="3"/>
  <c r="DB224" i="3"/>
  <c r="DC224" i="3"/>
  <c r="A225" i="3"/>
  <c r="CY225" i="3"/>
  <c r="CZ225" i="3"/>
  <c r="DB225" i="3" s="1"/>
  <c r="DA225" i="3"/>
  <c r="DC225" i="3"/>
  <c r="A226" i="3"/>
  <c r="CY226" i="3"/>
  <c r="CZ226" i="3"/>
  <c r="DB226" i="3" s="1"/>
  <c r="DA226" i="3"/>
  <c r="DC226" i="3"/>
  <c r="A227" i="3"/>
  <c r="CY227" i="3"/>
  <c r="CZ227" i="3"/>
  <c r="DA227" i="3"/>
  <c r="DB227" i="3"/>
  <c r="DC227" i="3"/>
  <c r="A228" i="3"/>
  <c r="CY228" i="3"/>
  <c r="CZ228" i="3"/>
  <c r="DA228" i="3"/>
  <c r="DB228" i="3"/>
  <c r="DC228" i="3"/>
  <c r="A229" i="3"/>
  <c r="CY229" i="3"/>
  <c r="CZ229" i="3"/>
  <c r="DB229" i="3" s="1"/>
  <c r="DA229" i="3"/>
  <c r="DC229" i="3"/>
  <c r="A230" i="3"/>
  <c r="CY230" i="3"/>
  <c r="CZ230" i="3"/>
  <c r="DB230" i="3" s="1"/>
  <c r="DA230" i="3"/>
  <c r="DC230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AC28" i="1"/>
  <c r="AB28" i="1" s="1"/>
  <c r="AD28" i="1"/>
  <c r="AE28" i="1"/>
  <c r="AF28" i="1"/>
  <c r="AG28" i="1"/>
  <c r="CU28" i="1" s="1"/>
  <c r="AH28" i="1"/>
  <c r="CV28" i="1" s="1"/>
  <c r="AI28" i="1"/>
  <c r="AJ28" i="1"/>
  <c r="CR28" i="1"/>
  <c r="CS28" i="1"/>
  <c r="CT28" i="1"/>
  <c r="CW28" i="1"/>
  <c r="CX28" i="1"/>
  <c r="FR28" i="1"/>
  <c r="GL28" i="1"/>
  <c r="GN28" i="1"/>
  <c r="GO28" i="1"/>
  <c r="GV28" i="1"/>
  <c r="HC28" i="1"/>
  <c r="AC29" i="1"/>
  <c r="AD29" i="1"/>
  <c r="AB29" i="1" s="1"/>
  <c r="AE29" i="1"/>
  <c r="AF29" i="1"/>
  <c r="CT29" i="1" s="1"/>
  <c r="AG29" i="1"/>
  <c r="AH29" i="1"/>
  <c r="CV29" i="1" s="1"/>
  <c r="AI29" i="1"/>
  <c r="AJ29" i="1"/>
  <c r="CX29" i="1" s="1"/>
  <c r="CQ29" i="1"/>
  <c r="CR29" i="1"/>
  <c r="CS29" i="1"/>
  <c r="CU29" i="1"/>
  <c r="CW29" i="1"/>
  <c r="FR29" i="1"/>
  <c r="GL29" i="1"/>
  <c r="GN29" i="1"/>
  <c r="GO29" i="1"/>
  <c r="GV29" i="1"/>
  <c r="HC29" i="1" s="1"/>
  <c r="AC30" i="1"/>
  <c r="AD30" i="1"/>
  <c r="AE30" i="1"/>
  <c r="AF30" i="1"/>
  <c r="AB30" i="1" s="1"/>
  <c r="AG30" i="1"/>
  <c r="AH30" i="1"/>
  <c r="CV30" i="1" s="1"/>
  <c r="AI30" i="1"/>
  <c r="AJ30" i="1"/>
  <c r="CX30" i="1" s="1"/>
  <c r="CQ30" i="1"/>
  <c r="CR30" i="1"/>
  <c r="CS30" i="1"/>
  <c r="CU30" i="1"/>
  <c r="CW30" i="1"/>
  <c r="FR30" i="1"/>
  <c r="GL30" i="1"/>
  <c r="GN30" i="1"/>
  <c r="GO30" i="1"/>
  <c r="GV30" i="1"/>
  <c r="HC30" i="1"/>
  <c r="AC31" i="1"/>
  <c r="AD31" i="1"/>
  <c r="AB31" i="1" s="1"/>
  <c r="AE31" i="1"/>
  <c r="AF31" i="1"/>
  <c r="CT31" i="1" s="1"/>
  <c r="AG31" i="1"/>
  <c r="AH31" i="1"/>
  <c r="CV31" i="1" s="1"/>
  <c r="AI31" i="1"/>
  <c r="AJ31" i="1"/>
  <c r="CX31" i="1" s="1"/>
  <c r="CQ31" i="1"/>
  <c r="CR31" i="1"/>
  <c r="CS31" i="1"/>
  <c r="CU31" i="1"/>
  <c r="CW31" i="1"/>
  <c r="FR31" i="1"/>
  <c r="GL31" i="1"/>
  <c r="GN31" i="1"/>
  <c r="GO31" i="1"/>
  <c r="GV31" i="1"/>
  <c r="HC31" i="1" s="1"/>
  <c r="C32" i="1"/>
  <c r="D32" i="1"/>
  <c r="I32" i="1"/>
  <c r="AC32" i="1"/>
  <c r="AD32" i="1"/>
  <c r="AB32" i="1" s="1"/>
  <c r="AE32" i="1"/>
  <c r="AF32" i="1"/>
  <c r="CT32" i="1" s="1"/>
  <c r="S32" i="1" s="1"/>
  <c r="CZ32" i="1" s="1"/>
  <c r="Y32" i="1" s="1"/>
  <c r="AG32" i="1"/>
  <c r="AH32" i="1"/>
  <c r="CV32" i="1" s="1"/>
  <c r="U32" i="1" s="1"/>
  <c r="AI32" i="1"/>
  <c r="AJ32" i="1"/>
  <c r="CX32" i="1" s="1"/>
  <c r="W32" i="1" s="1"/>
  <c r="CQ32" i="1"/>
  <c r="P32" i="1" s="1"/>
  <c r="CP32" i="1" s="1"/>
  <c r="O32" i="1" s="1"/>
  <c r="CR32" i="1"/>
  <c r="Q32" i="1" s="1"/>
  <c r="CS32" i="1"/>
  <c r="R32" i="1" s="1"/>
  <c r="GK32" i="1" s="1"/>
  <c r="CU32" i="1"/>
  <c r="T32" i="1" s="1"/>
  <c r="CW32" i="1"/>
  <c r="V32" i="1" s="1"/>
  <c r="FR32" i="1"/>
  <c r="GL32" i="1"/>
  <c r="GN32" i="1"/>
  <c r="GO32" i="1"/>
  <c r="GV32" i="1"/>
  <c r="HC32" i="1" s="1"/>
  <c r="GX32" i="1" s="1"/>
  <c r="I33" i="1"/>
  <c r="V33" i="1"/>
  <c r="AC33" i="1"/>
  <c r="AD33" i="1"/>
  <c r="AB33" i="1" s="1"/>
  <c r="AE33" i="1"/>
  <c r="AF33" i="1"/>
  <c r="CT33" i="1" s="1"/>
  <c r="S33" i="1" s="1"/>
  <c r="AG33" i="1"/>
  <c r="AH33" i="1"/>
  <c r="CV33" i="1" s="1"/>
  <c r="U33" i="1" s="1"/>
  <c r="AI33" i="1"/>
  <c r="AJ33" i="1"/>
  <c r="CQ33" i="1"/>
  <c r="P33" i="1" s="1"/>
  <c r="CP33" i="1" s="1"/>
  <c r="O33" i="1" s="1"/>
  <c r="CR33" i="1"/>
  <c r="Q33" i="1" s="1"/>
  <c r="CS33" i="1"/>
  <c r="R33" i="1" s="1"/>
  <c r="GK33" i="1" s="1"/>
  <c r="CU33" i="1"/>
  <c r="T33" i="1" s="1"/>
  <c r="CW33" i="1"/>
  <c r="CX33" i="1"/>
  <c r="FR33" i="1"/>
  <c r="BY36" i="1" s="1"/>
  <c r="GL33" i="1"/>
  <c r="GN33" i="1"/>
  <c r="GO33" i="1"/>
  <c r="CC36" i="1" s="1"/>
  <c r="GV33" i="1"/>
  <c r="HC33" i="1"/>
  <c r="GX33" i="1" s="1"/>
  <c r="I34" i="1"/>
  <c r="P34" i="1" s="1"/>
  <c r="R34" i="1"/>
  <c r="GK34" i="1" s="1"/>
  <c r="T34" i="1"/>
  <c r="AC34" i="1"/>
  <c r="AD34" i="1"/>
  <c r="AB34" i="1" s="1"/>
  <c r="AE34" i="1"/>
  <c r="AF34" i="1"/>
  <c r="CT34" i="1" s="1"/>
  <c r="AG34" i="1"/>
  <c r="AH34" i="1"/>
  <c r="CV34" i="1" s="1"/>
  <c r="U34" i="1" s="1"/>
  <c r="AI34" i="1"/>
  <c r="AJ34" i="1"/>
  <c r="CX34" i="1" s="1"/>
  <c r="CQ34" i="1"/>
  <c r="CR34" i="1"/>
  <c r="Q34" i="1" s="1"/>
  <c r="CS34" i="1"/>
  <c r="CU34" i="1"/>
  <c r="CW34" i="1"/>
  <c r="V34" i="1" s="1"/>
  <c r="FR34" i="1"/>
  <c r="GL34" i="1"/>
  <c r="GN34" i="1"/>
  <c r="GO34" i="1"/>
  <c r="GV34" i="1"/>
  <c r="HC34" i="1" s="1"/>
  <c r="GX34" i="1" s="1"/>
  <c r="B36" i="1"/>
  <c r="B26" i="1" s="1"/>
  <c r="C36" i="1"/>
  <c r="C26" i="1" s="1"/>
  <c r="D36" i="1"/>
  <c r="D26" i="1" s="1"/>
  <c r="F36" i="1"/>
  <c r="F26" i="1" s="1"/>
  <c r="G36" i="1"/>
  <c r="G26" i="1" s="1"/>
  <c r="BX36" i="1"/>
  <c r="BX26" i="1" s="1"/>
  <c r="BZ36" i="1"/>
  <c r="BZ26" i="1" s="1"/>
  <c r="CB36" i="1"/>
  <c r="CB26" i="1" s="1"/>
  <c r="CK36" i="1"/>
  <c r="CK26" i="1" s="1"/>
  <c r="CL36" i="1"/>
  <c r="CL26" i="1" s="1"/>
  <c r="CM36" i="1"/>
  <c r="CM26" i="1" s="1"/>
  <c r="D66" i="1"/>
  <c r="E68" i="1"/>
  <c r="Z68" i="1"/>
  <c r="AA68" i="1"/>
  <c r="AM68" i="1"/>
  <c r="AN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C70" i="1"/>
  <c r="D70" i="1"/>
  <c r="AC70" i="1"/>
  <c r="AD70" i="1"/>
  <c r="AB70" i="1" s="1"/>
  <c r="AE70" i="1"/>
  <c r="CS70" i="1" s="1"/>
  <c r="AF70" i="1"/>
  <c r="CT70" i="1" s="1"/>
  <c r="AG70" i="1"/>
  <c r="AH70" i="1"/>
  <c r="CV70" i="1" s="1"/>
  <c r="AI70" i="1"/>
  <c r="CW70" i="1" s="1"/>
  <c r="AJ70" i="1"/>
  <c r="CX70" i="1" s="1"/>
  <c r="CQ70" i="1"/>
  <c r="CR70" i="1"/>
  <c r="CU70" i="1"/>
  <c r="FR70" i="1"/>
  <c r="GL70" i="1"/>
  <c r="GN70" i="1"/>
  <c r="GO70" i="1"/>
  <c r="GV70" i="1"/>
  <c r="HC70" i="1" s="1"/>
  <c r="AC71" i="1"/>
  <c r="CQ71" i="1" s="1"/>
  <c r="AD71" i="1"/>
  <c r="AE71" i="1"/>
  <c r="AF71" i="1"/>
  <c r="AB71" i="1" s="1"/>
  <c r="AG71" i="1"/>
  <c r="CU71" i="1" s="1"/>
  <c r="AH71" i="1"/>
  <c r="CV71" i="1" s="1"/>
  <c r="AI71" i="1"/>
  <c r="AJ71" i="1"/>
  <c r="CX71" i="1" s="1"/>
  <c r="CR71" i="1"/>
  <c r="CS71" i="1"/>
  <c r="CW71" i="1"/>
  <c r="FR71" i="1"/>
  <c r="GL71" i="1"/>
  <c r="GN71" i="1"/>
  <c r="GO71" i="1"/>
  <c r="GV71" i="1"/>
  <c r="HC71" i="1"/>
  <c r="AC72" i="1"/>
  <c r="AD72" i="1"/>
  <c r="AB72" i="1" s="1"/>
  <c r="AE72" i="1"/>
  <c r="CS72" i="1" s="1"/>
  <c r="AF72" i="1"/>
  <c r="CT72" i="1" s="1"/>
  <c r="AG72" i="1"/>
  <c r="AH72" i="1"/>
  <c r="CV72" i="1" s="1"/>
  <c r="AI72" i="1"/>
  <c r="CW72" i="1" s="1"/>
  <c r="AJ72" i="1"/>
  <c r="CX72" i="1" s="1"/>
  <c r="CQ72" i="1"/>
  <c r="CR72" i="1"/>
  <c r="CU72" i="1"/>
  <c r="FR72" i="1"/>
  <c r="GL72" i="1"/>
  <c r="GN72" i="1"/>
  <c r="GO72" i="1"/>
  <c r="GV72" i="1"/>
  <c r="HC72" i="1" s="1"/>
  <c r="AC73" i="1"/>
  <c r="CQ73" i="1" s="1"/>
  <c r="AD73" i="1"/>
  <c r="AE73" i="1"/>
  <c r="AF73" i="1"/>
  <c r="AB73" i="1" s="1"/>
  <c r="AG73" i="1"/>
  <c r="CU73" i="1" s="1"/>
  <c r="AH73" i="1"/>
  <c r="CV73" i="1" s="1"/>
  <c r="AI73" i="1"/>
  <c r="AJ73" i="1"/>
  <c r="CX73" i="1" s="1"/>
  <c r="CR73" i="1"/>
  <c r="CS73" i="1"/>
  <c r="CW73" i="1"/>
  <c r="FR73" i="1"/>
  <c r="GL73" i="1"/>
  <c r="GN73" i="1"/>
  <c r="GO73" i="1"/>
  <c r="GV73" i="1"/>
  <c r="HC73" i="1"/>
  <c r="C74" i="1"/>
  <c r="D74" i="1"/>
  <c r="I74" i="1"/>
  <c r="V74" i="1"/>
  <c r="AC74" i="1"/>
  <c r="CQ74" i="1" s="1"/>
  <c r="P74" i="1" s="1"/>
  <c r="AD74" i="1"/>
  <c r="AE74" i="1"/>
  <c r="AF74" i="1"/>
  <c r="AB74" i="1" s="1"/>
  <c r="AG74" i="1"/>
  <c r="CU74" i="1" s="1"/>
  <c r="T74" i="1" s="1"/>
  <c r="AH74" i="1"/>
  <c r="CV74" i="1" s="1"/>
  <c r="U74" i="1" s="1"/>
  <c r="AI74" i="1"/>
  <c r="AJ74" i="1"/>
  <c r="CX74" i="1" s="1"/>
  <c r="W74" i="1" s="1"/>
  <c r="CR74" i="1"/>
  <c r="Q74" i="1" s="1"/>
  <c r="CS74" i="1"/>
  <c r="R74" i="1" s="1"/>
  <c r="GK74" i="1" s="1"/>
  <c r="CT74" i="1"/>
  <c r="S74" i="1" s="1"/>
  <c r="CW74" i="1"/>
  <c r="FR74" i="1"/>
  <c r="GL74" i="1"/>
  <c r="GN74" i="1"/>
  <c r="GO74" i="1"/>
  <c r="GV74" i="1"/>
  <c r="GX74" i="1"/>
  <c r="HC74" i="1"/>
  <c r="AC75" i="1"/>
  <c r="AE75" i="1"/>
  <c r="CS75" i="1" s="1"/>
  <c r="AF75" i="1"/>
  <c r="CT75" i="1" s="1"/>
  <c r="AG75" i="1"/>
  <c r="AH75" i="1"/>
  <c r="AI75" i="1"/>
  <c r="CW75" i="1" s="1"/>
  <c r="AJ75" i="1"/>
  <c r="CX75" i="1" s="1"/>
  <c r="CQ75" i="1"/>
  <c r="CU75" i="1"/>
  <c r="CV75" i="1"/>
  <c r="FR75" i="1"/>
  <c r="GL75" i="1"/>
  <c r="GN75" i="1"/>
  <c r="GO75" i="1"/>
  <c r="GV75" i="1"/>
  <c r="HC75" i="1" s="1"/>
  <c r="I76" i="1"/>
  <c r="R76" i="1"/>
  <c r="AC76" i="1"/>
  <c r="CQ76" i="1" s="1"/>
  <c r="P76" i="1" s="1"/>
  <c r="AD76" i="1"/>
  <c r="AE76" i="1"/>
  <c r="AF76" i="1"/>
  <c r="AB76" i="1" s="1"/>
  <c r="AG76" i="1"/>
  <c r="CU76" i="1" s="1"/>
  <c r="T76" i="1" s="1"/>
  <c r="AH76" i="1"/>
  <c r="CV76" i="1" s="1"/>
  <c r="U76" i="1" s="1"/>
  <c r="AI76" i="1"/>
  <c r="AJ76" i="1"/>
  <c r="CX76" i="1" s="1"/>
  <c r="W76" i="1" s="1"/>
  <c r="CR76" i="1"/>
  <c r="Q76" i="1" s="1"/>
  <c r="CS76" i="1"/>
  <c r="CT76" i="1"/>
  <c r="S76" i="1" s="1"/>
  <c r="CW76" i="1"/>
  <c r="V76" i="1" s="1"/>
  <c r="FR76" i="1"/>
  <c r="GK76" i="1"/>
  <c r="GL76" i="1"/>
  <c r="GN76" i="1"/>
  <c r="GO76" i="1"/>
  <c r="GV76" i="1"/>
  <c r="GX76" i="1"/>
  <c r="HC76" i="1"/>
  <c r="B78" i="1"/>
  <c r="B68" i="1" s="1"/>
  <c r="C78" i="1"/>
  <c r="C68" i="1" s="1"/>
  <c r="D78" i="1"/>
  <c r="D68" i="1" s="1"/>
  <c r="F78" i="1"/>
  <c r="F68" i="1" s="1"/>
  <c r="G78" i="1"/>
  <c r="G68" i="1" s="1"/>
  <c r="BX78" i="1"/>
  <c r="CB78" i="1"/>
  <c r="CB68" i="1" s="1"/>
  <c r="CK78" i="1"/>
  <c r="CK68" i="1" s="1"/>
  <c r="CL78" i="1"/>
  <c r="CL68" i="1" s="1"/>
  <c r="CM78" i="1"/>
  <c r="CM68" i="1" s="1"/>
  <c r="D108" i="1"/>
  <c r="E110" i="1"/>
  <c r="Z110" i="1"/>
  <c r="AA110" i="1"/>
  <c r="AM110" i="1"/>
  <c r="AN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C112" i="1"/>
  <c r="D112" i="1"/>
  <c r="I112" i="1"/>
  <c r="R112" i="1"/>
  <c r="GK112" i="1" s="1"/>
  <c r="AB112" i="1"/>
  <c r="AC112" i="1"/>
  <c r="CQ112" i="1" s="1"/>
  <c r="P112" i="1" s="1"/>
  <c r="AE112" i="1"/>
  <c r="AD112" i="1" s="1"/>
  <c r="AF112" i="1"/>
  <c r="CT112" i="1" s="1"/>
  <c r="S112" i="1" s="1"/>
  <c r="CY112" i="1" s="1"/>
  <c r="X112" i="1" s="1"/>
  <c r="AG112" i="1"/>
  <c r="CU112" i="1" s="1"/>
  <c r="T112" i="1" s="1"/>
  <c r="AH112" i="1"/>
  <c r="AI112" i="1"/>
  <c r="AJ112" i="1"/>
  <c r="CX112" i="1" s="1"/>
  <c r="W112" i="1" s="1"/>
  <c r="CR112" i="1"/>
  <c r="Q112" i="1" s="1"/>
  <c r="CS112" i="1"/>
  <c r="CV112" i="1"/>
  <c r="U112" i="1" s="1"/>
  <c r="CW112" i="1"/>
  <c r="V112" i="1" s="1"/>
  <c r="CZ112" i="1"/>
  <c r="Y112" i="1" s="1"/>
  <c r="FR112" i="1"/>
  <c r="GL112" i="1"/>
  <c r="GN112" i="1"/>
  <c r="GO112" i="1"/>
  <c r="GV112" i="1"/>
  <c r="HC112" i="1" s="1"/>
  <c r="GX112" i="1"/>
  <c r="AC113" i="1"/>
  <c r="AD113" i="1"/>
  <c r="AE113" i="1"/>
  <c r="CS113" i="1" s="1"/>
  <c r="AF113" i="1"/>
  <c r="AG113" i="1"/>
  <c r="AH113" i="1"/>
  <c r="CV113" i="1" s="1"/>
  <c r="AI113" i="1"/>
  <c r="CW113" i="1" s="1"/>
  <c r="AJ113" i="1"/>
  <c r="CQ113" i="1"/>
  <c r="CR113" i="1"/>
  <c r="CT113" i="1"/>
  <c r="CU113" i="1"/>
  <c r="CX113" i="1"/>
  <c r="FR113" i="1"/>
  <c r="GL113" i="1"/>
  <c r="GN113" i="1"/>
  <c r="GO113" i="1"/>
  <c r="GV113" i="1"/>
  <c r="HC113" i="1"/>
  <c r="C114" i="1"/>
  <c r="D114" i="1"/>
  <c r="AC114" i="1"/>
  <c r="AD114" i="1"/>
  <c r="AE114" i="1"/>
  <c r="CS114" i="1" s="1"/>
  <c r="AF114" i="1"/>
  <c r="AG114" i="1"/>
  <c r="AH114" i="1"/>
  <c r="CV114" i="1" s="1"/>
  <c r="AI114" i="1"/>
  <c r="CW114" i="1" s="1"/>
  <c r="AJ114" i="1"/>
  <c r="CQ114" i="1"/>
  <c r="CR114" i="1"/>
  <c r="CT114" i="1"/>
  <c r="CU114" i="1"/>
  <c r="CX114" i="1"/>
  <c r="FR114" i="1"/>
  <c r="GL114" i="1"/>
  <c r="GN114" i="1"/>
  <c r="GO114" i="1"/>
  <c r="GV114" i="1"/>
  <c r="HC114" i="1"/>
  <c r="C115" i="1"/>
  <c r="D115" i="1"/>
  <c r="AC115" i="1"/>
  <c r="AB115" i="1" s="1"/>
  <c r="AD115" i="1"/>
  <c r="AE115" i="1"/>
  <c r="CS115" i="1" s="1"/>
  <c r="AF115" i="1"/>
  <c r="AG115" i="1"/>
  <c r="AH115" i="1"/>
  <c r="AI115" i="1"/>
  <c r="CW115" i="1" s="1"/>
  <c r="AJ115" i="1"/>
  <c r="CQ115" i="1"/>
  <c r="CR115" i="1"/>
  <c r="CT115" i="1"/>
  <c r="CU115" i="1"/>
  <c r="CV115" i="1"/>
  <c r="CX115" i="1"/>
  <c r="FR115" i="1"/>
  <c r="GL115" i="1"/>
  <c r="GN115" i="1"/>
  <c r="GO115" i="1"/>
  <c r="GV115" i="1"/>
  <c r="HC115" i="1" s="1"/>
  <c r="C116" i="1"/>
  <c r="D116" i="1"/>
  <c r="AC116" i="1"/>
  <c r="CQ116" i="1" s="1"/>
  <c r="AE116" i="1"/>
  <c r="CS116" i="1" s="1"/>
  <c r="AF116" i="1"/>
  <c r="AG116" i="1"/>
  <c r="AH116" i="1"/>
  <c r="AI116" i="1"/>
  <c r="CW116" i="1" s="1"/>
  <c r="AJ116" i="1"/>
  <c r="CR116" i="1"/>
  <c r="CT116" i="1"/>
  <c r="CU116" i="1"/>
  <c r="CV116" i="1"/>
  <c r="CX116" i="1"/>
  <c r="FR116" i="1"/>
  <c r="GL116" i="1"/>
  <c r="GN116" i="1"/>
  <c r="GO116" i="1"/>
  <c r="GV116" i="1"/>
  <c r="HC116" i="1" s="1"/>
  <c r="C117" i="1"/>
  <c r="D117" i="1"/>
  <c r="AC117" i="1"/>
  <c r="AB117" i="1" s="1"/>
  <c r="AD117" i="1"/>
  <c r="AE117" i="1"/>
  <c r="CS117" i="1" s="1"/>
  <c r="AF117" i="1"/>
  <c r="AG117" i="1"/>
  <c r="AH117" i="1"/>
  <c r="AI117" i="1"/>
  <c r="CW117" i="1" s="1"/>
  <c r="AJ117" i="1"/>
  <c r="CQ117" i="1"/>
  <c r="CR117" i="1"/>
  <c r="CT117" i="1"/>
  <c r="CU117" i="1"/>
  <c r="CV117" i="1"/>
  <c r="CX117" i="1"/>
  <c r="FR117" i="1"/>
  <c r="GL117" i="1"/>
  <c r="GN117" i="1"/>
  <c r="GO117" i="1"/>
  <c r="GV117" i="1"/>
  <c r="HC117" i="1" s="1"/>
  <c r="C118" i="1"/>
  <c r="D118" i="1"/>
  <c r="I118" i="1"/>
  <c r="AC118" i="1"/>
  <c r="AE118" i="1"/>
  <c r="AD118" i="1" s="1"/>
  <c r="AB118" i="1" s="1"/>
  <c r="AF118" i="1"/>
  <c r="CT118" i="1" s="1"/>
  <c r="S118" i="1" s="1"/>
  <c r="AG118" i="1"/>
  <c r="AH118" i="1"/>
  <c r="AI118" i="1"/>
  <c r="CW118" i="1" s="1"/>
  <c r="V118" i="1" s="1"/>
  <c r="AJ118" i="1"/>
  <c r="CX118" i="1" s="1"/>
  <c r="W118" i="1" s="1"/>
  <c r="CQ118" i="1"/>
  <c r="P118" i="1" s="1"/>
  <c r="CP118" i="1" s="1"/>
  <c r="O118" i="1" s="1"/>
  <c r="CR118" i="1"/>
  <c r="Q118" i="1" s="1"/>
  <c r="CU118" i="1"/>
  <c r="T118" i="1" s="1"/>
  <c r="CV118" i="1"/>
  <c r="U118" i="1" s="1"/>
  <c r="FR118" i="1"/>
  <c r="GL118" i="1"/>
  <c r="GN118" i="1"/>
  <c r="GO118" i="1"/>
  <c r="GV118" i="1"/>
  <c r="GX118" i="1"/>
  <c r="HC118" i="1"/>
  <c r="I119" i="1"/>
  <c r="AC119" i="1"/>
  <c r="AB119" i="1" s="1"/>
  <c r="AD119" i="1"/>
  <c r="AE119" i="1"/>
  <c r="CS119" i="1" s="1"/>
  <c r="R119" i="1" s="1"/>
  <c r="GK119" i="1" s="1"/>
  <c r="AF119" i="1"/>
  <c r="AG119" i="1"/>
  <c r="AH119" i="1"/>
  <c r="CV119" i="1" s="1"/>
  <c r="U119" i="1" s="1"/>
  <c r="AI119" i="1"/>
  <c r="CW119" i="1" s="1"/>
  <c r="V119" i="1" s="1"/>
  <c r="AJ119" i="1"/>
  <c r="CQ119" i="1"/>
  <c r="P119" i="1" s="1"/>
  <c r="CP119" i="1" s="1"/>
  <c r="O119" i="1" s="1"/>
  <c r="CR119" i="1"/>
  <c r="Q119" i="1" s="1"/>
  <c r="CT119" i="1"/>
  <c r="S119" i="1" s="1"/>
  <c r="CU119" i="1"/>
  <c r="T119" i="1" s="1"/>
  <c r="CX119" i="1"/>
  <c r="W119" i="1" s="1"/>
  <c r="FR119" i="1"/>
  <c r="GL119" i="1"/>
  <c r="GN119" i="1"/>
  <c r="GO119" i="1"/>
  <c r="GV119" i="1"/>
  <c r="HC119" i="1" s="1"/>
  <c r="GX119" i="1" s="1"/>
  <c r="C120" i="1"/>
  <c r="D120" i="1"/>
  <c r="I120" i="1"/>
  <c r="AC120" i="1"/>
  <c r="AB120" i="1" s="1"/>
  <c r="AD120" i="1"/>
  <c r="AE120" i="1"/>
  <c r="CS120" i="1" s="1"/>
  <c r="R120" i="1" s="1"/>
  <c r="GK120" i="1" s="1"/>
  <c r="AF120" i="1"/>
  <c r="AG120" i="1"/>
  <c r="AH120" i="1"/>
  <c r="CV120" i="1" s="1"/>
  <c r="U120" i="1" s="1"/>
  <c r="AI120" i="1"/>
  <c r="CW120" i="1" s="1"/>
  <c r="V120" i="1" s="1"/>
  <c r="AJ120" i="1"/>
  <c r="CQ120" i="1"/>
  <c r="P120" i="1" s="1"/>
  <c r="CR120" i="1"/>
  <c r="Q120" i="1" s="1"/>
  <c r="CT120" i="1"/>
  <c r="S120" i="1" s="1"/>
  <c r="CU120" i="1"/>
  <c r="T120" i="1" s="1"/>
  <c r="CX120" i="1"/>
  <c r="W120" i="1" s="1"/>
  <c r="FR120" i="1"/>
  <c r="GL120" i="1"/>
  <c r="GN120" i="1"/>
  <c r="GO120" i="1"/>
  <c r="GV120" i="1"/>
  <c r="HC120" i="1" s="1"/>
  <c r="GX120" i="1" s="1"/>
  <c r="I121" i="1"/>
  <c r="AC121" i="1"/>
  <c r="CQ121" i="1" s="1"/>
  <c r="P121" i="1" s="1"/>
  <c r="AE121" i="1"/>
  <c r="AD121" i="1" s="1"/>
  <c r="AB121" i="1" s="1"/>
  <c r="AF121" i="1"/>
  <c r="CT121" i="1" s="1"/>
  <c r="S121" i="1" s="1"/>
  <c r="AG121" i="1"/>
  <c r="CU121" i="1" s="1"/>
  <c r="T121" i="1" s="1"/>
  <c r="AH121" i="1"/>
  <c r="AI121" i="1"/>
  <c r="AJ121" i="1"/>
  <c r="CX121" i="1" s="1"/>
  <c r="W121" i="1" s="1"/>
  <c r="CR121" i="1"/>
  <c r="Q121" i="1" s="1"/>
  <c r="CS121" i="1"/>
  <c r="R121" i="1" s="1"/>
  <c r="GK121" i="1" s="1"/>
  <c r="CV121" i="1"/>
  <c r="U121" i="1" s="1"/>
  <c r="CW121" i="1"/>
  <c r="V121" i="1" s="1"/>
  <c r="FR121" i="1"/>
  <c r="GL121" i="1"/>
  <c r="GN121" i="1"/>
  <c r="GO121" i="1"/>
  <c r="GV121" i="1"/>
  <c r="GX121" i="1"/>
  <c r="HC121" i="1"/>
  <c r="I122" i="1"/>
  <c r="P122" i="1"/>
  <c r="AC122" i="1"/>
  <c r="AD122" i="1"/>
  <c r="CR122" i="1" s="1"/>
  <c r="Q122" i="1" s="1"/>
  <c r="AE122" i="1"/>
  <c r="CS122" i="1" s="1"/>
  <c r="R122" i="1" s="1"/>
  <c r="GK122" i="1" s="1"/>
  <c r="AF122" i="1"/>
  <c r="AG122" i="1"/>
  <c r="AH122" i="1"/>
  <c r="CV122" i="1" s="1"/>
  <c r="U122" i="1" s="1"/>
  <c r="AI122" i="1"/>
  <c r="CW122" i="1" s="1"/>
  <c r="V122" i="1" s="1"/>
  <c r="AJ122" i="1"/>
  <c r="CQ122" i="1"/>
  <c r="CT122" i="1"/>
  <c r="S122" i="1" s="1"/>
  <c r="CU122" i="1"/>
  <c r="T122" i="1" s="1"/>
  <c r="CX122" i="1"/>
  <c r="W122" i="1" s="1"/>
  <c r="CY122" i="1"/>
  <c r="X122" i="1" s="1"/>
  <c r="CZ122" i="1"/>
  <c r="Y122" i="1" s="1"/>
  <c r="FR122" i="1"/>
  <c r="GL122" i="1"/>
  <c r="GO122" i="1"/>
  <c r="GP122" i="1"/>
  <c r="GV122" i="1"/>
  <c r="HC122" i="1" s="1"/>
  <c r="GX122" i="1" s="1"/>
  <c r="I123" i="1"/>
  <c r="V123" i="1"/>
  <c r="AC123" i="1"/>
  <c r="CQ123" i="1" s="1"/>
  <c r="AE123" i="1"/>
  <c r="AD123" i="1" s="1"/>
  <c r="AB123" i="1" s="1"/>
  <c r="AF123" i="1"/>
  <c r="AG123" i="1"/>
  <c r="CU123" i="1" s="1"/>
  <c r="AH123" i="1"/>
  <c r="AI123" i="1"/>
  <c r="AJ123" i="1"/>
  <c r="CR123" i="1"/>
  <c r="CS123" i="1"/>
  <c r="R123" i="1" s="1"/>
  <c r="GK123" i="1" s="1"/>
  <c r="CT123" i="1"/>
  <c r="S123" i="1" s="1"/>
  <c r="CV123" i="1"/>
  <c r="CW123" i="1"/>
  <c r="CX123" i="1"/>
  <c r="W123" i="1" s="1"/>
  <c r="FR123" i="1"/>
  <c r="GL123" i="1"/>
  <c r="GN123" i="1"/>
  <c r="GO123" i="1"/>
  <c r="GV123" i="1"/>
  <c r="HC123" i="1"/>
  <c r="GX123" i="1" s="1"/>
  <c r="I124" i="1"/>
  <c r="T124" i="1"/>
  <c r="AC124" i="1"/>
  <c r="AD124" i="1"/>
  <c r="AE124" i="1"/>
  <c r="CS124" i="1" s="1"/>
  <c r="R124" i="1" s="1"/>
  <c r="GK124" i="1" s="1"/>
  <c r="AF124" i="1"/>
  <c r="AG124" i="1"/>
  <c r="AH124" i="1"/>
  <c r="CV124" i="1" s="1"/>
  <c r="U124" i="1" s="1"/>
  <c r="AI124" i="1"/>
  <c r="CW124" i="1" s="1"/>
  <c r="V124" i="1" s="1"/>
  <c r="AJ124" i="1"/>
  <c r="CQ124" i="1"/>
  <c r="P124" i="1" s="1"/>
  <c r="CR124" i="1"/>
  <c r="Q124" i="1" s="1"/>
  <c r="CT124" i="1"/>
  <c r="S124" i="1" s="1"/>
  <c r="CZ124" i="1" s="1"/>
  <c r="Y124" i="1" s="1"/>
  <c r="CU124" i="1"/>
  <c r="CX124" i="1"/>
  <c r="W124" i="1" s="1"/>
  <c r="CY124" i="1"/>
  <c r="X124" i="1" s="1"/>
  <c r="FR124" i="1"/>
  <c r="GL124" i="1"/>
  <c r="GN124" i="1"/>
  <c r="GO124" i="1"/>
  <c r="GV124" i="1"/>
  <c r="HC124" i="1" s="1"/>
  <c r="GX124" i="1" s="1"/>
  <c r="I125" i="1"/>
  <c r="R125" i="1"/>
  <c r="AB125" i="1"/>
  <c r="AC125" i="1"/>
  <c r="CQ125" i="1" s="1"/>
  <c r="P125" i="1" s="1"/>
  <c r="AE125" i="1"/>
  <c r="AD125" i="1" s="1"/>
  <c r="AF125" i="1"/>
  <c r="AG125" i="1"/>
  <c r="CU125" i="1" s="1"/>
  <c r="T125" i="1" s="1"/>
  <c r="AH125" i="1"/>
  <c r="AI125" i="1"/>
  <c r="AJ125" i="1"/>
  <c r="CX125" i="1" s="1"/>
  <c r="W125" i="1" s="1"/>
  <c r="CR125" i="1"/>
  <c r="Q125" i="1" s="1"/>
  <c r="CS125" i="1"/>
  <c r="CT125" i="1"/>
  <c r="S125" i="1" s="1"/>
  <c r="CV125" i="1"/>
  <c r="U125" i="1" s="1"/>
  <c r="CW125" i="1"/>
  <c r="V125" i="1" s="1"/>
  <c r="FR125" i="1"/>
  <c r="GK125" i="1"/>
  <c r="GL125" i="1"/>
  <c r="GN125" i="1"/>
  <c r="GO125" i="1"/>
  <c r="GV125" i="1"/>
  <c r="GX125" i="1"/>
  <c r="HC125" i="1"/>
  <c r="B127" i="1"/>
  <c r="B110" i="1" s="1"/>
  <c r="C127" i="1"/>
  <c r="C110" i="1" s="1"/>
  <c r="D127" i="1"/>
  <c r="D110" i="1" s="1"/>
  <c r="F127" i="1"/>
  <c r="F110" i="1" s="1"/>
  <c r="G127" i="1"/>
  <c r="G110" i="1" s="1"/>
  <c r="BX127" i="1"/>
  <c r="CK127" i="1"/>
  <c r="CK110" i="1" s="1"/>
  <c r="CL127" i="1"/>
  <c r="CL110" i="1" s="1"/>
  <c r="CM127" i="1"/>
  <c r="CM110" i="1" s="1"/>
  <c r="D157" i="1"/>
  <c r="E159" i="1"/>
  <c r="Z159" i="1"/>
  <c r="AA159" i="1"/>
  <c r="AM159" i="1"/>
  <c r="AN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C161" i="1"/>
  <c r="D161" i="1"/>
  <c r="AC161" i="1"/>
  <c r="CQ161" i="1" s="1"/>
  <c r="P161" i="1" s="1"/>
  <c r="AE161" i="1"/>
  <c r="AD161" i="1" s="1"/>
  <c r="AB161" i="1" s="1"/>
  <c r="AF161" i="1"/>
  <c r="CT161" i="1" s="1"/>
  <c r="S161" i="1" s="1"/>
  <c r="AG161" i="1"/>
  <c r="CU161" i="1" s="1"/>
  <c r="T161" i="1" s="1"/>
  <c r="AG164" i="1" s="1"/>
  <c r="AH161" i="1"/>
  <c r="AI161" i="1"/>
  <c r="AJ161" i="1"/>
  <c r="CX161" i="1" s="1"/>
  <c r="W161" i="1" s="1"/>
  <c r="CR161" i="1"/>
  <c r="Q161" i="1" s="1"/>
  <c r="AD164" i="1" s="1"/>
  <c r="CS161" i="1"/>
  <c r="R161" i="1" s="1"/>
  <c r="CV161" i="1"/>
  <c r="U161" i="1" s="1"/>
  <c r="CW161" i="1"/>
  <c r="V161" i="1" s="1"/>
  <c r="FR161" i="1"/>
  <c r="BY164" i="1" s="1"/>
  <c r="GL161" i="1"/>
  <c r="GN161" i="1"/>
  <c r="CB164" i="1" s="1"/>
  <c r="GO161" i="1"/>
  <c r="GV161" i="1"/>
  <c r="HC161" i="1" s="1"/>
  <c r="GX161" i="1" s="1"/>
  <c r="CJ164" i="1" s="1"/>
  <c r="C162" i="1"/>
  <c r="D162" i="1"/>
  <c r="I162" i="1"/>
  <c r="AC162" i="1"/>
  <c r="CQ162" i="1" s="1"/>
  <c r="P162" i="1" s="1"/>
  <c r="CP162" i="1" s="1"/>
  <c r="O162" i="1" s="1"/>
  <c r="AE162" i="1"/>
  <c r="AD162" i="1" s="1"/>
  <c r="AB162" i="1" s="1"/>
  <c r="AF162" i="1"/>
  <c r="CT162" i="1" s="1"/>
  <c r="S162" i="1" s="1"/>
  <c r="AG162" i="1"/>
  <c r="CU162" i="1" s="1"/>
  <c r="T162" i="1" s="1"/>
  <c r="AH162" i="1"/>
  <c r="AI162" i="1"/>
  <c r="AJ162" i="1"/>
  <c r="CX162" i="1" s="1"/>
  <c r="W162" i="1" s="1"/>
  <c r="CR162" i="1"/>
  <c r="Q162" i="1" s="1"/>
  <c r="CS162" i="1"/>
  <c r="R162" i="1" s="1"/>
  <c r="GK162" i="1" s="1"/>
  <c r="CV162" i="1"/>
  <c r="U162" i="1" s="1"/>
  <c r="CW162" i="1"/>
  <c r="V162" i="1" s="1"/>
  <c r="FR162" i="1"/>
  <c r="GL162" i="1"/>
  <c r="GN162" i="1"/>
  <c r="GO162" i="1"/>
  <c r="GV162" i="1"/>
  <c r="HC162" i="1" s="1"/>
  <c r="GX162" i="1" s="1"/>
  <c r="B164" i="1"/>
  <c r="B159" i="1" s="1"/>
  <c r="C164" i="1"/>
  <c r="C159" i="1" s="1"/>
  <c r="D164" i="1"/>
  <c r="D159" i="1" s="1"/>
  <c r="F164" i="1"/>
  <c r="F159" i="1" s="1"/>
  <c r="G164" i="1"/>
  <c r="G159" i="1" s="1"/>
  <c r="BX164" i="1"/>
  <c r="CG164" i="1" s="1"/>
  <c r="BZ164" i="1"/>
  <c r="BZ159" i="1" s="1"/>
  <c r="CC164" i="1"/>
  <c r="AT164" i="1" s="1"/>
  <c r="CK164" i="1"/>
  <c r="BB164" i="1" s="1"/>
  <c r="BB159" i="1" s="1"/>
  <c r="CL164" i="1"/>
  <c r="CL159" i="1" s="1"/>
  <c r="CM164" i="1"/>
  <c r="CM159" i="1" s="1"/>
  <c r="D194" i="1"/>
  <c r="E196" i="1"/>
  <c r="Z196" i="1"/>
  <c r="AA196" i="1"/>
  <c r="AM196" i="1"/>
  <c r="AN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C198" i="1"/>
  <c r="D198" i="1"/>
  <c r="AC198" i="1"/>
  <c r="AD198" i="1"/>
  <c r="AB198" i="1" s="1"/>
  <c r="AE198" i="1"/>
  <c r="CS198" i="1" s="1"/>
  <c r="AF198" i="1"/>
  <c r="CT198" i="1" s="1"/>
  <c r="AG198" i="1"/>
  <c r="AH198" i="1"/>
  <c r="CV198" i="1" s="1"/>
  <c r="AI198" i="1"/>
  <c r="CW198" i="1" s="1"/>
  <c r="AJ198" i="1"/>
  <c r="CX198" i="1" s="1"/>
  <c r="CQ198" i="1"/>
  <c r="CR198" i="1"/>
  <c r="CU198" i="1"/>
  <c r="FR198" i="1"/>
  <c r="GL198" i="1"/>
  <c r="GN198" i="1"/>
  <c r="GO198" i="1"/>
  <c r="GV198" i="1"/>
  <c r="HC198" i="1" s="1"/>
  <c r="AC199" i="1"/>
  <c r="CQ199" i="1" s="1"/>
  <c r="AD199" i="1"/>
  <c r="AE199" i="1"/>
  <c r="AF199" i="1"/>
  <c r="AG199" i="1"/>
  <c r="CU199" i="1" s="1"/>
  <c r="AH199" i="1"/>
  <c r="CV199" i="1" s="1"/>
  <c r="AI199" i="1"/>
  <c r="AJ199" i="1"/>
  <c r="CR199" i="1"/>
  <c r="CS199" i="1"/>
  <c r="CT199" i="1"/>
  <c r="CW199" i="1"/>
  <c r="CX199" i="1"/>
  <c r="FR199" i="1"/>
  <c r="GL199" i="1"/>
  <c r="GN199" i="1"/>
  <c r="CB205" i="1" s="1"/>
  <c r="GO199" i="1"/>
  <c r="GV199" i="1"/>
  <c r="HC199" i="1"/>
  <c r="AC200" i="1"/>
  <c r="AD200" i="1"/>
  <c r="AB200" i="1" s="1"/>
  <c r="AE200" i="1"/>
  <c r="CS200" i="1" s="1"/>
  <c r="AF200" i="1"/>
  <c r="CT200" i="1" s="1"/>
  <c r="AG200" i="1"/>
  <c r="AH200" i="1"/>
  <c r="CV200" i="1" s="1"/>
  <c r="AI200" i="1"/>
  <c r="CW200" i="1" s="1"/>
  <c r="AJ200" i="1"/>
  <c r="CX200" i="1" s="1"/>
  <c r="CQ200" i="1"/>
  <c r="CR200" i="1"/>
  <c r="CU200" i="1"/>
  <c r="FR200" i="1"/>
  <c r="GL200" i="1"/>
  <c r="GN200" i="1"/>
  <c r="GO200" i="1"/>
  <c r="GV200" i="1"/>
  <c r="HC200" i="1" s="1"/>
  <c r="AC201" i="1"/>
  <c r="CQ201" i="1" s="1"/>
  <c r="AD201" i="1"/>
  <c r="AE201" i="1"/>
  <c r="AF201" i="1"/>
  <c r="AG201" i="1"/>
  <c r="CU201" i="1" s="1"/>
  <c r="AH201" i="1"/>
  <c r="CV201" i="1" s="1"/>
  <c r="AI201" i="1"/>
  <c r="AJ201" i="1"/>
  <c r="CR201" i="1"/>
  <c r="CS201" i="1"/>
  <c r="CT201" i="1"/>
  <c r="CW201" i="1"/>
  <c r="CX201" i="1"/>
  <c r="FR201" i="1"/>
  <c r="GL201" i="1"/>
  <c r="GN201" i="1"/>
  <c r="GO201" i="1"/>
  <c r="GV201" i="1"/>
  <c r="HC201" i="1"/>
  <c r="C202" i="1"/>
  <c r="D202" i="1"/>
  <c r="I202" i="1"/>
  <c r="V202" i="1"/>
  <c r="AC202" i="1"/>
  <c r="CQ202" i="1" s="1"/>
  <c r="AD202" i="1"/>
  <c r="AE202" i="1"/>
  <c r="AF202" i="1"/>
  <c r="AB202" i="1" s="1"/>
  <c r="AG202" i="1"/>
  <c r="CU202" i="1" s="1"/>
  <c r="AH202" i="1"/>
  <c r="CV202" i="1" s="1"/>
  <c r="U202" i="1" s="1"/>
  <c r="AI202" i="1"/>
  <c r="AJ202" i="1"/>
  <c r="CX202" i="1" s="1"/>
  <c r="W202" i="1" s="1"/>
  <c r="CR202" i="1"/>
  <c r="Q202" i="1" s="1"/>
  <c r="CS202" i="1"/>
  <c r="R202" i="1" s="1"/>
  <c r="GK202" i="1" s="1"/>
  <c r="CT202" i="1"/>
  <c r="S202" i="1" s="1"/>
  <c r="CW202" i="1"/>
  <c r="FR202" i="1"/>
  <c r="BY205" i="1" s="1"/>
  <c r="GL202" i="1"/>
  <c r="GN202" i="1"/>
  <c r="GO202" i="1"/>
  <c r="CC205" i="1" s="1"/>
  <c r="GV202" i="1"/>
  <c r="HC202" i="1"/>
  <c r="GX202" i="1" s="1"/>
  <c r="I203" i="1"/>
  <c r="P203" i="1" s="1"/>
  <c r="T203" i="1"/>
  <c r="AC203" i="1"/>
  <c r="AE203" i="1"/>
  <c r="AD203" i="1" s="1"/>
  <c r="AB203" i="1" s="1"/>
  <c r="AF203" i="1"/>
  <c r="CT203" i="1" s="1"/>
  <c r="AG203" i="1"/>
  <c r="AH203" i="1"/>
  <c r="CV203" i="1" s="1"/>
  <c r="U203" i="1" s="1"/>
  <c r="AI203" i="1"/>
  <c r="CW203" i="1" s="1"/>
  <c r="V203" i="1" s="1"/>
  <c r="AJ203" i="1"/>
  <c r="CX203" i="1" s="1"/>
  <c r="CQ203" i="1"/>
  <c r="CS203" i="1"/>
  <c r="R203" i="1" s="1"/>
  <c r="GK203" i="1" s="1"/>
  <c r="CU203" i="1"/>
  <c r="FR203" i="1"/>
  <c r="GL203" i="1"/>
  <c r="GN203" i="1"/>
  <c r="GO203" i="1"/>
  <c r="GV203" i="1"/>
  <c r="HC203" i="1" s="1"/>
  <c r="GX203" i="1" s="1"/>
  <c r="B205" i="1"/>
  <c r="B196" i="1" s="1"/>
  <c r="C205" i="1"/>
  <c r="C196" i="1" s="1"/>
  <c r="D205" i="1"/>
  <c r="D196" i="1" s="1"/>
  <c r="F205" i="1"/>
  <c r="F196" i="1" s="1"/>
  <c r="G205" i="1"/>
  <c r="G196" i="1" s="1"/>
  <c r="BX205" i="1"/>
  <c r="BX196" i="1" s="1"/>
  <c r="BZ205" i="1"/>
  <c r="BZ196" i="1" s="1"/>
  <c r="CK205" i="1"/>
  <c r="CK196" i="1" s="1"/>
  <c r="CL205" i="1"/>
  <c r="CL196" i="1" s="1"/>
  <c r="CM205" i="1"/>
  <c r="CM196" i="1" s="1"/>
  <c r="D235" i="1"/>
  <c r="E237" i="1"/>
  <c r="Z237" i="1"/>
  <c r="AA237" i="1"/>
  <c r="AM237" i="1"/>
  <c r="AN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GI237" i="1"/>
  <c r="GJ237" i="1"/>
  <c r="GK237" i="1"/>
  <c r="GL237" i="1"/>
  <c r="GM237" i="1"/>
  <c r="GN237" i="1"/>
  <c r="GO237" i="1"/>
  <c r="GP237" i="1"/>
  <c r="GQ237" i="1"/>
  <c r="GR237" i="1"/>
  <c r="GS237" i="1"/>
  <c r="GT237" i="1"/>
  <c r="GU237" i="1"/>
  <c r="GV237" i="1"/>
  <c r="GW237" i="1"/>
  <c r="GX237" i="1"/>
  <c r="C239" i="1"/>
  <c r="D239" i="1"/>
  <c r="I239" i="1"/>
  <c r="AC239" i="1"/>
  <c r="AB239" i="1" s="1"/>
  <c r="AD239" i="1"/>
  <c r="AE239" i="1"/>
  <c r="CS239" i="1" s="1"/>
  <c r="R239" i="1" s="1"/>
  <c r="AF239" i="1"/>
  <c r="AG239" i="1"/>
  <c r="AH239" i="1"/>
  <c r="CV239" i="1" s="1"/>
  <c r="U239" i="1" s="1"/>
  <c r="AI239" i="1"/>
  <c r="CW239" i="1" s="1"/>
  <c r="V239" i="1" s="1"/>
  <c r="AJ239" i="1"/>
  <c r="CQ239" i="1"/>
  <c r="P239" i="1" s="1"/>
  <c r="CR239" i="1"/>
  <c r="Q239" i="1" s="1"/>
  <c r="CT239" i="1"/>
  <c r="S239" i="1" s="1"/>
  <c r="CU239" i="1"/>
  <c r="T239" i="1" s="1"/>
  <c r="CX239" i="1"/>
  <c r="W239" i="1" s="1"/>
  <c r="FR239" i="1"/>
  <c r="GL239" i="1"/>
  <c r="BZ245" i="1" s="1"/>
  <c r="GN239" i="1"/>
  <c r="GO239" i="1"/>
  <c r="GV239" i="1"/>
  <c r="HC239" i="1" s="1"/>
  <c r="GX239" i="1" s="1"/>
  <c r="I240" i="1"/>
  <c r="AC240" i="1"/>
  <c r="CQ240" i="1" s="1"/>
  <c r="P240" i="1" s="1"/>
  <c r="AE240" i="1"/>
  <c r="AD240" i="1" s="1"/>
  <c r="AB240" i="1" s="1"/>
  <c r="AF240" i="1"/>
  <c r="CT240" i="1" s="1"/>
  <c r="S240" i="1" s="1"/>
  <c r="AG240" i="1"/>
  <c r="CU240" i="1" s="1"/>
  <c r="T240" i="1" s="1"/>
  <c r="AH240" i="1"/>
  <c r="AI240" i="1"/>
  <c r="AJ240" i="1"/>
  <c r="CX240" i="1" s="1"/>
  <c r="W240" i="1" s="1"/>
  <c r="CR240" i="1"/>
  <c r="Q240" i="1" s="1"/>
  <c r="CS240" i="1"/>
  <c r="R240" i="1" s="1"/>
  <c r="GK240" i="1" s="1"/>
  <c r="CV240" i="1"/>
  <c r="U240" i="1" s="1"/>
  <c r="CW240" i="1"/>
  <c r="V240" i="1" s="1"/>
  <c r="FR240" i="1"/>
  <c r="BY245" i="1" s="1"/>
  <c r="GL240" i="1"/>
  <c r="GN240" i="1"/>
  <c r="GO240" i="1"/>
  <c r="CC245" i="1" s="1"/>
  <c r="GV240" i="1"/>
  <c r="GX240" i="1"/>
  <c r="HC240" i="1"/>
  <c r="C241" i="1"/>
  <c r="D241" i="1"/>
  <c r="I241" i="1"/>
  <c r="I242" i="1" s="1"/>
  <c r="AC241" i="1"/>
  <c r="CQ241" i="1" s="1"/>
  <c r="P241" i="1" s="1"/>
  <c r="AE241" i="1"/>
  <c r="AD241" i="1" s="1"/>
  <c r="AB241" i="1" s="1"/>
  <c r="AF241" i="1"/>
  <c r="CT241" i="1" s="1"/>
  <c r="S241" i="1" s="1"/>
  <c r="AG241" i="1"/>
  <c r="CU241" i="1" s="1"/>
  <c r="T241" i="1" s="1"/>
  <c r="AH241" i="1"/>
  <c r="AI241" i="1"/>
  <c r="AJ241" i="1"/>
  <c r="CX241" i="1" s="1"/>
  <c r="W241" i="1" s="1"/>
  <c r="CR241" i="1"/>
  <c r="Q241" i="1" s="1"/>
  <c r="CS241" i="1"/>
  <c r="R241" i="1" s="1"/>
  <c r="GK241" i="1" s="1"/>
  <c r="CV241" i="1"/>
  <c r="U241" i="1" s="1"/>
  <c r="AH245" i="1" s="1"/>
  <c r="CW241" i="1"/>
  <c r="V241" i="1" s="1"/>
  <c r="FR241" i="1"/>
  <c r="GL241" i="1"/>
  <c r="GN241" i="1"/>
  <c r="GO241" i="1"/>
  <c r="GV241" i="1"/>
  <c r="GX241" i="1"/>
  <c r="HC241" i="1"/>
  <c r="AC242" i="1"/>
  <c r="AD242" i="1"/>
  <c r="AE242" i="1"/>
  <c r="CS242" i="1" s="1"/>
  <c r="R242" i="1" s="1"/>
  <c r="GK242" i="1" s="1"/>
  <c r="AF242" i="1"/>
  <c r="AG242" i="1"/>
  <c r="AH242" i="1"/>
  <c r="CV242" i="1" s="1"/>
  <c r="U242" i="1" s="1"/>
  <c r="AI242" i="1"/>
  <c r="CW242" i="1" s="1"/>
  <c r="V242" i="1" s="1"/>
  <c r="AJ242" i="1"/>
  <c r="CQ242" i="1"/>
  <c r="P242" i="1" s="1"/>
  <c r="CP242" i="1" s="1"/>
  <c r="O242" i="1" s="1"/>
  <c r="CR242" i="1"/>
  <c r="Q242" i="1" s="1"/>
  <c r="CT242" i="1"/>
  <c r="S242" i="1" s="1"/>
  <c r="CZ242" i="1" s="1"/>
  <c r="Y242" i="1" s="1"/>
  <c r="CU242" i="1"/>
  <c r="T242" i="1" s="1"/>
  <c r="CX242" i="1"/>
  <c r="W242" i="1" s="1"/>
  <c r="CY242" i="1"/>
  <c r="X242" i="1" s="1"/>
  <c r="FR242" i="1"/>
  <c r="GL242" i="1"/>
  <c r="GN242" i="1"/>
  <c r="GO242" i="1"/>
  <c r="GV242" i="1"/>
  <c r="HC242" i="1" s="1"/>
  <c r="GX242" i="1" s="1"/>
  <c r="I243" i="1"/>
  <c r="AC243" i="1"/>
  <c r="CQ243" i="1" s="1"/>
  <c r="P243" i="1" s="1"/>
  <c r="AE243" i="1"/>
  <c r="AD243" i="1" s="1"/>
  <c r="AB243" i="1" s="1"/>
  <c r="AF243" i="1"/>
  <c r="CT243" i="1" s="1"/>
  <c r="AG243" i="1"/>
  <c r="CU243" i="1" s="1"/>
  <c r="AH243" i="1"/>
  <c r="AI243" i="1"/>
  <c r="AJ243" i="1"/>
  <c r="CX243" i="1" s="1"/>
  <c r="CR243" i="1"/>
  <c r="CS243" i="1"/>
  <c r="R243" i="1" s="1"/>
  <c r="GK243" i="1" s="1"/>
  <c r="CV243" i="1"/>
  <c r="U243" i="1" s="1"/>
  <c r="CW243" i="1"/>
  <c r="V243" i="1" s="1"/>
  <c r="FR243" i="1"/>
  <c r="GL243" i="1"/>
  <c r="GN243" i="1"/>
  <c r="GO243" i="1"/>
  <c r="GV243" i="1"/>
  <c r="GX243" i="1"/>
  <c r="HC243" i="1"/>
  <c r="B245" i="1"/>
  <c r="B237" i="1" s="1"/>
  <c r="C245" i="1"/>
  <c r="C237" i="1" s="1"/>
  <c r="D245" i="1"/>
  <c r="D237" i="1" s="1"/>
  <c r="F245" i="1"/>
  <c r="F237" i="1" s="1"/>
  <c r="G245" i="1"/>
  <c r="G237" i="1" s="1"/>
  <c r="BD245" i="1"/>
  <c r="BD237" i="1" s="1"/>
  <c r="BX245" i="1"/>
  <c r="BX237" i="1" s="1"/>
  <c r="CI245" i="1"/>
  <c r="CI237" i="1" s="1"/>
  <c r="CK245" i="1"/>
  <c r="CK237" i="1" s="1"/>
  <c r="CL245" i="1"/>
  <c r="CL237" i="1" s="1"/>
  <c r="CM245" i="1"/>
  <c r="CM237" i="1" s="1"/>
  <c r="F270" i="1"/>
  <c r="D275" i="1"/>
  <c r="E277" i="1"/>
  <c r="Z277" i="1"/>
  <c r="AA277" i="1"/>
  <c r="AM277" i="1"/>
  <c r="AN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ED277" i="1"/>
  <c r="EE277" i="1"/>
  <c r="EF277" i="1"/>
  <c r="EG277" i="1"/>
  <c r="EH277" i="1"/>
  <c r="EI277" i="1"/>
  <c r="EJ277" i="1"/>
  <c r="EK277" i="1"/>
  <c r="EL277" i="1"/>
  <c r="EM277" i="1"/>
  <c r="EN277" i="1"/>
  <c r="EO277" i="1"/>
  <c r="EP277" i="1"/>
  <c r="EQ277" i="1"/>
  <c r="ER277" i="1"/>
  <c r="ES277" i="1"/>
  <c r="ET277" i="1"/>
  <c r="EU277" i="1"/>
  <c r="EV277" i="1"/>
  <c r="EW277" i="1"/>
  <c r="EX277" i="1"/>
  <c r="EY277" i="1"/>
  <c r="EZ277" i="1"/>
  <c r="FA277" i="1"/>
  <c r="FB277" i="1"/>
  <c r="FC277" i="1"/>
  <c r="FD277" i="1"/>
  <c r="FE277" i="1"/>
  <c r="FF277" i="1"/>
  <c r="FG277" i="1"/>
  <c r="FH277" i="1"/>
  <c r="FI277" i="1"/>
  <c r="FJ277" i="1"/>
  <c r="FK277" i="1"/>
  <c r="FL277" i="1"/>
  <c r="FM277" i="1"/>
  <c r="FN277" i="1"/>
  <c r="FO277" i="1"/>
  <c r="FP277" i="1"/>
  <c r="FQ277" i="1"/>
  <c r="FR277" i="1"/>
  <c r="FS277" i="1"/>
  <c r="FT277" i="1"/>
  <c r="FU277" i="1"/>
  <c r="FV277" i="1"/>
  <c r="FW277" i="1"/>
  <c r="FX277" i="1"/>
  <c r="FY277" i="1"/>
  <c r="FZ277" i="1"/>
  <c r="GA277" i="1"/>
  <c r="GB277" i="1"/>
  <c r="GC277" i="1"/>
  <c r="GD277" i="1"/>
  <c r="GE277" i="1"/>
  <c r="GF277" i="1"/>
  <c r="GG277" i="1"/>
  <c r="GH277" i="1"/>
  <c r="GI277" i="1"/>
  <c r="GJ277" i="1"/>
  <c r="GK277" i="1"/>
  <c r="GL277" i="1"/>
  <c r="GM277" i="1"/>
  <c r="GN277" i="1"/>
  <c r="GO277" i="1"/>
  <c r="GP277" i="1"/>
  <c r="GQ277" i="1"/>
  <c r="GR277" i="1"/>
  <c r="GS277" i="1"/>
  <c r="GT277" i="1"/>
  <c r="GU277" i="1"/>
  <c r="GV277" i="1"/>
  <c r="GW277" i="1"/>
  <c r="GX277" i="1"/>
  <c r="C279" i="1"/>
  <c r="D279" i="1"/>
  <c r="I279" i="1"/>
  <c r="AC279" i="1"/>
  <c r="AE279" i="1"/>
  <c r="AD279" i="1" s="1"/>
  <c r="AB279" i="1" s="1"/>
  <c r="AF279" i="1"/>
  <c r="CT279" i="1" s="1"/>
  <c r="AG279" i="1"/>
  <c r="AH279" i="1"/>
  <c r="AI279" i="1"/>
  <c r="CW279" i="1" s="1"/>
  <c r="V279" i="1" s="1"/>
  <c r="AJ279" i="1"/>
  <c r="CX279" i="1" s="1"/>
  <c r="CQ279" i="1"/>
  <c r="CS279" i="1"/>
  <c r="R279" i="1" s="1"/>
  <c r="CU279" i="1"/>
  <c r="CV279" i="1"/>
  <c r="FR279" i="1"/>
  <c r="GL279" i="1"/>
  <c r="GN279" i="1"/>
  <c r="GO279" i="1"/>
  <c r="GV279" i="1"/>
  <c r="HC279" i="1" s="1"/>
  <c r="GX279" i="1"/>
  <c r="C280" i="1"/>
  <c r="D280" i="1"/>
  <c r="AB280" i="1"/>
  <c r="AC280" i="1"/>
  <c r="AE280" i="1"/>
  <c r="AD280" i="1" s="1"/>
  <c r="AF280" i="1"/>
  <c r="CT280" i="1" s="1"/>
  <c r="AG280" i="1"/>
  <c r="AH280" i="1"/>
  <c r="AI280" i="1"/>
  <c r="AJ280" i="1"/>
  <c r="CX280" i="1" s="1"/>
  <c r="CQ280" i="1"/>
  <c r="CR280" i="1"/>
  <c r="CS280" i="1"/>
  <c r="CU280" i="1"/>
  <c r="CV280" i="1"/>
  <c r="CW280" i="1"/>
  <c r="FR280" i="1"/>
  <c r="GL280" i="1"/>
  <c r="GN280" i="1"/>
  <c r="GO280" i="1"/>
  <c r="GV280" i="1"/>
  <c r="HC280" i="1" s="1"/>
  <c r="AC281" i="1"/>
  <c r="AB281" i="1" s="1"/>
  <c r="AD281" i="1"/>
  <c r="AE281" i="1"/>
  <c r="AF281" i="1"/>
  <c r="AG281" i="1"/>
  <c r="CU281" i="1" s="1"/>
  <c r="AH281" i="1"/>
  <c r="CV281" i="1" s="1"/>
  <c r="AI281" i="1"/>
  <c r="AJ281" i="1"/>
  <c r="CR281" i="1"/>
  <c r="CS281" i="1"/>
  <c r="CT281" i="1"/>
  <c r="CW281" i="1"/>
  <c r="CX281" i="1"/>
  <c r="FR281" i="1"/>
  <c r="GL281" i="1"/>
  <c r="GN281" i="1"/>
  <c r="GO281" i="1"/>
  <c r="GV281" i="1"/>
  <c r="HC281" i="1"/>
  <c r="AB282" i="1"/>
  <c r="AC282" i="1"/>
  <c r="AE282" i="1"/>
  <c r="AD282" i="1" s="1"/>
  <c r="AF282" i="1"/>
  <c r="CT282" i="1" s="1"/>
  <c r="AG282" i="1"/>
  <c r="AH282" i="1"/>
  <c r="AI282" i="1"/>
  <c r="AJ282" i="1"/>
  <c r="CX282" i="1" s="1"/>
  <c r="CQ282" i="1"/>
  <c r="CR282" i="1"/>
  <c r="CS282" i="1"/>
  <c r="CU282" i="1"/>
  <c r="CV282" i="1"/>
  <c r="CW282" i="1"/>
  <c r="FR282" i="1"/>
  <c r="GL282" i="1"/>
  <c r="GN282" i="1"/>
  <c r="GO282" i="1"/>
  <c r="GV282" i="1"/>
  <c r="HC282" i="1" s="1"/>
  <c r="C283" i="1"/>
  <c r="D283" i="1"/>
  <c r="I283" i="1"/>
  <c r="I284" i="1" s="1"/>
  <c r="AC283" i="1"/>
  <c r="AB283" i="1" s="1"/>
  <c r="AD283" i="1"/>
  <c r="AE283" i="1"/>
  <c r="AF283" i="1"/>
  <c r="AG283" i="1"/>
  <c r="CU283" i="1" s="1"/>
  <c r="T283" i="1" s="1"/>
  <c r="AH283" i="1"/>
  <c r="CV283" i="1" s="1"/>
  <c r="U283" i="1" s="1"/>
  <c r="AI283" i="1"/>
  <c r="AJ283" i="1"/>
  <c r="CR283" i="1"/>
  <c r="Q283" i="1" s="1"/>
  <c r="CS283" i="1"/>
  <c r="R283" i="1" s="1"/>
  <c r="GK283" i="1" s="1"/>
  <c r="CT283" i="1"/>
  <c r="S283" i="1" s="1"/>
  <c r="CW283" i="1"/>
  <c r="V283" i="1" s="1"/>
  <c r="CX283" i="1"/>
  <c r="W283" i="1" s="1"/>
  <c r="FR283" i="1"/>
  <c r="BY291" i="1" s="1"/>
  <c r="GL283" i="1"/>
  <c r="GN283" i="1"/>
  <c r="CB291" i="1" s="1"/>
  <c r="GO283" i="1"/>
  <c r="CC291" i="1" s="1"/>
  <c r="GV283" i="1"/>
  <c r="HC283" i="1"/>
  <c r="GX283" i="1" s="1"/>
  <c r="AC284" i="1"/>
  <c r="AE284" i="1"/>
  <c r="AD284" i="1" s="1"/>
  <c r="AB284" i="1" s="1"/>
  <c r="AF284" i="1"/>
  <c r="CT284" i="1" s="1"/>
  <c r="AG284" i="1"/>
  <c r="AH284" i="1"/>
  <c r="AI284" i="1"/>
  <c r="CW284" i="1" s="1"/>
  <c r="V284" i="1" s="1"/>
  <c r="AJ284" i="1"/>
  <c r="CX284" i="1" s="1"/>
  <c r="CQ284" i="1"/>
  <c r="CR284" i="1"/>
  <c r="Q284" i="1" s="1"/>
  <c r="CU284" i="1"/>
  <c r="T284" i="1" s="1"/>
  <c r="CV284" i="1"/>
  <c r="FR284" i="1"/>
  <c r="GL284" i="1"/>
  <c r="GN284" i="1"/>
  <c r="GO284" i="1"/>
  <c r="GV284" i="1"/>
  <c r="HC284" i="1" s="1"/>
  <c r="C285" i="1"/>
  <c r="D285" i="1"/>
  <c r="I285" i="1"/>
  <c r="AC285" i="1"/>
  <c r="AE285" i="1"/>
  <c r="AD285" i="1" s="1"/>
  <c r="AB285" i="1" s="1"/>
  <c r="AF285" i="1"/>
  <c r="CT285" i="1" s="1"/>
  <c r="S285" i="1" s="1"/>
  <c r="AG285" i="1"/>
  <c r="AH285" i="1"/>
  <c r="AI285" i="1"/>
  <c r="CW285" i="1" s="1"/>
  <c r="V285" i="1" s="1"/>
  <c r="AJ285" i="1"/>
  <c r="CX285" i="1" s="1"/>
  <c r="W285" i="1" s="1"/>
  <c r="CQ285" i="1"/>
  <c r="P285" i="1" s="1"/>
  <c r="CR285" i="1"/>
  <c r="Q285" i="1" s="1"/>
  <c r="CU285" i="1"/>
  <c r="T285" i="1" s="1"/>
  <c r="CV285" i="1"/>
  <c r="U285" i="1" s="1"/>
  <c r="FR285" i="1"/>
  <c r="GL285" i="1"/>
  <c r="GN285" i="1"/>
  <c r="GO285" i="1"/>
  <c r="GV285" i="1"/>
  <c r="HC285" i="1" s="1"/>
  <c r="GX285" i="1" s="1"/>
  <c r="C286" i="1"/>
  <c r="D286" i="1"/>
  <c r="AC286" i="1"/>
  <c r="AE286" i="1"/>
  <c r="AD286" i="1" s="1"/>
  <c r="AB286" i="1" s="1"/>
  <c r="AF286" i="1"/>
  <c r="CT286" i="1" s="1"/>
  <c r="AG286" i="1"/>
  <c r="AH286" i="1"/>
  <c r="AI286" i="1"/>
  <c r="CW286" i="1" s="1"/>
  <c r="AJ286" i="1"/>
  <c r="CX286" i="1" s="1"/>
  <c r="CQ286" i="1"/>
  <c r="CR286" i="1"/>
  <c r="CU286" i="1"/>
  <c r="CV286" i="1"/>
  <c r="FR286" i="1"/>
  <c r="GL286" i="1"/>
  <c r="GN286" i="1"/>
  <c r="GO286" i="1"/>
  <c r="GV286" i="1"/>
  <c r="HC286" i="1" s="1"/>
  <c r="C287" i="1"/>
  <c r="D287" i="1"/>
  <c r="AC287" i="1"/>
  <c r="CQ287" i="1" s="1"/>
  <c r="AE287" i="1"/>
  <c r="AD287" i="1" s="1"/>
  <c r="AB287" i="1" s="1"/>
  <c r="AF287" i="1"/>
  <c r="CT287" i="1" s="1"/>
  <c r="S287" i="1" s="1"/>
  <c r="AG287" i="1"/>
  <c r="CU287" i="1" s="1"/>
  <c r="AH287" i="1"/>
  <c r="AI287" i="1"/>
  <c r="AJ287" i="1"/>
  <c r="CX287" i="1" s="1"/>
  <c r="W287" i="1" s="1"/>
  <c r="CR287" i="1"/>
  <c r="CS287" i="1"/>
  <c r="CV287" i="1"/>
  <c r="U287" i="1" s="1"/>
  <c r="CW287" i="1"/>
  <c r="V287" i="1" s="1"/>
  <c r="FR287" i="1"/>
  <c r="GL287" i="1"/>
  <c r="GN287" i="1"/>
  <c r="GO287" i="1"/>
  <c r="GV287" i="1"/>
  <c r="HC287" i="1"/>
  <c r="C288" i="1"/>
  <c r="D288" i="1"/>
  <c r="I288" i="1"/>
  <c r="I287" i="1" s="1"/>
  <c r="AC288" i="1"/>
  <c r="CQ288" i="1" s="1"/>
  <c r="P288" i="1" s="1"/>
  <c r="AD288" i="1"/>
  <c r="AE288" i="1"/>
  <c r="AF288" i="1"/>
  <c r="AB288" i="1" s="1"/>
  <c r="AG288" i="1"/>
  <c r="CU288" i="1" s="1"/>
  <c r="T288" i="1" s="1"/>
  <c r="AH288" i="1"/>
  <c r="CV288" i="1" s="1"/>
  <c r="U288" i="1" s="1"/>
  <c r="AI288" i="1"/>
  <c r="AJ288" i="1"/>
  <c r="CX288" i="1" s="1"/>
  <c r="W288" i="1" s="1"/>
  <c r="CR288" i="1"/>
  <c r="Q288" i="1" s="1"/>
  <c r="CS288" i="1"/>
  <c r="R288" i="1" s="1"/>
  <c r="CW288" i="1"/>
  <c r="V288" i="1" s="1"/>
  <c r="FR288" i="1"/>
  <c r="GL288" i="1"/>
  <c r="GN288" i="1"/>
  <c r="GO288" i="1"/>
  <c r="GV288" i="1"/>
  <c r="HC288" i="1"/>
  <c r="GX288" i="1" s="1"/>
  <c r="I289" i="1"/>
  <c r="AC289" i="1"/>
  <c r="CQ289" i="1" s="1"/>
  <c r="P289" i="1" s="1"/>
  <c r="AE289" i="1"/>
  <c r="AD289" i="1" s="1"/>
  <c r="AB289" i="1" s="1"/>
  <c r="AF289" i="1"/>
  <c r="CT289" i="1" s="1"/>
  <c r="S289" i="1" s="1"/>
  <c r="AG289" i="1"/>
  <c r="CU289" i="1" s="1"/>
  <c r="T289" i="1" s="1"/>
  <c r="AH289" i="1"/>
  <c r="AI289" i="1"/>
  <c r="CW289" i="1" s="1"/>
  <c r="V289" i="1" s="1"/>
  <c r="AJ289" i="1"/>
  <c r="CX289" i="1" s="1"/>
  <c r="W289" i="1" s="1"/>
  <c r="CR289" i="1"/>
  <c r="Q289" i="1" s="1"/>
  <c r="CV289" i="1"/>
  <c r="U289" i="1" s="1"/>
  <c r="FR289" i="1"/>
  <c r="GL289" i="1"/>
  <c r="GN289" i="1"/>
  <c r="GO289" i="1"/>
  <c r="GV289" i="1"/>
  <c r="HC289" i="1" s="1"/>
  <c r="GX289" i="1" s="1"/>
  <c r="B291" i="1"/>
  <c r="B277" i="1" s="1"/>
  <c r="C291" i="1"/>
  <c r="C277" i="1" s="1"/>
  <c r="D291" i="1"/>
  <c r="D277" i="1" s="1"/>
  <c r="F291" i="1"/>
  <c r="F277" i="1" s="1"/>
  <c r="G291" i="1"/>
  <c r="G277" i="1" s="1"/>
  <c r="BX291" i="1"/>
  <c r="CG291" i="1" s="1"/>
  <c r="BZ291" i="1"/>
  <c r="BZ277" i="1" s="1"/>
  <c r="CK291" i="1"/>
  <c r="CK277" i="1" s="1"/>
  <c r="CL291" i="1"/>
  <c r="CL277" i="1" s="1"/>
  <c r="CM291" i="1"/>
  <c r="CM277" i="1" s="1"/>
  <c r="D321" i="1"/>
  <c r="E323" i="1"/>
  <c r="Z323" i="1"/>
  <c r="AA323" i="1"/>
  <c r="AM323" i="1"/>
  <c r="AN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DT323" i="1"/>
  <c r="DU323" i="1"/>
  <c r="DV323" i="1"/>
  <c r="DW323" i="1"/>
  <c r="DX323" i="1"/>
  <c r="DY323" i="1"/>
  <c r="DZ323" i="1"/>
  <c r="EA323" i="1"/>
  <c r="EB323" i="1"/>
  <c r="EC323" i="1"/>
  <c r="ED323" i="1"/>
  <c r="EE323" i="1"/>
  <c r="EF323" i="1"/>
  <c r="EG323" i="1"/>
  <c r="EH323" i="1"/>
  <c r="EI323" i="1"/>
  <c r="EJ323" i="1"/>
  <c r="EK323" i="1"/>
  <c r="EL323" i="1"/>
  <c r="EM323" i="1"/>
  <c r="EN323" i="1"/>
  <c r="EO323" i="1"/>
  <c r="EP323" i="1"/>
  <c r="EQ323" i="1"/>
  <c r="ER323" i="1"/>
  <c r="ES323" i="1"/>
  <c r="ET323" i="1"/>
  <c r="EU323" i="1"/>
  <c r="EV323" i="1"/>
  <c r="EW323" i="1"/>
  <c r="EX323" i="1"/>
  <c r="EY323" i="1"/>
  <c r="EZ323" i="1"/>
  <c r="FA323" i="1"/>
  <c r="FB323" i="1"/>
  <c r="FC323" i="1"/>
  <c r="FD323" i="1"/>
  <c r="FE323" i="1"/>
  <c r="FF323" i="1"/>
  <c r="FG323" i="1"/>
  <c r="FH323" i="1"/>
  <c r="FI323" i="1"/>
  <c r="FJ323" i="1"/>
  <c r="FK323" i="1"/>
  <c r="FL323" i="1"/>
  <c r="FM323" i="1"/>
  <c r="FN323" i="1"/>
  <c r="FO323" i="1"/>
  <c r="FP323" i="1"/>
  <c r="FQ323" i="1"/>
  <c r="FR323" i="1"/>
  <c r="FS323" i="1"/>
  <c r="FT323" i="1"/>
  <c r="FU323" i="1"/>
  <c r="FV323" i="1"/>
  <c r="FW323" i="1"/>
  <c r="FX323" i="1"/>
  <c r="FY323" i="1"/>
  <c r="FZ323" i="1"/>
  <c r="GA323" i="1"/>
  <c r="GB323" i="1"/>
  <c r="GC323" i="1"/>
  <c r="GD323" i="1"/>
  <c r="GE323" i="1"/>
  <c r="GF323" i="1"/>
  <c r="GG323" i="1"/>
  <c r="GH323" i="1"/>
  <c r="GI323" i="1"/>
  <c r="GJ323" i="1"/>
  <c r="GK323" i="1"/>
  <c r="GL323" i="1"/>
  <c r="GM323" i="1"/>
  <c r="GN323" i="1"/>
  <c r="GO323" i="1"/>
  <c r="GP323" i="1"/>
  <c r="GQ323" i="1"/>
  <c r="GR323" i="1"/>
  <c r="GS323" i="1"/>
  <c r="GT323" i="1"/>
  <c r="GU323" i="1"/>
  <c r="GV323" i="1"/>
  <c r="GW323" i="1"/>
  <c r="GX323" i="1"/>
  <c r="C325" i="1"/>
  <c r="D325" i="1"/>
  <c r="I325" i="1"/>
  <c r="AC325" i="1"/>
  <c r="AD325" i="1"/>
  <c r="AB325" i="1" s="1"/>
  <c r="AE325" i="1"/>
  <c r="CS325" i="1" s="1"/>
  <c r="R325" i="1" s="1"/>
  <c r="AF325" i="1"/>
  <c r="CT325" i="1" s="1"/>
  <c r="S325" i="1" s="1"/>
  <c r="AG325" i="1"/>
  <c r="AH325" i="1"/>
  <c r="CV325" i="1" s="1"/>
  <c r="U325" i="1" s="1"/>
  <c r="AI325" i="1"/>
  <c r="CW325" i="1" s="1"/>
  <c r="V325" i="1" s="1"/>
  <c r="AJ325" i="1"/>
  <c r="CX325" i="1" s="1"/>
  <c r="W325" i="1" s="1"/>
  <c r="CQ325" i="1"/>
  <c r="P325" i="1" s="1"/>
  <c r="CR325" i="1"/>
  <c r="Q325" i="1" s="1"/>
  <c r="CU325" i="1"/>
  <c r="T325" i="1" s="1"/>
  <c r="FR325" i="1"/>
  <c r="GL325" i="1"/>
  <c r="GN325" i="1"/>
  <c r="GO325" i="1"/>
  <c r="GV325" i="1"/>
  <c r="HC325" i="1" s="1"/>
  <c r="GX325" i="1" s="1"/>
  <c r="C326" i="1"/>
  <c r="D326" i="1"/>
  <c r="I326" i="1"/>
  <c r="AC326" i="1"/>
  <c r="AD326" i="1"/>
  <c r="AB326" i="1" s="1"/>
  <c r="AE326" i="1"/>
  <c r="CS326" i="1" s="1"/>
  <c r="R326" i="1" s="1"/>
  <c r="GK326" i="1" s="1"/>
  <c r="AF326" i="1"/>
  <c r="CT326" i="1" s="1"/>
  <c r="S326" i="1" s="1"/>
  <c r="AG326" i="1"/>
  <c r="AH326" i="1"/>
  <c r="CV326" i="1" s="1"/>
  <c r="U326" i="1" s="1"/>
  <c r="AI326" i="1"/>
  <c r="CW326" i="1" s="1"/>
  <c r="V326" i="1" s="1"/>
  <c r="AJ326" i="1"/>
  <c r="CX326" i="1" s="1"/>
  <c r="W326" i="1" s="1"/>
  <c r="CQ326" i="1"/>
  <c r="P326" i="1" s="1"/>
  <c r="CR326" i="1"/>
  <c r="Q326" i="1" s="1"/>
  <c r="CU326" i="1"/>
  <c r="T326" i="1" s="1"/>
  <c r="FR326" i="1"/>
  <c r="GL326" i="1"/>
  <c r="GN326" i="1"/>
  <c r="GO326" i="1"/>
  <c r="GV326" i="1"/>
  <c r="HC326" i="1" s="1"/>
  <c r="GX326" i="1" s="1"/>
  <c r="I327" i="1"/>
  <c r="AC327" i="1"/>
  <c r="CQ327" i="1" s="1"/>
  <c r="P327" i="1" s="1"/>
  <c r="AD327" i="1"/>
  <c r="AE327" i="1"/>
  <c r="AF327" i="1"/>
  <c r="AB327" i="1" s="1"/>
  <c r="AG327" i="1"/>
  <c r="CU327" i="1" s="1"/>
  <c r="T327" i="1" s="1"/>
  <c r="AH327" i="1"/>
  <c r="CV327" i="1" s="1"/>
  <c r="U327" i="1" s="1"/>
  <c r="AI327" i="1"/>
  <c r="AJ327" i="1"/>
  <c r="CX327" i="1" s="1"/>
  <c r="W327" i="1" s="1"/>
  <c r="CR327" i="1"/>
  <c r="Q327" i="1" s="1"/>
  <c r="CS327" i="1"/>
  <c r="R327" i="1" s="1"/>
  <c r="GK327" i="1" s="1"/>
  <c r="CW327" i="1"/>
  <c r="V327" i="1" s="1"/>
  <c r="FR327" i="1"/>
  <c r="BY337" i="1" s="1"/>
  <c r="GL327" i="1"/>
  <c r="GN327" i="1"/>
  <c r="CB337" i="1" s="1"/>
  <c r="GO327" i="1"/>
  <c r="CC337" i="1" s="1"/>
  <c r="GV327" i="1"/>
  <c r="GX327" i="1"/>
  <c r="HC327" i="1"/>
  <c r="I328" i="1"/>
  <c r="AC328" i="1"/>
  <c r="AD328" i="1"/>
  <c r="AB328" i="1" s="1"/>
  <c r="AE328" i="1"/>
  <c r="CS328" i="1" s="1"/>
  <c r="R328" i="1" s="1"/>
  <c r="GK328" i="1" s="1"/>
  <c r="AF328" i="1"/>
  <c r="CT328" i="1" s="1"/>
  <c r="S328" i="1" s="1"/>
  <c r="AG328" i="1"/>
  <c r="AH328" i="1"/>
  <c r="CV328" i="1" s="1"/>
  <c r="U328" i="1" s="1"/>
  <c r="AI328" i="1"/>
  <c r="CW328" i="1" s="1"/>
  <c r="V328" i="1" s="1"/>
  <c r="AJ328" i="1"/>
  <c r="CX328" i="1" s="1"/>
  <c r="W328" i="1" s="1"/>
  <c r="CQ328" i="1"/>
  <c r="P328" i="1" s="1"/>
  <c r="CR328" i="1"/>
  <c r="Q328" i="1" s="1"/>
  <c r="CU328" i="1"/>
  <c r="T328" i="1" s="1"/>
  <c r="FR328" i="1"/>
  <c r="GL328" i="1"/>
  <c r="GN328" i="1"/>
  <c r="GO328" i="1"/>
  <c r="GV328" i="1"/>
  <c r="HC328" i="1" s="1"/>
  <c r="GX328" i="1" s="1"/>
  <c r="C329" i="1"/>
  <c r="D329" i="1"/>
  <c r="AC329" i="1"/>
  <c r="CQ329" i="1" s="1"/>
  <c r="P329" i="1" s="1"/>
  <c r="CP329" i="1" s="1"/>
  <c r="O329" i="1" s="1"/>
  <c r="AE329" i="1"/>
  <c r="AD329" i="1" s="1"/>
  <c r="AB329" i="1" s="1"/>
  <c r="AF329" i="1"/>
  <c r="CT329" i="1" s="1"/>
  <c r="S329" i="1" s="1"/>
  <c r="AG329" i="1"/>
  <c r="CU329" i="1" s="1"/>
  <c r="T329" i="1" s="1"/>
  <c r="AH329" i="1"/>
  <c r="AI329" i="1"/>
  <c r="CW329" i="1" s="1"/>
  <c r="V329" i="1" s="1"/>
  <c r="AJ329" i="1"/>
  <c r="CX329" i="1" s="1"/>
  <c r="W329" i="1" s="1"/>
  <c r="CR329" i="1"/>
  <c r="Q329" i="1" s="1"/>
  <c r="CV329" i="1"/>
  <c r="U329" i="1" s="1"/>
  <c r="FR329" i="1"/>
  <c r="GL329" i="1"/>
  <c r="GN329" i="1"/>
  <c r="GO329" i="1"/>
  <c r="GV329" i="1"/>
  <c r="HC329" i="1" s="1"/>
  <c r="GX329" i="1" s="1"/>
  <c r="I330" i="1"/>
  <c r="AC330" i="1"/>
  <c r="AB330" i="1" s="1"/>
  <c r="AD330" i="1"/>
  <c r="AE330" i="1"/>
  <c r="CS330" i="1" s="1"/>
  <c r="R330" i="1" s="1"/>
  <c r="GK330" i="1" s="1"/>
  <c r="AF330" i="1"/>
  <c r="AG330" i="1"/>
  <c r="CU330" i="1" s="1"/>
  <c r="T330" i="1" s="1"/>
  <c r="AH330" i="1"/>
  <c r="CV330" i="1" s="1"/>
  <c r="U330" i="1" s="1"/>
  <c r="AI330" i="1"/>
  <c r="CW330" i="1" s="1"/>
  <c r="V330" i="1" s="1"/>
  <c r="AJ330" i="1"/>
  <c r="CR330" i="1"/>
  <c r="Q330" i="1" s="1"/>
  <c r="CT330" i="1"/>
  <c r="S330" i="1" s="1"/>
  <c r="CX330" i="1"/>
  <c r="W330" i="1" s="1"/>
  <c r="FR330" i="1"/>
  <c r="GL330" i="1"/>
  <c r="GN330" i="1"/>
  <c r="GO330" i="1"/>
  <c r="GV330" i="1"/>
  <c r="HC330" i="1"/>
  <c r="GX330" i="1" s="1"/>
  <c r="C331" i="1"/>
  <c r="D331" i="1"/>
  <c r="AC331" i="1"/>
  <c r="AB331" i="1" s="1"/>
  <c r="AD331" i="1"/>
  <c r="AE331" i="1"/>
  <c r="CS331" i="1" s="1"/>
  <c r="AF331" i="1"/>
  <c r="AG331" i="1"/>
  <c r="CU331" i="1" s="1"/>
  <c r="AH331" i="1"/>
  <c r="CV331" i="1" s="1"/>
  <c r="AI331" i="1"/>
  <c r="CW331" i="1" s="1"/>
  <c r="AJ331" i="1"/>
  <c r="CR331" i="1"/>
  <c r="CT331" i="1"/>
  <c r="CX331" i="1"/>
  <c r="FR331" i="1"/>
  <c r="GL331" i="1"/>
  <c r="GN331" i="1"/>
  <c r="GO331" i="1"/>
  <c r="GV331" i="1"/>
  <c r="HC331" i="1" s="1"/>
  <c r="C332" i="1"/>
  <c r="D332" i="1"/>
  <c r="AC332" i="1"/>
  <c r="AD332" i="1"/>
  <c r="AB332" i="1" s="1"/>
  <c r="AE332" i="1"/>
  <c r="CS332" i="1" s="1"/>
  <c r="AF332" i="1"/>
  <c r="CT332" i="1" s="1"/>
  <c r="S332" i="1" s="1"/>
  <c r="AG332" i="1"/>
  <c r="AH332" i="1"/>
  <c r="CV332" i="1" s="1"/>
  <c r="U332" i="1" s="1"/>
  <c r="AI332" i="1"/>
  <c r="CW332" i="1" s="1"/>
  <c r="AJ332" i="1"/>
  <c r="CX332" i="1" s="1"/>
  <c r="W332" i="1" s="1"/>
  <c r="CQ332" i="1"/>
  <c r="P332" i="1" s="1"/>
  <c r="CP332" i="1" s="1"/>
  <c r="O332" i="1" s="1"/>
  <c r="CR332" i="1"/>
  <c r="Q332" i="1" s="1"/>
  <c r="CU332" i="1"/>
  <c r="FR332" i="1"/>
  <c r="GL332" i="1"/>
  <c r="GN332" i="1"/>
  <c r="GO332" i="1"/>
  <c r="GV332" i="1"/>
  <c r="HC332" i="1" s="1"/>
  <c r="GX332" i="1" s="1"/>
  <c r="C333" i="1"/>
  <c r="D333" i="1"/>
  <c r="I333" i="1"/>
  <c r="I332" i="1" s="1"/>
  <c r="AC333" i="1"/>
  <c r="CQ333" i="1" s="1"/>
  <c r="P333" i="1" s="1"/>
  <c r="CP333" i="1" s="1"/>
  <c r="O333" i="1" s="1"/>
  <c r="AE333" i="1"/>
  <c r="AD333" i="1" s="1"/>
  <c r="AB333" i="1" s="1"/>
  <c r="AF333" i="1"/>
  <c r="CT333" i="1" s="1"/>
  <c r="S333" i="1" s="1"/>
  <c r="AG333" i="1"/>
  <c r="CU333" i="1" s="1"/>
  <c r="T333" i="1" s="1"/>
  <c r="AH333" i="1"/>
  <c r="AI333" i="1"/>
  <c r="CW333" i="1" s="1"/>
  <c r="V333" i="1" s="1"/>
  <c r="AJ333" i="1"/>
  <c r="CX333" i="1" s="1"/>
  <c r="W333" i="1" s="1"/>
  <c r="CR333" i="1"/>
  <c r="Q333" i="1" s="1"/>
  <c r="CV333" i="1"/>
  <c r="U333" i="1" s="1"/>
  <c r="FR333" i="1"/>
  <c r="GL333" i="1"/>
  <c r="GN333" i="1"/>
  <c r="GO333" i="1"/>
  <c r="GV333" i="1"/>
  <c r="GX333" i="1"/>
  <c r="HC333" i="1"/>
  <c r="I334" i="1"/>
  <c r="AC334" i="1"/>
  <c r="AD334" i="1"/>
  <c r="AB334" i="1" s="1"/>
  <c r="AE334" i="1"/>
  <c r="CS334" i="1" s="1"/>
  <c r="R334" i="1" s="1"/>
  <c r="GK334" i="1" s="1"/>
  <c r="AF334" i="1"/>
  <c r="CT334" i="1" s="1"/>
  <c r="S334" i="1" s="1"/>
  <c r="AG334" i="1"/>
  <c r="AH334" i="1"/>
  <c r="CV334" i="1" s="1"/>
  <c r="U334" i="1" s="1"/>
  <c r="AI334" i="1"/>
  <c r="CW334" i="1" s="1"/>
  <c r="V334" i="1" s="1"/>
  <c r="AJ334" i="1"/>
  <c r="CX334" i="1" s="1"/>
  <c r="W334" i="1" s="1"/>
  <c r="CQ334" i="1"/>
  <c r="P334" i="1" s="1"/>
  <c r="CP334" i="1" s="1"/>
  <c r="O334" i="1" s="1"/>
  <c r="CR334" i="1"/>
  <c r="Q334" i="1" s="1"/>
  <c r="CU334" i="1"/>
  <c r="T334" i="1" s="1"/>
  <c r="FR334" i="1"/>
  <c r="GL334" i="1"/>
  <c r="GN334" i="1"/>
  <c r="GO334" i="1"/>
  <c r="GV334" i="1"/>
  <c r="HC334" i="1" s="1"/>
  <c r="GX334" i="1" s="1"/>
  <c r="C335" i="1"/>
  <c r="D335" i="1"/>
  <c r="AC335" i="1"/>
  <c r="CQ335" i="1" s="1"/>
  <c r="P335" i="1" s="1"/>
  <c r="AE335" i="1"/>
  <c r="CR335" i="1" s="1"/>
  <c r="Q335" i="1" s="1"/>
  <c r="AF335" i="1"/>
  <c r="CT335" i="1" s="1"/>
  <c r="S335" i="1" s="1"/>
  <c r="CY335" i="1" s="1"/>
  <c r="X335" i="1" s="1"/>
  <c r="AG335" i="1"/>
  <c r="CU335" i="1" s="1"/>
  <c r="T335" i="1" s="1"/>
  <c r="AH335" i="1"/>
  <c r="AI335" i="1"/>
  <c r="CW335" i="1" s="1"/>
  <c r="V335" i="1" s="1"/>
  <c r="AJ335" i="1"/>
  <c r="CX335" i="1" s="1"/>
  <c r="W335" i="1" s="1"/>
  <c r="CV335" i="1"/>
  <c r="U335" i="1" s="1"/>
  <c r="FR335" i="1"/>
  <c r="GL335" i="1"/>
  <c r="GN335" i="1"/>
  <c r="GO335" i="1"/>
  <c r="GV335" i="1"/>
  <c r="HC335" i="1" s="1"/>
  <c r="GX335" i="1" s="1"/>
  <c r="B337" i="1"/>
  <c r="B323" i="1" s="1"/>
  <c r="C337" i="1"/>
  <c r="C323" i="1" s="1"/>
  <c r="D337" i="1"/>
  <c r="D323" i="1" s="1"/>
  <c r="F337" i="1"/>
  <c r="F323" i="1" s="1"/>
  <c r="G337" i="1"/>
  <c r="G323" i="1" s="1"/>
  <c r="BX337" i="1"/>
  <c r="BX323" i="1" s="1"/>
  <c r="BZ337" i="1"/>
  <c r="CI337" i="1" s="1"/>
  <c r="CK337" i="1"/>
  <c r="BB337" i="1" s="1"/>
  <c r="BB323" i="1" s="1"/>
  <c r="CL337" i="1"/>
  <c r="CL323" i="1" s="1"/>
  <c r="CM337" i="1"/>
  <c r="CM323" i="1" s="1"/>
  <c r="F350" i="1"/>
  <c r="D367" i="1"/>
  <c r="E369" i="1"/>
  <c r="Z369" i="1"/>
  <c r="AA369" i="1"/>
  <c r="AM369" i="1"/>
  <c r="AN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DB369" i="1"/>
  <c r="DC369" i="1"/>
  <c r="DD369" i="1"/>
  <c r="DE369" i="1"/>
  <c r="DF369" i="1"/>
  <c r="DG369" i="1"/>
  <c r="DH369" i="1"/>
  <c r="DI369" i="1"/>
  <c r="DJ369" i="1"/>
  <c r="DK369" i="1"/>
  <c r="DL369" i="1"/>
  <c r="DM369" i="1"/>
  <c r="DN369" i="1"/>
  <c r="DO369" i="1"/>
  <c r="DP369" i="1"/>
  <c r="DQ369" i="1"/>
  <c r="DR369" i="1"/>
  <c r="DS369" i="1"/>
  <c r="DT369" i="1"/>
  <c r="DU369" i="1"/>
  <c r="DV369" i="1"/>
  <c r="DW369" i="1"/>
  <c r="DX369" i="1"/>
  <c r="DY369" i="1"/>
  <c r="DZ369" i="1"/>
  <c r="EA369" i="1"/>
  <c r="EB369" i="1"/>
  <c r="EC369" i="1"/>
  <c r="ED369" i="1"/>
  <c r="EE369" i="1"/>
  <c r="EF369" i="1"/>
  <c r="EG369" i="1"/>
  <c r="EH369" i="1"/>
  <c r="EI369" i="1"/>
  <c r="EJ369" i="1"/>
  <c r="EK369" i="1"/>
  <c r="EL369" i="1"/>
  <c r="EM369" i="1"/>
  <c r="EN369" i="1"/>
  <c r="EO369" i="1"/>
  <c r="EP369" i="1"/>
  <c r="EQ369" i="1"/>
  <c r="ER369" i="1"/>
  <c r="ES369" i="1"/>
  <c r="ET369" i="1"/>
  <c r="EU369" i="1"/>
  <c r="EV369" i="1"/>
  <c r="EW369" i="1"/>
  <c r="EX369" i="1"/>
  <c r="EY369" i="1"/>
  <c r="EZ369" i="1"/>
  <c r="FA369" i="1"/>
  <c r="FB369" i="1"/>
  <c r="FC369" i="1"/>
  <c r="FD369" i="1"/>
  <c r="FE369" i="1"/>
  <c r="FF369" i="1"/>
  <c r="FG369" i="1"/>
  <c r="FH369" i="1"/>
  <c r="FI369" i="1"/>
  <c r="FJ369" i="1"/>
  <c r="FK369" i="1"/>
  <c r="FL369" i="1"/>
  <c r="FM369" i="1"/>
  <c r="FN369" i="1"/>
  <c r="FO369" i="1"/>
  <c r="FP369" i="1"/>
  <c r="FQ369" i="1"/>
  <c r="FR369" i="1"/>
  <c r="FS369" i="1"/>
  <c r="FT369" i="1"/>
  <c r="FU369" i="1"/>
  <c r="FV369" i="1"/>
  <c r="FW369" i="1"/>
  <c r="FX369" i="1"/>
  <c r="FY369" i="1"/>
  <c r="FZ369" i="1"/>
  <c r="GA369" i="1"/>
  <c r="GB369" i="1"/>
  <c r="GC369" i="1"/>
  <c r="GD369" i="1"/>
  <c r="GE369" i="1"/>
  <c r="GF369" i="1"/>
  <c r="GG369" i="1"/>
  <c r="GH369" i="1"/>
  <c r="GI369" i="1"/>
  <c r="GJ369" i="1"/>
  <c r="GK369" i="1"/>
  <c r="GL369" i="1"/>
  <c r="GM369" i="1"/>
  <c r="GN369" i="1"/>
  <c r="GO369" i="1"/>
  <c r="GP369" i="1"/>
  <c r="GQ369" i="1"/>
  <c r="GR369" i="1"/>
  <c r="GS369" i="1"/>
  <c r="GT369" i="1"/>
  <c r="GU369" i="1"/>
  <c r="GV369" i="1"/>
  <c r="GW369" i="1"/>
  <c r="GX369" i="1"/>
  <c r="C371" i="1"/>
  <c r="D371" i="1"/>
  <c r="AC371" i="1"/>
  <c r="AD371" i="1"/>
  <c r="AE371" i="1"/>
  <c r="CS371" i="1" s="1"/>
  <c r="AF371" i="1"/>
  <c r="AG371" i="1"/>
  <c r="AH371" i="1"/>
  <c r="CV371" i="1" s="1"/>
  <c r="AI371" i="1"/>
  <c r="CW371" i="1" s="1"/>
  <c r="AJ371" i="1"/>
  <c r="CQ371" i="1"/>
  <c r="CR371" i="1"/>
  <c r="CT371" i="1"/>
  <c r="CU371" i="1"/>
  <c r="CX371" i="1"/>
  <c r="FR371" i="1"/>
  <c r="GL371" i="1"/>
  <c r="GN371" i="1"/>
  <c r="GO371" i="1"/>
  <c r="GV371" i="1"/>
  <c r="HC371" i="1" s="1"/>
  <c r="C372" i="1"/>
  <c r="D372" i="1"/>
  <c r="AC372" i="1"/>
  <c r="AE372" i="1"/>
  <c r="CS372" i="1" s="1"/>
  <c r="AF372" i="1"/>
  <c r="AG372" i="1"/>
  <c r="AH372" i="1"/>
  <c r="AI372" i="1"/>
  <c r="CW372" i="1" s="1"/>
  <c r="AJ372" i="1"/>
  <c r="CQ372" i="1"/>
  <c r="CT372" i="1"/>
  <c r="CU372" i="1"/>
  <c r="CV372" i="1"/>
  <c r="CX372" i="1"/>
  <c r="FR372" i="1"/>
  <c r="GL372" i="1"/>
  <c r="GN372" i="1"/>
  <c r="GO372" i="1"/>
  <c r="GV372" i="1"/>
  <c r="HC372" i="1" s="1"/>
  <c r="C373" i="1"/>
  <c r="D373" i="1"/>
  <c r="AC373" i="1"/>
  <c r="AB373" i="1" s="1"/>
  <c r="AD373" i="1"/>
  <c r="AE373" i="1"/>
  <c r="CS373" i="1" s="1"/>
  <c r="AF373" i="1"/>
  <c r="AG373" i="1"/>
  <c r="AH373" i="1"/>
  <c r="AI373" i="1"/>
  <c r="CW373" i="1" s="1"/>
  <c r="AJ373" i="1"/>
  <c r="CQ373" i="1"/>
  <c r="CR373" i="1"/>
  <c r="CT373" i="1"/>
  <c r="CU373" i="1"/>
  <c r="CV373" i="1"/>
  <c r="CX373" i="1"/>
  <c r="FR373" i="1"/>
  <c r="GL373" i="1"/>
  <c r="GN373" i="1"/>
  <c r="GO373" i="1"/>
  <c r="GV373" i="1"/>
  <c r="HC373" i="1" s="1"/>
  <c r="C374" i="1"/>
  <c r="D374" i="1"/>
  <c r="AC374" i="1"/>
  <c r="AB374" i="1" s="1"/>
  <c r="AD374" i="1"/>
  <c r="AE374" i="1"/>
  <c r="CS374" i="1" s="1"/>
  <c r="AF374" i="1"/>
  <c r="AG374" i="1"/>
  <c r="AH374" i="1"/>
  <c r="AI374" i="1"/>
  <c r="CW374" i="1" s="1"/>
  <c r="AJ374" i="1"/>
  <c r="CQ374" i="1"/>
  <c r="CR374" i="1"/>
  <c r="CT374" i="1"/>
  <c r="CU374" i="1"/>
  <c r="CV374" i="1"/>
  <c r="CX374" i="1"/>
  <c r="FR374" i="1"/>
  <c r="GL374" i="1"/>
  <c r="GN374" i="1"/>
  <c r="GO374" i="1"/>
  <c r="GV374" i="1"/>
  <c r="HC374" i="1" s="1"/>
  <c r="C375" i="1"/>
  <c r="D375" i="1"/>
  <c r="AC375" i="1"/>
  <c r="AD375" i="1"/>
  <c r="AE375" i="1"/>
  <c r="CS375" i="1" s="1"/>
  <c r="AF375" i="1"/>
  <c r="AG375" i="1"/>
  <c r="AH375" i="1"/>
  <c r="CV375" i="1" s="1"/>
  <c r="AI375" i="1"/>
  <c r="CW375" i="1" s="1"/>
  <c r="AJ375" i="1"/>
  <c r="CQ375" i="1"/>
  <c r="CR375" i="1"/>
  <c r="CT375" i="1"/>
  <c r="CU375" i="1"/>
  <c r="CX375" i="1"/>
  <c r="FR375" i="1"/>
  <c r="GL375" i="1"/>
  <c r="GN375" i="1"/>
  <c r="GO375" i="1"/>
  <c r="GV375" i="1"/>
  <c r="HC375" i="1" s="1"/>
  <c r="C376" i="1"/>
  <c r="D376" i="1"/>
  <c r="AC376" i="1"/>
  <c r="AE376" i="1"/>
  <c r="AD376" i="1" s="1"/>
  <c r="AB376" i="1" s="1"/>
  <c r="AF376" i="1"/>
  <c r="CT376" i="1" s="1"/>
  <c r="AG376" i="1"/>
  <c r="AH376" i="1"/>
  <c r="AI376" i="1"/>
  <c r="CW376" i="1" s="1"/>
  <c r="AJ376" i="1"/>
  <c r="CX376" i="1" s="1"/>
  <c r="CQ376" i="1"/>
  <c r="CS376" i="1"/>
  <c r="CU376" i="1"/>
  <c r="CV376" i="1"/>
  <c r="FR376" i="1"/>
  <c r="GL376" i="1"/>
  <c r="GN376" i="1"/>
  <c r="GO376" i="1"/>
  <c r="GV376" i="1"/>
  <c r="HC376" i="1"/>
  <c r="AC377" i="1"/>
  <c r="AE377" i="1"/>
  <c r="CS377" i="1" s="1"/>
  <c r="AF377" i="1"/>
  <c r="AG377" i="1"/>
  <c r="AH377" i="1"/>
  <c r="AI377" i="1"/>
  <c r="CW377" i="1" s="1"/>
  <c r="AJ377" i="1"/>
  <c r="CQ377" i="1"/>
  <c r="CT377" i="1"/>
  <c r="CU377" i="1"/>
  <c r="CV377" i="1"/>
  <c r="CX377" i="1"/>
  <c r="FR377" i="1"/>
  <c r="GL377" i="1"/>
  <c r="GN377" i="1"/>
  <c r="GO377" i="1"/>
  <c r="GV377" i="1"/>
  <c r="HC377" i="1" s="1"/>
  <c r="C378" i="1"/>
  <c r="D378" i="1"/>
  <c r="AC378" i="1"/>
  <c r="AB378" i="1" s="1"/>
  <c r="AD378" i="1"/>
  <c r="AE378" i="1"/>
  <c r="CS378" i="1" s="1"/>
  <c r="AF378" i="1"/>
  <c r="AG378" i="1"/>
  <c r="AH378" i="1"/>
  <c r="AI378" i="1"/>
  <c r="CW378" i="1" s="1"/>
  <c r="AJ378" i="1"/>
  <c r="CQ378" i="1"/>
  <c r="CR378" i="1"/>
  <c r="CT378" i="1"/>
  <c r="CU378" i="1"/>
  <c r="CV378" i="1"/>
  <c r="CX378" i="1"/>
  <c r="FR378" i="1"/>
  <c r="GL378" i="1"/>
  <c r="GN378" i="1"/>
  <c r="GO378" i="1"/>
  <c r="GV378" i="1"/>
  <c r="HC378" i="1" s="1"/>
  <c r="C379" i="1"/>
  <c r="D379" i="1"/>
  <c r="AC379" i="1"/>
  <c r="AB379" i="1" s="1"/>
  <c r="AD379" i="1"/>
  <c r="AE379" i="1"/>
  <c r="CS379" i="1" s="1"/>
  <c r="AF379" i="1"/>
  <c r="AG379" i="1"/>
  <c r="AH379" i="1"/>
  <c r="AI379" i="1"/>
  <c r="CW379" i="1" s="1"/>
  <c r="AJ379" i="1"/>
  <c r="CQ379" i="1"/>
  <c r="CR379" i="1"/>
  <c r="CT379" i="1"/>
  <c r="CU379" i="1"/>
  <c r="CV379" i="1"/>
  <c r="CX379" i="1"/>
  <c r="FR379" i="1"/>
  <c r="GL379" i="1"/>
  <c r="GN379" i="1"/>
  <c r="GO379" i="1"/>
  <c r="GV379" i="1"/>
  <c r="HC379" i="1" s="1"/>
  <c r="C380" i="1"/>
  <c r="D380" i="1"/>
  <c r="AC380" i="1"/>
  <c r="AD380" i="1"/>
  <c r="AE380" i="1"/>
  <c r="CS380" i="1" s="1"/>
  <c r="AF380" i="1"/>
  <c r="AG380" i="1"/>
  <c r="AH380" i="1"/>
  <c r="CV380" i="1" s="1"/>
  <c r="AI380" i="1"/>
  <c r="CW380" i="1" s="1"/>
  <c r="AJ380" i="1"/>
  <c r="CQ380" i="1"/>
  <c r="CR380" i="1"/>
  <c r="CT380" i="1"/>
  <c r="CU380" i="1"/>
  <c r="CX380" i="1"/>
  <c r="FR380" i="1"/>
  <c r="GL380" i="1"/>
  <c r="GN380" i="1"/>
  <c r="GO380" i="1"/>
  <c r="GV380" i="1"/>
  <c r="HC380" i="1" s="1"/>
  <c r="C381" i="1"/>
  <c r="D381" i="1"/>
  <c r="I381" i="1"/>
  <c r="AC381" i="1"/>
  <c r="AD381" i="1"/>
  <c r="AB381" i="1" s="1"/>
  <c r="AE381" i="1"/>
  <c r="CS381" i="1" s="1"/>
  <c r="R381" i="1" s="1"/>
  <c r="GK381" i="1" s="1"/>
  <c r="AF381" i="1"/>
  <c r="CT381" i="1" s="1"/>
  <c r="S381" i="1" s="1"/>
  <c r="AG381" i="1"/>
  <c r="AH381" i="1"/>
  <c r="CV381" i="1" s="1"/>
  <c r="U381" i="1" s="1"/>
  <c r="AI381" i="1"/>
  <c r="CW381" i="1" s="1"/>
  <c r="V381" i="1" s="1"/>
  <c r="AJ381" i="1"/>
  <c r="CX381" i="1" s="1"/>
  <c r="W381" i="1" s="1"/>
  <c r="CQ381" i="1"/>
  <c r="P381" i="1" s="1"/>
  <c r="CR381" i="1"/>
  <c r="Q381" i="1" s="1"/>
  <c r="CU381" i="1"/>
  <c r="T381" i="1" s="1"/>
  <c r="FR381" i="1"/>
  <c r="GL381" i="1"/>
  <c r="GN381" i="1"/>
  <c r="GO381" i="1"/>
  <c r="GV381" i="1"/>
  <c r="HC381" i="1" s="1"/>
  <c r="GX381" i="1" s="1"/>
  <c r="B383" i="1"/>
  <c r="B369" i="1" s="1"/>
  <c r="C383" i="1"/>
  <c r="C369" i="1" s="1"/>
  <c r="D383" i="1"/>
  <c r="D369" i="1" s="1"/>
  <c r="F383" i="1"/>
  <c r="F369" i="1" s="1"/>
  <c r="G383" i="1"/>
  <c r="G369" i="1" s="1"/>
  <c r="BX383" i="1"/>
  <c r="AO383" i="1" s="1"/>
  <c r="BY383" i="1"/>
  <c r="BY369" i="1" s="1"/>
  <c r="BZ383" i="1"/>
  <c r="BZ369" i="1" s="1"/>
  <c r="CB383" i="1"/>
  <c r="AS383" i="1" s="1"/>
  <c r="CC383" i="1"/>
  <c r="CC369" i="1" s="1"/>
  <c r="CG383" i="1"/>
  <c r="CG369" i="1" s="1"/>
  <c r="CK383" i="1"/>
  <c r="CK369" i="1" s="1"/>
  <c r="CL383" i="1"/>
  <c r="CL369" i="1" s="1"/>
  <c r="CM383" i="1"/>
  <c r="CM369" i="1" s="1"/>
  <c r="D413" i="1"/>
  <c r="E415" i="1"/>
  <c r="G415" i="1"/>
  <c r="Z415" i="1"/>
  <c r="AA415" i="1"/>
  <c r="AM415" i="1"/>
  <c r="AN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CN415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DA415" i="1"/>
  <c r="DB415" i="1"/>
  <c r="DC415" i="1"/>
  <c r="DD415" i="1"/>
  <c r="DE415" i="1"/>
  <c r="DF415" i="1"/>
  <c r="DG415" i="1"/>
  <c r="DH415" i="1"/>
  <c r="DI415" i="1"/>
  <c r="DJ415" i="1"/>
  <c r="DK415" i="1"/>
  <c r="DL415" i="1"/>
  <c r="DM415" i="1"/>
  <c r="DN415" i="1"/>
  <c r="DO415" i="1"/>
  <c r="DP415" i="1"/>
  <c r="DQ415" i="1"/>
  <c r="DR415" i="1"/>
  <c r="DS415" i="1"/>
  <c r="DT415" i="1"/>
  <c r="DU415" i="1"/>
  <c r="DV415" i="1"/>
  <c r="DW415" i="1"/>
  <c r="DX415" i="1"/>
  <c r="DY415" i="1"/>
  <c r="DZ415" i="1"/>
  <c r="EA415" i="1"/>
  <c r="EB415" i="1"/>
  <c r="EC415" i="1"/>
  <c r="ED415" i="1"/>
  <c r="EE415" i="1"/>
  <c r="EF415" i="1"/>
  <c r="EG415" i="1"/>
  <c r="EH415" i="1"/>
  <c r="EI415" i="1"/>
  <c r="EJ415" i="1"/>
  <c r="EK415" i="1"/>
  <c r="EL415" i="1"/>
  <c r="EM415" i="1"/>
  <c r="EN415" i="1"/>
  <c r="EO415" i="1"/>
  <c r="EP415" i="1"/>
  <c r="EQ415" i="1"/>
  <c r="ER415" i="1"/>
  <c r="ES415" i="1"/>
  <c r="ET415" i="1"/>
  <c r="EU415" i="1"/>
  <c r="EV415" i="1"/>
  <c r="EW415" i="1"/>
  <c r="EX415" i="1"/>
  <c r="EY415" i="1"/>
  <c r="EZ415" i="1"/>
  <c r="FA415" i="1"/>
  <c r="FB415" i="1"/>
  <c r="FC415" i="1"/>
  <c r="FD415" i="1"/>
  <c r="FE415" i="1"/>
  <c r="FF415" i="1"/>
  <c r="FG415" i="1"/>
  <c r="FH415" i="1"/>
  <c r="FI415" i="1"/>
  <c r="FJ415" i="1"/>
  <c r="FK415" i="1"/>
  <c r="FL415" i="1"/>
  <c r="FM415" i="1"/>
  <c r="FN415" i="1"/>
  <c r="FO415" i="1"/>
  <c r="FP415" i="1"/>
  <c r="FQ415" i="1"/>
  <c r="FR415" i="1"/>
  <c r="FS415" i="1"/>
  <c r="FT415" i="1"/>
  <c r="FU415" i="1"/>
  <c r="FV415" i="1"/>
  <c r="FW415" i="1"/>
  <c r="FX415" i="1"/>
  <c r="FY415" i="1"/>
  <c r="FZ415" i="1"/>
  <c r="GA415" i="1"/>
  <c r="GB415" i="1"/>
  <c r="GC415" i="1"/>
  <c r="GD415" i="1"/>
  <c r="GE415" i="1"/>
  <c r="GF415" i="1"/>
  <c r="GG415" i="1"/>
  <c r="GH415" i="1"/>
  <c r="GI415" i="1"/>
  <c r="GJ415" i="1"/>
  <c r="GK415" i="1"/>
  <c r="GL415" i="1"/>
  <c r="GM415" i="1"/>
  <c r="GN415" i="1"/>
  <c r="GO415" i="1"/>
  <c r="GP415" i="1"/>
  <c r="GQ415" i="1"/>
  <c r="GR415" i="1"/>
  <c r="GS415" i="1"/>
  <c r="GT415" i="1"/>
  <c r="GU415" i="1"/>
  <c r="GV415" i="1"/>
  <c r="GW415" i="1"/>
  <c r="GX415" i="1"/>
  <c r="C417" i="1"/>
  <c r="D417" i="1"/>
  <c r="AC417" i="1"/>
  <c r="AB417" i="1" s="1"/>
  <c r="AD417" i="1"/>
  <c r="AE417" i="1"/>
  <c r="CS417" i="1" s="1"/>
  <c r="AF417" i="1"/>
  <c r="AG417" i="1"/>
  <c r="CU417" i="1" s="1"/>
  <c r="AH417" i="1"/>
  <c r="CV417" i="1" s="1"/>
  <c r="AI417" i="1"/>
  <c r="CW417" i="1" s="1"/>
  <c r="AJ417" i="1"/>
  <c r="CR417" i="1"/>
  <c r="CT417" i="1"/>
  <c r="CX417" i="1"/>
  <c r="FR417" i="1"/>
  <c r="GL417" i="1"/>
  <c r="GN417" i="1"/>
  <c r="GO417" i="1"/>
  <c r="CC430" i="1" s="1"/>
  <c r="GV417" i="1"/>
  <c r="HC417" i="1"/>
  <c r="AC418" i="1"/>
  <c r="CQ418" i="1" s="1"/>
  <c r="AE418" i="1"/>
  <c r="AD418" i="1" s="1"/>
  <c r="AB418" i="1" s="1"/>
  <c r="AF418" i="1"/>
  <c r="CT418" i="1" s="1"/>
  <c r="AG418" i="1"/>
  <c r="CU418" i="1" s="1"/>
  <c r="AH418" i="1"/>
  <c r="AI418" i="1"/>
  <c r="CW418" i="1" s="1"/>
  <c r="AJ418" i="1"/>
  <c r="CX418" i="1" s="1"/>
  <c r="CR418" i="1"/>
  <c r="CV418" i="1"/>
  <c r="FR418" i="1"/>
  <c r="BY430" i="1" s="1"/>
  <c r="GL418" i="1"/>
  <c r="GN418" i="1"/>
  <c r="CB430" i="1" s="1"/>
  <c r="GO418" i="1"/>
  <c r="GV418" i="1"/>
  <c r="HC418" i="1" s="1"/>
  <c r="C419" i="1"/>
  <c r="D419" i="1"/>
  <c r="AC419" i="1"/>
  <c r="CQ419" i="1" s="1"/>
  <c r="AE419" i="1"/>
  <c r="AD419" i="1" s="1"/>
  <c r="AB419" i="1" s="1"/>
  <c r="AF419" i="1"/>
  <c r="CT419" i="1" s="1"/>
  <c r="AG419" i="1"/>
  <c r="CU419" i="1" s="1"/>
  <c r="AH419" i="1"/>
  <c r="AI419" i="1"/>
  <c r="CW419" i="1" s="1"/>
  <c r="AJ419" i="1"/>
  <c r="CX419" i="1" s="1"/>
  <c r="CR419" i="1"/>
  <c r="CV419" i="1"/>
  <c r="FR419" i="1"/>
  <c r="GL419" i="1"/>
  <c r="GN419" i="1"/>
  <c r="GO419" i="1"/>
  <c r="GV419" i="1"/>
  <c r="HC419" i="1" s="1"/>
  <c r="C420" i="1"/>
  <c r="D420" i="1"/>
  <c r="AC420" i="1"/>
  <c r="CQ420" i="1" s="1"/>
  <c r="AE420" i="1"/>
  <c r="AD420" i="1" s="1"/>
  <c r="AB420" i="1" s="1"/>
  <c r="AF420" i="1"/>
  <c r="CT420" i="1" s="1"/>
  <c r="AG420" i="1"/>
  <c r="CU420" i="1" s="1"/>
  <c r="AH420" i="1"/>
  <c r="AI420" i="1"/>
  <c r="CW420" i="1" s="1"/>
  <c r="AJ420" i="1"/>
  <c r="CX420" i="1" s="1"/>
  <c r="CR420" i="1"/>
  <c r="CV420" i="1"/>
  <c r="FR420" i="1"/>
  <c r="GL420" i="1"/>
  <c r="GN420" i="1"/>
  <c r="GO420" i="1"/>
  <c r="GV420" i="1"/>
  <c r="HC420" i="1" s="1"/>
  <c r="AC421" i="1"/>
  <c r="AB421" i="1" s="1"/>
  <c r="AD421" i="1"/>
  <c r="AE421" i="1"/>
  <c r="CS421" i="1" s="1"/>
  <c r="AF421" i="1"/>
  <c r="AG421" i="1"/>
  <c r="CU421" i="1" s="1"/>
  <c r="AH421" i="1"/>
  <c r="CV421" i="1" s="1"/>
  <c r="AI421" i="1"/>
  <c r="CW421" i="1" s="1"/>
  <c r="AJ421" i="1"/>
  <c r="CR421" i="1"/>
  <c r="CT421" i="1"/>
  <c r="CX421" i="1"/>
  <c r="FR421" i="1"/>
  <c r="GL421" i="1"/>
  <c r="GN421" i="1"/>
  <c r="GO421" i="1"/>
  <c r="GV421" i="1"/>
  <c r="HC421" i="1"/>
  <c r="AC422" i="1"/>
  <c r="CQ422" i="1" s="1"/>
  <c r="AE422" i="1"/>
  <c r="AD422" i="1" s="1"/>
  <c r="AB422" i="1" s="1"/>
  <c r="AF422" i="1"/>
  <c r="CT422" i="1" s="1"/>
  <c r="AG422" i="1"/>
  <c r="CU422" i="1" s="1"/>
  <c r="AH422" i="1"/>
  <c r="AI422" i="1"/>
  <c r="CW422" i="1" s="1"/>
  <c r="AJ422" i="1"/>
  <c r="CX422" i="1" s="1"/>
  <c r="CR422" i="1"/>
  <c r="CV422" i="1"/>
  <c r="FR422" i="1"/>
  <c r="GL422" i="1"/>
  <c r="GN422" i="1"/>
  <c r="GO422" i="1"/>
  <c r="GV422" i="1"/>
  <c r="HC422" i="1" s="1"/>
  <c r="C423" i="1"/>
  <c r="D423" i="1"/>
  <c r="AC423" i="1"/>
  <c r="CQ423" i="1" s="1"/>
  <c r="AE423" i="1"/>
  <c r="AD423" i="1" s="1"/>
  <c r="AB423" i="1" s="1"/>
  <c r="AF423" i="1"/>
  <c r="CT423" i="1" s="1"/>
  <c r="AG423" i="1"/>
  <c r="CU423" i="1" s="1"/>
  <c r="AH423" i="1"/>
  <c r="AI423" i="1"/>
  <c r="CW423" i="1" s="1"/>
  <c r="AJ423" i="1"/>
  <c r="CX423" i="1" s="1"/>
  <c r="CR423" i="1"/>
  <c r="CV423" i="1"/>
  <c r="FR423" i="1"/>
  <c r="GL423" i="1"/>
  <c r="GN423" i="1"/>
  <c r="GO423" i="1"/>
  <c r="GV423" i="1"/>
  <c r="HC423" i="1" s="1"/>
  <c r="AC424" i="1"/>
  <c r="AB424" i="1" s="1"/>
  <c r="AD424" i="1"/>
  <c r="AE424" i="1"/>
  <c r="CS424" i="1" s="1"/>
  <c r="AF424" i="1"/>
  <c r="AG424" i="1"/>
  <c r="CU424" i="1" s="1"/>
  <c r="AH424" i="1"/>
  <c r="CV424" i="1" s="1"/>
  <c r="AI424" i="1"/>
  <c r="CW424" i="1" s="1"/>
  <c r="AJ424" i="1"/>
  <c r="CR424" i="1"/>
  <c r="CT424" i="1"/>
  <c r="CX424" i="1"/>
  <c r="FR424" i="1"/>
  <c r="GL424" i="1"/>
  <c r="GN424" i="1"/>
  <c r="GO424" i="1"/>
  <c r="GV424" i="1"/>
  <c r="HC424" i="1"/>
  <c r="AC425" i="1"/>
  <c r="CQ425" i="1" s="1"/>
  <c r="AE425" i="1"/>
  <c r="AD425" i="1" s="1"/>
  <c r="AB425" i="1" s="1"/>
  <c r="AF425" i="1"/>
  <c r="CT425" i="1" s="1"/>
  <c r="AG425" i="1"/>
  <c r="CU425" i="1" s="1"/>
  <c r="AH425" i="1"/>
  <c r="AI425" i="1"/>
  <c r="CW425" i="1" s="1"/>
  <c r="AJ425" i="1"/>
  <c r="CX425" i="1" s="1"/>
  <c r="CR425" i="1"/>
  <c r="CV425" i="1"/>
  <c r="FR425" i="1"/>
  <c r="GL425" i="1"/>
  <c r="GN425" i="1"/>
  <c r="GO425" i="1"/>
  <c r="GV425" i="1"/>
  <c r="HC425" i="1" s="1"/>
  <c r="C426" i="1"/>
  <c r="D426" i="1"/>
  <c r="I426" i="1"/>
  <c r="AC426" i="1"/>
  <c r="CQ426" i="1" s="1"/>
  <c r="P426" i="1" s="1"/>
  <c r="CP426" i="1" s="1"/>
  <c r="O426" i="1" s="1"/>
  <c r="AE426" i="1"/>
  <c r="AD426" i="1" s="1"/>
  <c r="AB426" i="1" s="1"/>
  <c r="AF426" i="1"/>
  <c r="CT426" i="1" s="1"/>
  <c r="S426" i="1" s="1"/>
  <c r="AG426" i="1"/>
  <c r="CU426" i="1" s="1"/>
  <c r="T426" i="1" s="1"/>
  <c r="AH426" i="1"/>
  <c r="AI426" i="1"/>
  <c r="CW426" i="1" s="1"/>
  <c r="V426" i="1" s="1"/>
  <c r="AJ426" i="1"/>
  <c r="CX426" i="1" s="1"/>
  <c r="W426" i="1" s="1"/>
  <c r="CR426" i="1"/>
  <c r="Q426" i="1" s="1"/>
  <c r="CV426" i="1"/>
  <c r="U426" i="1" s="1"/>
  <c r="FR426" i="1"/>
  <c r="GL426" i="1"/>
  <c r="GN426" i="1"/>
  <c r="GO426" i="1"/>
  <c r="GV426" i="1"/>
  <c r="HC426" i="1" s="1"/>
  <c r="GX426" i="1" s="1"/>
  <c r="AC427" i="1"/>
  <c r="AB427" i="1" s="1"/>
  <c r="AD427" i="1"/>
  <c r="AE427" i="1"/>
  <c r="AF427" i="1"/>
  <c r="AG427" i="1"/>
  <c r="CU427" i="1" s="1"/>
  <c r="AH427" i="1"/>
  <c r="CV427" i="1" s="1"/>
  <c r="AI427" i="1"/>
  <c r="AJ427" i="1"/>
  <c r="CR427" i="1"/>
  <c r="CS427" i="1"/>
  <c r="CT427" i="1"/>
  <c r="CW427" i="1"/>
  <c r="CX427" i="1"/>
  <c r="FR427" i="1"/>
  <c r="GL427" i="1"/>
  <c r="GN427" i="1"/>
  <c r="GO427" i="1"/>
  <c r="GV427" i="1"/>
  <c r="HC427" i="1"/>
  <c r="I428" i="1"/>
  <c r="AC428" i="1"/>
  <c r="AE428" i="1"/>
  <c r="AD428" i="1" s="1"/>
  <c r="AB428" i="1" s="1"/>
  <c r="AF428" i="1"/>
  <c r="CT428" i="1" s="1"/>
  <c r="S428" i="1" s="1"/>
  <c r="AG428" i="1"/>
  <c r="AH428" i="1"/>
  <c r="AI428" i="1"/>
  <c r="CW428" i="1" s="1"/>
  <c r="V428" i="1" s="1"/>
  <c r="AJ428" i="1"/>
  <c r="CX428" i="1" s="1"/>
  <c r="W428" i="1" s="1"/>
  <c r="CQ428" i="1"/>
  <c r="P428" i="1" s="1"/>
  <c r="CR428" i="1"/>
  <c r="Q428" i="1" s="1"/>
  <c r="CU428" i="1"/>
  <c r="T428" i="1" s="1"/>
  <c r="CV428" i="1"/>
  <c r="U428" i="1" s="1"/>
  <c r="FR428" i="1"/>
  <c r="GL428" i="1"/>
  <c r="GN428" i="1"/>
  <c r="GO428" i="1"/>
  <c r="GV428" i="1"/>
  <c r="HC428" i="1" s="1"/>
  <c r="GX428" i="1" s="1"/>
  <c r="B430" i="1"/>
  <c r="B415" i="1" s="1"/>
  <c r="C430" i="1"/>
  <c r="C415" i="1" s="1"/>
  <c r="D430" i="1"/>
  <c r="D415" i="1" s="1"/>
  <c r="F430" i="1"/>
  <c r="F415" i="1" s="1"/>
  <c r="G430" i="1"/>
  <c r="BX430" i="1"/>
  <c r="BX415" i="1" s="1"/>
  <c r="BZ430" i="1"/>
  <c r="CG430" i="1" s="1"/>
  <c r="CK430" i="1"/>
  <c r="CK415" i="1" s="1"/>
  <c r="CL430" i="1"/>
  <c r="CL415" i="1" s="1"/>
  <c r="CM430" i="1"/>
  <c r="CM415" i="1" s="1"/>
  <c r="D460" i="1"/>
  <c r="E462" i="1"/>
  <c r="Z462" i="1"/>
  <c r="AA462" i="1"/>
  <c r="AM462" i="1"/>
  <c r="AN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CN462" i="1"/>
  <c r="CO462" i="1"/>
  <c r="CP462" i="1"/>
  <c r="CQ462" i="1"/>
  <c r="CR462" i="1"/>
  <c r="CS462" i="1"/>
  <c r="CT462" i="1"/>
  <c r="CU462" i="1"/>
  <c r="CV462" i="1"/>
  <c r="CW462" i="1"/>
  <c r="CX462" i="1"/>
  <c r="CY462" i="1"/>
  <c r="CZ462" i="1"/>
  <c r="DA462" i="1"/>
  <c r="DB462" i="1"/>
  <c r="DC462" i="1"/>
  <c r="DD462" i="1"/>
  <c r="DE462" i="1"/>
  <c r="DF462" i="1"/>
  <c r="DG462" i="1"/>
  <c r="DH462" i="1"/>
  <c r="DI462" i="1"/>
  <c r="DJ462" i="1"/>
  <c r="DK462" i="1"/>
  <c r="DL462" i="1"/>
  <c r="DM462" i="1"/>
  <c r="DN462" i="1"/>
  <c r="DO462" i="1"/>
  <c r="DP462" i="1"/>
  <c r="DQ462" i="1"/>
  <c r="DR462" i="1"/>
  <c r="DS462" i="1"/>
  <c r="DT462" i="1"/>
  <c r="DU462" i="1"/>
  <c r="DV462" i="1"/>
  <c r="DW462" i="1"/>
  <c r="DX462" i="1"/>
  <c r="DY462" i="1"/>
  <c r="DZ462" i="1"/>
  <c r="EA462" i="1"/>
  <c r="EB462" i="1"/>
  <c r="EC462" i="1"/>
  <c r="ED462" i="1"/>
  <c r="EE462" i="1"/>
  <c r="EF462" i="1"/>
  <c r="EG462" i="1"/>
  <c r="EH462" i="1"/>
  <c r="EI462" i="1"/>
  <c r="EJ462" i="1"/>
  <c r="EK462" i="1"/>
  <c r="EL462" i="1"/>
  <c r="EM462" i="1"/>
  <c r="EN462" i="1"/>
  <c r="EO462" i="1"/>
  <c r="EP462" i="1"/>
  <c r="EQ462" i="1"/>
  <c r="ER462" i="1"/>
  <c r="ES462" i="1"/>
  <c r="ET462" i="1"/>
  <c r="EU462" i="1"/>
  <c r="EV462" i="1"/>
  <c r="EW462" i="1"/>
  <c r="EX462" i="1"/>
  <c r="EY462" i="1"/>
  <c r="EZ462" i="1"/>
  <c r="FA462" i="1"/>
  <c r="FB462" i="1"/>
  <c r="FC462" i="1"/>
  <c r="FD462" i="1"/>
  <c r="FE462" i="1"/>
  <c r="FF462" i="1"/>
  <c r="FG462" i="1"/>
  <c r="FH462" i="1"/>
  <c r="FI462" i="1"/>
  <c r="FJ462" i="1"/>
  <c r="FK462" i="1"/>
  <c r="FL462" i="1"/>
  <c r="FM462" i="1"/>
  <c r="FN462" i="1"/>
  <c r="FO462" i="1"/>
  <c r="FP462" i="1"/>
  <c r="FQ462" i="1"/>
  <c r="FR462" i="1"/>
  <c r="FS462" i="1"/>
  <c r="FT462" i="1"/>
  <c r="FU462" i="1"/>
  <c r="FV462" i="1"/>
  <c r="FW462" i="1"/>
  <c r="FX462" i="1"/>
  <c r="FY462" i="1"/>
  <c r="FZ462" i="1"/>
  <c r="GA462" i="1"/>
  <c r="GB462" i="1"/>
  <c r="GC462" i="1"/>
  <c r="GD462" i="1"/>
  <c r="GE462" i="1"/>
  <c r="GF462" i="1"/>
  <c r="GG462" i="1"/>
  <c r="GH462" i="1"/>
  <c r="GI462" i="1"/>
  <c r="GJ462" i="1"/>
  <c r="GK462" i="1"/>
  <c r="GL462" i="1"/>
  <c r="GM462" i="1"/>
  <c r="GN462" i="1"/>
  <c r="GO462" i="1"/>
  <c r="GP462" i="1"/>
  <c r="GQ462" i="1"/>
  <c r="GR462" i="1"/>
  <c r="GS462" i="1"/>
  <c r="GT462" i="1"/>
  <c r="GU462" i="1"/>
  <c r="GV462" i="1"/>
  <c r="GW462" i="1"/>
  <c r="GX462" i="1"/>
  <c r="C464" i="1"/>
  <c r="D464" i="1"/>
  <c r="I464" i="1"/>
  <c r="T464" i="1"/>
  <c r="AC464" i="1"/>
  <c r="AE464" i="1"/>
  <c r="CS464" i="1" s="1"/>
  <c r="R464" i="1" s="1"/>
  <c r="GK464" i="1" s="1"/>
  <c r="AF464" i="1"/>
  <c r="AG464" i="1"/>
  <c r="AH464" i="1"/>
  <c r="AI464" i="1"/>
  <c r="CW464" i="1" s="1"/>
  <c r="V464" i="1" s="1"/>
  <c r="AJ464" i="1"/>
  <c r="CQ464" i="1"/>
  <c r="P464" i="1" s="1"/>
  <c r="CT464" i="1"/>
  <c r="S464" i="1" s="1"/>
  <c r="CU464" i="1"/>
  <c r="CV464" i="1"/>
  <c r="U464" i="1" s="1"/>
  <c r="CX464" i="1"/>
  <c r="W464" i="1" s="1"/>
  <c r="CY464" i="1"/>
  <c r="X464" i="1" s="1"/>
  <c r="CZ464" i="1"/>
  <c r="Y464" i="1" s="1"/>
  <c r="FR464" i="1"/>
  <c r="GL464" i="1"/>
  <c r="GN464" i="1"/>
  <c r="GO464" i="1"/>
  <c r="GV464" i="1"/>
  <c r="HC464" i="1" s="1"/>
  <c r="GX464" i="1" s="1"/>
  <c r="I465" i="1"/>
  <c r="V465" i="1"/>
  <c r="AC465" i="1"/>
  <c r="CQ465" i="1" s="1"/>
  <c r="AE465" i="1"/>
  <c r="AD465" i="1" s="1"/>
  <c r="AF465" i="1"/>
  <c r="AG465" i="1"/>
  <c r="CU465" i="1" s="1"/>
  <c r="AH465" i="1"/>
  <c r="AI465" i="1"/>
  <c r="AJ465" i="1"/>
  <c r="CX465" i="1" s="1"/>
  <c r="W465" i="1" s="1"/>
  <c r="CR465" i="1"/>
  <c r="CS465" i="1"/>
  <c r="R465" i="1" s="1"/>
  <c r="CT465" i="1"/>
  <c r="S465" i="1" s="1"/>
  <c r="CV465" i="1"/>
  <c r="CW465" i="1"/>
  <c r="FR465" i="1"/>
  <c r="BY470" i="1" s="1"/>
  <c r="GL465" i="1"/>
  <c r="GN465" i="1"/>
  <c r="GO465" i="1"/>
  <c r="CC470" i="1" s="1"/>
  <c r="GV465" i="1"/>
  <c r="HC465" i="1"/>
  <c r="GX465" i="1" s="1"/>
  <c r="C466" i="1"/>
  <c r="D466" i="1"/>
  <c r="I466" i="1"/>
  <c r="R466" i="1"/>
  <c r="V466" i="1"/>
  <c r="AB466" i="1"/>
  <c r="AC466" i="1"/>
  <c r="CQ466" i="1" s="1"/>
  <c r="AE466" i="1"/>
  <c r="AD466" i="1" s="1"/>
  <c r="AF466" i="1"/>
  <c r="AG466" i="1"/>
  <c r="CU466" i="1" s="1"/>
  <c r="T466" i="1" s="1"/>
  <c r="AH466" i="1"/>
  <c r="AI466" i="1"/>
  <c r="AJ466" i="1"/>
  <c r="CX466" i="1" s="1"/>
  <c r="W466" i="1" s="1"/>
  <c r="CR466" i="1"/>
  <c r="CS466" i="1"/>
  <c r="CT466" i="1"/>
  <c r="S466" i="1" s="1"/>
  <c r="CV466" i="1"/>
  <c r="U466" i="1" s="1"/>
  <c r="CW466" i="1"/>
  <c r="FR466" i="1"/>
  <c r="GK466" i="1"/>
  <c r="GL466" i="1"/>
  <c r="GN466" i="1"/>
  <c r="GO466" i="1"/>
  <c r="GV466" i="1"/>
  <c r="HC466" i="1"/>
  <c r="GX466" i="1" s="1"/>
  <c r="AC467" i="1"/>
  <c r="AE467" i="1"/>
  <c r="CS467" i="1" s="1"/>
  <c r="AF467" i="1"/>
  <c r="AG467" i="1"/>
  <c r="AH467" i="1"/>
  <c r="CV467" i="1" s="1"/>
  <c r="AI467" i="1"/>
  <c r="CW467" i="1" s="1"/>
  <c r="AJ467" i="1"/>
  <c r="CQ467" i="1"/>
  <c r="CT467" i="1"/>
  <c r="CU467" i="1"/>
  <c r="CX467" i="1"/>
  <c r="FR467" i="1"/>
  <c r="GL467" i="1"/>
  <c r="GN467" i="1"/>
  <c r="GO467" i="1"/>
  <c r="GV467" i="1"/>
  <c r="HC467" i="1" s="1"/>
  <c r="I468" i="1"/>
  <c r="S468" i="1" s="1"/>
  <c r="V468" i="1"/>
  <c r="AC468" i="1"/>
  <c r="CQ468" i="1" s="1"/>
  <c r="AE468" i="1"/>
  <c r="AD468" i="1" s="1"/>
  <c r="AF468" i="1"/>
  <c r="AG468" i="1"/>
  <c r="CU468" i="1" s="1"/>
  <c r="AH468" i="1"/>
  <c r="AI468" i="1"/>
  <c r="AJ468" i="1"/>
  <c r="CR468" i="1"/>
  <c r="CS468" i="1"/>
  <c r="R468" i="1" s="1"/>
  <c r="GK468" i="1" s="1"/>
  <c r="CT468" i="1"/>
  <c r="CV468" i="1"/>
  <c r="CW468" i="1"/>
  <c r="CX468" i="1"/>
  <c r="W468" i="1" s="1"/>
  <c r="FR468" i="1"/>
  <c r="GL468" i="1"/>
  <c r="GN468" i="1"/>
  <c r="CB470" i="1" s="1"/>
  <c r="GO468" i="1"/>
  <c r="GV468" i="1"/>
  <c r="HC468" i="1"/>
  <c r="GX468" i="1" s="1"/>
  <c r="B470" i="1"/>
  <c r="B462" i="1" s="1"/>
  <c r="C470" i="1"/>
  <c r="C462" i="1" s="1"/>
  <c r="D470" i="1"/>
  <c r="D462" i="1" s="1"/>
  <c r="F470" i="1"/>
  <c r="F462" i="1" s="1"/>
  <c r="G470" i="1"/>
  <c r="G462" i="1" s="1"/>
  <c r="BD470" i="1"/>
  <c r="F495" i="1" s="1"/>
  <c r="BX470" i="1"/>
  <c r="BX462" i="1" s="1"/>
  <c r="CK470" i="1"/>
  <c r="CK462" i="1" s="1"/>
  <c r="CL470" i="1"/>
  <c r="CL462" i="1" s="1"/>
  <c r="CM470" i="1"/>
  <c r="CM462" i="1" s="1"/>
  <c r="B500" i="1"/>
  <c r="B22" i="1" s="1"/>
  <c r="C500" i="1"/>
  <c r="C22" i="1" s="1"/>
  <c r="D500" i="1"/>
  <c r="D22" i="1" s="1"/>
  <c r="F500" i="1"/>
  <c r="F22" i="1" s="1"/>
  <c r="G500" i="1"/>
  <c r="G22" i="1" s="1"/>
  <c r="B530" i="1"/>
  <c r="B18" i="1" s="1"/>
  <c r="C530" i="1"/>
  <c r="C18" i="1" s="1"/>
  <c r="D530" i="1"/>
  <c r="D18" i="1" s="1"/>
  <c r="F530" i="1"/>
  <c r="F18" i="1" s="1"/>
  <c r="G530" i="1"/>
  <c r="G18" i="1" s="1"/>
  <c r="F41" i="7" l="1"/>
  <c r="F36" i="7"/>
  <c r="F43" i="7"/>
  <c r="F72" i="7"/>
  <c r="T86" i="8"/>
  <c r="R14" i="8"/>
  <c r="M16" i="8"/>
  <c r="O19" i="8"/>
  <c r="F68" i="7" s="1"/>
  <c r="M24" i="8"/>
  <c r="D22" i="7"/>
  <c r="R40" i="8"/>
  <c r="M41" i="8"/>
  <c r="O44" i="8"/>
  <c r="F61" i="7" s="1"/>
  <c r="R45" i="8"/>
  <c r="M46" i="8"/>
  <c r="R51" i="8"/>
  <c r="M52" i="8"/>
  <c r="R58" i="8"/>
  <c r="M59" i="8"/>
  <c r="R62" i="8"/>
  <c r="M64" i="8"/>
  <c r="R67" i="8"/>
  <c r="M68" i="8"/>
  <c r="M72" i="8"/>
  <c r="R75" i="8"/>
  <c r="M76" i="8"/>
  <c r="R79" i="8"/>
  <c r="M80" i="8"/>
  <c r="R83" i="8"/>
  <c r="M84" i="8"/>
  <c r="M88" i="8"/>
  <c r="R91" i="8"/>
  <c r="M92" i="8"/>
  <c r="R95" i="8"/>
  <c r="M96" i="8"/>
  <c r="R99" i="8"/>
  <c r="M100" i="8"/>
  <c r="R103" i="8"/>
  <c r="M105" i="8"/>
  <c r="R108" i="8"/>
  <c r="M109" i="8"/>
  <c r="R112" i="8"/>
  <c r="M113" i="8"/>
  <c r="R116" i="8"/>
  <c r="R120" i="8"/>
  <c r="M121" i="8"/>
  <c r="R124" i="8"/>
  <c r="M125" i="8"/>
  <c r="R131" i="8"/>
  <c r="R136" i="8"/>
  <c r="R140" i="8"/>
  <c r="O142" i="8"/>
  <c r="F12" i="7" s="1"/>
  <c r="M142" i="8"/>
  <c r="T145" i="8"/>
  <c r="R145" i="8"/>
  <c r="R148" i="8"/>
  <c r="O158" i="8"/>
  <c r="F9" i="7" s="1"/>
  <c r="E10" i="7" s="1"/>
  <c r="M158" i="8"/>
  <c r="T161" i="8"/>
  <c r="R161" i="8"/>
  <c r="T170" i="8"/>
  <c r="R170" i="8"/>
  <c r="T174" i="8"/>
  <c r="R174" i="8"/>
  <c r="O182" i="8"/>
  <c r="M182" i="8"/>
  <c r="O187" i="8"/>
  <c r="F40" i="7" s="1"/>
  <c r="M187" i="8"/>
  <c r="O191" i="8"/>
  <c r="M191" i="8"/>
  <c r="M195" i="8"/>
  <c r="O195" i="8"/>
  <c r="F37" i="7" s="1"/>
  <c r="F21" i="7"/>
  <c r="O70" i="8"/>
  <c r="F73" i="7" s="1"/>
  <c r="T70" i="8"/>
  <c r="O86" i="8"/>
  <c r="F42" i="7"/>
  <c r="M199" i="8"/>
  <c r="O199" i="8"/>
  <c r="T202" i="8"/>
  <c r="R202" i="8"/>
  <c r="D51" i="7"/>
  <c r="R10" i="8"/>
  <c r="M11" i="8"/>
  <c r="R23" i="8"/>
  <c r="R27" i="8"/>
  <c r="M29" i="8"/>
  <c r="R36" i="8"/>
  <c r="M37" i="8"/>
  <c r="D24" i="7"/>
  <c r="O15" i="8"/>
  <c r="F49" i="7" s="1"/>
  <c r="D21" i="7"/>
  <c r="D42" i="7"/>
  <c r="D50" i="7"/>
  <c r="O104" i="8"/>
  <c r="F50" i="7" s="1"/>
  <c r="D66" i="7"/>
  <c r="O117" i="8"/>
  <c r="M145" i="8"/>
  <c r="F24" i="7"/>
  <c r="F51" i="7"/>
  <c r="D9" i="7"/>
  <c r="O47" i="8"/>
  <c r="F75" i="7" s="1"/>
  <c r="T47" i="8"/>
  <c r="O48" i="8"/>
  <c r="F76" i="7" s="1"/>
  <c r="T48" i="8"/>
  <c r="O49" i="8"/>
  <c r="F77" i="7" s="1"/>
  <c r="T49" i="8"/>
  <c r="D17" i="7"/>
  <c r="F47" i="7"/>
  <c r="F33" i="7"/>
  <c r="T141" i="8"/>
  <c r="R141" i="8"/>
  <c r="O146" i="8"/>
  <c r="F22" i="7" s="1"/>
  <c r="M146" i="8"/>
  <c r="T149" i="8"/>
  <c r="R149" i="8"/>
  <c r="O151" i="8"/>
  <c r="M151" i="8"/>
  <c r="T154" i="8"/>
  <c r="R154" i="8"/>
  <c r="T157" i="8"/>
  <c r="R157" i="8"/>
  <c r="O162" i="8"/>
  <c r="M162" i="8"/>
  <c r="T165" i="8"/>
  <c r="R165" i="8"/>
  <c r="O167" i="8"/>
  <c r="M167" i="8"/>
  <c r="O171" i="8"/>
  <c r="M171" i="8"/>
  <c r="O175" i="8"/>
  <c r="F69" i="7" s="1"/>
  <c r="M175" i="8"/>
  <c r="T181" i="8"/>
  <c r="R181" i="8"/>
  <c r="T186" i="8"/>
  <c r="R186" i="8"/>
  <c r="T190" i="8"/>
  <c r="R190" i="8"/>
  <c r="T194" i="8"/>
  <c r="R194" i="8"/>
  <c r="O207" i="8"/>
  <c r="F14" i="7" s="1"/>
  <c r="M207" i="8"/>
  <c r="T209" i="8"/>
  <c r="T211" i="8"/>
  <c r="R211" i="8"/>
  <c r="O216" i="8"/>
  <c r="F55" i="7" s="1"/>
  <c r="M216" i="8"/>
  <c r="O220" i="8"/>
  <c r="F32" i="7" s="1"/>
  <c r="M220" i="8"/>
  <c r="O224" i="8"/>
  <c r="F56" i="7" s="1"/>
  <c r="M224" i="8"/>
  <c r="O228" i="8"/>
  <c r="M228" i="8"/>
  <c r="O150" i="8"/>
  <c r="O166" i="8"/>
  <c r="F62" i="7" s="1"/>
  <c r="M198" i="8"/>
  <c r="T198" i="8"/>
  <c r="R200" i="8"/>
  <c r="O204" i="8"/>
  <c r="M204" i="8"/>
  <c r="O183" i="8"/>
  <c r="F54" i="7" s="1"/>
  <c r="T183" i="8"/>
  <c r="T206" i="8"/>
  <c r="R206" i="8"/>
  <c r="R209" i="8"/>
  <c r="O212" i="8"/>
  <c r="M212" i="8"/>
  <c r="T215" i="8"/>
  <c r="R215" i="8"/>
  <c r="T219" i="8"/>
  <c r="R219" i="8"/>
  <c r="T223" i="8"/>
  <c r="R223" i="8"/>
  <c r="T227" i="8"/>
  <c r="R227" i="8"/>
  <c r="R207" i="8"/>
  <c r="M208" i="8"/>
  <c r="R212" i="8"/>
  <c r="R216" i="8"/>
  <c r="M217" i="8"/>
  <c r="R220" i="8"/>
  <c r="M221" i="8"/>
  <c r="R224" i="8"/>
  <c r="M225" i="8"/>
  <c r="R228" i="8"/>
  <c r="O213" i="8"/>
  <c r="O229" i="8"/>
  <c r="P106" i="5"/>
  <c r="K106" i="5"/>
  <c r="K420" i="5"/>
  <c r="P420" i="5"/>
  <c r="P256" i="5"/>
  <c r="K256" i="5"/>
  <c r="P203" i="5"/>
  <c r="K203" i="5"/>
  <c r="K289" i="5"/>
  <c r="P289" i="5"/>
  <c r="P376" i="5"/>
  <c r="K376" i="5"/>
  <c r="I368" i="5"/>
  <c r="P383" i="5"/>
  <c r="K383" i="5"/>
  <c r="K475" i="5"/>
  <c r="P475" i="5"/>
  <c r="I48" i="5"/>
  <c r="J78" i="5"/>
  <c r="I93" i="5"/>
  <c r="P134" i="5"/>
  <c r="I232" i="5"/>
  <c r="I321" i="5"/>
  <c r="I328" i="5"/>
  <c r="I338" i="5"/>
  <c r="I345" i="5"/>
  <c r="K354" i="5"/>
  <c r="I120" i="5"/>
  <c r="K164" i="5"/>
  <c r="I220" i="5"/>
  <c r="I245" i="5"/>
  <c r="K299" i="5"/>
  <c r="K306" i="5"/>
  <c r="I391" i="5"/>
  <c r="I407" i="5"/>
  <c r="J431" i="5"/>
  <c r="I433" i="5" s="1"/>
  <c r="I463" i="5"/>
  <c r="I61" i="5"/>
  <c r="I80" i="5"/>
  <c r="I111" i="5"/>
  <c r="J150" i="5"/>
  <c r="I153" i="5" s="1"/>
  <c r="I172" i="5"/>
  <c r="J187" i="5"/>
  <c r="I191" i="5" s="1"/>
  <c r="J188" i="5"/>
  <c r="I446" i="5"/>
  <c r="P261" i="5"/>
  <c r="P294" i="5"/>
  <c r="CZ466" i="1"/>
  <c r="Y466" i="1" s="1"/>
  <c r="CY466" i="1"/>
  <c r="X466" i="1" s="1"/>
  <c r="CZ468" i="1"/>
  <c r="Y468" i="1" s="1"/>
  <c r="CY468" i="1"/>
  <c r="X468" i="1" s="1"/>
  <c r="CZ465" i="1"/>
  <c r="Y465" i="1" s="1"/>
  <c r="CY465" i="1"/>
  <c r="X465" i="1" s="1"/>
  <c r="CB462" i="1"/>
  <c r="AS470" i="1"/>
  <c r="GK465" i="1"/>
  <c r="CC462" i="1"/>
  <c r="AT470" i="1"/>
  <c r="BY462" i="1"/>
  <c r="AP470" i="1"/>
  <c r="BD462" i="1"/>
  <c r="CG415" i="1"/>
  <c r="AX430" i="1"/>
  <c r="CY428" i="1"/>
  <c r="X428" i="1" s="1"/>
  <c r="CZ428" i="1"/>
  <c r="Y428" i="1" s="1"/>
  <c r="CB415" i="1"/>
  <c r="AS430" i="1"/>
  <c r="AO369" i="1"/>
  <c r="F387" i="1"/>
  <c r="CI323" i="1"/>
  <c r="AZ337" i="1"/>
  <c r="AS369" i="1"/>
  <c r="F400" i="1"/>
  <c r="CP381" i="1"/>
  <c r="O381" i="1" s="1"/>
  <c r="Q468" i="1"/>
  <c r="U468" i="1"/>
  <c r="T468" i="1"/>
  <c r="AB468" i="1"/>
  <c r="CR467" i="1"/>
  <c r="AD467" i="1"/>
  <c r="CX226" i="3"/>
  <c r="CX230" i="3"/>
  <c r="CX225" i="3"/>
  <c r="CX229" i="3"/>
  <c r="CX224" i="3"/>
  <c r="CX228" i="3"/>
  <c r="CX227" i="3"/>
  <c r="I467" i="1"/>
  <c r="P467" i="1" s="1"/>
  <c r="Q465" i="1"/>
  <c r="P465" i="1"/>
  <c r="CY426" i="1"/>
  <c r="X426" i="1" s="1"/>
  <c r="GM426" i="1" s="1"/>
  <c r="CZ426" i="1"/>
  <c r="Y426" i="1" s="1"/>
  <c r="BY415" i="1"/>
  <c r="AP430" i="1"/>
  <c r="CI430" i="1"/>
  <c r="CC415" i="1"/>
  <c r="AT430" i="1"/>
  <c r="CY381" i="1"/>
  <c r="X381" i="1" s="1"/>
  <c r="CZ381" i="1"/>
  <c r="Y381" i="1" s="1"/>
  <c r="P468" i="1"/>
  <c r="CP468" i="1" s="1"/>
  <c r="O468" i="1" s="1"/>
  <c r="AO470" i="1"/>
  <c r="AB467" i="1"/>
  <c r="Q466" i="1"/>
  <c r="P466" i="1"/>
  <c r="U465" i="1"/>
  <c r="T465" i="1"/>
  <c r="AB465" i="1"/>
  <c r="BZ470" i="1"/>
  <c r="CR464" i="1"/>
  <c r="Q464" i="1" s="1"/>
  <c r="CP464" i="1" s="1"/>
  <c r="O464" i="1" s="1"/>
  <c r="AD464" i="1"/>
  <c r="AB464" i="1" s="1"/>
  <c r="CP428" i="1"/>
  <c r="O428" i="1" s="1"/>
  <c r="V423" i="1"/>
  <c r="BB470" i="1"/>
  <c r="CX214" i="3"/>
  <c r="CX218" i="3"/>
  <c r="CX222" i="3"/>
  <c r="CX217" i="3"/>
  <c r="CX221" i="3"/>
  <c r="CX216" i="3"/>
  <c r="CX220" i="3"/>
  <c r="CX215" i="3"/>
  <c r="CX219" i="3"/>
  <c r="CX223" i="3"/>
  <c r="AO430" i="1"/>
  <c r="CI383" i="1"/>
  <c r="BD383" i="1"/>
  <c r="CX173" i="3"/>
  <c r="CX175" i="3"/>
  <c r="CX174" i="3"/>
  <c r="I375" i="1"/>
  <c r="T375" i="1" s="1"/>
  <c r="I380" i="1"/>
  <c r="U380" i="1" s="1"/>
  <c r="CB369" i="1"/>
  <c r="BC337" i="1"/>
  <c r="CY333" i="1"/>
  <c r="X333" i="1" s="1"/>
  <c r="GP333" i="1" s="1"/>
  <c r="CZ333" i="1"/>
  <c r="Y333" i="1" s="1"/>
  <c r="CY328" i="1"/>
  <c r="X328" i="1" s="1"/>
  <c r="CZ328" i="1"/>
  <c r="Y328" i="1" s="1"/>
  <c r="AT337" i="1"/>
  <c r="CC323" i="1"/>
  <c r="CY326" i="1"/>
  <c r="X326" i="1" s="1"/>
  <c r="CZ326" i="1"/>
  <c r="Y326" i="1" s="1"/>
  <c r="GK325" i="1"/>
  <c r="CX114" i="3"/>
  <c r="CX115" i="3"/>
  <c r="GX287" i="1"/>
  <c r="Q287" i="1"/>
  <c r="T287" i="1"/>
  <c r="CP285" i="1"/>
  <c r="O285" i="1" s="1"/>
  <c r="U284" i="1"/>
  <c r="W284" i="1"/>
  <c r="S284" i="1"/>
  <c r="AP291" i="1"/>
  <c r="BY277" i="1"/>
  <c r="CI291" i="1"/>
  <c r="GK279" i="1"/>
  <c r="BD430" i="1"/>
  <c r="CS428" i="1"/>
  <c r="R428" i="1" s="1"/>
  <c r="GK428" i="1" s="1"/>
  <c r="CQ427" i="1"/>
  <c r="CS426" i="1"/>
  <c r="R426" i="1" s="1"/>
  <c r="GK426" i="1" s="1"/>
  <c r="CX210" i="3"/>
  <c r="CX209" i="3"/>
  <c r="CX213" i="3"/>
  <c r="CX212" i="3"/>
  <c r="CX211" i="3"/>
  <c r="CS425" i="1"/>
  <c r="CQ424" i="1"/>
  <c r="CS423" i="1"/>
  <c r="R423" i="1" s="1"/>
  <c r="GK423" i="1" s="1"/>
  <c r="I423" i="1"/>
  <c r="Q423" i="1" s="1"/>
  <c r="CS422" i="1"/>
  <c r="CQ421" i="1"/>
  <c r="CS420" i="1"/>
  <c r="R420" i="1" s="1"/>
  <c r="GK420" i="1" s="1"/>
  <c r="I420" i="1"/>
  <c r="T420" i="1" s="1"/>
  <c r="CS419" i="1"/>
  <c r="R419" i="1" s="1"/>
  <c r="GK419" i="1" s="1"/>
  <c r="I419" i="1"/>
  <c r="T419" i="1" s="1"/>
  <c r="CS418" i="1"/>
  <c r="CQ417" i="1"/>
  <c r="BC383" i="1"/>
  <c r="AQ383" i="1"/>
  <c r="S380" i="1"/>
  <c r="R380" i="1"/>
  <c r="GK380" i="1" s="1"/>
  <c r="S375" i="1"/>
  <c r="V375" i="1"/>
  <c r="BZ323" i="1"/>
  <c r="CG337" i="1"/>
  <c r="CY330" i="1"/>
  <c r="X330" i="1" s="1"/>
  <c r="CZ330" i="1"/>
  <c r="Y330" i="1" s="1"/>
  <c r="CB323" i="1"/>
  <c r="AS337" i="1"/>
  <c r="CP289" i="1"/>
  <c r="O289" i="1" s="1"/>
  <c r="CY287" i="1"/>
  <c r="X287" i="1" s="1"/>
  <c r="CZ287" i="1"/>
  <c r="Y287" i="1" s="1"/>
  <c r="Q286" i="1"/>
  <c r="CY285" i="1"/>
  <c r="X285" i="1" s="1"/>
  <c r="CZ285" i="1"/>
  <c r="Y285" i="1" s="1"/>
  <c r="CC277" i="1"/>
  <c r="AT291" i="1"/>
  <c r="GM242" i="1"/>
  <c r="GP242" i="1"/>
  <c r="BC430" i="1"/>
  <c r="BZ415" i="1"/>
  <c r="BB383" i="1"/>
  <c r="AX383" i="1"/>
  <c r="AT383" i="1"/>
  <c r="AP383" i="1"/>
  <c r="W380" i="1"/>
  <c r="W375" i="1"/>
  <c r="BX369" i="1"/>
  <c r="AQ337" i="1"/>
  <c r="CZ335" i="1"/>
  <c r="Y335" i="1" s="1"/>
  <c r="AD335" i="1"/>
  <c r="AB335" i="1" s="1"/>
  <c r="CS335" i="1"/>
  <c r="R335" i="1" s="1"/>
  <c r="GK335" i="1" s="1"/>
  <c r="CY334" i="1"/>
  <c r="X334" i="1" s="1"/>
  <c r="GP334" i="1" s="1"/>
  <c r="CZ334" i="1"/>
  <c r="Y334" i="1" s="1"/>
  <c r="GM333" i="1"/>
  <c r="CY332" i="1"/>
  <c r="X332" i="1" s="1"/>
  <c r="GP332" i="1" s="1"/>
  <c r="CZ332" i="1"/>
  <c r="Y332" i="1" s="1"/>
  <c r="CP325" i="1"/>
  <c r="O325" i="1" s="1"/>
  <c r="AX291" i="1"/>
  <c r="CG277" i="1"/>
  <c r="GX286" i="1"/>
  <c r="P286" i="1"/>
  <c r="CB277" i="1"/>
  <c r="AS291" i="1"/>
  <c r="AH237" i="1"/>
  <c r="U245" i="1"/>
  <c r="AQ430" i="1"/>
  <c r="BC470" i="1"/>
  <c r="BB430" i="1"/>
  <c r="I427" i="1"/>
  <c r="U427" i="1" s="1"/>
  <c r="I417" i="1"/>
  <c r="AB380" i="1"/>
  <c r="CR377" i="1"/>
  <c r="AD377" i="1"/>
  <c r="AB377" i="1" s="1"/>
  <c r="CR376" i="1"/>
  <c r="AB375" i="1"/>
  <c r="CR372" i="1"/>
  <c r="AD372" i="1"/>
  <c r="AB372" i="1" s="1"/>
  <c r="AB371" i="1"/>
  <c r="BD337" i="1"/>
  <c r="CP335" i="1"/>
  <c r="O335" i="1" s="1"/>
  <c r="CX148" i="3"/>
  <c r="CX147" i="3"/>
  <c r="T332" i="1"/>
  <c r="V332" i="1"/>
  <c r="R332" i="1"/>
  <c r="CY329" i="1"/>
  <c r="X329" i="1" s="1"/>
  <c r="CZ329" i="1"/>
  <c r="Y329" i="1" s="1"/>
  <c r="GP329" i="1" s="1"/>
  <c r="CP328" i="1"/>
  <c r="O328" i="1" s="1"/>
  <c r="AP337" i="1"/>
  <c r="BY323" i="1"/>
  <c r="CP326" i="1"/>
  <c r="O326" i="1" s="1"/>
  <c r="CY325" i="1"/>
  <c r="X325" i="1" s="1"/>
  <c r="CZ325" i="1"/>
  <c r="Y325" i="1" s="1"/>
  <c r="CY289" i="1"/>
  <c r="X289" i="1" s="1"/>
  <c r="CZ289" i="1"/>
  <c r="Y289" i="1" s="1"/>
  <c r="R287" i="1"/>
  <c r="P287" i="1"/>
  <c r="CP287" i="1" s="1"/>
  <c r="O287" i="1" s="1"/>
  <c r="W286" i="1"/>
  <c r="S286" i="1"/>
  <c r="GX284" i="1"/>
  <c r="P284" i="1"/>
  <c r="CP284" i="1" s="1"/>
  <c r="O284" i="1" s="1"/>
  <c r="CZ283" i="1"/>
  <c r="Y283" i="1" s="1"/>
  <c r="CY283" i="1"/>
  <c r="X283" i="1" s="1"/>
  <c r="AO337" i="1"/>
  <c r="CX128" i="3"/>
  <c r="CX132" i="3"/>
  <c r="CX129" i="3"/>
  <c r="CX133" i="3"/>
  <c r="CX126" i="3"/>
  <c r="CX130" i="3"/>
  <c r="CX134" i="3"/>
  <c r="CX127" i="3"/>
  <c r="CX131" i="3"/>
  <c r="CX135" i="3"/>
  <c r="CX120" i="3"/>
  <c r="CX124" i="3"/>
  <c r="CX121" i="3"/>
  <c r="CX125" i="3"/>
  <c r="CX118" i="3"/>
  <c r="CX122" i="3"/>
  <c r="CX119" i="3"/>
  <c r="CX123" i="3"/>
  <c r="CK323" i="1"/>
  <c r="AO291" i="1"/>
  <c r="CS286" i="1"/>
  <c r="R286" i="1" s="1"/>
  <c r="I286" i="1"/>
  <c r="T286" i="1" s="1"/>
  <c r="CS285" i="1"/>
  <c r="R285" i="1" s="1"/>
  <c r="GK285" i="1" s="1"/>
  <c r="CX108" i="3"/>
  <c r="CX109" i="3"/>
  <c r="CX110" i="3"/>
  <c r="CX107" i="3"/>
  <c r="CX111" i="3"/>
  <c r="CS284" i="1"/>
  <c r="R284" i="1" s="1"/>
  <c r="GK284" i="1" s="1"/>
  <c r="CQ283" i="1"/>
  <c r="P283" i="1" s="1"/>
  <c r="CP283" i="1" s="1"/>
  <c r="O283" i="1" s="1"/>
  <c r="CQ281" i="1"/>
  <c r="T279" i="1"/>
  <c r="W279" i="1"/>
  <c r="S279" i="1"/>
  <c r="W243" i="1"/>
  <c r="S243" i="1"/>
  <c r="CP240" i="1"/>
  <c r="O240" i="1" s="1"/>
  <c r="AG245" i="1"/>
  <c r="CC196" i="1"/>
  <c r="AT205" i="1"/>
  <c r="CS333" i="1"/>
  <c r="R333" i="1" s="1"/>
  <c r="CX149" i="3"/>
  <c r="CX150" i="3"/>
  <c r="CQ331" i="1"/>
  <c r="CQ330" i="1"/>
  <c r="P330" i="1" s="1"/>
  <c r="CP330" i="1" s="1"/>
  <c r="O330" i="1" s="1"/>
  <c r="CS329" i="1"/>
  <c r="R329" i="1" s="1"/>
  <c r="GK329" i="1" s="1"/>
  <c r="CT327" i="1"/>
  <c r="S327" i="1" s="1"/>
  <c r="BD291" i="1"/>
  <c r="CS289" i="1"/>
  <c r="R289" i="1" s="1"/>
  <c r="GK289" i="1" s="1"/>
  <c r="CT288" i="1"/>
  <c r="S288" i="1" s="1"/>
  <c r="CX105" i="3"/>
  <c r="CX106" i="3"/>
  <c r="P280" i="1"/>
  <c r="CX88" i="3"/>
  <c r="CX92" i="3"/>
  <c r="CX87" i="3"/>
  <c r="CX91" i="3"/>
  <c r="CX90" i="3"/>
  <c r="CX94" i="3"/>
  <c r="CX89" i="3"/>
  <c r="CX93" i="3"/>
  <c r="CZ241" i="1"/>
  <c r="Y241" i="1" s="1"/>
  <c r="CY241" i="1"/>
  <c r="X241" i="1" s="1"/>
  <c r="BY237" i="1"/>
  <c r="AP245" i="1"/>
  <c r="BZ237" i="1"/>
  <c r="AQ245" i="1"/>
  <c r="CY239" i="1"/>
  <c r="X239" i="1" s="1"/>
  <c r="CZ239" i="1"/>
  <c r="Y239" i="1" s="1"/>
  <c r="AF245" i="1"/>
  <c r="AI245" i="1"/>
  <c r="GK239" i="1"/>
  <c r="AE245" i="1"/>
  <c r="CZ202" i="1"/>
  <c r="Y202" i="1" s="1"/>
  <c r="CY202" i="1"/>
  <c r="X202" i="1" s="1"/>
  <c r="BC291" i="1"/>
  <c r="AQ291" i="1"/>
  <c r="CX116" i="3"/>
  <c r="CX117" i="3"/>
  <c r="T280" i="1"/>
  <c r="W280" i="1"/>
  <c r="S280" i="1"/>
  <c r="CR279" i="1"/>
  <c r="Q279" i="1" s="1"/>
  <c r="U279" i="1"/>
  <c r="BX277" i="1"/>
  <c r="AB242" i="1"/>
  <c r="CC237" i="1"/>
  <c r="AT245" i="1"/>
  <c r="CZ240" i="1"/>
  <c r="Y240" i="1" s="1"/>
  <c r="CY240" i="1"/>
  <c r="X240" i="1" s="1"/>
  <c r="CJ245" i="1"/>
  <c r="CB196" i="1"/>
  <c r="AS205" i="1"/>
  <c r="I331" i="1"/>
  <c r="V331" i="1" s="1"/>
  <c r="AI337" i="1" s="1"/>
  <c r="BB291" i="1"/>
  <c r="I280" i="1"/>
  <c r="P279" i="1"/>
  <c r="AZ245" i="1"/>
  <c r="Q243" i="1"/>
  <c r="AD245" i="1" s="1"/>
  <c r="T243" i="1"/>
  <c r="CP241" i="1"/>
  <c r="O241" i="1" s="1"/>
  <c r="CB245" i="1"/>
  <c r="AJ245" i="1"/>
  <c r="CP239" i="1"/>
  <c r="O239" i="1" s="1"/>
  <c r="AC245" i="1"/>
  <c r="BY196" i="1"/>
  <c r="AP205" i="1"/>
  <c r="CI205" i="1"/>
  <c r="CG245" i="1"/>
  <c r="BB245" i="1"/>
  <c r="CX72" i="3"/>
  <c r="CX76" i="3"/>
  <c r="CX71" i="3"/>
  <c r="CX75" i="3"/>
  <c r="CX79" i="3"/>
  <c r="CX70" i="3"/>
  <c r="CX74" i="3"/>
  <c r="CX78" i="3"/>
  <c r="CX73" i="3"/>
  <c r="CX77" i="3"/>
  <c r="AO205" i="1"/>
  <c r="T202" i="1"/>
  <c r="P202" i="1"/>
  <c r="CP202" i="1" s="1"/>
  <c r="O202" i="1" s="1"/>
  <c r="AB201" i="1"/>
  <c r="AB199" i="1"/>
  <c r="CY162" i="1"/>
  <c r="X162" i="1" s="1"/>
  <c r="CZ162" i="1"/>
  <c r="Y162" i="1" s="1"/>
  <c r="GP162" i="1" s="1"/>
  <c r="CB159" i="1"/>
  <c r="AS164" i="1"/>
  <c r="AH164" i="1"/>
  <c r="CZ125" i="1"/>
  <c r="Y125" i="1" s="1"/>
  <c r="CY125" i="1"/>
  <c r="X125" i="1" s="1"/>
  <c r="CP125" i="1"/>
  <c r="O125" i="1" s="1"/>
  <c r="AO245" i="1"/>
  <c r="BD205" i="1"/>
  <c r="W203" i="1"/>
  <c r="S203" i="1"/>
  <c r="F177" i="1"/>
  <c r="AX164" i="1"/>
  <c r="CG159" i="1"/>
  <c r="GK161" i="1"/>
  <c r="AE164" i="1"/>
  <c r="AC164" i="1"/>
  <c r="CP161" i="1"/>
  <c r="O161" i="1" s="1"/>
  <c r="CX80" i="3"/>
  <c r="CX84" i="3"/>
  <c r="CX83" i="3"/>
  <c r="CX82" i="3"/>
  <c r="CX86" i="3"/>
  <c r="CX81" i="3"/>
  <c r="CX85" i="3"/>
  <c r="BC205" i="1"/>
  <c r="AQ205" i="1"/>
  <c r="GM162" i="1"/>
  <c r="CJ159" i="1"/>
  <c r="BA164" i="1"/>
  <c r="AP164" i="1"/>
  <c r="CI164" i="1"/>
  <c r="BY159" i="1"/>
  <c r="AD159" i="1"/>
  <c r="Q164" i="1"/>
  <c r="T164" i="1"/>
  <c r="AG159" i="1"/>
  <c r="BC245" i="1"/>
  <c r="CG205" i="1"/>
  <c r="BB205" i="1"/>
  <c r="CR203" i="1"/>
  <c r="Q203" i="1" s="1"/>
  <c r="CP203" i="1" s="1"/>
  <c r="O203" i="1" s="1"/>
  <c r="CX64" i="3"/>
  <c r="CX68" i="3"/>
  <c r="CX63" i="3"/>
  <c r="CX67" i="3"/>
  <c r="CX66" i="3"/>
  <c r="CX65" i="3"/>
  <c r="CX69" i="3"/>
  <c r="I198" i="1"/>
  <c r="S198" i="1" s="1"/>
  <c r="AT159" i="1"/>
  <c r="F182" i="1"/>
  <c r="AI164" i="1"/>
  <c r="AJ164" i="1"/>
  <c r="CY161" i="1"/>
  <c r="X161" i="1" s="1"/>
  <c r="AK164" i="1" s="1"/>
  <c r="AF164" i="1"/>
  <c r="CZ161" i="1"/>
  <c r="Y161" i="1" s="1"/>
  <c r="CP124" i="1"/>
  <c r="O124" i="1" s="1"/>
  <c r="CZ123" i="1"/>
  <c r="Y123" i="1" s="1"/>
  <c r="CY123" i="1"/>
  <c r="X123" i="1" s="1"/>
  <c r="AO164" i="1"/>
  <c r="CK159" i="1"/>
  <c r="CC159" i="1"/>
  <c r="U123" i="1"/>
  <c r="T123" i="1"/>
  <c r="CP120" i="1"/>
  <c r="O120" i="1" s="1"/>
  <c r="GX117" i="1"/>
  <c r="P113" i="1"/>
  <c r="BD164" i="1"/>
  <c r="CX52" i="3"/>
  <c r="CX51" i="3"/>
  <c r="CX50" i="3"/>
  <c r="CC127" i="1"/>
  <c r="CP121" i="1"/>
  <c r="O121" i="1" s="1"/>
  <c r="GM119" i="1"/>
  <c r="Q117" i="1"/>
  <c r="BC164" i="1"/>
  <c r="AQ164" i="1"/>
  <c r="BX110" i="1"/>
  <c r="AO127" i="1"/>
  <c r="AB124" i="1"/>
  <c r="CP122" i="1"/>
  <c r="O122" i="1" s="1"/>
  <c r="BY127" i="1"/>
  <c r="BZ127" i="1"/>
  <c r="CY120" i="1"/>
  <c r="X120" i="1" s="1"/>
  <c r="CZ120" i="1"/>
  <c r="Y120" i="1" s="1"/>
  <c r="CY118" i="1"/>
  <c r="X118" i="1" s="1"/>
  <c r="GM118" i="1" s="1"/>
  <c r="CZ118" i="1"/>
  <c r="Y118" i="1" s="1"/>
  <c r="P117" i="1"/>
  <c r="BD127" i="1"/>
  <c r="Q123" i="1"/>
  <c r="P123" i="1"/>
  <c r="AB122" i="1"/>
  <c r="CZ121" i="1"/>
  <c r="Y121" i="1" s="1"/>
  <c r="CY121" i="1"/>
  <c r="X121" i="1" s="1"/>
  <c r="CY119" i="1"/>
  <c r="X119" i="1" s="1"/>
  <c r="GP119" i="1" s="1"/>
  <c r="CZ119" i="1"/>
  <c r="Y119" i="1" s="1"/>
  <c r="CZ76" i="1"/>
  <c r="Y76" i="1" s="1"/>
  <c r="CY76" i="1"/>
  <c r="X76" i="1" s="1"/>
  <c r="CP76" i="1"/>
  <c r="O76" i="1" s="1"/>
  <c r="BB127" i="1"/>
  <c r="CX44" i="3"/>
  <c r="CX48" i="3"/>
  <c r="CX43" i="3"/>
  <c r="CX47" i="3"/>
  <c r="CX42" i="3"/>
  <c r="CX46" i="3"/>
  <c r="CX45" i="3"/>
  <c r="AD116" i="1"/>
  <c r="AB116" i="1" s="1"/>
  <c r="AB114" i="1"/>
  <c r="CP112" i="1"/>
  <c r="O112" i="1" s="1"/>
  <c r="AS78" i="1"/>
  <c r="BY78" i="1"/>
  <c r="CC26" i="1"/>
  <c r="AT36" i="1"/>
  <c r="CS118" i="1"/>
  <c r="R118" i="1" s="1"/>
  <c r="CX40" i="3"/>
  <c r="CX41" i="3"/>
  <c r="I116" i="1"/>
  <c r="S116" i="1" s="1"/>
  <c r="Q113" i="1"/>
  <c r="S75" i="1"/>
  <c r="CZ74" i="1"/>
  <c r="Y74" i="1" s="1"/>
  <c r="CY74" i="1"/>
  <c r="X74" i="1" s="1"/>
  <c r="CC78" i="1"/>
  <c r="CP34" i="1"/>
  <c r="O34" i="1" s="1"/>
  <c r="I117" i="1"/>
  <c r="R117" i="1" s="1"/>
  <c r="BX68" i="1"/>
  <c r="CG78" i="1"/>
  <c r="AO78" i="1"/>
  <c r="CZ33" i="1"/>
  <c r="Y33" i="1" s="1"/>
  <c r="CY33" i="1"/>
  <c r="X33" i="1" s="1"/>
  <c r="GM33" i="1" s="1"/>
  <c r="BC127" i="1"/>
  <c r="V116" i="1"/>
  <c r="R116" i="1"/>
  <c r="AB113" i="1"/>
  <c r="CX32" i="3"/>
  <c r="CX31" i="3"/>
  <c r="I113" i="1"/>
  <c r="T113" i="1" s="1"/>
  <c r="BD78" i="1"/>
  <c r="CR75" i="1"/>
  <c r="Q75" i="1" s="1"/>
  <c r="AD75" i="1"/>
  <c r="AB75" i="1" s="1"/>
  <c r="CP74" i="1"/>
  <c r="O74" i="1" s="1"/>
  <c r="CX28" i="3"/>
  <c r="CX27" i="3"/>
  <c r="CX26" i="3"/>
  <c r="CX30" i="3"/>
  <c r="CX29" i="3"/>
  <c r="I70" i="1"/>
  <c r="W70" i="1" s="1"/>
  <c r="I75" i="1"/>
  <c r="P75" i="1" s="1"/>
  <c r="BZ78" i="1"/>
  <c r="BY26" i="1"/>
  <c r="AP36" i="1"/>
  <c r="CI36" i="1"/>
  <c r="BB78" i="1"/>
  <c r="AS36" i="1"/>
  <c r="AO36" i="1"/>
  <c r="W34" i="1"/>
  <c r="S34" i="1"/>
  <c r="W33" i="1"/>
  <c r="CY32" i="1"/>
  <c r="X32" i="1" s="1"/>
  <c r="GP32" i="1" s="1"/>
  <c r="S28" i="1"/>
  <c r="CT73" i="1"/>
  <c r="CT71" i="1"/>
  <c r="BD36" i="1"/>
  <c r="BC36" i="1"/>
  <c r="AQ36" i="1"/>
  <c r="BC78" i="1"/>
  <c r="CG36" i="1"/>
  <c r="BB36" i="1"/>
  <c r="CX12" i="3"/>
  <c r="CX11" i="3"/>
  <c r="CX15" i="3"/>
  <c r="CX14" i="3"/>
  <c r="CX13" i="3"/>
  <c r="CQ28" i="1"/>
  <c r="CT30" i="1"/>
  <c r="I28" i="1"/>
  <c r="F57" i="7" l="1"/>
  <c r="F70" i="7"/>
  <c r="E44" i="7"/>
  <c r="F63" i="7"/>
  <c r="K433" i="5"/>
  <c r="P433" i="5"/>
  <c r="P191" i="5"/>
  <c r="I205" i="5" s="1"/>
  <c r="K191" i="5"/>
  <c r="P153" i="5"/>
  <c r="K153" i="5"/>
  <c r="P111" i="5"/>
  <c r="K111" i="5"/>
  <c r="K338" i="5"/>
  <c r="P338" i="5"/>
  <c r="I308" i="5"/>
  <c r="K80" i="5"/>
  <c r="P80" i="5"/>
  <c r="I95" i="5" s="1"/>
  <c r="K407" i="5"/>
  <c r="P407" i="5"/>
  <c r="I448" i="5" s="1"/>
  <c r="K245" i="5"/>
  <c r="P245" i="5"/>
  <c r="I275" i="5" s="1"/>
  <c r="K120" i="5"/>
  <c r="P120" i="5"/>
  <c r="I155" i="5" s="1"/>
  <c r="K328" i="5"/>
  <c r="P328" i="5"/>
  <c r="P93" i="5"/>
  <c r="K93" i="5"/>
  <c r="K368" i="5"/>
  <c r="P368" i="5"/>
  <c r="K172" i="5"/>
  <c r="P172" i="5"/>
  <c r="I174" i="5" s="1"/>
  <c r="P61" i="5"/>
  <c r="K61" i="5"/>
  <c r="K391" i="5"/>
  <c r="P391" i="5"/>
  <c r="K220" i="5"/>
  <c r="P220" i="5"/>
  <c r="K321" i="5"/>
  <c r="P321" i="5"/>
  <c r="I393" i="5" s="1"/>
  <c r="P446" i="5"/>
  <c r="K446" i="5"/>
  <c r="K463" i="5"/>
  <c r="P463" i="5"/>
  <c r="I477" i="5" s="1"/>
  <c r="K345" i="5"/>
  <c r="P345" i="5"/>
  <c r="K232" i="5"/>
  <c r="P232" i="5"/>
  <c r="K48" i="5"/>
  <c r="P48" i="5"/>
  <c r="CY116" i="1"/>
  <c r="X116" i="1" s="1"/>
  <c r="CZ116" i="1"/>
  <c r="Y116" i="1" s="1"/>
  <c r="CY198" i="1"/>
  <c r="X198" i="1" s="1"/>
  <c r="CZ198" i="1"/>
  <c r="Y198" i="1" s="1"/>
  <c r="AD237" i="1"/>
  <c r="Q245" i="1"/>
  <c r="V337" i="1"/>
  <c r="AI323" i="1"/>
  <c r="GP464" i="1"/>
  <c r="GM464" i="1"/>
  <c r="CG26" i="1"/>
  <c r="AX36" i="1"/>
  <c r="GN122" i="1"/>
  <c r="CB127" i="1" s="1"/>
  <c r="GM122" i="1"/>
  <c r="X164" i="1"/>
  <c r="AK159" i="1"/>
  <c r="BB196" i="1"/>
  <c r="F218" i="1"/>
  <c r="AX159" i="1"/>
  <c r="F171" i="1"/>
  <c r="BD196" i="1"/>
  <c r="F230" i="1"/>
  <c r="CH245" i="1"/>
  <c r="CF245" i="1"/>
  <c r="AC237" i="1"/>
  <c r="P245" i="1"/>
  <c r="CE245" i="1"/>
  <c r="CP279" i="1"/>
  <c r="O279" i="1" s="1"/>
  <c r="F94" i="1"/>
  <c r="BC68" i="1"/>
  <c r="BC26" i="1"/>
  <c r="F52" i="1"/>
  <c r="BC500" i="1"/>
  <c r="BD26" i="1"/>
  <c r="F61" i="1"/>
  <c r="BD500" i="1"/>
  <c r="AS26" i="1"/>
  <c r="F53" i="1"/>
  <c r="BD68" i="1"/>
  <c r="F103" i="1"/>
  <c r="S117" i="1"/>
  <c r="U70" i="1"/>
  <c r="R75" i="1"/>
  <c r="GK75" i="1" s="1"/>
  <c r="GM32" i="1"/>
  <c r="R70" i="1"/>
  <c r="CC68" i="1"/>
  <c r="AT78" i="1"/>
  <c r="W75" i="1"/>
  <c r="GX113" i="1"/>
  <c r="S70" i="1"/>
  <c r="BY68" i="1"/>
  <c r="AP78" i="1"/>
  <c r="CI78" i="1"/>
  <c r="GM76" i="1"/>
  <c r="GP76" i="1"/>
  <c r="T117" i="1"/>
  <c r="BD110" i="1"/>
  <c r="F152" i="1"/>
  <c r="U117" i="1"/>
  <c r="AQ159" i="1"/>
  <c r="F174" i="1"/>
  <c r="P116" i="1"/>
  <c r="W117" i="1"/>
  <c r="W113" i="1"/>
  <c r="T116" i="1"/>
  <c r="GP120" i="1"/>
  <c r="GM120" i="1"/>
  <c r="GP124" i="1"/>
  <c r="GM124" i="1"/>
  <c r="W164" i="1"/>
  <c r="AJ159" i="1"/>
  <c r="GX198" i="1"/>
  <c r="CG196" i="1"/>
  <c r="AX205" i="1"/>
  <c r="F176" i="1"/>
  <c r="Q159" i="1"/>
  <c r="AP159" i="1"/>
  <c r="F173" i="1"/>
  <c r="R164" i="1"/>
  <c r="AE159" i="1"/>
  <c r="F249" i="1"/>
  <c r="AO237" i="1"/>
  <c r="AH159" i="1"/>
  <c r="U164" i="1"/>
  <c r="BB237" i="1"/>
  <c r="F258" i="1"/>
  <c r="CI196" i="1"/>
  <c r="AZ205" i="1"/>
  <c r="GP239" i="1"/>
  <c r="GM239" i="1"/>
  <c r="CX96" i="3"/>
  <c r="CX100" i="3"/>
  <c r="CX104" i="3"/>
  <c r="CX95" i="3"/>
  <c r="CX98" i="3"/>
  <c r="CX97" i="3"/>
  <c r="CX101" i="3"/>
  <c r="CX102" i="3"/>
  <c r="CX99" i="3"/>
  <c r="CX103" i="3"/>
  <c r="I281" i="1"/>
  <c r="Q280" i="1"/>
  <c r="R280" i="1"/>
  <c r="I282" i="1"/>
  <c r="AS196" i="1"/>
  <c r="F222" i="1"/>
  <c r="AQ277" i="1"/>
  <c r="F301" i="1"/>
  <c r="S245" i="1"/>
  <c r="AF237" i="1"/>
  <c r="CZ327" i="1"/>
  <c r="Y327" i="1" s="1"/>
  <c r="CY327" i="1"/>
  <c r="X327" i="1" s="1"/>
  <c r="Q198" i="1"/>
  <c r="AT196" i="1"/>
  <c r="F223" i="1"/>
  <c r="CZ243" i="1"/>
  <c r="Y243" i="1" s="1"/>
  <c r="CY243" i="1"/>
  <c r="X243" i="1" s="1"/>
  <c r="GM287" i="1"/>
  <c r="GP287" i="1"/>
  <c r="AP323" i="1"/>
  <c r="F346" i="1"/>
  <c r="T331" i="1"/>
  <c r="AG337" i="1" s="1"/>
  <c r="CX176" i="3"/>
  <c r="CX180" i="3"/>
  <c r="CX179" i="3"/>
  <c r="CX178" i="3"/>
  <c r="CX177" i="3"/>
  <c r="I418" i="1"/>
  <c r="AQ415" i="1"/>
  <c r="F440" i="1"/>
  <c r="AX277" i="1"/>
  <c r="F298" i="1"/>
  <c r="S331" i="1"/>
  <c r="AT369" i="1"/>
  <c r="F401" i="1"/>
  <c r="BC415" i="1"/>
  <c r="F446" i="1"/>
  <c r="U280" i="1"/>
  <c r="GM332" i="1"/>
  <c r="AX337" i="1"/>
  <c r="CG323" i="1"/>
  <c r="CY380" i="1"/>
  <c r="X380" i="1" s="1"/>
  <c r="CZ380" i="1"/>
  <c r="Y380" i="1" s="1"/>
  <c r="R418" i="1"/>
  <c r="GK418" i="1" s="1"/>
  <c r="CI277" i="1"/>
  <c r="AZ291" i="1"/>
  <c r="AT323" i="1"/>
  <c r="F355" i="1"/>
  <c r="AO415" i="1"/>
  <c r="F434" i="1"/>
  <c r="GX375" i="1"/>
  <c r="T380" i="1"/>
  <c r="U420" i="1"/>
  <c r="V467" i="1"/>
  <c r="AI470" i="1" s="1"/>
  <c r="W417" i="1"/>
  <c r="CI415" i="1"/>
  <c r="AZ430" i="1"/>
  <c r="V419" i="1"/>
  <c r="Q427" i="1"/>
  <c r="S467" i="1"/>
  <c r="S419" i="1"/>
  <c r="R427" i="1"/>
  <c r="GK427" i="1" s="1"/>
  <c r="P423" i="1"/>
  <c r="GP426" i="1"/>
  <c r="AT462" i="1"/>
  <c r="F488" i="1"/>
  <c r="CX4" i="3"/>
  <c r="CX8" i="3"/>
  <c r="CX3" i="3"/>
  <c r="CX7" i="3"/>
  <c r="CX2" i="3"/>
  <c r="CX6" i="3"/>
  <c r="CX10" i="3"/>
  <c r="CX1" i="3"/>
  <c r="CX5" i="3"/>
  <c r="CX9" i="3"/>
  <c r="GX28" i="1"/>
  <c r="I30" i="1"/>
  <c r="I29" i="1"/>
  <c r="I31" i="1"/>
  <c r="V28" i="1"/>
  <c r="W28" i="1"/>
  <c r="AQ26" i="1"/>
  <c r="F46" i="1"/>
  <c r="AO26" i="1"/>
  <c r="F40" i="1"/>
  <c r="AO500" i="1"/>
  <c r="GP34" i="1"/>
  <c r="CZ75" i="1"/>
  <c r="Y75" i="1" s="1"/>
  <c r="CY75" i="1"/>
  <c r="X75" i="1" s="1"/>
  <c r="CP117" i="1"/>
  <c r="O117" i="1" s="1"/>
  <c r="P28" i="1"/>
  <c r="T28" i="1"/>
  <c r="U28" i="1"/>
  <c r="CY34" i="1"/>
  <c r="X34" i="1" s="1"/>
  <c r="GM34" i="1" s="1"/>
  <c r="CZ34" i="1"/>
  <c r="Y34" i="1" s="1"/>
  <c r="BB68" i="1"/>
  <c r="F91" i="1"/>
  <c r="P70" i="1"/>
  <c r="GM74" i="1"/>
  <c r="GP74" i="1"/>
  <c r="BC110" i="1"/>
  <c r="F143" i="1"/>
  <c r="Q70" i="1"/>
  <c r="V75" i="1"/>
  <c r="U113" i="1"/>
  <c r="GP33" i="1"/>
  <c r="V70" i="1"/>
  <c r="R113" i="1"/>
  <c r="GX75" i="1"/>
  <c r="T75" i="1"/>
  <c r="Q116" i="1"/>
  <c r="BZ110" i="1"/>
  <c r="AQ127" i="1"/>
  <c r="AO110" i="1"/>
  <c r="F131" i="1"/>
  <c r="BC159" i="1"/>
  <c r="F180" i="1"/>
  <c r="GP118" i="1"/>
  <c r="GM121" i="1"/>
  <c r="GP121" i="1"/>
  <c r="F168" i="1"/>
  <c r="AO159" i="1"/>
  <c r="AL164" i="1"/>
  <c r="V164" i="1"/>
  <c r="AI159" i="1"/>
  <c r="F261" i="1"/>
  <c r="BC237" i="1"/>
  <c r="F184" i="1"/>
  <c r="BA159" i="1"/>
  <c r="AQ196" i="1"/>
  <c r="F215" i="1"/>
  <c r="R198" i="1"/>
  <c r="CY203" i="1"/>
  <c r="X203" i="1" s="1"/>
  <c r="GP203" i="1" s="1"/>
  <c r="CZ203" i="1"/>
  <c r="Y203" i="1" s="1"/>
  <c r="GM125" i="1"/>
  <c r="GP125" i="1"/>
  <c r="AS159" i="1"/>
  <c r="F181" i="1"/>
  <c r="AO196" i="1"/>
  <c r="F209" i="1"/>
  <c r="CG237" i="1"/>
  <c r="AX245" i="1"/>
  <c r="AP196" i="1"/>
  <c r="F214" i="1"/>
  <c r="W245" i="1"/>
  <c r="AJ237" i="1"/>
  <c r="CP243" i="1"/>
  <c r="O243" i="1" s="1"/>
  <c r="CY280" i="1"/>
  <c r="X280" i="1" s="1"/>
  <c r="CZ280" i="1"/>
  <c r="Y280" i="1" s="1"/>
  <c r="BC277" i="1"/>
  <c r="F307" i="1"/>
  <c r="AE237" i="1"/>
  <c r="R245" i="1"/>
  <c r="AL245" i="1"/>
  <c r="AP237" i="1"/>
  <c r="F254" i="1"/>
  <c r="CP280" i="1"/>
  <c r="O280" i="1" s="1"/>
  <c r="CZ288" i="1"/>
  <c r="Y288" i="1" s="1"/>
  <c r="CY288" i="1"/>
  <c r="X288" i="1" s="1"/>
  <c r="AO277" i="1"/>
  <c r="F295" i="1"/>
  <c r="AO323" i="1"/>
  <c r="F341" i="1"/>
  <c r="CY286" i="1"/>
  <c r="X286" i="1" s="1"/>
  <c r="CZ286" i="1"/>
  <c r="Y286" i="1" s="1"/>
  <c r="GP328" i="1"/>
  <c r="GM328" i="1"/>
  <c r="Q331" i="1"/>
  <c r="AD337" i="1" s="1"/>
  <c r="BD323" i="1"/>
  <c r="F362" i="1"/>
  <c r="F267" i="1"/>
  <c r="U237" i="1"/>
  <c r="CP286" i="1"/>
  <c r="O286" i="1" s="1"/>
  <c r="GP325" i="1"/>
  <c r="GM325" i="1"/>
  <c r="AX369" i="1"/>
  <c r="F390" i="1"/>
  <c r="GP289" i="1"/>
  <c r="GM289" i="1"/>
  <c r="GM329" i="1"/>
  <c r="R331" i="1"/>
  <c r="CY375" i="1"/>
  <c r="X375" i="1" s="1"/>
  <c r="CZ375" i="1"/>
  <c r="Y375" i="1" s="1"/>
  <c r="F393" i="1"/>
  <c r="AQ369" i="1"/>
  <c r="CX182" i="3"/>
  <c r="CX186" i="3"/>
  <c r="CX181" i="3"/>
  <c r="CX185" i="3"/>
  <c r="CX184" i="3"/>
  <c r="CX188" i="3"/>
  <c r="CX183" i="3"/>
  <c r="CX187" i="3"/>
  <c r="P427" i="1"/>
  <c r="CP427" i="1" s="1"/>
  <c r="O427" i="1" s="1"/>
  <c r="CX172" i="3"/>
  <c r="CX171" i="3"/>
  <c r="I378" i="1"/>
  <c r="I379" i="1"/>
  <c r="P380" i="1"/>
  <c r="CP380" i="1" s="1"/>
  <c r="O380" i="1" s="1"/>
  <c r="U417" i="1"/>
  <c r="P419" i="1"/>
  <c r="GM468" i="1"/>
  <c r="GP468" i="1"/>
  <c r="AT415" i="1"/>
  <c r="F448" i="1"/>
  <c r="AP415" i="1"/>
  <c r="F439" i="1"/>
  <c r="GX419" i="1"/>
  <c r="W427" i="1"/>
  <c r="GX467" i="1"/>
  <c r="CJ470" i="1" s="1"/>
  <c r="Q380" i="1"/>
  <c r="W419" i="1"/>
  <c r="T423" i="1"/>
  <c r="R467" i="1"/>
  <c r="T417" i="1"/>
  <c r="Q419" i="1"/>
  <c r="U423" i="1"/>
  <c r="S427" i="1"/>
  <c r="F437" i="1"/>
  <c r="AX415" i="1"/>
  <c r="T467" i="1"/>
  <c r="AG470" i="1" s="1"/>
  <c r="AP26" i="1"/>
  <c r="F45" i="1"/>
  <c r="CX16" i="3"/>
  <c r="CX20" i="3"/>
  <c r="CX24" i="3"/>
  <c r="CX19" i="3"/>
  <c r="CX23" i="3"/>
  <c r="CX18" i="3"/>
  <c r="CX22" i="3"/>
  <c r="CX17" i="3"/>
  <c r="CX21" i="3"/>
  <c r="CX25" i="3"/>
  <c r="I71" i="1"/>
  <c r="I73" i="1"/>
  <c r="I72" i="1"/>
  <c r="CG68" i="1"/>
  <c r="AX78" i="1"/>
  <c r="T159" i="1"/>
  <c r="F185" i="1"/>
  <c r="BB26" i="1"/>
  <c r="F49" i="1"/>
  <c r="BB500" i="1"/>
  <c r="Q28" i="1"/>
  <c r="R28" i="1"/>
  <c r="S73" i="1"/>
  <c r="CI26" i="1"/>
  <c r="AZ36" i="1"/>
  <c r="BZ68" i="1"/>
  <c r="AQ78" i="1"/>
  <c r="CP75" i="1"/>
  <c r="O75" i="1" s="1"/>
  <c r="F82" i="1"/>
  <c r="AO68" i="1"/>
  <c r="CX39" i="3"/>
  <c r="CX38" i="3"/>
  <c r="I115" i="1"/>
  <c r="T70" i="1"/>
  <c r="V113" i="1"/>
  <c r="CX36" i="3"/>
  <c r="CX37" i="3"/>
  <c r="I114" i="1"/>
  <c r="U116" i="1"/>
  <c r="AT26" i="1"/>
  <c r="F54" i="1"/>
  <c r="GX70" i="1"/>
  <c r="AS68" i="1"/>
  <c r="F95" i="1"/>
  <c r="CP123" i="1"/>
  <c r="O123" i="1" s="1"/>
  <c r="S113" i="1"/>
  <c r="W116" i="1"/>
  <c r="BY110" i="1"/>
  <c r="AP127" i="1"/>
  <c r="AP500" i="1" s="1"/>
  <c r="CI127" i="1"/>
  <c r="CG127" i="1"/>
  <c r="U75" i="1"/>
  <c r="GX116" i="1"/>
  <c r="CC110" i="1"/>
  <c r="AT127" i="1"/>
  <c r="AT500" i="1" s="1"/>
  <c r="BD159" i="1"/>
  <c r="F189" i="1"/>
  <c r="V117" i="1"/>
  <c r="S164" i="1"/>
  <c r="AF159" i="1"/>
  <c r="CX56" i="3"/>
  <c r="CX60" i="3"/>
  <c r="CX55" i="3"/>
  <c r="CX59" i="3"/>
  <c r="CX54" i="3"/>
  <c r="CX58" i="3"/>
  <c r="CX62" i="3"/>
  <c r="CX53" i="3"/>
  <c r="CX57" i="3"/>
  <c r="CX61" i="3"/>
  <c r="I200" i="1"/>
  <c r="I199" i="1"/>
  <c r="I201" i="1"/>
  <c r="P198" i="1"/>
  <c r="BC196" i="1"/>
  <c r="F221" i="1"/>
  <c r="GP161" i="1"/>
  <c r="CD164" i="1" s="1"/>
  <c r="AB164" i="1"/>
  <c r="GM161" i="1"/>
  <c r="CA164" i="1" s="1"/>
  <c r="V198" i="1"/>
  <c r="W198" i="1"/>
  <c r="T198" i="1"/>
  <c r="CB237" i="1"/>
  <c r="AS245" i="1"/>
  <c r="AZ237" i="1"/>
  <c r="F256" i="1"/>
  <c r="BB277" i="1"/>
  <c r="F304" i="1"/>
  <c r="AT237" i="1"/>
  <c r="F263" i="1"/>
  <c r="AK245" i="1"/>
  <c r="GP330" i="1"/>
  <c r="GM330" i="1"/>
  <c r="AG237" i="1"/>
  <c r="T245" i="1"/>
  <c r="CY279" i="1"/>
  <c r="X279" i="1" s="1"/>
  <c r="CZ279" i="1"/>
  <c r="Y279" i="1" s="1"/>
  <c r="P281" i="1"/>
  <c r="CP288" i="1"/>
  <c r="O288" i="1" s="1"/>
  <c r="GP326" i="1"/>
  <c r="GM326" i="1"/>
  <c r="BB415" i="1"/>
  <c r="F443" i="1"/>
  <c r="CP327" i="1"/>
  <c r="O327" i="1" s="1"/>
  <c r="AQ323" i="1"/>
  <c r="F347" i="1"/>
  <c r="BB369" i="1"/>
  <c r="F396" i="1"/>
  <c r="AT277" i="1"/>
  <c r="F309" i="1"/>
  <c r="GM334" i="1"/>
  <c r="BC369" i="1"/>
  <c r="F399" i="1"/>
  <c r="V280" i="1"/>
  <c r="AP277" i="1"/>
  <c r="F300" i="1"/>
  <c r="GP285" i="1"/>
  <c r="GM285" i="1"/>
  <c r="AE337" i="1"/>
  <c r="BC323" i="1"/>
  <c r="F353" i="1"/>
  <c r="CX163" i="3"/>
  <c r="I371" i="1"/>
  <c r="I372" i="1"/>
  <c r="I376" i="1"/>
  <c r="P375" i="1"/>
  <c r="BD369" i="1"/>
  <c r="F408" i="1"/>
  <c r="U375" i="1"/>
  <c r="S417" i="1"/>
  <c r="U419" i="1"/>
  <c r="V427" i="1"/>
  <c r="F474" i="1"/>
  <c r="AO462" i="1"/>
  <c r="R417" i="1"/>
  <c r="V420" i="1"/>
  <c r="S423" i="1"/>
  <c r="Q467" i="1"/>
  <c r="CP467" i="1" s="1"/>
  <c r="O467" i="1" s="1"/>
  <c r="GX380" i="1"/>
  <c r="S420" i="1"/>
  <c r="F348" i="1"/>
  <c r="AZ323" i="1"/>
  <c r="Q417" i="1"/>
  <c r="AS415" i="1"/>
  <c r="F447" i="1"/>
  <c r="GX427" i="1"/>
  <c r="AP462" i="1"/>
  <c r="F479" i="1"/>
  <c r="AS462" i="1"/>
  <c r="F487" i="1"/>
  <c r="U467" i="1"/>
  <c r="AH470" i="1" s="1"/>
  <c r="CZ28" i="1"/>
  <c r="Y28" i="1" s="1"/>
  <c r="CY28" i="1"/>
  <c r="X28" i="1" s="1"/>
  <c r="GP112" i="1"/>
  <c r="GM112" i="1"/>
  <c r="BB110" i="1"/>
  <c r="F140" i="1"/>
  <c r="CP113" i="1"/>
  <c r="O113" i="1" s="1"/>
  <c r="CI159" i="1"/>
  <c r="AZ164" i="1"/>
  <c r="CH164" i="1"/>
  <c r="P164" i="1"/>
  <c r="CE164" i="1"/>
  <c r="AC159" i="1"/>
  <c r="CF164" i="1"/>
  <c r="GM202" i="1"/>
  <c r="GP202" i="1"/>
  <c r="GM241" i="1"/>
  <c r="GP241" i="1"/>
  <c r="CX145" i="3"/>
  <c r="CX146" i="3"/>
  <c r="CJ237" i="1"/>
  <c r="BA245" i="1"/>
  <c r="AI237" i="1"/>
  <c r="V245" i="1"/>
  <c r="AQ237" i="1"/>
  <c r="F255" i="1"/>
  <c r="BD277" i="1"/>
  <c r="F316" i="1"/>
  <c r="P331" i="1"/>
  <c r="CP331" i="1" s="1"/>
  <c r="O331" i="1" s="1"/>
  <c r="U198" i="1"/>
  <c r="GM240" i="1"/>
  <c r="GP240" i="1"/>
  <c r="GM283" i="1"/>
  <c r="GP283" i="1"/>
  <c r="CX112" i="3"/>
  <c r="CX113" i="3"/>
  <c r="GX280" i="1"/>
  <c r="U286" i="1"/>
  <c r="AF337" i="1"/>
  <c r="GP335" i="1"/>
  <c r="GM335" i="1"/>
  <c r="Q376" i="1"/>
  <c r="F486" i="1"/>
  <c r="BC462" i="1"/>
  <c r="AS277" i="1"/>
  <c r="F308" i="1"/>
  <c r="U331" i="1"/>
  <c r="AH337" i="1" s="1"/>
  <c r="AP369" i="1"/>
  <c r="F392" i="1"/>
  <c r="AS323" i="1"/>
  <c r="F354" i="1"/>
  <c r="W331" i="1"/>
  <c r="AJ337" i="1" s="1"/>
  <c r="R375" i="1"/>
  <c r="V380" i="1"/>
  <c r="P417" i="1"/>
  <c r="CX190" i="3"/>
  <c r="CX194" i="3"/>
  <c r="CX198" i="3"/>
  <c r="CX189" i="3"/>
  <c r="CX193" i="3"/>
  <c r="CX197" i="3"/>
  <c r="CX192" i="3"/>
  <c r="CX196" i="3"/>
  <c r="CX191" i="3"/>
  <c r="CX195" i="3"/>
  <c r="I421" i="1"/>
  <c r="I422" i="1"/>
  <c r="CX202" i="3"/>
  <c r="CX206" i="3"/>
  <c r="CX201" i="3"/>
  <c r="CX205" i="3"/>
  <c r="CX200" i="3"/>
  <c r="CX204" i="3"/>
  <c r="CX208" i="3"/>
  <c r="CX199" i="3"/>
  <c r="CX203" i="3"/>
  <c r="CX207" i="3"/>
  <c r="I424" i="1"/>
  <c r="P424" i="1" s="1"/>
  <c r="I425" i="1"/>
  <c r="F455" i="1"/>
  <c r="BD415" i="1"/>
  <c r="CY284" i="1"/>
  <c r="X284" i="1" s="1"/>
  <c r="CZ284" i="1"/>
  <c r="Y284" i="1" s="1"/>
  <c r="GM284" i="1" s="1"/>
  <c r="V286" i="1"/>
  <c r="GX331" i="1"/>
  <c r="CJ337" i="1" s="1"/>
  <c r="CI369" i="1"/>
  <c r="AZ383" i="1"/>
  <c r="BB462" i="1"/>
  <c r="F483" i="1"/>
  <c r="Q375" i="1"/>
  <c r="P420" i="1"/>
  <c r="CP420" i="1" s="1"/>
  <c r="O420" i="1" s="1"/>
  <c r="GX423" i="1"/>
  <c r="GP428" i="1"/>
  <c r="GM428" i="1"/>
  <c r="BZ462" i="1"/>
  <c r="AQ470" i="1"/>
  <c r="CP466" i="1"/>
  <c r="O466" i="1" s="1"/>
  <c r="CG470" i="1"/>
  <c r="V417" i="1"/>
  <c r="GX420" i="1"/>
  <c r="W423" i="1"/>
  <c r="T427" i="1"/>
  <c r="CP465" i="1"/>
  <c r="O465" i="1" s="1"/>
  <c r="W467" i="1"/>
  <c r="AJ470" i="1" s="1"/>
  <c r="CI470" i="1"/>
  <c r="GP381" i="1"/>
  <c r="GM381" i="1"/>
  <c r="W420" i="1"/>
  <c r="GX417" i="1"/>
  <c r="Q420" i="1"/>
  <c r="AC470" i="1"/>
  <c r="E78" i="7" l="1"/>
  <c r="I480" i="5"/>
  <c r="I63" i="5"/>
  <c r="I483" i="5"/>
  <c r="I234" i="5"/>
  <c r="AT22" i="1"/>
  <c r="AT530" i="1"/>
  <c r="F518" i="1"/>
  <c r="F16" i="2" s="1"/>
  <c r="F18" i="2" s="1"/>
  <c r="AG462" i="1"/>
  <c r="T470" i="1"/>
  <c r="AH462" i="1"/>
  <c r="U470" i="1"/>
  <c r="AP22" i="1"/>
  <c r="F509" i="1"/>
  <c r="G16" i="2" s="1"/>
  <c r="G18" i="2" s="1"/>
  <c r="AP530" i="1"/>
  <c r="W470" i="1"/>
  <c r="AJ462" i="1"/>
  <c r="AQ462" i="1"/>
  <c r="F480" i="1"/>
  <c r="AJ323" i="1"/>
  <c r="W337" i="1"/>
  <c r="GP284" i="1"/>
  <c r="CE159" i="1"/>
  <c r="AV164" i="1"/>
  <c r="CY417" i="1"/>
  <c r="X417" i="1" s="1"/>
  <c r="CZ417" i="1"/>
  <c r="Y417" i="1" s="1"/>
  <c r="CP375" i="1"/>
  <c r="O375" i="1" s="1"/>
  <c r="GM327" i="1"/>
  <c r="GP327" i="1"/>
  <c r="O164" i="1"/>
  <c r="AB159" i="1"/>
  <c r="CP198" i="1"/>
  <c r="O198" i="1" s="1"/>
  <c r="CI110" i="1"/>
  <c r="AZ127" i="1"/>
  <c r="CZ113" i="1"/>
  <c r="Y113" i="1" s="1"/>
  <c r="CY113" i="1"/>
  <c r="X113" i="1" s="1"/>
  <c r="AQ68" i="1"/>
  <c r="F88" i="1"/>
  <c r="CZ73" i="1"/>
  <c r="Y73" i="1" s="1"/>
  <c r="CY73" i="1"/>
  <c r="X73" i="1" s="1"/>
  <c r="GX73" i="1"/>
  <c r="T73" i="1"/>
  <c r="P73" i="1"/>
  <c r="W73" i="1"/>
  <c r="Q73" i="1"/>
  <c r="V73" i="1"/>
  <c r="R73" i="1"/>
  <c r="GK73" i="1" s="1"/>
  <c r="U73" i="1"/>
  <c r="AD470" i="1"/>
  <c r="CX169" i="3"/>
  <c r="CX170" i="3"/>
  <c r="T379" i="1"/>
  <c r="Q379" i="1"/>
  <c r="U379" i="1"/>
  <c r="S379" i="1"/>
  <c r="P379" i="1"/>
  <c r="V379" i="1"/>
  <c r="R379" i="1"/>
  <c r="GK379" i="1" s="1"/>
  <c r="W379" i="1"/>
  <c r="GX379" i="1"/>
  <c r="GP286" i="1"/>
  <c r="GM286" i="1"/>
  <c r="GM243" i="1"/>
  <c r="GP243" i="1"/>
  <c r="AL159" i="1"/>
  <c r="Y164" i="1"/>
  <c r="AO22" i="1"/>
  <c r="AO530" i="1"/>
  <c r="F504" i="1"/>
  <c r="GX31" i="1"/>
  <c r="U31" i="1"/>
  <c r="V31" i="1"/>
  <c r="S31" i="1"/>
  <c r="R31" i="1"/>
  <c r="GK31" i="1" s="1"/>
  <c r="P31" i="1"/>
  <c r="CP31" i="1" s="1"/>
  <c r="O31" i="1" s="1"/>
  <c r="T31" i="1"/>
  <c r="Q31" i="1"/>
  <c r="W31" i="1"/>
  <c r="CY467" i="1"/>
  <c r="X467" i="1" s="1"/>
  <c r="AK470" i="1" s="1"/>
  <c r="CZ467" i="1"/>
  <c r="Y467" i="1" s="1"/>
  <c r="AL470" i="1" s="1"/>
  <c r="AF470" i="1"/>
  <c r="AX323" i="1"/>
  <c r="F344" i="1"/>
  <c r="W418" i="1"/>
  <c r="GX418" i="1"/>
  <c r="V418" i="1"/>
  <c r="P418" i="1"/>
  <c r="CP418" i="1" s="1"/>
  <c r="O418" i="1" s="1"/>
  <c r="S418" i="1"/>
  <c r="Q418" i="1"/>
  <c r="T418" i="1"/>
  <c r="U418" i="1"/>
  <c r="T337" i="1"/>
  <c r="AG323" i="1"/>
  <c r="R282" i="1"/>
  <c r="GK282" i="1" s="1"/>
  <c r="V282" i="1"/>
  <c r="GX282" i="1"/>
  <c r="Q282" i="1"/>
  <c r="P282" i="1"/>
  <c r="T282" i="1"/>
  <c r="U282" i="1"/>
  <c r="W282" i="1"/>
  <c r="S282" i="1"/>
  <c r="CD245" i="1"/>
  <c r="CI68" i="1"/>
  <c r="AZ78" i="1"/>
  <c r="GK70" i="1"/>
  <c r="CY117" i="1"/>
  <c r="X117" i="1" s="1"/>
  <c r="CZ117" i="1"/>
  <c r="Y117" i="1" s="1"/>
  <c r="GP279" i="1"/>
  <c r="GM279" i="1"/>
  <c r="CF237" i="1"/>
  <c r="AW245" i="1"/>
  <c r="AX26" i="1"/>
  <c r="F43" i="1"/>
  <c r="GM203" i="1"/>
  <c r="GM465" i="1"/>
  <c r="GP465" i="1"/>
  <c r="T425" i="1"/>
  <c r="GX425" i="1"/>
  <c r="U425" i="1"/>
  <c r="V425" i="1"/>
  <c r="P425" i="1"/>
  <c r="W425" i="1"/>
  <c r="Q425" i="1"/>
  <c r="S425" i="1"/>
  <c r="AH323" i="1"/>
  <c r="U337" i="1"/>
  <c r="F167" i="1"/>
  <c r="P159" i="1"/>
  <c r="CY423" i="1"/>
  <c r="X423" i="1" s="1"/>
  <c r="CZ423" i="1"/>
  <c r="Y423" i="1" s="1"/>
  <c r="CX164" i="3"/>
  <c r="I377" i="1"/>
  <c r="GX376" i="1"/>
  <c r="W376" i="1"/>
  <c r="P376" i="1"/>
  <c r="CP376" i="1" s="1"/>
  <c r="O376" i="1" s="1"/>
  <c r="S376" i="1"/>
  <c r="U376" i="1"/>
  <c r="V376" i="1"/>
  <c r="R376" i="1"/>
  <c r="T376" i="1"/>
  <c r="R425" i="1"/>
  <c r="GK425" i="1" s="1"/>
  <c r="CD159" i="1"/>
  <c r="AU164" i="1"/>
  <c r="S201" i="1"/>
  <c r="V201" i="1"/>
  <c r="GX201" i="1"/>
  <c r="W201" i="1"/>
  <c r="R201" i="1"/>
  <c r="GK201" i="1" s="1"/>
  <c r="T201" i="1"/>
  <c r="Q201" i="1"/>
  <c r="P201" i="1"/>
  <c r="U201" i="1"/>
  <c r="AP110" i="1"/>
  <c r="F136" i="1"/>
  <c r="GM123" i="1"/>
  <c r="GP123" i="1"/>
  <c r="CX33" i="3"/>
  <c r="W114" i="1"/>
  <c r="P114" i="1"/>
  <c r="R114" i="1"/>
  <c r="GK114" i="1" s="1"/>
  <c r="T114" i="1"/>
  <c r="GX114" i="1"/>
  <c r="CJ127" i="1" s="1"/>
  <c r="U114" i="1"/>
  <c r="V114" i="1"/>
  <c r="AI127" i="1" s="1"/>
  <c r="Q114" i="1"/>
  <c r="S114" i="1"/>
  <c r="GK28" i="1"/>
  <c r="AX68" i="1"/>
  <c r="F85" i="1"/>
  <c r="GX71" i="1"/>
  <c r="CJ78" i="1" s="1"/>
  <c r="V71" i="1"/>
  <c r="AI78" i="1" s="1"/>
  <c r="U71" i="1"/>
  <c r="Q71" i="1"/>
  <c r="AD78" i="1" s="1"/>
  <c r="T71" i="1"/>
  <c r="AG78" i="1" s="1"/>
  <c r="W71" i="1"/>
  <c r="R71" i="1"/>
  <c r="GK71" i="1" s="1"/>
  <c r="P71" i="1"/>
  <c r="CP419" i="1"/>
  <c r="O419" i="1" s="1"/>
  <c r="CX168" i="3"/>
  <c r="CX165" i="3"/>
  <c r="CX167" i="3"/>
  <c r="CX166" i="3"/>
  <c r="Q378" i="1"/>
  <c r="T378" i="1"/>
  <c r="R378" i="1"/>
  <c r="GK378" i="1" s="1"/>
  <c r="U378" i="1"/>
  <c r="GX378" i="1"/>
  <c r="P378" i="1"/>
  <c r="S378" i="1"/>
  <c r="W378" i="1"/>
  <c r="V378" i="1"/>
  <c r="AL237" i="1"/>
  <c r="Y245" i="1"/>
  <c r="AX237" i="1"/>
  <c r="F252" i="1"/>
  <c r="AG36" i="1"/>
  <c r="T29" i="1"/>
  <c r="GX29" i="1"/>
  <c r="W29" i="1"/>
  <c r="Q29" i="1"/>
  <c r="V29" i="1"/>
  <c r="R29" i="1"/>
  <c r="GK29" i="1" s="1"/>
  <c r="S29" i="1"/>
  <c r="U29" i="1"/>
  <c r="AH36" i="1" s="1"/>
  <c r="P29" i="1"/>
  <c r="CP423" i="1"/>
  <c r="O423" i="1" s="1"/>
  <c r="GK280" i="1"/>
  <c r="GM280" i="1" s="1"/>
  <c r="AZ196" i="1"/>
  <c r="F216" i="1"/>
  <c r="U159" i="1"/>
  <c r="F186" i="1"/>
  <c r="AP68" i="1"/>
  <c r="F87" i="1"/>
  <c r="BC22" i="1"/>
  <c r="F516" i="1"/>
  <c r="BC530" i="1"/>
  <c r="CE237" i="1"/>
  <c r="AV245" i="1"/>
  <c r="CH237" i="1"/>
  <c r="AY245" i="1"/>
  <c r="X159" i="1"/>
  <c r="F190" i="1"/>
  <c r="V323" i="1"/>
  <c r="F360" i="1"/>
  <c r="CH470" i="1"/>
  <c r="AC462" i="1"/>
  <c r="CF470" i="1"/>
  <c r="CE470" i="1"/>
  <c r="P470" i="1"/>
  <c r="U422" i="1"/>
  <c r="T422" i="1"/>
  <c r="P422" i="1"/>
  <c r="W422" i="1"/>
  <c r="GX422" i="1"/>
  <c r="CJ430" i="1" s="1"/>
  <c r="Q422" i="1"/>
  <c r="S422" i="1"/>
  <c r="V422" i="1"/>
  <c r="CP417" i="1"/>
  <c r="O417" i="1" s="1"/>
  <c r="AF323" i="1"/>
  <c r="S337" i="1"/>
  <c r="CG462" i="1"/>
  <c r="AX470" i="1"/>
  <c r="V424" i="1"/>
  <c r="U424" i="1"/>
  <c r="R424" i="1"/>
  <c r="GK424" i="1" s="1"/>
  <c r="GX424" i="1"/>
  <c r="Q424" i="1"/>
  <c r="CP424" i="1" s="1"/>
  <c r="O424" i="1" s="1"/>
  <c r="W424" i="1"/>
  <c r="S424" i="1"/>
  <c r="T424" i="1"/>
  <c r="W421" i="1"/>
  <c r="AJ430" i="1" s="1"/>
  <c r="GX421" i="1"/>
  <c r="V421" i="1"/>
  <c r="AI430" i="1" s="1"/>
  <c r="S421" i="1"/>
  <c r="Q421" i="1"/>
  <c r="R421" i="1"/>
  <c r="GK421" i="1" s="1"/>
  <c r="U421" i="1"/>
  <c r="T421" i="1"/>
  <c r="AG430" i="1" s="1"/>
  <c r="F265" i="1"/>
  <c r="BA237" i="1"/>
  <c r="CF159" i="1"/>
  <c r="AW164" i="1"/>
  <c r="CH159" i="1"/>
  <c r="AY164" i="1"/>
  <c r="CY420" i="1"/>
  <c r="X420" i="1" s="1"/>
  <c r="CZ420" i="1"/>
  <c r="Y420" i="1" s="1"/>
  <c r="CX158" i="3"/>
  <c r="I373" i="1"/>
  <c r="I374" i="1"/>
  <c r="P372" i="1"/>
  <c r="S372" i="1"/>
  <c r="T372" i="1"/>
  <c r="V372" i="1"/>
  <c r="R372" i="1"/>
  <c r="GK372" i="1" s="1"/>
  <c r="W372" i="1"/>
  <c r="U372" i="1"/>
  <c r="GX372" i="1"/>
  <c r="R422" i="1"/>
  <c r="GK422" i="1" s="1"/>
  <c r="GP288" i="1"/>
  <c r="GM288" i="1"/>
  <c r="AS237" i="1"/>
  <c r="F262" i="1"/>
  <c r="AI205" i="1"/>
  <c r="S199" i="1"/>
  <c r="V199" i="1"/>
  <c r="GX199" i="1"/>
  <c r="CJ205" i="1" s="1"/>
  <c r="W199" i="1"/>
  <c r="AJ205" i="1" s="1"/>
  <c r="Q199" i="1"/>
  <c r="T199" i="1"/>
  <c r="AG205" i="1" s="1"/>
  <c r="R199" i="1"/>
  <c r="GK199" i="1" s="1"/>
  <c r="U199" i="1"/>
  <c r="AH205" i="1" s="1"/>
  <c r="P199" i="1"/>
  <c r="CP199" i="1" s="1"/>
  <c r="O199" i="1" s="1"/>
  <c r="CX35" i="3"/>
  <c r="CX34" i="3"/>
  <c r="Q115" i="1"/>
  <c r="W115" i="1"/>
  <c r="AJ127" i="1" s="1"/>
  <c r="P115" i="1"/>
  <c r="S115" i="1"/>
  <c r="V115" i="1"/>
  <c r="GX115" i="1"/>
  <c r="R115" i="1"/>
  <c r="GK115" i="1" s="1"/>
  <c r="T115" i="1"/>
  <c r="U115" i="1"/>
  <c r="AZ26" i="1"/>
  <c r="F47" i="1"/>
  <c r="CY427" i="1"/>
  <c r="X427" i="1" s="1"/>
  <c r="GP427" i="1" s="1"/>
  <c r="CZ427" i="1"/>
  <c r="Y427" i="1" s="1"/>
  <c r="GK467" i="1"/>
  <c r="AE470" i="1"/>
  <c r="CJ462" i="1"/>
  <c r="BA470" i="1"/>
  <c r="AH430" i="1"/>
  <c r="P421" i="1"/>
  <c r="CP421" i="1" s="1"/>
  <c r="O421" i="1" s="1"/>
  <c r="AD323" i="1"/>
  <c r="Q337" i="1"/>
  <c r="GP280" i="1"/>
  <c r="R237" i="1"/>
  <c r="F259" i="1"/>
  <c r="F269" i="1"/>
  <c r="W237" i="1"/>
  <c r="AQ110" i="1"/>
  <c r="F137" i="1"/>
  <c r="AH127" i="1"/>
  <c r="CP70" i="1"/>
  <c r="O70" i="1" s="1"/>
  <c r="CP28" i="1"/>
  <c r="O28" i="1" s="1"/>
  <c r="GX30" i="1"/>
  <c r="R30" i="1"/>
  <c r="GK30" i="1" s="1"/>
  <c r="W30" i="1"/>
  <c r="AJ36" i="1" s="1"/>
  <c r="V30" i="1"/>
  <c r="U30" i="1"/>
  <c r="Q30" i="1"/>
  <c r="AD36" i="1" s="1"/>
  <c r="P30" i="1"/>
  <c r="CP30" i="1" s="1"/>
  <c r="O30" i="1" s="1"/>
  <c r="T30" i="1"/>
  <c r="V470" i="1"/>
  <c r="AI462" i="1"/>
  <c r="F302" i="1"/>
  <c r="AZ277" i="1"/>
  <c r="Q372" i="1"/>
  <c r="S237" i="1"/>
  <c r="F260" i="1"/>
  <c r="AB245" i="1"/>
  <c r="R159" i="1"/>
  <c r="F178" i="1"/>
  <c r="AT68" i="1"/>
  <c r="F96" i="1"/>
  <c r="BD22" i="1"/>
  <c r="F525" i="1"/>
  <c r="BD530" i="1"/>
  <c r="S30" i="1"/>
  <c r="P237" i="1"/>
  <c r="F248" i="1"/>
  <c r="AB470" i="1"/>
  <c r="F257" i="1"/>
  <c r="Q237" i="1"/>
  <c r="GP420" i="1"/>
  <c r="GM420" i="1"/>
  <c r="F394" i="1"/>
  <c r="AZ369" i="1"/>
  <c r="CI462" i="1"/>
  <c r="AZ470" i="1"/>
  <c r="GM466" i="1"/>
  <c r="GP466" i="1"/>
  <c r="CJ323" i="1"/>
  <c r="BA337" i="1"/>
  <c r="V237" i="1"/>
  <c r="F268" i="1"/>
  <c r="F175" i="1"/>
  <c r="AZ159" i="1"/>
  <c r="AD430" i="1"/>
  <c r="GK417" i="1"/>
  <c r="AE430" i="1"/>
  <c r="CX156" i="3"/>
  <c r="CX157" i="3"/>
  <c r="CX155" i="3"/>
  <c r="P371" i="1"/>
  <c r="V371" i="1"/>
  <c r="T371" i="1"/>
  <c r="R371" i="1"/>
  <c r="Q371" i="1"/>
  <c r="GX371" i="1"/>
  <c r="U371" i="1"/>
  <c r="S371" i="1"/>
  <c r="W371" i="1"/>
  <c r="R337" i="1"/>
  <c r="AE323" i="1"/>
  <c r="T237" i="1"/>
  <c r="F266" i="1"/>
  <c r="AK237" i="1"/>
  <c r="X245" i="1"/>
  <c r="CA159" i="1"/>
  <c r="AR164" i="1"/>
  <c r="P200" i="1"/>
  <c r="T200" i="1"/>
  <c r="W200" i="1"/>
  <c r="Q200" i="1"/>
  <c r="AD205" i="1" s="1"/>
  <c r="S200" i="1"/>
  <c r="V200" i="1"/>
  <c r="U200" i="1"/>
  <c r="R200" i="1"/>
  <c r="GK200" i="1" s="1"/>
  <c r="GX200" i="1"/>
  <c r="F179" i="1"/>
  <c r="S159" i="1"/>
  <c r="AT110" i="1"/>
  <c r="F145" i="1"/>
  <c r="CG110" i="1"/>
  <c r="AX127" i="1"/>
  <c r="GP75" i="1"/>
  <c r="GM75" i="1"/>
  <c r="BB22" i="1"/>
  <c r="F513" i="1"/>
  <c r="BB530" i="1"/>
  <c r="V72" i="1"/>
  <c r="Q72" i="1"/>
  <c r="S72" i="1"/>
  <c r="R72" i="1"/>
  <c r="GK72" i="1" s="1"/>
  <c r="U72" i="1"/>
  <c r="T72" i="1"/>
  <c r="W72" i="1"/>
  <c r="P72" i="1"/>
  <c r="CP72" i="1" s="1"/>
  <c r="O72" i="1" s="1"/>
  <c r="GX72" i="1"/>
  <c r="GP380" i="1"/>
  <c r="GM380" i="1"/>
  <c r="AB337" i="1"/>
  <c r="GK198" i="1"/>
  <c r="V159" i="1"/>
  <c r="F187" i="1"/>
  <c r="GK113" i="1"/>
  <c r="GP113" i="1" s="1"/>
  <c r="AE127" i="1"/>
  <c r="S71" i="1"/>
  <c r="GP117" i="1"/>
  <c r="GM117" i="1"/>
  <c r="AQ500" i="1"/>
  <c r="AI36" i="1"/>
  <c r="CJ36" i="1"/>
  <c r="CY419" i="1"/>
  <c r="X419" i="1" s="1"/>
  <c r="CZ419" i="1"/>
  <c r="Y419" i="1" s="1"/>
  <c r="F441" i="1"/>
  <c r="AZ415" i="1"/>
  <c r="CY331" i="1"/>
  <c r="X331" i="1" s="1"/>
  <c r="AK337" i="1" s="1"/>
  <c r="CZ331" i="1"/>
  <c r="Y331" i="1" s="1"/>
  <c r="AL337" i="1" s="1"/>
  <c r="AC337" i="1"/>
  <c r="S281" i="1"/>
  <c r="T281" i="1"/>
  <c r="AG291" i="1" s="1"/>
  <c r="GX281" i="1"/>
  <c r="CJ291" i="1" s="1"/>
  <c r="V281" i="1"/>
  <c r="AI291" i="1" s="1"/>
  <c r="U281" i="1"/>
  <c r="AH291" i="1" s="1"/>
  <c r="Q281" i="1"/>
  <c r="AD291" i="1" s="1"/>
  <c r="W281" i="1"/>
  <c r="AJ291" i="1" s="1"/>
  <c r="R281" i="1"/>
  <c r="GK281" i="1" s="1"/>
  <c r="CA245" i="1"/>
  <c r="AX196" i="1"/>
  <c r="F212" i="1"/>
  <c r="W159" i="1"/>
  <c r="F188" i="1"/>
  <c r="CP116" i="1"/>
  <c r="O116" i="1" s="1"/>
  <c r="CY70" i="1"/>
  <c r="X70" i="1" s="1"/>
  <c r="CZ70" i="1"/>
  <c r="Y70" i="1" s="1"/>
  <c r="AF78" i="1"/>
  <c r="AH78" i="1"/>
  <c r="AC291" i="1"/>
  <c r="CB110" i="1"/>
  <c r="AS127" i="1"/>
  <c r="AD196" i="1" l="1"/>
  <c r="Q205" i="1"/>
  <c r="CJ196" i="1"/>
  <c r="BA205" i="1"/>
  <c r="CJ277" i="1"/>
  <c r="BA291" i="1"/>
  <c r="AJ26" i="1"/>
  <c r="W36" i="1"/>
  <c r="AJ110" i="1"/>
  <c r="W127" i="1"/>
  <c r="U36" i="1"/>
  <c r="AH26" i="1"/>
  <c r="AI110" i="1"/>
  <c r="V127" i="1"/>
  <c r="AH196" i="1"/>
  <c r="U205" i="1"/>
  <c r="W205" i="1"/>
  <c r="AJ196" i="1"/>
  <c r="W430" i="1"/>
  <c r="AJ415" i="1"/>
  <c r="AI68" i="1"/>
  <c r="V78" i="1"/>
  <c r="AG415" i="1"/>
  <c r="T430" i="1"/>
  <c r="CJ415" i="1"/>
  <c r="BA430" i="1"/>
  <c r="AG68" i="1"/>
  <c r="T78" i="1"/>
  <c r="CJ68" i="1"/>
  <c r="BA78" i="1"/>
  <c r="CJ110" i="1"/>
  <c r="BA127" i="1"/>
  <c r="Q36" i="1"/>
  <c r="AD26" i="1"/>
  <c r="AI277" i="1"/>
  <c r="V291" i="1"/>
  <c r="AG196" i="1"/>
  <c r="T205" i="1"/>
  <c r="V430" i="1"/>
  <c r="AI415" i="1"/>
  <c r="AD68" i="1"/>
  <c r="Q78" i="1"/>
  <c r="AH277" i="1"/>
  <c r="U291" i="1"/>
  <c r="R323" i="1"/>
  <c r="F351" i="1"/>
  <c r="P337" i="1"/>
  <c r="AC323" i="1"/>
  <c r="CF337" i="1"/>
  <c r="CE337" i="1"/>
  <c r="CH337" i="1"/>
  <c r="R430" i="1"/>
  <c r="AE415" i="1"/>
  <c r="F481" i="1"/>
  <c r="AZ462" i="1"/>
  <c r="AH68" i="1"/>
  <c r="U78" i="1"/>
  <c r="GP116" i="1"/>
  <c r="GM116" i="1"/>
  <c r="AD277" i="1"/>
  <c r="Q291" i="1"/>
  <c r="AG277" i="1"/>
  <c r="T291" i="1"/>
  <c r="X337" i="1"/>
  <c r="AK323" i="1"/>
  <c r="CY200" i="1"/>
  <c r="X200" i="1" s="1"/>
  <c r="CZ200" i="1"/>
  <c r="Y200" i="1" s="1"/>
  <c r="CP200" i="1"/>
  <c r="O200" i="1" s="1"/>
  <c r="AD415" i="1"/>
  <c r="Q430" i="1"/>
  <c r="O470" i="1"/>
  <c r="AB462" i="1"/>
  <c r="BD18" i="1"/>
  <c r="F555" i="1"/>
  <c r="GP70" i="1"/>
  <c r="GM70" i="1"/>
  <c r="GM199" i="1"/>
  <c r="GP199" i="1"/>
  <c r="CZ199" i="1"/>
  <c r="Y199" i="1" s="1"/>
  <c r="CY199" i="1"/>
  <c r="X199" i="1" s="1"/>
  <c r="AF205" i="1"/>
  <c r="CX162" i="3"/>
  <c r="T374" i="1"/>
  <c r="Q374" i="1"/>
  <c r="P374" i="1"/>
  <c r="CP374" i="1" s="1"/>
  <c r="O374" i="1" s="1"/>
  <c r="V374" i="1"/>
  <c r="R374" i="1"/>
  <c r="GK374" i="1" s="1"/>
  <c r="W374" i="1"/>
  <c r="GX374" i="1"/>
  <c r="U374" i="1"/>
  <c r="S374" i="1"/>
  <c r="GM113" i="1"/>
  <c r="GP331" i="1"/>
  <c r="CD337" i="1" s="1"/>
  <c r="CY422" i="1"/>
  <c r="X422" i="1" s="1"/>
  <c r="CZ422" i="1"/>
  <c r="Y422" i="1" s="1"/>
  <c r="CP422" i="1"/>
  <c r="O422" i="1" s="1"/>
  <c r="P462" i="1"/>
  <c r="F473" i="1"/>
  <c r="CH462" i="1"/>
  <c r="AY470" i="1"/>
  <c r="AV237" i="1"/>
  <c r="F250" i="1"/>
  <c r="GP423" i="1"/>
  <c r="GM423" i="1"/>
  <c r="CZ114" i="1"/>
  <c r="Y114" i="1" s="1"/>
  <c r="CY114" i="1"/>
  <c r="X114" i="1" s="1"/>
  <c r="U323" i="1"/>
  <c r="F359" i="1"/>
  <c r="AZ68" i="1"/>
  <c r="F89" i="1"/>
  <c r="S470" i="1"/>
  <c r="AF462" i="1"/>
  <c r="CY31" i="1"/>
  <c r="X31" i="1" s="1"/>
  <c r="CZ31" i="1"/>
  <c r="Y31" i="1" s="1"/>
  <c r="GM427" i="1"/>
  <c r="AF127" i="1"/>
  <c r="O159" i="1"/>
  <c r="F166" i="1"/>
  <c r="GM467" i="1"/>
  <c r="CA470" i="1" s="1"/>
  <c r="CA237" i="1"/>
  <c r="AR245" i="1"/>
  <c r="AC36" i="1"/>
  <c r="AH110" i="1"/>
  <c r="U127" i="1"/>
  <c r="AE462" i="1"/>
  <c r="R470" i="1"/>
  <c r="AI196" i="1"/>
  <c r="V205" i="1"/>
  <c r="CX160" i="3"/>
  <c r="CX161" i="3"/>
  <c r="CX159" i="3"/>
  <c r="Q373" i="1"/>
  <c r="P373" i="1"/>
  <c r="V373" i="1"/>
  <c r="AI383" i="1" s="1"/>
  <c r="R373" i="1"/>
  <c r="GK373" i="1" s="1"/>
  <c r="T373" i="1"/>
  <c r="AG383" i="1" s="1"/>
  <c r="W373" i="1"/>
  <c r="AJ383" i="1" s="1"/>
  <c r="GX373" i="1"/>
  <c r="U373" i="1"/>
  <c r="AH383" i="1" s="1"/>
  <c r="S373" i="1"/>
  <c r="AY159" i="1"/>
  <c r="F172" i="1"/>
  <c r="CY421" i="1"/>
  <c r="X421" i="1" s="1"/>
  <c r="GP421" i="1" s="1"/>
  <c r="CZ421" i="1"/>
  <c r="Y421" i="1" s="1"/>
  <c r="AX462" i="1"/>
  <c r="F477" i="1"/>
  <c r="AC430" i="1"/>
  <c r="CE462" i="1"/>
  <c r="AV470" i="1"/>
  <c r="AE291" i="1"/>
  <c r="CP29" i="1"/>
  <c r="O29" i="1" s="1"/>
  <c r="AB36" i="1" s="1"/>
  <c r="Y237" i="1"/>
  <c r="F272" i="1"/>
  <c r="GP419" i="1"/>
  <c r="GM419" i="1"/>
  <c r="AJ78" i="1"/>
  <c r="AD127" i="1"/>
  <c r="AG127" i="1"/>
  <c r="CP425" i="1"/>
  <c r="O425" i="1" s="1"/>
  <c r="AE78" i="1"/>
  <c r="T323" i="1"/>
  <c r="F358" i="1"/>
  <c r="CY418" i="1"/>
  <c r="X418" i="1" s="1"/>
  <c r="GP418" i="1" s="1"/>
  <c r="CZ418" i="1"/>
  <c r="Y418" i="1" s="1"/>
  <c r="AL462" i="1"/>
  <c r="Y470" i="1"/>
  <c r="AO18" i="1"/>
  <c r="F534" i="1"/>
  <c r="AD462" i="1"/>
  <c r="Q470" i="1"/>
  <c r="AK127" i="1"/>
  <c r="AC205" i="1"/>
  <c r="AF430" i="1"/>
  <c r="W323" i="1"/>
  <c r="F361" i="1"/>
  <c r="U462" i="1"/>
  <c r="F492" i="1"/>
  <c r="AS110" i="1"/>
  <c r="F144" i="1"/>
  <c r="AS500" i="1"/>
  <c r="CZ281" i="1"/>
  <c r="Y281" i="1" s="1"/>
  <c r="CY281" i="1"/>
  <c r="X281" i="1" s="1"/>
  <c r="AF291" i="1"/>
  <c r="AB323" i="1"/>
  <c r="O337" i="1"/>
  <c r="BB18" i="1"/>
  <c r="F543" i="1"/>
  <c r="F192" i="1"/>
  <c r="AR159" i="1"/>
  <c r="GM28" i="1"/>
  <c r="GP28" i="1"/>
  <c r="Q323" i="1"/>
  <c r="F349" i="1"/>
  <c r="AZ500" i="1"/>
  <c r="CY115" i="1"/>
  <c r="X115" i="1" s="1"/>
  <c r="CZ115" i="1"/>
  <c r="Y115" i="1" s="1"/>
  <c r="CY372" i="1"/>
  <c r="X372" i="1" s="1"/>
  <c r="CZ372" i="1"/>
  <c r="Y372" i="1" s="1"/>
  <c r="CY424" i="1"/>
  <c r="X424" i="1" s="1"/>
  <c r="GP424" i="1" s="1"/>
  <c r="CZ424" i="1"/>
  <c r="Y424" i="1" s="1"/>
  <c r="AB430" i="1"/>
  <c r="GP417" i="1"/>
  <c r="GM417" i="1"/>
  <c r="AW470" i="1"/>
  <c r="CF462" i="1"/>
  <c r="F253" i="1"/>
  <c r="AY237" i="1"/>
  <c r="BC18" i="1"/>
  <c r="F546" i="1"/>
  <c r="AG26" i="1"/>
  <c r="T36" i="1"/>
  <c r="CY378" i="1"/>
  <c r="X378" i="1" s="1"/>
  <c r="CZ378" i="1"/>
  <c r="Y378" i="1" s="1"/>
  <c r="AE36" i="1"/>
  <c r="CZ201" i="1"/>
  <c r="Y201" i="1" s="1"/>
  <c r="CY201" i="1"/>
  <c r="X201" i="1" s="1"/>
  <c r="CY425" i="1"/>
  <c r="X425" i="1" s="1"/>
  <c r="CZ425" i="1"/>
  <c r="Y425" i="1" s="1"/>
  <c r="AL430" i="1" s="1"/>
  <c r="F251" i="1"/>
  <c r="AW237" i="1"/>
  <c r="CD237" i="1"/>
  <c r="AU245" i="1"/>
  <c r="GM418" i="1"/>
  <c r="AK462" i="1"/>
  <c r="X470" i="1"/>
  <c r="GM31" i="1"/>
  <c r="GP31" i="1"/>
  <c r="F191" i="1"/>
  <c r="Y159" i="1"/>
  <c r="CP379" i="1"/>
  <c r="O379" i="1" s="1"/>
  <c r="AL127" i="1"/>
  <c r="GM198" i="1"/>
  <c r="GP198" i="1"/>
  <c r="GP375" i="1"/>
  <c r="GM375" i="1"/>
  <c r="AV159" i="1"/>
  <c r="F169" i="1"/>
  <c r="F494" i="1"/>
  <c r="W462" i="1"/>
  <c r="AT18" i="1"/>
  <c r="F548" i="1"/>
  <c r="S78" i="1"/>
  <c r="AF68" i="1"/>
  <c r="CJ26" i="1"/>
  <c r="BA36" i="1"/>
  <c r="CJ383" i="1"/>
  <c r="AI26" i="1"/>
  <c r="V36" i="1"/>
  <c r="CZ71" i="1"/>
  <c r="Y71" i="1" s="1"/>
  <c r="AL78" i="1" s="1"/>
  <c r="CY71" i="1"/>
  <c r="X71" i="1" s="1"/>
  <c r="AK78" i="1" s="1"/>
  <c r="CY72" i="1"/>
  <c r="X72" i="1" s="1"/>
  <c r="GP72" i="1" s="1"/>
  <c r="CZ72" i="1"/>
  <c r="Y72" i="1" s="1"/>
  <c r="AX110" i="1"/>
  <c r="F134" i="1"/>
  <c r="CP371" i="1"/>
  <c r="O371" i="1" s="1"/>
  <c r="BA323" i="1"/>
  <c r="F357" i="1"/>
  <c r="AH415" i="1"/>
  <c r="U430" i="1"/>
  <c r="AC277" i="1"/>
  <c r="CH291" i="1"/>
  <c r="P291" i="1"/>
  <c r="CE291" i="1"/>
  <c r="CF291" i="1"/>
  <c r="AJ277" i="1"/>
  <c r="W291" i="1"/>
  <c r="AL323" i="1"/>
  <c r="Y337" i="1"/>
  <c r="AQ22" i="1"/>
  <c r="AQ530" i="1"/>
  <c r="F510" i="1"/>
  <c r="AE110" i="1"/>
  <c r="R127" i="1"/>
  <c r="AE205" i="1"/>
  <c r="X237" i="1"/>
  <c r="F271" i="1"/>
  <c r="CP281" i="1"/>
  <c r="O281" i="1" s="1"/>
  <c r="CY371" i="1"/>
  <c r="X371" i="1" s="1"/>
  <c r="CZ371" i="1"/>
  <c r="Y371" i="1" s="1"/>
  <c r="GK371" i="1"/>
  <c r="CZ30" i="1"/>
  <c r="Y30" i="1" s="1"/>
  <c r="CY30" i="1"/>
  <c r="X30" i="1" s="1"/>
  <c r="GM30" i="1" s="1"/>
  <c r="O245" i="1"/>
  <c r="AB237" i="1"/>
  <c r="V462" i="1"/>
  <c r="F493" i="1"/>
  <c r="AC78" i="1"/>
  <c r="F490" i="1"/>
  <c r="BA462" i="1"/>
  <c r="CP115" i="1"/>
  <c r="O115" i="1" s="1"/>
  <c r="CP372" i="1"/>
  <c r="O372" i="1" s="1"/>
  <c r="AW159" i="1"/>
  <c r="F170" i="1"/>
  <c r="GM331" i="1"/>
  <c r="CA337" i="1" s="1"/>
  <c r="F352" i="1"/>
  <c r="S323" i="1"/>
  <c r="CY29" i="1"/>
  <c r="X29" i="1" s="1"/>
  <c r="AK36" i="1" s="1"/>
  <c r="CZ29" i="1"/>
  <c r="Y29" i="1" s="1"/>
  <c r="AF36" i="1"/>
  <c r="CP378" i="1"/>
  <c r="O378" i="1" s="1"/>
  <c r="CP71" i="1"/>
  <c r="O71" i="1" s="1"/>
  <c r="CP114" i="1"/>
  <c r="O114" i="1" s="1"/>
  <c r="AC127" i="1"/>
  <c r="CP201" i="1"/>
  <c r="O201" i="1" s="1"/>
  <c r="AB205" i="1" s="1"/>
  <c r="F183" i="1"/>
  <c r="AU159" i="1"/>
  <c r="CY376" i="1"/>
  <c r="X376" i="1" s="1"/>
  <c r="GP376" i="1" s="1"/>
  <c r="CZ376" i="1"/>
  <c r="Y376" i="1" s="1"/>
  <c r="P377" i="1"/>
  <c r="V377" i="1"/>
  <c r="U377" i="1"/>
  <c r="T377" i="1"/>
  <c r="R377" i="1"/>
  <c r="GK377" i="1" s="1"/>
  <c r="W377" i="1"/>
  <c r="GX377" i="1"/>
  <c r="S377" i="1"/>
  <c r="AF383" i="1" s="1"/>
  <c r="Q377" i="1"/>
  <c r="AD383" i="1" s="1"/>
  <c r="AX500" i="1"/>
  <c r="CY282" i="1"/>
  <c r="X282" i="1" s="1"/>
  <c r="CZ282" i="1"/>
  <c r="Y282" i="1" s="1"/>
  <c r="CP282" i="1"/>
  <c r="O282" i="1" s="1"/>
  <c r="CZ379" i="1"/>
  <c r="Y379" i="1" s="1"/>
  <c r="CY379" i="1"/>
  <c r="X379" i="1" s="1"/>
  <c r="CP73" i="1"/>
  <c r="O73" i="1" s="1"/>
  <c r="AZ110" i="1"/>
  <c r="F138" i="1"/>
  <c r="AP18" i="1"/>
  <c r="F539" i="1"/>
  <c r="GP467" i="1"/>
  <c r="CD470" i="1" s="1"/>
  <c r="T462" i="1"/>
  <c r="F491" i="1"/>
  <c r="AK68" i="1" l="1"/>
  <c r="X78" i="1"/>
  <c r="AF369" i="1"/>
  <c r="S383" i="1"/>
  <c r="AB196" i="1"/>
  <c r="O205" i="1"/>
  <c r="AG369" i="1"/>
  <c r="T383" i="1"/>
  <c r="AB26" i="1"/>
  <c r="O36" i="1"/>
  <c r="AH369" i="1"/>
  <c r="U383" i="1"/>
  <c r="CA462" i="1"/>
  <c r="AR470" i="1"/>
  <c r="AL415" i="1"/>
  <c r="Y430" i="1"/>
  <c r="V383" i="1"/>
  <c r="AI369" i="1"/>
  <c r="CD462" i="1"/>
  <c r="AU470" i="1"/>
  <c r="AD369" i="1"/>
  <c r="Q383" i="1"/>
  <c r="AL68" i="1"/>
  <c r="Y78" i="1"/>
  <c r="W383" i="1"/>
  <c r="AJ369" i="1"/>
  <c r="CP377" i="1"/>
  <c r="O377" i="1" s="1"/>
  <c r="GM71" i="1"/>
  <c r="GP71" i="1"/>
  <c r="GM378" i="1"/>
  <c r="GP378" i="1"/>
  <c r="AQ18" i="1"/>
  <c r="F540" i="1"/>
  <c r="CE277" i="1"/>
  <c r="AV291" i="1"/>
  <c r="U415" i="1"/>
  <c r="F452" i="1"/>
  <c r="AX22" i="1"/>
  <c r="F507" i="1"/>
  <c r="AX530" i="1"/>
  <c r="GM114" i="1"/>
  <c r="GP114" i="1"/>
  <c r="AB127" i="1"/>
  <c r="AL36" i="1"/>
  <c r="CA323" i="1"/>
  <c r="AR337" i="1"/>
  <c r="GP115" i="1"/>
  <c r="GM115" i="1"/>
  <c r="F364" i="1"/>
  <c r="Y323" i="1"/>
  <c r="CH277" i="1"/>
  <c r="AY291" i="1"/>
  <c r="X462" i="1"/>
  <c r="F496" i="1"/>
  <c r="AU237" i="1"/>
  <c r="F264" i="1"/>
  <c r="T26" i="1"/>
  <c r="F57" i="1"/>
  <c r="AS22" i="1"/>
  <c r="F517" i="1"/>
  <c r="E16" i="2" s="1"/>
  <c r="AS530" i="1"/>
  <c r="AC196" i="1"/>
  <c r="CH205" i="1"/>
  <c r="P205" i="1"/>
  <c r="CE205" i="1"/>
  <c r="CF205" i="1"/>
  <c r="AE68" i="1"/>
  <c r="R78" i="1"/>
  <c r="W78" i="1"/>
  <c r="AJ68" i="1"/>
  <c r="CY373" i="1"/>
  <c r="X373" i="1" s="1"/>
  <c r="AK383" i="1" s="1"/>
  <c r="CZ373" i="1"/>
  <c r="Y373" i="1" s="1"/>
  <c r="AL383" i="1" s="1"/>
  <c r="V196" i="1"/>
  <c r="F228" i="1"/>
  <c r="GM421" i="1"/>
  <c r="CA430" i="1" s="1"/>
  <c r="AC26" i="1"/>
  <c r="CH36" i="1"/>
  <c r="P36" i="1"/>
  <c r="CE36" i="1"/>
  <c r="CF36" i="1"/>
  <c r="GM72" i="1"/>
  <c r="S127" i="1"/>
  <c r="AF110" i="1"/>
  <c r="GM376" i="1"/>
  <c r="CZ374" i="1"/>
  <c r="Y374" i="1" s="1"/>
  <c r="CY374" i="1"/>
  <c r="X374" i="1" s="1"/>
  <c r="AL205" i="1"/>
  <c r="CH323" i="1"/>
  <c r="AY337" i="1"/>
  <c r="F340" i="1"/>
  <c r="P323" i="1"/>
  <c r="F453" i="1"/>
  <c r="V415" i="1"/>
  <c r="V277" i="1"/>
  <c r="F314" i="1"/>
  <c r="F454" i="1"/>
  <c r="W415" i="1"/>
  <c r="W26" i="1"/>
  <c r="F60" i="1"/>
  <c r="W500" i="1"/>
  <c r="BA196" i="1"/>
  <c r="F225" i="1"/>
  <c r="GP282" i="1"/>
  <c r="GM282" i="1"/>
  <c r="CF277" i="1"/>
  <c r="AW291" i="1"/>
  <c r="AE26" i="1"/>
  <c r="R36" i="1"/>
  <c r="AZ22" i="1"/>
  <c r="AZ530" i="1"/>
  <c r="F511" i="1"/>
  <c r="S291" i="1"/>
  <c r="AF277" i="1"/>
  <c r="AK110" i="1"/>
  <c r="X127" i="1"/>
  <c r="GP425" i="1"/>
  <c r="GM425" i="1"/>
  <c r="GP29" i="1"/>
  <c r="CD36" i="1" s="1"/>
  <c r="GM29" i="1"/>
  <c r="AC415" i="1"/>
  <c r="CH430" i="1"/>
  <c r="P430" i="1"/>
  <c r="CE430" i="1"/>
  <c r="CF430" i="1"/>
  <c r="GP30" i="1"/>
  <c r="AK430" i="1"/>
  <c r="S462" i="1"/>
  <c r="F485" i="1"/>
  <c r="O462" i="1"/>
  <c r="F472" i="1"/>
  <c r="Q277" i="1"/>
  <c r="F303" i="1"/>
  <c r="U68" i="1"/>
  <c r="F100" i="1"/>
  <c r="CE323" i="1"/>
  <c r="AV337" i="1"/>
  <c r="F90" i="1"/>
  <c r="Q68" i="1"/>
  <c r="T196" i="1"/>
  <c r="F226" i="1"/>
  <c r="BA110" i="1"/>
  <c r="F147" i="1"/>
  <c r="T68" i="1"/>
  <c r="F99" i="1"/>
  <c r="F451" i="1"/>
  <c r="T415" i="1"/>
  <c r="GM424" i="1"/>
  <c r="U26" i="1"/>
  <c r="F58" i="1"/>
  <c r="U500" i="1"/>
  <c r="AE383" i="1"/>
  <c r="AL110" i="1"/>
  <c r="Y127" i="1"/>
  <c r="CA36" i="1"/>
  <c r="AK291" i="1"/>
  <c r="F482" i="1"/>
  <c r="Q462" i="1"/>
  <c r="Y462" i="1"/>
  <c r="F497" i="1"/>
  <c r="AG110" i="1"/>
  <c r="T127" i="1"/>
  <c r="T500" i="1" s="1"/>
  <c r="AE277" i="1"/>
  <c r="R291" i="1"/>
  <c r="R462" i="1"/>
  <c r="F484" i="1"/>
  <c r="U110" i="1"/>
  <c r="F149" i="1"/>
  <c r="F273" i="1"/>
  <c r="AR237" i="1"/>
  <c r="CD323" i="1"/>
  <c r="AU337" i="1"/>
  <c r="GP374" i="1"/>
  <c r="GM374" i="1"/>
  <c r="S205" i="1"/>
  <c r="AF196" i="1"/>
  <c r="Q415" i="1"/>
  <c r="F442" i="1"/>
  <c r="GM200" i="1"/>
  <c r="CA205" i="1" s="1"/>
  <c r="GP200" i="1"/>
  <c r="X323" i="1"/>
  <c r="F363" i="1"/>
  <c r="R415" i="1"/>
  <c r="F444" i="1"/>
  <c r="CF323" i="1"/>
  <c r="AW337" i="1"/>
  <c r="W196" i="1"/>
  <c r="F229" i="1"/>
  <c r="V110" i="1"/>
  <c r="F150" i="1"/>
  <c r="W110" i="1"/>
  <c r="F151" i="1"/>
  <c r="BA277" i="1"/>
  <c r="F311" i="1"/>
  <c r="Q196" i="1"/>
  <c r="F217" i="1"/>
  <c r="AK26" i="1"/>
  <c r="X36" i="1"/>
  <c r="GM73" i="1"/>
  <c r="CA78" i="1" s="1"/>
  <c r="GP73" i="1"/>
  <c r="CD78" i="1" s="1"/>
  <c r="CY377" i="1"/>
  <c r="X377" i="1" s="1"/>
  <c r="CZ377" i="1"/>
  <c r="Y377" i="1" s="1"/>
  <c r="GM201" i="1"/>
  <c r="GP201" i="1"/>
  <c r="AE196" i="1"/>
  <c r="R205" i="1"/>
  <c r="W277" i="1"/>
  <c r="F315" i="1"/>
  <c r="AC383" i="1"/>
  <c r="BA383" i="1"/>
  <c r="CJ369" i="1"/>
  <c r="S68" i="1"/>
  <c r="F93" i="1"/>
  <c r="O430" i="1"/>
  <c r="AB415" i="1"/>
  <c r="CH127" i="1"/>
  <c r="AC110" i="1"/>
  <c r="CE127" i="1"/>
  <c r="CF127" i="1"/>
  <c r="P127" i="1"/>
  <c r="AF26" i="1"/>
  <c r="S36" i="1"/>
  <c r="GP372" i="1"/>
  <c r="GM372" i="1"/>
  <c r="CH78" i="1"/>
  <c r="AC68" i="1"/>
  <c r="CE78" i="1"/>
  <c r="CF78" i="1"/>
  <c r="P78" i="1"/>
  <c r="O237" i="1"/>
  <c r="F247" i="1"/>
  <c r="GM281" i="1"/>
  <c r="CA291" i="1" s="1"/>
  <c r="GP281" i="1"/>
  <c r="CD291" i="1" s="1"/>
  <c r="AB291" i="1"/>
  <c r="R110" i="1"/>
  <c r="F141" i="1"/>
  <c r="F294" i="1"/>
  <c r="P277" i="1"/>
  <c r="GP371" i="1"/>
  <c r="GM371" i="1"/>
  <c r="V26" i="1"/>
  <c r="F59" i="1"/>
  <c r="V500" i="1"/>
  <c r="BA26" i="1"/>
  <c r="F56" i="1"/>
  <c r="BA500" i="1"/>
  <c r="CD205" i="1"/>
  <c r="GP379" i="1"/>
  <c r="GM379" i="1"/>
  <c r="AW462" i="1"/>
  <c r="F476" i="1"/>
  <c r="O323" i="1"/>
  <c r="F339" i="1"/>
  <c r="AL291" i="1"/>
  <c r="S430" i="1"/>
  <c r="AF415" i="1"/>
  <c r="AD110" i="1"/>
  <c r="Q127" i="1"/>
  <c r="Q500" i="1" s="1"/>
  <c r="AV462" i="1"/>
  <c r="F475" i="1"/>
  <c r="CP373" i="1"/>
  <c r="O373" i="1" s="1"/>
  <c r="F478" i="1"/>
  <c r="AY462" i="1"/>
  <c r="GP422" i="1"/>
  <c r="CD430" i="1" s="1"/>
  <c r="GM422" i="1"/>
  <c r="CA127" i="1"/>
  <c r="AK205" i="1"/>
  <c r="AB78" i="1"/>
  <c r="T277" i="1"/>
  <c r="F312" i="1"/>
  <c r="U277" i="1"/>
  <c r="F313" i="1"/>
  <c r="Q26" i="1"/>
  <c r="F48" i="1"/>
  <c r="F98" i="1"/>
  <c r="BA68" i="1"/>
  <c r="BA415" i="1"/>
  <c r="F450" i="1"/>
  <c r="V68" i="1"/>
  <c r="F101" i="1"/>
  <c r="U196" i="1"/>
  <c r="F227" i="1"/>
  <c r="CD68" i="1" l="1"/>
  <c r="AU78" i="1"/>
  <c r="CA196" i="1"/>
  <c r="AR205" i="1"/>
  <c r="AL369" i="1"/>
  <c r="Y383" i="1"/>
  <c r="CA415" i="1"/>
  <c r="AR430" i="1"/>
  <c r="AK369" i="1"/>
  <c r="X383" i="1"/>
  <c r="CD26" i="1"/>
  <c r="AU36" i="1"/>
  <c r="CD415" i="1"/>
  <c r="AU430" i="1"/>
  <c r="CA68" i="1"/>
  <c r="AR78" i="1"/>
  <c r="Q22" i="1"/>
  <c r="F512" i="1"/>
  <c r="Q530" i="1"/>
  <c r="T22" i="1"/>
  <c r="F521" i="1"/>
  <c r="T530" i="1"/>
  <c r="AL277" i="1"/>
  <c r="Y291" i="1"/>
  <c r="GM373" i="1"/>
  <c r="GP373" i="1"/>
  <c r="AK196" i="1"/>
  <c r="X205" i="1"/>
  <c r="F445" i="1"/>
  <c r="S415" i="1"/>
  <c r="CD196" i="1"/>
  <c r="AU205" i="1"/>
  <c r="V22" i="1"/>
  <c r="V530" i="1"/>
  <c r="F523" i="1"/>
  <c r="AB383" i="1"/>
  <c r="CA277" i="1"/>
  <c r="AR291" i="1"/>
  <c r="CF68" i="1"/>
  <c r="AW78" i="1"/>
  <c r="P110" i="1"/>
  <c r="F130" i="1"/>
  <c r="CH110" i="1"/>
  <c r="AY127" i="1"/>
  <c r="F356" i="1"/>
  <c r="AU323" i="1"/>
  <c r="R277" i="1"/>
  <c r="F305" i="1"/>
  <c r="AK277" i="1"/>
  <c r="X291" i="1"/>
  <c r="AE369" i="1"/>
  <c r="R383" i="1"/>
  <c r="CF415" i="1"/>
  <c r="AW430" i="1"/>
  <c r="S277" i="1"/>
  <c r="F306" i="1"/>
  <c r="W22" i="1"/>
  <c r="F524" i="1"/>
  <c r="W530" i="1"/>
  <c r="CH26" i="1"/>
  <c r="AY36" i="1"/>
  <c r="F102" i="1"/>
  <c r="W68" i="1"/>
  <c r="CE196" i="1"/>
  <c r="AV205" i="1"/>
  <c r="AS18" i="1"/>
  <c r="F547" i="1"/>
  <c r="Y36" i="1"/>
  <c r="AL26" i="1"/>
  <c r="AX18" i="1"/>
  <c r="F537" i="1"/>
  <c r="Y68" i="1"/>
  <c r="F105" i="1"/>
  <c r="AU462" i="1"/>
  <c r="F489" i="1"/>
  <c r="Y415" i="1"/>
  <c r="F457" i="1"/>
  <c r="U369" i="1"/>
  <c r="F405" i="1"/>
  <c r="T369" i="1"/>
  <c r="F404" i="1"/>
  <c r="S369" i="1"/>
  <c r="F398" i="1"/>
  <c r="CE68" i="1"/>
  <c r="AV78" i="1"/>
  <c r="CF110" i="1"/>
  <c r="AW127" i="1"/>
  <c r="S196" i="1"/>
  <c r="F220" i="1"/>
  <c r="CA26" i="1"/>
  <c r="AR36" i="1"/>
  <c r="U22" i="1"/>
  <c r="U530" i="1"/>
  <c r="F522" i="1"/>
  <c r="CE415" i="1"/>
  <c r="AV430" i="1"/>
  <c r="X110" i="1"/>
  <c r="F153" i="1"/>
  <c r="AW277" i="1"/>
  <c r="F297" i="1"/>
  <c r="CF26" i="1"/>
  <c r="AW36" i="1"/>
  <c r="R68" i="1"/>
  <c r="F92" i="1"/>
  <c r="P196" i="1"/>
  <c r="F208" i="1"/>
  <c r="E18" i="2"/>
  <c r="AB110" i="1"/>
  <c r="O127" i="1"/>
  <c r="AV277" i="1"/>
  <c r="F296" i="1"/>
  <c r="GP377" i="1"/>
  <c r="CD383" i="1" s="1"/>
  <c r="GM377" i="1"/>
  <c r="O415" i="1"/>
  <c r="F432" i="1"/>
  <c r="X26" i="1"/>
  <c r="F62" i="1"/>
  <c r="T110" i="1"/>
  <c r="F148" i="1"/>
  <c r="Y110" i="1"/>
  <c r="F154" i="1"/>
  <c r="AK415" i="1"/>
  <c r="X430" i="1"/>
  <c r="X500" i="1" s="1"/>
  <c r="F433" i="1"/>
  <c r="P415" i="1"/>
  <c r="R26" i="1"/>
  <c r="F50" i="1"/>
  <c r="R500" i="1"/>
  <c r="AL196" i="1"/>
  <c r="Y205" i="1"/>
  <c r="CE26" i="1"/>
  <c r="AV36" i="1"/>
  <c r="CH196" i="1"/>
  <c r="AY205" i="1"/>
  <c r="AR323" i="1"/>
  <c r="F365" i="1"/>
  <c r="CD127" i="1"/>
  <c r="Q369" i="1"/>
  <c r="F395" i="1"/>
  <c r="F498" i="1"/>
  <c r="AR462" i="1"/>
  <c r="O26" i="1"/>
  <c r="F38" i="1"/>
  <c r="O196" i="1"/>
  <c r="F207" i="1"/>
  <c r="X68" i="1"/>
  <c r="F104" i="1"/>
  <c r="CA110" i="1"/>
  <c r="AR127" i="1"/>
  <c r="Q110" i="1"/>
  <c r="F139" i="1"/>
  <c r="BA22" i="1"/>
  <c r="BA530" i="1"/>
  <c r="F520" i="1"/>
  <c r="O291" i="1"/>
  <c r="AB277" i="1"/>
  <c r="S26" i="1"/>
  <c r="F51" i="1"/>
  <c r="S500" i="1"/>
  <c r="CE110" i="1"/>
  <c r="AV127" i="1"/>
  <c r="BA369" i="1"/>
  <c r="F403" i="1"/>
  <c r="R196" i="1"/>
  <c r="F219" i="1"/>
  <c r="AW323" i="1"/>
  <c r="F343" i="1"/>
  <c r="O78" i="1"/>
  <c r="AB68" i="1"/>
  <c r="CA383" i="1"/>
  <c r="CD277" i="1"/>
  <c r="AU291" i="1"/>
  <c r="P68" i="1"/>
  <c r="F81" i="1"/>
  <c r="CH68" i="1"/>
  <c r="AY78" i="1"/>
  <c r="AC369" i="1"/>
  <c r="CF383" i="1"/>
  <c r="CH383" i="1"/>
  <c r="P383" i="1"/>
  <c r="CE383" i="1"/>
  <c r="AV323" i="1"/>
  <c r="F342" i="1"/>
  <c r="AY430" i="1"/>
  <c r="CH415" i="1"/>
  <c r="AZ18" i="1"/>
  <c r="F541" i="1"/>
  <c r="AY323" i="1"/>
  <c r="F345" i="1"/>
  <c r="S110" i="1"/>
  <c r="F142" i="1"/>
  <c r="P26" i="1"/>
  <c r="F39" i="1"/>
  <c r="P500" i="1"/>
  <c r="CF196" i="1"/>
  <c r="AW205" i="1"/>
  <c r="AY277" i="1"/>
  <c r="F299" i="1"/>
  <c r="F407" i="1"/>
  <c r="W369" i="1"/>
  <c r="V369" i="1"/>
  <c r="F406" i="1"/>
  <c r="CD369" i="1" l="1"/>
  <c r="AU383" i="1"/>
  <c r="X22" i="1"/>
  <c r="X530" i="1"/>
  <c r="F526" i="1"/>
  <c r="CH369" i="1"/>
  <c r="AY383" i="1"/>
  <c r="P22" i="1"/>
  <c r="P530" i="1"/>
  <c r="F503" i="1"/>
  <c r="AW383" i="1"/>
  <c r="CF369" i="1"/>
  <c r="AW196" i="1"/>
  <c r="F211" i="1"/>
  <c r="AY415" i="1"/>
  <c r="F438" i="1"/>
  <c r="P369" i="1"/>
  <c r="F386" i="1"/>
  <c r="F86" i="1"/>
  <c r="AY68" i="1"/>
  <c r="AU277" i="1"/>
  <c r="F310" i="1"/>
  <c r="O68" i="1"/>
  <c r="F80" i="1"/>
  <c r="CD110" i="1"/>
  <c r="AU127" i="1"/>
  <c r="AR26" i="1"/>
  <c r="F64" i="1"/>
  <c r="AW110" i="1"/>
  <c r="F133" i="1"/>
  <c r="Y26" i="1"/>
  <c r="F63" i="1"/>
  <c r="Y500" i="1"/>
  <c r="R369" i="1"/>
  <c r="F397" i="1"/>
  <c r="AY110" i="1"/>
  <c r="F135" i="1"/>
  <c r="AW68" i="1"/>
  <c r="F84" i="1"/>
  <c r="O383" i="1"/>
  <c r="AB369" i="1"/>
  <c r="AU196" i="1"/>
  <c r="F224" i="1"/>
  <c r="X196" i="1"/>
  <c r="F231" i="1"/>
  <c r="Y277" i="1"/>
  <c r="F318" i="1"/>
  <c r="F106" i="1"/>
  <c r="AR68" i="1"/>
  <c r="AU26" i="1"/>
  <c r="F55" i="1"/>
  <c r="AR415" i="1"/>
  <c r="F458" i="1"/>
  <c r="F233" i="1"/>
  <c r="AR196" i="1"/>
  <c r="S22" i="1"/>
  <c r="F515" i="1"/>
  <c r="J16" i="2" s="1"/>
  <c r="J18" i="2" s="1"/>
  <c r="S530" i="1"/>
  <c r="O277" i="1"/>
  <c r="F293" i="1"/>
  <c r="O500" i="1"/>
  <c r="AV26" i="1"/>
  <c r="F41" i="1"/>
  <c r="R22" i="1"/>
  <c r="R530" i="1"/>
  <c r="F514" i="1"/>
  <c r="O110" i="1"/>
  <c r="F129" i="1"/>
  <c r="AW26" i="1"/>
  <c r="F42" i="1"/>
  <c r="AW500" i="1"/>
  <c r="W18" i="1"/>
  <c r="F554" i="1"/>
  <c r="Q18" i="1"/>
  <c r="F542" i="1"/>
  <c r="U18" i="1"/>
  <c r="F552" i="1"/>
  <c r="AV68" i="1"/>
  <c r="F83" i="1"/>
  <c r="AW415" i="1"/>
  <c r="F436" i="1"/>
  <c r="X277" i="1"/>
  <c r="F317" i="1"/>
  <c r="F319" i="1"/>
  <c r="AR277" i="1"/>
  <c r="V18" i="1"/>
  <c r="F553" i="1"/>
  <c r="T18" i="1"/>
  <c r="F551" i="1"/>
  <c r="F449" i="1"/>
  <c r="AU415" i="1"/>
  <c r="X369" i="1"/>
  <c r="F409" i="1"/>
  <c r="Y369" i="1"/>
  <c r="F410" i="1"/>
  <c r="AU68" i="1"/>
  <c r="F97" i="1"/>
  <c r="CA369" i="1"/>
  <c r="AR383" i="1"/>
  <c r="X415" i="1"/>
  <c r="F456" i="1"/>
  <c r="CE369" i="1"/>
  <c r="AV383" i="1"/>
  <c r="AV500" i="1" s="1"/>
  <c r="AV110" i="1"/>
  <c r="F132" i="1"/>
  <c r="BA18" i="1"/>
  <c r="F550" i="1"/>
  <c r="AR110" i="1"/>
  <c r="F155" i="1"/>
  <c r="AY196" i="1"/>
  <c r="F213" i="1"/>
  <c r="Y196" i="1"/>
  <c r="F232" i="1"/>
  <c r="F435" i="1"/>
  <c r="AV415" i="1"/>
  <c r="F210" i="1"/>
  <c r="AV196" i="1"/>
  <c r="AY26" i="1"/>
  <c r="F44" i="1"/>
  <c r="AY500" i="1"/>
  <c r="AV22" i="1" l="1"/>
  <c r="F505" i="1"/>
  <c r="AV530" i="1"/>
  <c r="AY22" i="1"/>
  <c r="F508" i="1"/>
  <c r="AY530" i="1"/>
  <c r="R18" i="1"/>
  <c r="F544" i="1"/>
  <c r="S18" i="1"/>
  <c r="F545" i="1"/>
  <c r="X18" i="1"/>
  <c r="F556" i="1"/>
  <c r="O22" i="1"/>
  <c r="O530" i="1"/>
  <c r="F502" i="1"/>
  <c r="AW369" i="1"/>
  <c r="F389" i="1"/>
  <c r="AY369" i="1"/>
  <c r="F391" i="1"/>
  <c r="F411" i="1"/>
  <c r="AR369" i="1"/>
  <c r="Y22" i="1"/>
  <c r="Y530" i="1"/>
  <c r="F527" i="1"/>
  <c r="AU110" i="1"/>
  <c r="F146" i="1"/>
  <c r="AU369" i="1"/>
  <c r="F402" i="1"/>
  <c r="AV369" i="1"/>
  <c r="F388" i="1"/>
  <c r="AW22" i="1"/>
  <c r="AW530" i="1"/>
  <c r="F506" i="1"/>
  <c r="AU500" i="1"/>
  <c r="F385" i="1"/>
  <c r="O369" i="1"/>
  <c r="AR500" i="1"/>
  <c r="P18" i="1"/>
  <c r="F533" i="1"/>
  <c r="AW18" i="1" l="1"/>
  <c r="F536" i="1"/>
  <c r="Y18" i="1"/>
  <c r="F557" i="1"/>
  <c r="AV18" i="1"/>
  <c r="F535" i="1"/>
  <c r="AU22" i="1"/>
  <c r="AU530" i="1"/>
  <c r="F519" i="1"/>
  <c r="H16" i="2" s="1"/>
  <c r="AY18" i="1"/>
  <c r="F538" i="1"/>
  <c r="F562" i="1" s="1"/>
  <c r="O18" i="1"/>
  <c r="F532" i="1"/>
  <c r="AR22" i="1"/>
  <c r="F528" i="1"/>
  <c r="AR530" i="1"/>
  <c r="AR18" i="1" l="1"/>
  <c r="F558" i="1"/>
  <c r="F559" i="1" s="1"/>
  <c r="AU18" i="1"/>
  <c r="F549" i="1"/>
  <c r="H18" i="2"/>
  <c r="I16" i="2"/>
  <c r="I18" i="2" s="1"/>
  <c r="F560" i="1" l="1"/>
  <c r="F561" i="1"/>
</calcChain>
</file>

<file path=xl/sharedStrings.xml><?xml version="1.0" encoding="utf-8"?>
<sst xmlns="http://schemas.openxmlformats.org/spreadsheetml/2006/main" count="8709" uniqueCount="635">
  <si>
    <t>Smeta.RU  (495) 974-1589</t>
  </si>
  <si>
    <t>_PS_</t>
  </si>
  <si>
    <t>Smeta.RU</t>
  </si>
  <si>
    <t/>
  </si>
  <si>
    <t>ГБОУ Школа № 1788 г. Москва, пос. Внуковское, ул. Летчика Грицевца, д. 5, к. 1_(Рем)</t>
  </si>
  <si>
    <t>Сметные нормы списания</t>
  </si>
  <si>
    <t>Коды ОКП для СН-2012 - 2020 г.</t>
  </si>
  <si>
    <t>СН-2012 - 2020 г_глава_1-5,7</t>
  </si>
  <si>
    <t>Типовой расчет для СН-2012 - 2020 г</t>
  </si>
  <si>
    <t>СН-2012-2020 г. База данных "Сборник стоимостных нормативов"</t>
  </si>
  <si>
    <t>Поправки для СН-2012-2020 в ценах на 01.10.2019 г доп.2</t>
  </si>
  <si>
    <t>Новая локальная смета</t>
  </si>
  <si>
    <t>Благоустройство территории, прилегающей к ГБОУ Школа № 1788 по адресу: г. Москва, пос. Внуковское, ул. Летчика Грицевца, д. 5, к. 1</t>
  </si>
  <si>
    <t>Новый раздел</t>
  </si>
  <si>
    <t>Ремонт асфальтобетонного покрытия тротуаров (155,5 м2)</t>
  </si>
  <si>
    <t>1</t>
  </si>
  <si>
    <t>2.1-3301-2-1/1</t>
  </si>
  <si>
    <t>Исправление профиля щебеночных оснований с добавлением нового материала</t>
  </si>
  <si>
    <t>1000 м2</t>
  </si>
  <si>
    <t>СН-2012-2020.2. Доп.3. Сб.1-3301-2-1/1</t>
  </si>
  <si>
    <t>СН-2012</t>
  </si>
  <si>
    <t>Подрядные работы, гл. 1-5,7</t>
  </si>
  <si>
    <t>работа</t>
  </si>
  <si>
    <t>1,1</t>
  </si>
  <si>
    <t>21.1-12-35</t>
  </si>
  <si>
    <t>Щебень из естественного камня для строительных работ, марка 1200-800, фракция 10-20 мм</t>
  </si>
  <si>
    <t>м3</t>
  </si>
  <si>
    <t>СН-2012-2020.21. Доп.3. Р.1, о.12, поз.35</t>
  </si>
  <si>
    <t>1,2</t>
  </si>
  <si>
    <t>21.1-12-36</t>
  </si>
  <si>
    <t>Щебень из естественного камня для строительных работ, марка 1200-800, фракция 20-40 мм</t>
  </si>
  <si>
    <t>СН-2012-2020.21. Доп.3. Р.1, о.12, поз.36</t>
  </si>
  <si>
    <t>1,3</t>
  </si>
  <si>
    <t>21.1-12-29</t>
  </si>
  <si>
    <t>Щебень из естественного камня для строительных работ, марка 600-400, фракция 5-10 мм</t>
  </si>
  <si>
    <t>СН-2012-2020.21. Доп.3. Р.1, о.12, поз.29</t>
  </si>
  <si>
    <t>2</t>
  </si>
  <si>
    <t>2.1-3103-18-1/1</t>
  </si>
  <si>
    <t>Устройство покрытий из асфальтобетонных смесей вручную, толщина 4 см (5 см)</t>
  </si>
  <si>
    <t>100 м2</t>
  </si>
  <si>
    <t>СН-2012-2020.2. Доп.3. Сб.1-3103-18-1/1</t>
  </si>
  <si>
    <t>2,1</t>
  </si>
  <si>
    <t>21.3-3-18</t>
  </si>
  <si>
    <t>Смеси асфальтобетонные дорожные горячие мелкозернистые, марка I, тип Б</t>
  </si>
  <si>
    <t>т</t>
  </si>
  <si>
    <t>СН-2012-2020.21. Доп.3. Р.3, о.3, поз.18</t>
  </si>
  <si>
    <t>2,2</t>
  </si>
  <si>
    <t>21.3-3-34</t>
  </si>
  <si>
    <t>Смеси асфальтобетонные дорожные горячие песчаные, тип Д, марка III</t>
  </si>
  <si>
    <t>СН-2012-2020.21. Доп.3. Р.3, о.3, поз.34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</si>
  <si>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</si>
  <si>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</si>
  <si>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</si>
  <si>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</si>
  <si>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</si>
  <si>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</si>
  <si>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</si>
  <si>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</si>
  <si>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</si>
  <si>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</si>
  <si>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</si>
  <si>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</si>
  <si>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</si>
  <si>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</si>
  <si>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</si>
  <si>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</si>
  <si>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</si>
  <si>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</si>
  <si>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</si>
  <si>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</si>
  <si>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</si>
  <si>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</si>
  <si>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</si>
  <si>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</si>
  <si>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</si>
  <si>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</si>
  <si>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</si>
  <si>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</si>
  <si>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</si>
  <si>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</si>
  <si>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</si>
  <si>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</si>
  <si>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</si>
  <si>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</si>
  <si>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</si>
  <si>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</si>
  <si>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</si>
  <si>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</si>
  <si>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</si>
  <si>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</si>
  <si>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</si>
  <si>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</si>
  <si>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</si>
  <si>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</si>
  <si>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</si>
  <si>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</si>
  <si>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</si>
  <si>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</si>
  <si>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</si>
  <si>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</si>
  <si>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</si>
  <si>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</si>
  <si>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</si>
  <si>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</si>
  <si>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Ремонт асфальтобетонного покрытия площадок (392 м2)</t>
  </si>
  <si>
    <t>3</t>
  </si>
  <si>
    <t>3,1</t>
  </si>
  <si>
    <t>3,2</t>
  </si>
  <si>
    <t>3,3</t>
  </si>
  <si>
    <t>4</t>
  </si>
  <si>
    <t>4,1</t>
  </si>
  <si>
    <t>4,2</t>
  </si>
  <si>
    <t>Ремонт веранд (280 м2)</t>
  </si>
  <si>
    <t>5</t>
  </si>
  <si>
    <t>1.10-3404-2-1/1</t>
  </si>
  <si>
    <t>Разборка дощатых покрытий</t>
  </si>
  <si>
    <t>СН-2012-2020.1. Доп.3. Сб.10-3404-2-1/1</t>
  </si>
  <si>
    <t>5,1</t>
  </si>
  <si>
    <t>9999990001</t>
  </si>
  <si>
    <t>Масса мусора</t>
  </si>
  <si>
    <t>6</t>
  </si>
  <si>
    <t>1.49-9101-7-1/1</t>
  </si>
  <si>
    <t>Механизированная погрузка строительного мусора в автомобили-самосвалы</t>
  </si>
  <si>
    <t>СН-2012-2020.1. Доп.3. Сб.49-9101-7-1/1</t>
  </si>
  <si>
    <t>7</t>
  </si>
  <si>
    <t>2.12-3105-5-1/1</t>
  </si>
  <si>
    <t>Погрузка вручную строительного мусора в самосвал</t>
  </si>
  <si>
    <t>СН-2012-2020.2. Доп.3. Сб.12-3105-5-1/1</t>
  </si>
  <si>
    <t>8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</si>
  <si>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</si>
  <si>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</si>
  <si>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СН-2012-2020.1. Доп.3. Сб.49-9201-1-2/1</t>
  </si>
  <si>
    <t>Подрядные работы, гл. 1 перевозка мусора</t>
  </si>
  <si>
    <t>9</t>
  </si>
  <si>
    <t>1.49-9201-1-1/1</t>
  </si>
  <si>
    <t>Перевозка строительного мусора автосамосвалами грузоподъемностью до 10 т на расстояние 1 км - при погрузке вручную</t>
  </si>
  <si>
    <t>СН-2012-2020.1. Доп.3. Сб.49-9201-1-1/1</t>
  </si>
  <si>
    <t>10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</si>
  <si>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</si>
  <si>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</t>
  </si>
  <si>
    <t>СН-2012-2020.1. Доп.3. Сб.49-9201-1-3/1</t>
  </si>
  <si>
    <t>*51</t>
  </si>
  <si>
    <t>11</t>
  </si>
  <si>
    <t>21.25-0-1</t>
  </si>
  <si>
    <t>Содержание свалки отходов строительства и сноса</t>
  </si>
  <si>
    <t>СН-2012-2020.21. Доп.3. Р.25, поз.1</t>
  </si>
  <si>
    <t>12</t>
  </si>
  <si>
    <t>1.10-3403-2-1/1</t>
  </si>
  <si>
    <t>Устройство покрытий дощатых толщиной, мм 28</t>
  </si>
  <si>
    <t>СН-2012-2020.1. Доп.3. Сб.10-3403-2-1/1</t>
  </si>
  <si>
    <t>12,1</t>
  </si>
  <si>
    <t>21.9-12-11</t>
  </si>
  <si>
    <t>Доски хвойных пород для покрытия пола, со шпунтом и гребнем, антисептированные, толщина 27 мм</t>
  </si>
  <si>
    <t>СН-2012-2020.21. Доп.3. Р.9, о.12, поз.11</t>
  </si>
  <si>
    <t>12,2</t>
  </si>
  <si>
    <t>цена поставщика</t>
  </si>
  <si>
    <t>Доска террасная ДПК, размер 28х140х4000 мм.</t>
  </si>
  <si>
    <t>м2</t>
  </si>
  <si>
    <t>[1 050 / 1,2]</t>
  </si>
  <si>
    <t>0</t>
  </si>
  <si>
    <t>12,3</t>
  </si>
  <si>
    <t>21.1-11-46</t>
  </si>
  <si>
    <t>Гвозди строительные</t>
  </si>
  <si>
    <t>СН-2012-2020.21. Доп.3. Р.1, о.11, поз.46</t>
  </si>
  <si>
    <t>12,4</t>
  </si>
  <si>
    <t>Клипса монтажная стартовая 8мм</t>
  </si>
  <si>
    <t>шт.</t>
  </si>
  <si>
    <t>[9 / 1,2]</t>
  </si>
  <si>
    <t>12,5</t>
  </si>
  <si>
    <t>Клипса монтажная 3Д 7мм</t>
  </si>
  <si>
    <t>Ремонт металлического ограждения (330 мп)</t>
  </si>
  <si>
    <t>13</t>
  </si>
  <si>
    <t>1.13-3204-1-1/1</t>
  </si>
  <si>
    <t>Расчистка поверхностей от старых покрасок (шпателем, щетками и т.д.)</t>
  </si>
  <si>
    <t>СН-2012-2020.1. Доп.3. Сб.13-3204-1-1/1</t>
  </si>
  <si>
    <t>14</t>
  </si>
  <si>
    <t>1.14-3203-14-7/1</t>
  </si>
  <si>
    <t>Окраска масляными составами за два раза металлических поверхностей решеток и оград</t>
  </si>
  <si>
    <t>СН-2012-2020.1. Доп.3. Сб.14-3203-14-7/1</t>
  </si>
  <si>
    <t>Ремонт покрытия из брусчатки (1484 м2)</t>
  </si>
  <si>
    <t>15</t>
  </si>
  <si>
    <t>15,1</t>
  </si>
  <si>
    <t>15,2</t>
  </si>
  <si>
    <t>15,3</t>
  </si>
  <si>
    <t>16</t>
  </si>
  <si>
    <t>2.1-3103-17-1/1</t>
  </si>
  <si>
    <t>Устройство покрытий тротуаров из бетонной плитки типа "Брусчатка" рядовым или паркетным мощением</t>
  </si>
  <si>
    <t>СН-2012-2020.2. Доп.3. Сб.1-3103-17-1/1</t>
  </si>
  <si>
    <t>16,1</t>
  </si>
  <si>
    <t>21.5-3-76</t>
  </si>
  <si>
    <t>Плиты бетонные тротуарные, толщина 70 мм, цвет: разного цвета (Брусчатка Бр 20.10.7, цветная)</t>
  </si>
  <si>
    <t>СН-2012-2020.21. Доп.3. Р.5, о.3, поз.76</t>
  </si>
  <si>
    <t>Ремонт покрытия из резиновой крошки (392 м2)</t>
  </si>
  <si>
    <t>17</t>
  </si>
  <si>
    <t>5.3-3103-11-1/1</t>
  </si>
  <si>
    <t>Устройство наливного полиуретанового покрытия спортивных площадок и беговых дорожек толщиной 10 мм</t>
  </si>
  <si>
    <t>СН-2012-2020.5. Доп.3. Сб.3-3103-11-1/1</t>
  </si>
  <si>
    <t>17,1</t>
  </si>
  <si>
    <t>21.1-6-101</t>
  </si>
  <si>
    <t>Пигменты сухие для красок, кислотный желтый</t>
  </si>
  <si>
    <t>СН-2012-2020.21. Доп.3. Р.1, о.6, поз.101</t>
  </si>
  <si>
    <t>18</t>
  </si>
  <si>
    <t>5.3-3103-11-2/1</t>
  </si>
  <si>
    <t>Устройство наливного полиуретанового покрытия спортивных площадок и беговых дорожек, добавляется на 2 мм толщины покрытия</t>
  </si>
  <si>
    <t>СН-2012-2020.5. Доп.3. Сб.3-3103-11-2/1</t>
  </si>
  <si>
    <t>*5</t>
  </si>
  <si>
    <t>18,1</t>
  </si>
  <si>
    <t>18,2</t>
  </si>
  <si>
    <t>21.1-6-156</t>
  </si>
  <si>
    <t>Пигменты сухие красного цвета, железоокисные</t>
  </si>
  <si>
    <t>кг</t>
  </si>
  <si>
    <t>СН-2012-2020.21. Доп.3. Р.1, о.6, поз.156</t>
  </si>
  <si>
    <t>Замена бортовых камней бетонных Бр 100.20.8 (538,5 мп)</t>
  </si>
  <si>
    <t>19</t>
  </si>
  <si>
    <t>2.1-3303-1-1/1</t>
  </si>
  <si>
    <t>Устройство подстилающих и выравнивающих слоев оснований из песка</t>
  </si>
  <si>
    <t>100 м3</t>
  </si>
  <si>
    <t>СН-2012-2020.2. Доп.3. Сб.1-3303-1-1/1</t>
  </si>
  <si>
    <t>20</t>
  </si>
  <si>
    <t>2.1-3303-1-2/1</t>
  </si>
  <si>
    <t>Устройство подстилающих и выравнивающих слоев оснований из щебня</t>
  </si>
  <si>
    <t>СН-2012-2020.2. Доп.3. Сб.1-3303-1-2/1</t>
  </si>
  <si>
    <t>20,1</t>
  </si>
  <si>
    <t>20,2</t>
  </si>
  <si>
    <t>21.1-12-31</t>
  </si>
  <si>
    <t>Щебень из естественного камня для строительных работ, марка 600-400, фракция 20-40 мм</t>
  </si>
  <si>
    <t>СН-2012-2020.21. Доп.3. Р.1, о.12, поз.31</t>
  </si>
  <si>
    <t>21</t>
  </si>
  <si>
    <t>2.1-3204-6-1/1</t>
  </si>
  <si>
    <t>Разборка бортовых камней на бетонном основании</t>
  </si>
  <si>
    <t>100 м</t>
  </si>
  <si>
    <t>СН-2012-2020.2. Доп.3. Сб.1-3204-6-1/1</t>
  </si>
  <si>
    <t>21,1</t>
  </si>
  <si>
    <t>Масса мусора (бетонные изделия 5,92 м3 на 100 м, * 2,4 т = 14,208 т на 100 м)</t>
  </si>
  <si>
    <t>22</t>
  </si>
  <si>
    <t>2.1-3203-1-5/2</t>
  </si>
  <si>
    <t>Установка бортовых камней бетонных газонных и садовых при цементобетонных покрытиях</t>
  </si>
  <si>
    <t>СН-2012-2020.2. Доп.3. Сб.1-3203-1-5/2</t>
  </si>
  <si>
    <t>23</t>
  </si>
  <si>
    <t>24</t>
  </si>
  <si>
    <t>25</t>
  </si>
  <si>
    <t>26</t>
  </si>
  <si>
    <t>21.25-0-5</t>
  </si>
  <si>
    <t>Стоимость приемки отходов строительства и сноса (боя кирпичной кладки, бетонных и железобетонных изделий, отходов бетона и железобетона, асфальтобетона в кусковой форме) для переработки дробильными комплексами</t>
  </si>
  <si>
    <t>СН-2012-2020.21. Доп.3. Р.25, поз.5</t>
  </si>
  <si>
    <t>Замена бортовых камней бетонных Бр 100.30.15 (265 мп)</t>
  </si>
  <si>
    <t>27</t>
  </si>
  <si>
    <t>28</t>
  </si>
  <si>
    <t>28,1</t>
  </si>
  <si>
    <t>28,2</t>
  </si>
  <si>
    <t>29</t>
  </si>
  <si>
    <t>2.1-3202-1-1/1</t>
  </si>
  <si>
    <t>Замена бортового камня бетонного во дворовых территориях</t>
  </si>
  <si>
    <t>м</t>
  </si>
  <si>
    <t>СН-2012-2020.2. Доп.3. Сб.1-3202-1-1/1</t>
  </si>
  <si>
    <t>29,1</t>
  </si>
  <si>
    <t>30</t>
  </si>
  <si>
    <t>31</t>
  </si>
  <si>
    <t>32</t>
  </si>
  <si>
    <t>33</t>
  </si>
  <si>
    <t>34</t>
  </si>
  <si>
    <t>2.1-3203-1-2/1</t>
  </si>
  <si>
    <t>Установка бортовых камней бетонных марки БР 100.30.15 при других видах покрытий</t>
  </si>
  <si>
    <t>СН-2012-2020.2. Доп.3. Сб.1-3203-1-2/1</t>
  </si>
  <si>
    <t>Устройство газона (1000 м2)</t>
  </si>
  <si>
    <t>35</t>
  </si>
  <si>
    <t>2.49-3101-3-3/1</t>
  </si>
  <si>
    <t>Разработка грунта с погрузкой на автомобили-самосвалы экскаваторами с ковшом вместимостью 0,5 м3, группа грунтов 1-3</t>
  </si>
  <si>
    <t>СН-2012-2020.2. Доп.3. Сб.49-3101-3-3/1</t>
  </si>
  <si>
    <t>36</t>
  </si>
  <si>
    <t>1.1-3303-2-1/1</t>
  </si>
  <si>
    <t>Разработка грунта вручную в траншеях глубиной до 2 м без креплений с откосами группа грунтов 1-3</t>
  </si>
  <si>
    <t>СН-2012-2020.1. Доп.3. Сб.1-3303-2-1/1</t>
  </si>
  <si>
    <t>37</t>
  </si>
  <si>
    <t>38</t>
  </si>
  <si>
    <t>1.1-3101-6-1/1</t>
  </si>
  <si>
    <t>Погрузка грунта вручную в автомобили-самосвалы с выгрузкой</t>
  </si>
  <si>
    <t>СН-2012-2020.1. Доп.3. Сб.1-3101-6-1/1</t>
  </si>
  <si>
    <t>39</t>
  </si>
  <si>
    <t>2.49-3401-1-1/1</t>
  </si>
  <si>
    <t>Перевозка грунта автосамосвалами грузоподъемностью до 10 т на расстояние 1 км</t>
  </si>
  <si>
    <t>СН-2012-2020.2. Доп.3. Сб.49-3401-1-1/1</t>
  </si>
  <si>
    <t>40</t>
  </si>
  <si>
    <t>2.49-3401-1-2/1</t>
  </si>
  <si>
    <t>Перевозка грунта автосамосвалами грузоподъемностью до 10 т - добавляется на каждый последующий 1 км до 100 км (к поз. 49-3401-1-1)</t>
  </si>
  <si>
    <t>СН-2012-2020.2. Доп.3. Сб.49-3401-1-2/1</t>
  </si>
  <si>
    <t>*53</t>
  </si>
  <si>
    <t>41</t>
  </si>
  <si>
    <t>21.25-0-2</t>
  </si>
  <si>
    <t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t>
  </si>
  <si>
    <t>СН-2012-2020.21. Доп.3. Р.25, поз.2</t>
  </si>
  <si>
    <t>42</t>
  </si>
  <si>
    <t>5.4-3203-3-3/1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</si>
  <si>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</si>
  <si>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СН-2012-2020.5. Доп.3. Сб.4-3203-3-3/1</t>
  </si>
  <si>
    <t>43</t>
  </si>
  <si>
    <t>5.4-3203-3-4/1</t>
  </si>
  <si>
    <t>Подготовка почвы для устройства партерного и обыкновенного газонов с внесением растительной земли слоем 15 см вручную</t>
  </si>
  <si>
    <t>СН-2012-2020.5. Доп.3. Сб.4-3203-3-4/1</t>
  </si>
  <si>
    <t>44</t>
  </si>
  <si>
    <t>5.4-3203-3-5/1</t>
  </si>
  <si>
    <t>Подготовка почвы для устройства партерного и обыкновенного газонов на каждые 5 см изменения толщины слоя добавлять или исключать</t>
  </si>
  <si>
    <t>СН-2012-2020.5. Доп.3. Сб.4-3203-3-5/1</t>
  </si>
  <si>
    <t>*-1</t>
  </si>
  <si>
    <t>45</t>
  </si>
  <si>
    <t>5.4-3203-12-1/1</t>
  </si>
  <si>
    <t>Сплошная укладка готового газона в рулонах на горизонтальных поверхностях или откосах с уклоном на круче 1:2</t>
  </si>
  <si>
    <t>СН-2012-2020.5. Доп.3. Сб.4-3203-12-1/1</t>
  </si>
  <si>
    <t>Устройство асфальтобетонного покрытия площадок (828 м2)</t>
  </si>
  <si>
    <t>46</t>
  </si>
  <si>
    <t>2.1-3305-7-1/1</t>
  </si>
  <si>
    <t>Устройство прослойки из нетканого синтетического материала (НСМ) в земляном полотне сплошной (без стоимости иглопробивного полотна)</t>
  </si>
  <si>
    <t>СН-2012-2020.2. Доп.3. Сб.1-3305-7-1/1</t>
  </si>
  <si>
    <t>46,1</t>
  </si>
  <si>
    <t>21.1-25-673</t>
  </si>
  <si>
    <t>Полотно иглопробивное для дорожного строительства, марка "КМ2" (Дорнит-2), ширина полотна 2,45 м</t>
  </si>
  <si>
    <t>СН-2012-2020.21. Доп.3. Р.1, о.25, поз.673</t>
  </si>
  <si>
    <t>47</t>
  </si>
  <si>
    <t>48</t>
  </si>
  <si>
    <t>48,1</t>
  </si>
  <si>
    <t>48,2</t>
  </si>
  <si>
    <t>49</t>
  </si>
  <si>
    <t>49,1</t>
  </si>
  <si>
    <t>49,2</t>
  </si>
  <si>
    <t>50</t>
  </si>
  <si>
    <t>50,1</t>
  </si>
  <si>
    <t>50,2</t>
  </si>
  <si>
    <t>Устройство покрытия из резиновой крошки (828 м2)</t>
  </si>
  <si>
    <t>51</t>
  </si>
  <si>
    <t>51,1</t>
  </si>
  <si>
    <t>52</t>
  </si>
  <si>
    <t>52,1</t>
  </si>
  <si>
    <t>52,2</t>
  </si>
  <si>
    <t>Всего1</t>
  </si>
  <si>
    <t>НДС</t>
  </si>
  <si>
    <t>НДС 20%</t>
  </si>
  <si>
    <t>Всего3</t>
  </si>
  <si>
    <t>Всего с учетом НДС</t>
  </si>
  <si>
    <t>МР+НДС</t>
  </si>
  <si>
    <t>НДС 20% по материалам</t>
  </si>
  <si>
    <t>Всего2</t>
  </si>
  <si>
    <t>Всего с учетом лимитов финансирования</t>
  </si>
  <si>
    <t>111</t>
  </si>
  <si>
    <t>Новая переменная</t>
  </si>
  <si>
    <t>Переменная_1</t>
  </si>
  <si>
    <t>Переменная_2</t>
  </si>
  <si>
    <t>Уровень цен на 01.10.2019 г</t>
  </si>
  <si>
    <t>_OBSM_</t>
  </si>
  <si>
    <t>9999990008</t>
  </si>
  <si>
    <t>Трудозатраты рабочих</t>
  </si>
  <si>
    <t>чел.-ч.</t>
  </si>
  <si>
    <t>22.1-2-1</t>
  </si>
  <si>
    <t>СН-2012-2020.22. Доп.3. п.1-2-1 (020101)</t>
  </si>
  <si>
    <t>Тракторы на гусеничном ходу, мощность до 60 (81) кВт (л.с.)</t>
  </si>
  <si>
    <t>маш.-ч</t>
  </si>
  <si>
    <t>22.1-5-17</t>
  </si>
  <si>
    <t>СН-2012-2020.22. Доп.3. п.1-5-17 (050901)</t>
  </si>
  <si>
    <t>Поливомоечные машины, емкость цистерны до 5000 л</t>
  </si>
  <si>
    <t>22.1-5-2</t>
  </si>
  <si>
    <t>СН-2012-2020.22. Доп.3. п.1-5-2 (050102)</t>
  </si>
  <si>
    <t>Катки самоходные вибрационные, масса до 8 т</t>
  </si>
  <si>
    <t>22.1-5-3</t>
  </si>
  <si>
    <t>СН-2012-2020.22. Доп.3. п.1-5-3 (050103)</t>
  </si>
  <si>
    <t>Катки самоходные вибрационные, масса более 8 т</t>
  </si>
  <si>
    <t>22.1-5-47</t>
  </si>
  <si>
    <t>СН-2012-2020.22. Доп.3. п.1-5-47 (056001)</t>
  </si>
  <si>
    <t>Автогрейдеры, мощность 66-88 кВт (90-120 л.с.)</t>
  </si>
  <si>
    <t>21.1-25-13</t>
  </si>
  <si>
    <t>СН-2012-2020.21. Доп.3. Р.1, о.25, поз.13</t>
  </si>
  <si>
    <t>Вода</t>
  </si>
  <si>
    <t>22.1-5-4</t>
  </si>
  <si>
    <t>СН-2012-2020.22. Доп.3. п.1-5-4 (050201)</t>
  </si>
  <si>
    <t>Катки дорожные самоходные статические, масса до 5 т</t>
  </si>
  <si>
    <t>22.1-5-5</t>
  </si>
  <si>
    <t>СН-2012-2020.22. Доп.3. п.1-5-5 (050202)</t>
  </si>
  <si>
    <t>Катки дорожные самоходные статические, масса до 10 т</t>
  </si>
  <si>
    <t>22.1-1-5</t>
  </si>
  <si>
    <t>СН-2012-2020.22. Доп.3. п.1-1-5 (010109)</t>
  </si>
  <si>
    <t>Экскаваторы на гусеничном ходу гидравлические, объем ковша до 0,65 м3</t>
  </si>
  <si>
    <t>22.1-17-76</t>
  </si>
  <si>
    <t>СН-2012-2020.22. Доп.3. п.1-17-76 (177601)</t>
  </si>
  <si>
    <t>Спецфургон типа ДКТ</t>
  </si>
  <si>
    <t>22.1-18-12</t>
  </si>
  <si>
    <t>СН-2012-2020.22. Доп.3. п.1-18-12 (184001)</t>
  </si>
  <si>
    <t>Автомобили-самосвалы, грузоподъемность до 7 т</t>
  </si>
  <si>
    <t>22.1-18-13</t>
  </si>
  <si>
    <t>СН-2012-2020.22. Доп.3. п.1-18-13 (184002)</t>
  </si>
  <si>
    <t>Автомобили-самосвалы, грузоподъемность до 10 т</t>
  </si>
  <si>
    <t>22.1-30-30</t>
  </si>
  <si>
    <t>СН-2012-2020.22. Доп.3. п.1-30-30 (306301)</t>
  </si>
  <si>
    <t>Рубанки ручные электрические</t>
  </si>
  <si>
    <t>21.1-6-44</t>
  </si>
  <si>
    <t>СН-2012-2020.21. Доп.3. Р.1, о.6, поз.44</t>
  </si>
  <si>
    <t>Краски масляные жидкотертые цветные (готовые к употреблению) для наружных и внутренних работ, марка МА-15</t>
  </si>
  <si>
    <t>21.1-6-90</t>
  </si>
  <si>
    <t>СН-2012-2020.21. Доп.3. Р.1, о.6, поз.90</t>
  </si>
  <si>
    <t>Олифа для окраски комбинированная "Оксоль"</t>
  </si>
  <si>
    <t>22.1-17-82</t>
  </si>
  <si>
    <t>СН-2012-2020.22. Доп.3. п.1-17-82 (177201)</t>
  </si>
  <si>
    <t>Виброплиты для уплотнения песка, гравия и бетона</t>
  </si>
  <si>
    <t>22.1-30-27</t>
  </si>
  <si>
    <t>СН-2012-2020.22. Доп.3. п.1-30-27 (306101)</t>
  </si>
  <si>
    <t>Пилы дисковые электрические для резки пиломатериалов</t>
  </si>
  <si>
    <t>21.1-12-11</t>
  </si>
  <si>
    <t>СН-2012-2020.21. Доп.3. Р.1, о.12, поз.11</t>
  </si>
  <si>
    <t>Песок для строительных работ, рядовой</t>
  </si>
  <si>
    <t>21.3-2-52</t>
  </si>
  <si>
    <t>СН-2012-2020.21. Доп.3. Р.3, о.2, поз.52</t>
  </si>
  <si>
    <t>Смеси сухие монтажно-кладочные цементно-песчаные: В12,5 (М150), F100, крупность заполнителя не более 3,5 мм</t>
  </si>
  <si>
    <t>21.7-3-11</t>
  </si>
  <si>
    <t>СН-2012-2020.21. Доп.3. Р.7, о.3, поз.11</t>
  </si>
  <si>
    <t>Диск отрезной с алмазным покрытием DC-D C1, диаметр 230 мм</t>
  </si>
  <si>
    <t>22.1-17-168</t>
  </si>
  <si>
    <t>СН-2012-2020.22. Доп.3. п.1-17-168 (266501)</t>
  </si>
  <si>
    <t>Укладчики полимерных покрытий на игровых и спортивных площадках, производительность 10-50 м2/ч</t>
  </si>
  <si>
    <t>22.1-30-102</t>
  </si>
  <si>
    <t>СН-2012-2020.22. Доп.3. п.1-30-102 (303704)</t>
  </si>
  <si>
    <t>Дрели электрические, двухскоростные, мощностью 600 Вт</t>
  </si>
  <si>
    <t>22.1-4-8</t>
  </si>
  <si>
    <t>СН-2012-2020.22. Доп.3. п.1-4-8 (040201)</t>
  </si>
  <si>
    <t>Погрузчики на автомобильном ходу, грузоподъемность до 1 т</t>
  </si>
  <si>
    <t>22.1-6-68</t>
  </si>
  <si>
    <t>СН-2012-2020.22. Доп.3. п.1-6-68 (067203)</t>
  </si>
  <si>
    <t>Растворосмесители стационарные, емкость до 250 л</t>
  </si>
  <si>
    <t>21.1-25-255</t>
  </si>
  <si>
    <t>СН-2012-2020.21. Доп.3. Р.1, о.25, поз.255</t>
  </si>
  <si>
    <t>Пленка полиэтиленовая, толщина 0,12 - 0,15 мм</t>
  </si>
  <si>
    <t>21.1-25-343</t>
  </si>
  <si>
    <t>СН-2012-2020.21. Доп.3. Р.1, о.25, поз.343</t>
  </si>
  <si>
    <t>Скипидар живичный</t>
  </si>
  <si>
    <t>21.1-25-769</t>
  </si>
  <si>
    <t>СН-2012-2020.21. Доп.3. Р.1, о.25, поз.769</t>
  </si>
  <si>
    <t>Крошка резиновая гранулированная, фракция 2-3 мм</t>
  </si>
  <si>
    <t>21.1-25-776</t>
  </si>
  <si>
    <t>СН-2012-2020.21. Доп.3. Р.1, о.25, поз.776</t>
  </si>
  <si>
    <t>Средство связующее универсальное полиуретановое на основе резиновой и каучуковой крошки для устройства высокопрочных эластичных покрытий</t>
  </si>
  <si>
    <t>22.1-5-15</t>
  </si>
  <si>
    <t>СН-2012-2020.22. Доп.3. п.1-5-15 (050703)</t>
  </si>
  <si>
    <t>Катки прицепные пневмоколесные, масса до 50 т</t>
  </si>
  <si>
    <t>22.1-5-18</t>
  </si>
  <si>
    <t>СН-2012-2020.22. Доп.3. п.1-5-18 (050902)</t>
  </si>
  <si>
    <t>Поливомоечные машины, емкость цистерны более 5000 л</t>
  </si>
  <si>
    <t>22.1-5-48</t>
  </si>
  <si>
    <t>СН-2012-2020.22. Доп.3. п.1-5-48 (056003)</t>
  </si>
  <si>
    <t>Автогрейдеры, мощность 99-147 кВт (130-200 л.с.)</t>
  </si>
  <si>
    <t>22.1-5-7</t>
  </si>
  <si>
    <t>СН-2012-2020.22. Доп.3. п.1-5-7 (050301)</t>
  </si>
  <si>
    <t>Катки дорожные самоходные на пневмоколесном ходу, масса до 16 т</t>
  </si>
  <si>
    <t>21.1-12-10</t>
  </si>
  <si>
    <t>СН-2012-2020.21. Доп.3. Р.1, о.12, поз.10</t>
  </si>
  <si>
    <t>Песок для дорожных работ, рядовой</t>
  </si>
  <si>
    <t>22.1-1-43</t>
  </si>
  <si>
    <t>СН-2012-2020.22. Доп.3. п.1-1-43 (012102)</t>
  </si>
  <si>
    <t>Бульдозеры гусеничные, мощность до 59 кВт (80 л.с.)</t>
  </si>
  <si>
    <t>22.1-4-12</t>
  </si>
  <si>
    <t>СН-2012-2020.22. Доп.3. п.1-4-12 (040205)</t>
  </si>
  <si>
    <t>Погрузчики на автомобильном ходу, грузоподъемность до 5 т</t>
  </si>
  <si>
    <t>21.3-1-69</t>
  </si>
  <si>
    <t>СН-2012-2020.21. Доп.3. Р.3, о.1, поз.69</t>
  </si>
  <si>
    <t>Смеси бетонные, БСГ, тяжелого бетона на гранитном щебне, класс прочности: В15 (М200); П3, фракция 5-20, F50-100, W0-2</t>
  </si>
  <si>
    <t>21.3-2-15</t>
  </si>
  <si>
    <t>СН-2012-2020.21. Доп.3. Р.3, о.2, поз.15</t>
  </si>
  <si>
    <t>Растворы цементные, марка 100</t>
  </si>
  <si>
    <t>21.5-3-12</t>
  </si>
  <si>
    <t>СН-2012-2020.21. Доп.3. Р.5, о.3, поз.12</t>
  </si>
  <si>
    <t>Камни бетонные бортовые, марка БР60.20.8</t>
  </si>
  <si>
    <t>22.1-10-4</t>
  </si>
  <si>
    <t>СН-2012-2020.22. Доп.3. п.1-10-4 (101001)</t>
  </si>
  <si>
    <t>Компрессоры с дизельным двигателем прицепные до 2,5 м3/мин</t>
  </si>
  <si>
    <t>22.1-18-27</t>
  </si>
  <si>
    <t>СН-2012-2020.22. Доп.3. п.1-18-27 (183301)</t>
  </si>
  <si>
    <t>Автомобили грузовые для аварийно-ремонтных работ, грузоподъемность до 7 т</t>
  </si>
  <si>
    <t>22.1-30-54</t>
  </si>
  <si>
    <t>СН-2012-2020.22. Доп.3. п.1-30-54 (308901)</t>
  </si>
  <si>
    <t>Молотки отбойные</t>
  </si>
  <si>
    <t>22.1-4-1</t>
  </si>
  <si>
    <t>СН-2012-2020.22. Доп.3. п.1-4-1 (040101)</t>
  </si>
  <si>
    <t>Погрузчики универсальные на пневмоколесном ходу, грузоподъемность до 1 т</t>
  </si>
  <si>
    <t>21.3-1-36</t>
  </si>
  <si>
    <t>СН-2012-2020.21. Доп.3. Р.3, о.1, поз.36</t>
  </si>
  <si>
    <t>Смеси бетонные, БСГ, тяжелого бетона на гранитном щебне фракция 20-40 для инженерных коммуникаций и дорог, класс прочности: В15 (М200); П1, F100, W2</t>
  </si>
  <si>
    <t>21.5-3-13</t>
  </si>
  <si>
    <t>СН-2012-2020.21. Доп.3. Р.5, о.3, поз.13</t>
  </si>
  <si>
    <t>Камни бетонные бортовые, марка БР 100.30.15</t>
  </si>
  <si>
    <t>22.1-1-4</t>
  </si>
  <si>
    <t>СН-2012-2020.22. Доп.3. п.1-1-4 (010105)</t>
  </si>
  <si>
    <t>Экскаваторы на гусеничном ходу гидравлические, объем ковша до 0,5 м3</t>
  </si>
  <si>
    <t>22.1-1-44</t>
  </si>
  <si>
    <t>СН-2012-2020.22. Доп.3. п.1-1-44 (012103)</t>
  </si>
  <si>
    <t>Бульдозеры гусеничные, мощность до 79 кВт (108 л.с.)</t>
  </si>
  <si>
    <t>22.1-17-39</t>
  </si>
  <si>
    <t>СН-2012-2020.22. Доп.3. п.1-17-39 (176001)</t>
  </si>
  <si>
    <t>Плуги выкопочные (без трактора)</t>
  </si>
  <si>
    <t>22.1-2-7</t>
  </si>
  <si>
    <t>СН-2012-2020.22. Доп.3. п.1-2-7 (021003)</t>
  </si>
  <si>
    <t>Тракторы на пневмоколесном ходу, мощность до 60 (81) кВт (л.с.)</t>
  </si>
  <si>
    <t>21.4-6-5</t>
  </si>
  <si>
    <t>СН-2012-2020.21. Доп.3. Р.4, о.6, поз.5</t>
  </si>
  <si>
    <t>Земля растительная</t>
  </si>
  <si>
    <t>21.1-9-39</t>
  </si>
  <si>
    <t>СН-2012-2020.21. Доп.3. Р.1, о.9, поз.39</t>
  </si>
  <si>
    <t>Доски хвойных пород, необрезные, длина 2-6,5 м, сорт III, толщина 13-16 мм</t>
  </si>
  <si>
    <t>21.4-6-3</t>
  </si>
  <si>
    <t>СН-2012-2020.21. Доп.3. Р.4, о.6, поз.3</t>
  </si>
  <si>
    <t>Газон готовый в рулоне, размер рулона: длина 2,0 м, ширина 0,4 м</t>
  </si>
  <si>
    <t>21.1-11-84</t>
  </si>
  <si>
    <t>СН-2012-2020.21. Доп.3. Р.1, о.11, поз.84</t>
  </si>
  <si>
    <t>Поковки строительные (скобы, закрепы, хомуты) простые, масса 1,8 кг</t>
  </si>
  <si>
    <t>5846300000</t>
  </si>
  <si>
    <t>Брусчатка бетонная прямая</t>
  </si>
  <si>
    <t>8191010000</t>
  </si>
  <si>
    <t>Полотно иглопробивное для дорожного строительства "дорнит-2"</t>
  </si>
  <si>
    <t>10 м2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</si>
  <si>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</si>
  <si>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</si>
  <si>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</si>
  <si>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</si>
  <si>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</si>
  <si>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</si>
  <si>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 xml:space="preserve">Основание: 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</si>
  <si>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</si>
  <si>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</si>
  <si>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</si>
  <si>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</si>
  <si>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</si>
  <si>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</si>
  <si>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</si>
  <si>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</si>
  <si>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</si>
  <si>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</si>
  <si>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</si>
  <si>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</si>
  <si>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</si>
  <si>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</si>
  <si>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</si>
  <si>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</si>
  <si>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</si>
  <si>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</si>
  <si>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</si>
  <si>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</si>
  <si>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2019 года</t>
  </si>
  <si>
    <t>ЗП</t>
  </si>
  <si>
    <t>ЭМ</t>
  </si>
  <si>
    <t>в т.ч. ЗПМ</t>
  </si>
  <si>
    <t>МР</t>
  </si>
  <si>
    <t xml:space="preserve">к нр </t>
  </si>
  <si>
    <t>НР от ЗП</t>
  </si>
  <si>
    <t>%</t>
  </si>
  <si>
    <t>СП от ЗП</t>
  </si>
  <si>
    <t>НР и СП от ЗПМ</t>
  </si>
  <si>
    <t>ЗТР</t>
  </si>
  <si>
    <t>чел-ч</t>
  </si>
  <si>
    <r>
      <t>Доска террасная ДПК, размер 28х140х4000 мм.</t>
    </r>
    <r>
      <rPr>
        <i/>
        <sz val="10"/>
        <rFont val="Arial"/>
        <family val="2"/>
        <charset val="204"/>
      </rPr>
      <t xml:space="preserve">
875,00 = [1 050 / 1,2]</t>
    </r>
  </si>
  <si>
    <r>
      <t>Клипса монтажная стартовая 8мм</t>
    </r>
    <r>
      <rPr>
        <i/>
        <sz val="10"/>
        <rFont val="Arial"/>
        <family val="2"/>
        <charset val="204"/>
      </rPr>
      <t xml:space="preserve">
7,50 = [9 / 1,2]</t>
    </r>
  </si>
  <si>
    <r>
      <t>Клипса монтажная 3Д 7мм</t>
    </r>
    <r>
      <rPr>
        <i/>
        <sz val="10"/>
        <rFont val="Arial"/>
        <family val="2"/>
        <charset val="204"/>
      </rPr>
      <t xml:space="preserve">
7,50 = [9 / 1,2]</t>
    </r>
  </si>
  <si>
    <t>к нр *5</t>
  </si>
  <si>
    <t xml:space="preserve">Составил   </t>
  </si>
  <si>
    <t>[должность,подпись(инициалы,фамилия)]</t>
  </si>
  <si>
    <t xml:space="preserve">Проверил   </t>
  </si>
  <si>
    <t>___________________________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</si>
  <si>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</si>
  <si>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</si>
  <si>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</si>
  <si>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</si>
  <si>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</si>
  <si>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</si>
  <si>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</si>
  <si>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</si>
  <si>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</si>
  <si>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</si>
  <si>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</si>
  <si>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</si>
  <si>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</si>
  <si>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</si>
  <si>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</si>
  <si>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</si>
  <si>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</si>
  <si>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</si>
  <si>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</si>
  <si>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</si>
  <si>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</si>
  <si>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</si>
  <si>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</si>
  <si>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</si>
  <si>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</si>
  <si>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</si>
  <si>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</si>
  <si>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</si>
  <si>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</si>
  <si>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</si>
  <si>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RABMAT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</si>
  <si>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</si>
  <si>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</si>
  <si>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</si>
  <si>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</si>
  <si>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</si>
  <si>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</si>
  <si>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</si>
  <si>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</si>
  <si>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</si>
  <si>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</si>
  <si>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</si>
  <si>
    <t>IdLevel</t>
  </si>
  <si>
    <t>Ресурсная ведомость на</t>
  </si>
  <si>
    <t>Объект: ГБОУ Школа № 1788 г. Москва, пос. Внуковское, ул. Летчика Грицевца, д. 5, к. 1_(Рем)</t>
  </si>
  <si>
    <t>Обоснование</t>
  </si>
  <si>
    <t>Наименование</t>
  </si>
  <si>
    <t>Объем</t>
  </si>
  <si>
    <t>Текущая</t>
  </si>
  <si>
    <t>цена</t>
  </si>
  <si>
    <t>стоимость</t>
  </si>
  <si>
    <t xml:space="preserve">Трудовые ресурсы </t>
  </si>
  <si>
    <t xml:space="preserve">Итого трудовые ресурсы </t>
  </si>
  <si>
    <t xml:space="preserve">Машины и механизмы </t>
  </si>
  <si>
    <t xml:space="preserve">Итого машины и механизмы </t>
  </si>
  <si>
    <t xml:space="preserve">Материальные ресурсы </t>
  </si>
  <si>
    <t xml:space="preserve">Итого материальные ресурсы </t>
  </si>
  <si>
    <t>(наименование стройки и/или объекта)</t>
  </si>
  <si>
    <t>(наименование работ и затрат)</t>
  </si>
  <si>
    <t>Составлен(а) по ТСН-2001 с учетом Дополнения №: 43</t>
  </si>
  <si>
    <t>Шифр норматива и коды ресурсов</t>
  </si>
  <si>
    <t>Наименование работ и затрат, характеристика оборудования</t>
  </si>
  <si>
    <t>Количество на единицу</t>
  </si>
  <si>
    <t>Попра-вочные коэффи-
циенты</t>
  </si>
  <si>
    <t>Количество общее</t>
  </si>
  <si>
    <r>
      <t>Перевозка строительного мусора автосамосвалами грузоподъемностью до 10 т - добавляется на каждый последующий 1 км до 100 км</t>
    </r>
    <r>
      <rPr>
        <i/>
        <sz val="11"/>
        <rFont val="Arial"/>
        <family val="2"/>
        <charset val="204"/>
      </rPr>
      <t xml:space="preserve">
Поправки к: 
МР *51;   
ЭММ *51;   
ЗПМ *51;   
ОЗП *51;   
Труд.Стр. *51;   
Труд.Маш. *51</t>
    </r>
  </si>
  <si>
    <r>
      <t>Устройство наливного полиуретанового покрытия спортивных площадок и беговых дорожек, добавляется на 2 мм толщины покрытия</t>
    </r>
    <r>
      <rPr>
        <i/>
        <sz val="11"/>
        <rFont val="Arial"/>
        <family val="2"/>
        <charset val="204"/>
      </rPr>
      <t xml:space="preserve">
Поправки к: 
МР *5;   
ЭММ *5;   
ЗПМ *5;   
ОЗП *5;   
Труд.Стр. *5;   
Труд.Маш. *5</t>
    </r>
  </si>
  <si>
    <r>
      <t>Перевозка грунта автосамосвалами грузоподъемностью до 10 т - добавляется на каждый последующий 1 км до 100 км (к поз. 49-3401-1-1)</t>
    </r>
    <r>
      <rPr>
        <i/>
        <sz val="11"/>
        <rFont val="Arial"/>
        <family val="2"/>
        <charset val="204"/>
      </rPr>
      <t xml:space="preserve">
Поправки к: 
МР *53;   
ЭММ *53;   
ЗПМ *53;   
ОЗП *53;   
Труд.Стр. *53;   
Труд.Маш. *53</t>
    </r>
  </si>
  <si>
    <r>
      <t>Подготовка почвы для устройства партерного и обыкновенного газонов на каждые 5 см изменения толщины слоя добавлять или исключать</t>
    </r>
    <r>
      <rPr>
        <i/>
        <sz val="11"/>
        <rFont val="Arial"/>
        <family val="2"/>
        <charset val="204"/>
      </rPr>
      <t xml:space="preserve">
Поправки к: 
МР *-1;   
ЭММ *-1;   
ЗПМ *-1;   
ОЗП *-1;   
Труд.Стр. *-1;   
Труд.Маш. *-1</t>
    </r>
  </si>
  <si>
    <t>(должность, подпись, инициалы, фамилия)</t>
  </si>
  <si>
    <t>Составил _________________</t>
  </si>
  <si>
    <t>Проверил _________________</t>
  </si>
  <si>
    <t>КА п. 1</t>
  </si>
  <si>
    <t>КА п. 2</t>
  </si>
  <si>
    <t>КА п.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</si>
</sst>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#,##0.00;[Red]\-\ #,##0.00"/>
    <numFmt numFmtId="166" formatCode="#,##0.00####;[Red]\-\ #,##0.00####"/>
  </numFmts>
  <fonts count="20" x14ac:knownFonts="1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b/>
      <sz val="10"/>
      <color indexed="14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3"/>
      <name val="Arial"/>
      <family val="2"/>
      <charset val="204"/>
    </font>
    <font>
      <b/>
      <sz val="11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0" fontId="8" fillId="0" borderId="0" xfId="0" applyFont="1" applyAlignment="1">
      <alignment vertical="top" wrapText="1"/>
    </xf>
    <xf numFmtId="165" fontId="15" fillId="0" borderId="0" xfId="0" applyNumberFormat="1" applyFont="1" applyAlignment="1">
      <alignment horizontal="right"/>
    </xf>
    <xf numFmtId="0" fontId="10" fillId="0" borderId="0" xfId="0" quotePrefix="1" applyFont="1" applyAlignment="1">
      <alignment horizontal="right" wrapText="1"/>
    </xf>
    <xf numFmtId="165" fontId="0" fillId="0" borderId="0" xfId="0" applyNumberFormat="1"/>
    <xf numFmtId="0" fontId="17" fillId="0" borderId="0" xfId="0" applyFont="1" applyAlignment="1">
      <alignment horizontal="right"/>
    </xf>
    <xf numFmtId="0" fontId="0" fillId="0" borderId="6" xfId="0" applyBorder="1"/>
    <xf numFmtId="165" fontId="17" fillId="0" borderId="6" xfId="0" applyNumberFormat="1" applyFont="1" applyBorder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left" wrapText="1"/>
    </xf>
    <xf numFmtId="0" fontId="10" fillId="0" borderId="1" xfId="0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top"/>
    </xf>
    <xf numFmtId="0" fontId="10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right" wrapText="1"/>
    </xf>
    <xf numFmtId="0" fontId="10" fillId="0" borderId="3" xfId="0" applyFont="1" applyBorder="1" applyAlignment="1">
      <alignment horizontal="right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right"/>
    </xf>
    <xf numFmtId="0" fontId="11" fillId="0" borderId="3" xfId="0" quotePrefix="1" applyFont="1" applyBorder="1" applyAlignment="1">
      <alignment horizontal="center" vertical="center" wrapText="1"/>
    </xf>
    <xf numFmtId="0" fontId="0" fillId="0" borderId="2" xfId="0" applyBorder="1"/>
    <xf numFmtId="49" fontId="10" fillId="0" borderId="3" xfId="0" applyNumberFormat="1" applyFont="1" applyBorder="1" applyAlignment="1">
      <alignment horizontal="left" vertical="top" wrapText="1"/>
    </xf>
    <xf numFmtId="165" fontId="10" fillId="0" borderId="3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 wrapText="1"/>
    </xf>
    <xf numFmtId="166" fontId="10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 wrapText="1"/>
    </xf>
    <xf numFmtId="166" fontId="17" fillId="0" borderId="3" xfId="0" applyNumberFormat="1" applyFont="1" applyBorder="1" applyAlignment="1">
      <alignment horizontal="right"/>
    </xf>
    <xf numFmtId="0" fontId="8" fillId="0" borderId="2" xfId="0" applyFont="1" applyBorder="1" applyAlignment="1">
      <alignment vertical="top" wrapText="1"/>
    </xf>
    <xf numFmtId="0" fontId="0" fillId="0" borderId="0" xfId="0"/>
    <xf numFmtId="0" fontId="10" fillId="0" borderId="2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 wrapText="1"/>
    </xf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165" fontId="17" fillId="0" borderId="6" xfId="0" applyNumberFormat="1" applyFont="1" applyBorder="1" applyAlignment="1">
      <alignment horizontal="right"/>
    </xf>
    <xf numFmtId="165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4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0" xfId="0"/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1" fillId="0" borderId="2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right"/>
    </xf>
    <xf numFmtId="165" fontId="17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center" wrapText="1"/>
    </xf>
    <xf numFmtId="0" fontId="19" fillId="0" borderId="5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5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C650-DEDB-4E45-B381-183C31853FB0}">
  <sheetPr>
    <pageSetUpPr fitToPage="1"/>
  </sheetPr>
  <dimension ref="A1:AF494"/>
  <sheetViews>
    <sheetView tabSelected="1" topLeftCell="A469" zoomScaleNormal="100" workbookViewId="0">
      <selection activeCell="H494" sqref="C494:H494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0" width="0" hidden="1" customWidth="1"/>
    <col min="31" max="31" width="149.140625" hidden="1" customWidth="1"/>
    <col min="32" max="32" width="113.140625" hidden="1" customWidth="1"/>
    <col min="33" max="36" width="0" hidden="1" customWidth="1"/>
  </cols>
  <sheetData>
    <row r="1" spans="1:11" x14ac:dyDescent="0.2">
      <c r="A1" s="9" t="str">
        <f>CONCATENATE(Source!B1, "     СН-2012 (© ОАО МЦЦС 'Мосстройцены', ", "2021", ")")</f>
        <v>Smeta.RU  (495) 974-1589     СН-2012 (© ОАО МЦЦС 'Мосстройцены', 2021)</v>
      </c>
    </row>
    <row r="2" spans="1:11" ht="14.25" x14ac:dyDescent="0.2">
      <c r="A2" s="10"/>
      <c r="B2" s="10"/>
      <c r="C2" s="10"/>
      <c r="D2" s="10"/>
      <c r="E2" s="10"/>
      <c r="F2" s="10"/>
      <c r="G2" s="10"/>
      <c r="H2" s="10"/>
      <c r="I2" s="10"/>
      <c r="J2" s="78" t="s">
        <v>515</v>
      </c>
      <c r="K2" s="78"/>
    </row>
    <row r="3" spans="1:11" ht="16.5" x14ac:dyDescent="0.25">
      <c r="A3" s="12"/>
      <c r="B3" s="85" t="s">
        <v>513</v>
      </c>
      <c r="C3" s="85"/>
      <c r="D3" s="85"/>
      <c r="E3" s="85"/>
      <c r="F3" s="11"/>
      <c r="G3" s="85" t="s">
        <v>514</v>
      </c>
      <c r="H3" s="85"/>
      <c r="I3" s="85"/>
      <c r="J3" s="85"/>
      <c r="K3" s="85"/>
    </row>
    <row r="4" spans="1:11" ht="14.25" x14ac:dyDescent="0.2">
      <c r="A4" s="11"/>
      <c r="B4" s="77"/>
      <c r="C4" s="77"/>
      <c r="D4" s="77"/>
      <c r="E4" s="77"/>
      <c r="F4" s="11"/>
      <c r="G4" s="77"/>
      <c r="H4" s="77"/>
      <c r="I4" s="77"/>
      <c r="J4" s="77"/>
      <c r="K4" s="77"/>
    </row>
    <row r="5" spans="1:11" ht="14.25" x14ac:dyDescent="0.2">
      <c r="A5" s="11"/>
      <c r="B5" s="11"/>
      <c r="C5" s="13"/>
      <c r="D5" s="13"/>
      <c r="E5" s="13"/>
      <c r="F5" s="11"/>
      <c r="G5" s="13"/>
      <c r="H5" s="13"/>
      <c r="I5" s="13"/>
      <c r="J5" s="13"/>
      <c r="K5" s="13"/>
    </row>
    <row r="6" spans="1:11" ht="14.25" x14ac:dyDescent="0.2">
      <c r="A6" s="13"/>
      <c r="B6" s="77" t="str">
        <f>CONCATENATE("______________________ ", IF(Source!AL12&lt;&gt;"", Source!AL12, ""))</f>
        <v xml:space="preserve">______________________ </v>
      </c>
      <c r="C6" s="77"/>
      <c r="D6" s="77"/>
      <c r="E6" s="77"/>
      <c r="F6" s="11"/>
      <c r="G6" s="77" t="str">
        <f>CONCATENATE("______________________ ", IF(Source!AH12&lt;&gt;"", Source!AH12, ""))</f>
        <v xml:space="preserve">______________________ </v>
      </c>
      <c r="H6" s="77"/>
      <c r="I6" s="77"/>
      <c r="J6" s="77"/>
      <c r="K6" s="77"/>
    </row>
    <row r="7" spans="1:11" ht="14.25" x14ac:dyDescent="0.2">
      <c r="A7" s="14"/>
      <c r="B7" s="66" t="s">
        <v>516</v>
      </c>
      <c r="C7" s="66"/>
      <c r="D7" s="66"/>
      <c r="E7" s="66"/>
      <c r="F7" s="11"/>
      <c r="G7" s="66" t="s">
        <v>516</v>
      </c>
      <c r="H7" s="66"/>
      <c r="I7" s="66"/>
      <c r="J7" s="66"/>
      <c r="K7" s="66"/>
    </row>
    <row r="9" spans="1:11" ht="14.2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ht="15.75" x14ac:dyDescent="0.25">
      <c r="A10" s="82" t="str">
        <f>CONCATENATE( "ЛОКАЛЬНАЯ СМЕТА № ",IF(Source!F12&lt;&gt;"Новый объект", Source!F12, ""))</f>
        <v xml:space="preserve">ЛОКАЛЬНАЯ СМЕТА № 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</row>
    <row r="11" spans="1:11" x14ac:dyDescent="0.2">
      <c r="A11" s="80" t="s">
        <v>517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</row>
    <row r="12" spans="1:11" ht="14.25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18" hidden="1" x14ac:dyDescent="0.25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</row>
    <row r="14" spans="1:11" ht="14.25" hidden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ht="18" x14ac:dyDescent="0.25">
      <c r="A15" s="79" t="str">
        <f>IF(Source!G12&lt;&gt;"Новый объект", Source!G12, "")</f>
        <v>ГБОУ Школа № 1788 г. Москва, пос. Внуковское, ул. Летчика Грицевца, д. 5, к. 1_(Рем)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</row>
    <row r="16" spans="1:11" x14ac:dyDescent="0.2">
      <c r="A16" s="80" t="s">
        <v>518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</row>
    <row r="17" spans="1:31" ht="14.25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31" ht="14.25" x14ac:dyDescent="0.2">
      <c r="A18" s="66" t="str">
        <f>CONCATENATE( "Основание: чертежи № ", Source!J12)</f>
        <v xml:space="preserve">Основание: чертежи № 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</row>
    <row r="19" spans="1:31" ht="14.2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31" ht="14.25" x14ac:dyDescent="0.2">
      <c r="A20" s="11"/>
      <c r="B20" s="11"/>
      <c r="C20" s="11"/>
      <c r="D20" s="11"/>
      <c r="E20" s="11"/>
      <c r="F20" s="77" t="s">
        <v>520</v>
      </c>
      <c r="G20" s="77"/>
      <c r="H20" s="77"/>
      <c r="I20" s="67">
        <f>(Source!F558/1000)</f>
        <v>7376.9785899999997</v>
      </c>
      <c r="J20" s="78"/>
      <c r="K20" s="11" t="s">
        <v>521</v>
      </c>
    </row>
    <row r="21" spans="1:31" ht="14.25" hidden="1" x14ac:dyDescent="0.2">
      <c r="A21" s="11"/>
      <c r="B21" s="11"/>
      <c r="C21" s="11"/>
      <c r="D21" s="11"/>
      <c r="E21" s="11"/>
      <c r="F21" s="77" t="s">
        <v>522</v>
      </c>
      <c r="G21" s="77"/>
      <c r="H21" s="77"/>
      <c r="I21" s="67">
        <f>(Source!F547)/1000</f>
        <v>245</v>
      </c>
      <c r="J21" s="78"/>
      <c r="K21" s="11" t="s">
        <v>521</v>
      </c>
    </row>
    <row r="22" spans="1:31" ht="14.25" hidden="1" x14ac:dyDescent="0.2">
      <c r="A22" s="11"/>
      <c r="B22" s="11"/>
      <c r="C22" s="11"/>
      <c r="D22" s="11"/>
      <c r="E22" s="11"/>
      <c r="F22" s="77" t="s">
        <v>523</v>
      </c>
      <c r="G22" s="77"/>
      <c r="H22" s="77"/>
      <c r="I22" s="67">
        <f>(Source!F548)/1000</f>
        <v>0</v>
      </c>
      <c r="J22" s="78"/>
      <c r="K22" s="11" t="s">
        <v>521</v>
      </c>
    </row>
    <row r="23" spans="1:31" ht="14.25" hidden="1" x14ac:dyDescent="0.2">
      <c r="A23" s="11"/>
      <c r="B23" s="11"/>
      <c r="C23" s="11"/>
      <c r="D23" s="11"/>
      <c r="E23" s="11"/>
      <c r="F23" s="77" t="s">
        <v>524</v>
      </c>
      <c r="G23" s="77"/>
      <c r="H23" s="77"/>
      <c r="I23" s="67">
        <f>(Source!F539)/1000</f>
        <v>0</v>
      </c>
      <c r="J23" s="78"/>
      <c r="K23" s="11" t="s">
        <v>521</v>
      </c>
    </row>
    <row r="24" spans="1:31" ht="14.25" hidden="1" x14ac:dyDescent="0.2">
      <c r="A24" s="11"/>
      <c r="B24" s="11"/>
      <c r="C24" s="11"/>
      <c r="D24" s="11"/>
      <c r="E24" s="11"/>
      <c r="F24" s="77" t="s">
        <v>525</v>
      </c>
      <c r="G24" s="77"/>
      <c r="H24" s="77"/>
      <c r="I24" s="67">
        <f>(Source!F549+Source!F550)/1000</f>
        <v>7131.9785899999997</v>
      </c>
      <c r="J24" s="78"/>
      <c r="K24" s="11" t="s">
        <v>521</v>
      </c>
    </row>
    <row r="25" spans="1:31" ht="14.25" x14ac:dyDescent="0.2">
      <c r="A25" s="11"/>
      <c r="B25" s="11"/>
      <c r="C25" s="11"/>
      <c r="D25" s="11"/>
      <c r="E25" s="11"/>
      <c r="F25" s="77" t="s">
        <v>526</v>
      </c>
      <c r="G25" s="77"/>
      <c r="H25" s="77"/>
      <c r="I25" s="67">
        <f>(Source!F545+ Source!F544)/1000</f>
        <v>1317.78051</v>
      </c>
      <c r="J25" s="78"/>
      <c r="K25" s="11" t="s">
        <v>521</v>
      </c>
    </row>
    <row r="26" spans="1:31" ht="14.25" x14ac:dyDescent="0.2">
      <c r="A26" s="11" t="s">
        <v>540</v>
      </c>
      <c r="B26" s="11"/>
      <c r="C26" s="11"/>
      <c r="D26" s="15"/>
      <c r="E26" s="16"/>
      <c r="F26" s="11"/>
      <c r="G26" s="11"/>
      <c r="H26" s="11"/>
      <c r="I26" s="11"/>
      <c r="J26" s="11"/>
      <c r="K26" s="11"/>
    </row>
    <row r="27" spans="1:31" ht="14.25" x14ac:dyDescent="0.2">
      <c r="A27" s="75" t="s">
        <v>527</v>
      </c>
      <c r="B27" s="75" t="s">
        <v>528</v>
      </c>
      <c r="C27" s="75" t="s">
        <v>529</v>
      </c>
      <c r="D27" s="75" t="s">
        <v>530</v>
      </c>
      <c r="E27" s="75" t="s">
        <v>531</v>
      </c>
      <c r="F27" s="75" t="s">
        <v>532</v>
      </c>
      <c r="G27" s="75" t="s">
        <v>533</v>
      </c>
      <c r="H27" s="75" t="s">
        <v>534</v>
      </c>
      <c r="I27" s="75" t="s">
        <v>535</v>
      </c>
      <c r="J27" s="75" t="s">
        <v>536</v>
      </c>
      <c r="K27" s="17" t="s">
        <v>537</v>
      </c>
    </row>
    <row r="28" spans="1:31" ht="28.5" x14ac:dyDescent="0.2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18" t="s">
        <v>538</v>
      </c>
    </row>
    <row r="29" spans="1:31" ht="28.5" x14ac:dyDescent="0.2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18" t="s">
        <v>539</v>
      </c>
    </row>
    <row r="30" spans="1:31" ht="14.25" x14ac:dyDescent="0.2">
      <c r="A30" s="18">
        <v>1</v>
      </c>
      <c r="B30" s="18">
        <v>2</v>
      </c>
      <c r="C30" s="18">
        <v>3</v>
      </c>
      <c r="D30" s="18">
        <v>4</v>
      </c>
      <c r="E30" s="18">
        <v>5</v>
      </c>
      <c r="F30" s="18">
        <v>6</v>
      </c>
      <c r="G30" s="18">
        <v>7</v>
      </c>
      <c r="H30" s="18">
        <v>8</v>
      </c>
      <c r="I30" s="18">
        <v>9</v>
      </c>
      <c r="J30" s="18">
        <v>10</v>
      </c>
      <c r="K30" s="18">
        <v>11</v>
      </c>
    </row>
    <row r="32" spans="1:31" ht="33" x14ac:dyDescent="0.25">
      <c r="A32" s="74" t="str">
        <f>CONCATENATE("Локальная смета: ",IF(Source!G20&lt;&gt;"Новая локальная смета", Source!G20, ""))</f>
        <v>Локальная смета: Благоустройство территории, прилегающей к ГБОУ Школа № 1788 по адресу: г. Москва, пос. Внуковское, ул. Летчика Грицевца, д. 5, к. 1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AE32" s="19" t="str">
        <f>CONCATENATE("Локальная смета: ",IF(Source!G20&lt;&gt;"Новая локальная смета", Source!G20, ""))</f>
        <v>Локальная смета: Благоустройство территории, прилегающей к ГБОУ Школа № 1788 по адресу: г. Москва, пос. Внуковское, ул. Летчика Грицевца, д. 5, к. 1</v>
      </c>
    </row>
    <row r="34" spans="1:22" ht="16.5" x14ac:dyDescent="0.25">
      <c r="A34" s="74" t="str">
        <f>CONCATENATE("Раздел: ",IF(Source!G24&lt;&gt;"Новый раздел", Source!G24, ""))</f>
        <v>Раздел: Ремонт асфальтобетонного покрытия тротуаров (155,5 м2)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</row>
    <row r="35" spans="1:22" ht="42.75" x14ac:dyDescent="0.2">
      <c r="A35" s="20" t="str">
        <f>Source!E28</f>
        <v>1</v>
      </c>
      <c r="B35" s="21" t="str">
        <f>Source!F28</f>
        <v>2.1-3301-2-1/1</v>
      </c>
      <c r="C35" s="21" t="str">
        <f>Source!G28</f>
        <v>Исправление профиля щебеночных оснований с добавлением нового материала</v>
      </c>
      <c r="D35" s="23" t="str">
        <f>Source!H28</f>
        <v>1000 м2</v>
      </c>
      <c r="E35" s="10">
        <f>Source!I28</f>
        <v>4.6649999999999997E-2</v>
      </c>
      <c r="F35" s="25"/>
      <c r="G35" s="24"/>
      <c r="H35" s="10"/>
      <c r="I35" s="10"/>
      <c r="J35" s="25"/>
      <c r="K35" s="25"/>
      <c r="Q35">
        <f>ROUND((Source!BZ28/100)*ROUND((Source!AF28*Source!AV28)*Source!I28, 2), 2)</f>
        <v>513.91</v>
      </c>
      <c r="R35">
        <f>Source!X28</f>
        <v>513.91</v>
      </c>
      <c r="S35">
        <f>ROUND((Source!CA28/100)*ROUND((Source!AF28*Source!AV28)*Source!I28, 2), 2)</f>
        <v>73.42</v>
      </c>
      <c r="T35">
        <f>Source!Y28</f>
        <v>73.42</v>
      </c>
      <c r="U35">
        <f>ROUND((175/100)*ROUND((Source!AE28*Source!AV28)*Source!I28, 2), 2)</f>
        <v>2854.97</v>
      </c>
      <c r="V35">
        <f>ROUND((108/100)*ROUND(Source!CS28*Source!I28, 2), 2)</f>
        <v>1761.92</v>
      </c>
    </row>
    <row r="36" spans="1:22" x14ac:dyDescent="0.2">
      <c r="C36" s="26" t="str">
        <f>"Объем: "&amp;Source!I28&amp;"=("&amp;Source!I32&amp;"*"&amp;"0,3)/"&amp;"10"</f>
        <v>Объем: 0,04665=(1,555*0,3)/10</v>
      </c>
    </row>
    <row r="37" spans="1:22" ht="14.25" x14ac:dyDescent="0.2">
      <c r="A37" s="20"/>
      <c r="B37" s="21"/>
      <c r="C37" s="21" t="s">
        <v>541</v>
      </c>
      <c r="D37" s="23"/>
      <c r="E37" s="10"/>
      <c r="F37" s="25">
        <f>Source!AO28</f>
        <v>15737.51</v>
      </c>
      <c r="G37" s="24" t="str">
        <f>Source!DG28</f>
        <v/>
      </c>
      <c r="H37" s="10">
        <f>Source!AV28</f>
        <v>1</v>
      </c>
      <c r="I37" s="10">
        <f>IF(Source!BA28&lt;&gt; 0, Source!BA28, 1)</f>
        <v>1</v>
      </c>
      <c r="J37" s="25">
        <f>Source!S28</f>
        <v>734.15</v>
      </c>
      <c r="K37" s="25"/>
    </row>
    <row r="38" spans="1:22" ht="14.25" x14ac:dyDescent="0.2">
      <c r="A38" s="20"/>
      <c r="B38" s="21"/>
      <c r="C38" s="21" t="s">
        <v>542</v>
      </c>
      <c r="D38" s="23"/>
      <c r="E38" s="10"/>
      <c r="F38" s="25">
        <f>Source!AM28</f>
        <v>86387.49</v>
      </c>
      <c r="G38" s="24" t="str">
        <f>Source!DE28</f>
        <v/>
      </c>
      <c r="H38" s="10">
        <f>Source!AV28</f>
        <v>1</v>
      </c>
      <c r="I38" s="10">
        <f>IF(Source!BB28&lt;&gt; 0, Source!BB28, 1)</f>
        <v>1</v>
      </c>
      <c r="J38" s="25">
        <f>Source!Q28</f>
        <v>4029.98</v>
      </c>
      <c r="K38" s="25"/>
    </row>
    <row r="39" spans="1:22" ht="14.25" x14ac:dyDescent="0.2">
      <c r="A39" s="20"/>
      <c r="B39" s="21"/>
      <c r="C39" s="21" t="s">
        <v>543</v>
      </c>
      <c r="D39" s="23"/>
      <c r="E39" s="10"/>
      <c r="F39" s="25">
        <f>Source!AN28</f>
        <v>34971.35</v>
      </c>
      <c r="G39" s="24" t="str">
        <f>Source!DF28</f>
        <v/>
      </c>
      <c r="H39" s="10">
        <f>Source!AV28</f>
        <v>1</v>
      </c>
      <c r="I39" s="10">
        <f>IF(Source!BS28&lt;&gt; 0, Source!BS28, 1)</f>
        <v>1</v>
      </c>
      <c r="J39" s="27">
        <f>Source!R28</f>
        <v>1631.41</v>
      </c>
      <c r="K39" s="25"/>
    </row>
    <row r="40" spans="1:22" ht="14.25" x14ac:dyDescent="0.2">
      <c r="A40" s="20"/>
      <c r="B40" s="21"/>
      <c r="C40" s="21" t="s">
        <v>544</v>
      </c>
      <c r="D40" s="23"/>
      <c r="E40" s="10"/>
      <c r="F40" s="25">
        <f>Source!AL28</f>
        <v>122133.21</v>
      </c>
      <c r="G40" s="24" t="str">
        <f>Source!DD28</f>
        <v/>
      </c>
      <c r="H40" s="10">
        <f>Source!AW28</f>
        <v>1</v>
      </c>
      <c r="I40" s="10">
        <f>IF(Source!BC28&lt;&gt; 0, Source!BC28, 1)</f>
        <v>1</v>
      </c>
      <c r="J40" s="25">
        <f>Source!P28</f>
        <v>5697.51</v>
      </c>
      <c r="K40" s="25"/>
    </row>
    <row r="41" spans="1:22" ht="42.75" x14ac:dyDescent="0.2">
      <c r="A41" s="20" t="str">
        <f>Source!E29</f>
        <v>1,1</v>
      </c>
      <c r="B41" s="21" t="str">
        <f>Source!F29</f>
        <v>21.1-12-35</v>
      </c>
      <c r="C41" s="21" t="str">
        <f>Source!G29</f>
        <v>Щебень из естественного камня для строительных работ, марка 1200-800, фракция 10-20 мм</v>
      </c>
      <c r="D41" s="23" t="str">
        <f>Source!H29</f>
        <v>м3</v>
      </c>
      <c r="E41" s="10">
        <f>Source!I29</f>
        <v>-0.53647499999999992</v>
      </c>
      <c r="F41" s="25">
        <f>Source!AK29</f>
        <v>1908.27</v>
      </c>
      <c r="G41" s="28" t="s">
        <v>545</v>
      </c>
      <c r="H41" s="10">
        <f>Source!AW29</f>
        <v>1</v>
      </c>
      <c r="I41" s="10">
        <f>IF(Source!BC29&lt;&gt; 0, Source!BC29, 1)</f>
        <v>1</v>
      </c>
      <c r="J41" s="25">
        <f>Source!O29</f>
        <v>-1023.74</v>
      </c>
      <c r="K41" s="25"/>
      <c r="Q41">
        <f>ROUND((Source!BZ29/100)*ROUND((Source!AF29*Source!AV29)*Source!I29, 2), 2)</f>
        <v>0</v>
      </c>
      <c r="R41">
        <f>Source!X29</f>
        <v>0</v>
      </c>
      <c r="S41">
        <f>ROUND((Source!CA29/100)*ROUND((Source!AF29*Source!AV29)*Source!I29, 2), 2)</f>
        <v>0</v>
      </c>
      <c r="T41">
        <f>Source!Y29</f>
        <v>0</v>
      </c>
      <c r="U41">
        <f>ROUND((175/100)*ROUND((Source!AE29*Source!AV29)*Source!I29, 2), 2)</f>
        <v>0</v>
      </c>
      <c r="V41">
        <f>ROUND((108/100)*ROUND(Source!CS29*Source!I29, 2), 2)</f>
        <v>0</v>
      </c>
    </row>
    <row r="42" spans="1:22" ht="42.75" x14ac:dyDescent="0.2">
      <c r="A42" s="20" t="str">
        <f>Source!E30</f>
        <v>1,2</v>
      </c>
      <c r="B42" s="21" t="str">
        <f>Source!F30</f>
        <v>21.1-12-36</v>
      </c>
      <c r="C42" s="21" t="str">
        <f>Source!G30</f>
        <v>Щебень из естественного камня для строительных работ, марка 1200-800, фракция 20-40 мм</v>
      </c>
      <c r="D42" s="23" t="str">
        <f>Source!H30</f>
        <v>м3</v>
      </c>
      <c r="E42" s="10">
        <f>Source!I30</f>
        <v>-2.56575</v>
      </c>
      <c r="F42" s="25">
        <f>Source!AK30</f>
        <v>1806.27</v>
      </c>
      <c r="G42" s="28" t="s">
        <v>545</v>
      </c>
      <c r="H42" s="10">
        <f>Source!AW30</f>
        <v>1</v>
      </c>
      <c r="I42" s="10">
        <f>IF(Source!BC30&lt;&gt; 0, Source!BC30, 1)</f>
        <v>1</v>
      </c>
      <c r="J42" s="25">
        <f>Source!O30</f>
        <v>-4634.4399999999996</v>
      </c>
      <c r="K42" s="25"/>
      <c r="Q42">
        <f>ROUND((Source!BZ30/100)*ROUND((Source!AF30*Source!AV30)*Source!I30, 2), 2)</f>
        <v>0</v>
      </c>
      <c r="R42">
        <f>Source!X30</f>
        <v>0</v>
      </c>
      <c r="S42">
        <f>ROUND((Source!CA30/100)*ROUND((Source!AF30*Source!AV30)*Source!I30, 2), 2)</f>
        <v>0</v>
      </c>
      <c r="T42">
        <f>Source!Y30</f>
        <v>0</v>
      </c>
      <c r="U42">
        <f>ROUND((175/100)*ROUND((Source!AE30*Source!AV30)*Source!I30, 2), 2)</f>
        <v>0</v>
      </c>
      <c r="V42">
        <f>ROUND((108/100)*ROUND(Source!CS30*Source!I30, 2), 2)</f>
        <v>0</v>
      </c>
    </row>
    <row r="43" spans="1:22" ht="42.75" x14ac:dyDescent="0.2">
      <c r="A43" s="20" t="str">
        <f>Source!E31</f>
        <v>1,3</v>
      </c>
      <c r="B43" s="21" t="str">
        <f>Source!F31</f>
        <v>21.1-12-29</v>
      </c>
      <c r="C43" s="21" t="str">
        <f>Source!G31</f>
        <v>Щебень из естественного камня для строительных работ, марка 600-400, фракция 5-10 мм</v>
      </c>
      <c r="D43" s="23" t="str">
        <f>Source!H31</f>
        <v>м3</v>
      </c>
      <c r="E43" s="10">
        <f>Source!I31</f>
        <v>3.1022249999999998</v>
      </c>
      <c r="F43" s="25">
        <f>Source!AK31</f>
        <v>1487.52</v>
      </c>
      <c r="G43" s="28" t="s">
        <v>545</v>
      </c>
      <c r="H43" s="10">
        <f>Source!AW31</f>
        <v>1</v>
      </c>
      <c r="I43" s="10">
        <f>IF(Source!BC31&lt;&gt; 0, Source!BC31, 1)</f>
        <v>1</v>
      </c>
      <c r="J43" s="25">
        <f>Source!O31</f>
        <v>4614.62</v>
      </c>
      <c r="K43" s="25"/>
      <c r="Q43">
        <f>ROUND((Source!BZ31/100)*ROUND((Source!AF31*Source!AV31)*Source!I31, 2), 2)</f>
        <v>0</v>
      </c>
      <c r="R43">
        <f>Source!X31</f>
        <v>0</v>
      </c>
      <c r="S43">
        <f>ROUND((Source!CA31/100)*ROUND((Source!AF31*Source!AV31)*Source!I31, 2), 2)</f>
        <v>0</v>
      </c>
      <c r="T43">
        <f>Source!Y31</f>
        <v>0</v>
      </c>
      <c r="U43">
        <f>ROUND((175/100)*ROUND((Source!AE31*Source!AV31)*Source!I31, 2), 2)</f>
        <v>0</v>
      </c>
      <c r="V43">
        <f>ROUND((108/100)*ROUND(Source!CS31*Source!I31, 2), 2)</f>
        <v>0</v>
      </c>
    </row>
    <row r="44" spans="1:22" ht="14.25" x14ac:dyDescent="0.2">
      <c r="A44" s="20"/>
      <c r="B44" s="21"/>
      <c r="C44" s="21" t="s">
        <v>546</v>
      </c>
      <c r="D44" s="23" t="s">
        <v>547</v>
      </c>
      <c r="E44" s="10">
        <f>Source!AT28</f>
        <v>70</v>
      </c>
      <c r="F44" s="25"/>
      <c r="G44" s="24"/>
      <c r="H44" s="10"/>
      <c r="I44" s="10"/>
      <c r="J44" s="25">
        <f>SUM(R35:R43)</f>
        <v>513.91</v>
      </c>
      <c r="K44" s="25"/>
    </row>
    <row r="45" spans="1:22" ht="14.25" x14ac:dyDescent="0.2">
      <c r="A45" s="20"/>
      <c r="B45" s="21"/>
      <c r="C45" s="21" t="s">
        <v>548</v>
      </c>
      <c r="D45" s="23" t="s">
        <v>547</v>
      </c>
      <c r="E45" s="10">
        <f>Source!AU28</f>
        <v>10</v>
      </c>
      <c r="F45" s="25"/>
      <c r="G45" s="24"/>
      <c r="H45" s="10"/>
      <c r="I45" s="10"/>
      <c r="J45" s="25">
        <f>SUM(T35:T44)</f>
        <v>73.42</v>
      </c>
      <c r="K45" s="25"/>
    </row>
    <row r="46" spans="1:22" ht="14.25" x14ac:dyDescent="0.2">
      <c r="A46" s="20"/>
      <c r="B46" s="21"/>
      <c r="C46" s="21" t="s">
        <v>549</v>
      </c>
      <c r="D46" s="23" t="s">
        <v>547</v>
      </c>
      <c r="E46" s="10">
        <f>108</f>
        <v>108</v>
      </c>
      <c r="F46" s="25"/>
      <c r="G46" s="24"/>
      <c r="H46" s="10"/>
      <c r="I46" s="10"/>
      <c r="J46" s="25">
        <f>SUM(V35:V45)</f>
        <v>1761.92</v>
      </c>
      <c r="K46" s="25"/>
    </row>
    <row r="47" spans="1:22" ht="14.25" x14ac:dyDescent="0.2">
      <c r="A47" s="20"/>
      <c r="B47" s="21"/>
      <c r="C47" s="21" t="s">
        <v>550</v>
      </c>
      <c r="D47" s="23" t="s">
        <v>551</v>
      </c>
      <c r="E47" s="10">
        <f>Source!AQ28</f>
        <v>87.29</v>
      </c>
      <c r="F47" s="25"/>
      <c r="G47" s="24" t="str">
        <f>Source!DI28</f>
        <v/>
      </c>
      <c r="H47" s="10">
        <f>Source!AV28</f>
        <v>1</v>
      </c>
      <c r="I47" s="10"/>
      <c r="J47" s="25"/>
      <c r="K47" s="25">
        <f>Source!U28</f>
        <v>4.0720784999999999</v>
      </c>
    </row>
    <row r="48" spans="1:22" ht="15" x14ac:dyDescent="0.25">
      <c r="A48" s="31"/>
      <c r="B48" s="31"/>
      <c r="C48" s="31"/>
      <c r="D48" s="31"/>
      <c r="E48" s="31"/>
      <c r="F48" s="31"/>
      <c r="G48" s="31"/>
      <c r="H48" s="31"/>
      <c r="I48" s="70">
        <f>J37+J38+J40+J44+J45+J46+SUM(J41:J43)</f>
        <v>11767.33</v>
      </c>
      <c r="J48" s="70"/>
      <c r="K48" s="32">
        <f>IF(Source!I28&lt;&gt;0, ROUND(I48/Source!I28, 2), 0)</f>
        <v>252247.16</v>
      </c>
      <c r="P48" s="29">
        <f>I48</f>
        <v>11767.33</v>
      </c>
    </row>
    <row r="49" spans="1:22" ht="42.75" x14ac:dyDescent="0.2">
      <c r="A49" s="20" t="str">
        <f>Source!E32</f>
        <v>2</v>
      </c>
      <c r="B49" s="21" t="str">
        <f>Source!F32</f>
        <v>2.1-3103-18-1/1</v>
      </c>
      <c r="C49" s="21" t="str">
        <f>Source!G32</f>
        <v>Устройство покрытий из асфальтобетонных смесей вручную, толщина 4 см (5 см)</v>
      </c>
      <c r="D49" s="23" t="str">
        <f>Source!H32</f>
        <v>100 м2</v>
      </c>
      <c r="E49" s="10">
        <f>Source!I32</f>
        <v>1.5549999999999999</v>
      </c>
      <c r="F49" s="25"/>
      <c r="G49" s="24"/>
      <c r="H49" s="10"/>
      <c r="I49" s="10"/>
      <c r="J49" s="25"/>
      <c r="K49" s="25"/>
      <c r="Q49">
        <f>ROUND((Source!BZ32/100)*ROUND((Source!AF32*Source!AV32)*Source!I32, 2), 2)</f>
        <v>3216.52</v>
      </c>
      <c r="R49">
        <f>Source!X32</f>
        <v>3216.52</v>
      </c>
      <c r="S49">
        <f>ROUND((Source!CA32/100)*ROUND((Source!AF32*Source!AV32)*Source!I32, 2), 2)</f>
        <v>459.5</v>
      </c>
      <c r="T49">
        <f>Source!Y32</f>
        <v>459.5</v>
      </c>
      <c r="U49">
        <f>ROUND((175/100)*ROUND((Source!AE32*Source!AV32)*Source!I32, 2), 2)</f>
        <v>2538.08</v>
      </c>
      <c r="V49">
        <f>ROUND((108/100)*ROUND(Source!CS32*Source!I32, 2), 2)</f>
        <v>1566.36</v>
      </c>
    </row>
    <row r="50" spans="1:22" x14ac:dyDescent="0.2">
      <c r="C50" s="26" t="str">
        <f>"Объем: "&amp;Source!I32&amp;"=155,5/"&amp;"100"</f>
        <v>Объем: 1,555=155,5/100</v>
      </c>
    </row>
    <row r="51" spans="1:22" ht="14.25" x14ac:dyDescent="0.2">
      <c r="A51" s="20"/>
      <c r="B51" s="21"/>
      <c r="C51" s="21" t="s">
        <v>541</v>
      </c>
      <c r="D51" s="23"/>
      <c r="E51" s="10"/>
      <c r="F51" s="25">
        <f>Source!AO32</f>
        <v>2955</v>
      </c>
      <c r="G51" s="24" t="str">
        <f>Source!DG32</f>
        <v/>
      </c>
      <c r="H51" s="10">
        <f>Source!AV32</f>
        <v>1</v>
      </c>
      <c r="I51" s="10">
        <f>IF(Source!BA32&lt;&gt; 0, Source!BA32, 1)</f>
        <v>1</v>
      </c>
      <c r="J51" s="25">
        <f>Source!S32</f>
        <v>4595.03</v>
      </c>
      <c r="K51" s="25"/>
    </row>
    <row r="52" spans="1:22" ht="14.25" x14ac:dyDescent="0.2">
      <c r="A52" s="20"/>
      <c r="B52" s="21"/>
      <c r="C52" s="21" t="s">
        <v>542</v>
      </c>
      <c r="D52" s="23"/>
      <c r="E52" s="10"/>
      <c r="F52" s="25">
        <f>Source!AM32</f>
        <v>1539.31</v>
      </c>
      <c r="G52" s="24" t="str">
        <f>Source!DE32</f>
        <v/>
      </c>
      <c r="H52" s="10">
        <f>Source!AV32</f>
        <v>1</v>
      </c>
      <c r="I52" s="10">
        <f>IF(Source!BB32&lt;&gt; 0, Source!BB32, 1)</f>
        <v>1</v>
      </c>
      <c r="J52" s="25">
        <f>Source!Q32</f>
        <v>2393.63</v>
      </c>
      <c r="K52" s="25"/>
    </row>
    <row r="53" spans="1:22" ht="14.25" x14ac:dyDescent="0.2">
      <c r="A53" s="20"/>
      <c r="B53" s="21"/>
      <c r="C53" s="21" t="s">
        <v>543</v>
      </c>
      <c r="D53" s="23"/>
      <c r="E53" s="10"/>
      <c r="F53" s="25">
        <f>Source!AN32</f>
        <v>932.69</v>
      </c>
      <c r="G53" s="24" t="str">
        <f>Source!DF32</f>
        <v/>
      </c>
      <c r="H53" s="10">
        <f>Source!AV32</f>
        <v>1</v>
      </c>
      <c r="I53" s="10">
        <f>IF(Source!BS32&lt;&gt; 0, Source!BS32, 1)</f>
        <v>1</v>
      </c>
      <c r="J53" s="27">
        <f>Source!R32</f>
        <v>1450.33</v>
      </c>
      <c r="K53" s="25"/>
    </row>
    <row r="54" spans="1:22" ht="14.25" x14ac:dyDescent="0.2">
      <c r="A54" s="20"/>
      <c r="B54" s="21"/>
      <c r="C54" s="21" t="s">
        <v>544</v>
      </c>
      <c r="D54" s="23"/>
      <c r="E54" s="10"/>
      <c r="F54" s="25">
        <f>Source!AL32</f>
        <v>26130.89</v>
      </c>
      <c r="G54" s="24" t="str">
        <f>Source!DD32</f>
        <v/>
      </c>
      <c r="H54" s="10">
        <f>Source!AW32</f>
        <v>1</v>
      </c>
      <c r="I54" s="10">
        <f>IF(Source!BC32&lt;&gt; 0, Source!BC32, 1)</f>
        <v>1</v>
      </c>
      <c r="J54" s="25">
        <f>Source!P32</f>
        <v>40633.53</v>
      </c>
      <c r="K54" s="25"/>
    </row>
    <row r="55" spans="1:22" ht="42.75" x14ac:dyDescent="0.2">
      <c r="A55" s="20" t="str">
        <f>Source!E33</f>
        <v>2,1</v>
      </c>
      <c r="B55" s="21" t="str">
        <f>Source!F33</f>
        <v>21.3-3-18</v>
      </c>
      <c r="C55" s="21" t="str">
        <f>Source!G33</f>
        <v>Смеси асфальтобетонные дорожные горячие мелкозернистые, марка I, тип Б</v>
      </c>
      <c r="D55" s="23" t="str">
        <f>Source!H33</f>
        <v>т</v>
      </c>
      <c r="E55" s="10">
        <f>Source!I33</f>
        <v>-14.896899999999999</v>
      </c>
      <c r="F55" s="25">
        <f>Source!AK33</f>
        <v>2727.65</v>
      </c>
      <c r="G55" s="28" t="s">
        <v>545</v>
      </c>
      <c r="H55" s="10">
        <f>Source!AW33</f>
        <v>1</v>
      </c>
      <c r="I55" s="10">
        <f>IF(Source!BC33&lt;&gt; 0, Source!BC33, 1)</f>
        <v>1</v>
      </c>
      <c r="J55" s="25">
        <f>Source!O33</f>
        <v>-40633.53</v>
      </c>
      <c r="K55" s="25"/>
      <c r="Q55">
        <f>ROUND((Source!BZ33/100)*ROUND((Source!AF33*Source!AV33)*Source!I33, 2), 2)</f>
        <v>0</v>
      </c>
      <c r="R55">
        <f>Source!X33</f>
        <v>0</v>
      </c>
      <c r="S55">
        <f>ROUND((Source!CA33/100)*ROUND((Source!AF33*Source!AV33)*Source!I33, 2), 2)</f>
        <v>0</v>
      </c>
      <c r="T55">
        <f>Source!Y33</f>
        <v>0</v>
      </c>
      <c r="U55">
        <f>ROUND((175/100)*ROUND((Source!AE33*Source!AV33)*Source!I33, 2), 2)</f>
        <v>0</v>
      </c>
      <c r="V55">
        <f>ROUND((108/100)*ROUND(Source!CS33*Source!I33, 2), 2)</f>
        <v>0</v>
      </c>
    </row>
    <row r="56" spans="1:22" ht="28.5" x14ac:dyDescent="0.2">
      <c r="A56" s="20" t="str">
        <f>Source!E34</f>
        <v>2,2</v>
      </c>
      <c r="B56" s="21" t="str">
        <f>Source!F34</f>
        <v>21.3-3-34</v>
      </c>
      <c r="C56" s="21" t="str">
        <f>Source!G34</f>
        <v>Смеси асфальтобетонные дорожные горячие песчаные, тип Д, марка III</v>
      </c>
      <c r="D56" s="23" t="str">
        <f>Source!H34</f>
        <v>т</v>
      </c>
      <c r="E56" s="10">
        <f>Source!I34</f>
        <v>18.146850000000001</v>
      </c>
      <c r="F56" s="25">
        <f>Source!AK34</f>
        <v>2628.2</v>
      </c>
      <c r="G56" s="28" t="s">
        <v>545</v>
      </c>
      <c r="H56" s="10">
        <f>Source!AW34</f>
        <v>1</v>
      </c>
      <c r="I56" s="10">
        <f>IF(Source!BC34&lt;&gt; 0, Source!BC34, 1)</f>
        <v>1</v>
      </c>
      <c r="J56" s="25">
        <f>Source!O34</f>
        <v>47693.55</v>
      </c>
      <c r="K56" s="25"/>
      <c r="Q56">
        <f>ROUND((Source!BZ34/100)*ROUND((Source!AF34*Source!AV34)*Source!I34, 2), 2)</f>
        <v>0</v>
      </c>
      <c r="R56">
        <f>Source!X34</f>
        <v>0</v>
      </c>
      <c r="S56">
        <f>ROUND((Source!CA34/100)*ROUND((Source!AF34*Source!AV34)*Source!I34, 2), 2)</f>
        <v>0</v>
      </c>
      <c r="T56">
        <f>Source!Y34</f>
        <v>0</v>
      </c>
      <c r="U56">
        <f>ROUND((175/100)*ROUND((Source!AE34*Source!AV34)*Source!I34, 2), 2)</f>
        <v>0</v>
      </c>
      <c r="V56">
        <f>ROUND((108/100)*ROUND(Source!CS34*Source!I34, 2), 2)</f>
        <v>0</v>
      </c>
    </row>
    <row r="57" spans="1:22" ht="14.25" x14ac:dyDescent="0.2">
      <c r="A57" s="20"/>
      <c r="B57" s="21"/>
      <c r="C57" s="21" t="s">
        <v>546</v>
      </c>
      <c r="D57" s="23" t="s">
        <v>547</v>
      </c>
      <c r="E57" s="10">
        <f>Source!AT32</f>
        <v>70</v>
      </c>
      <c r="F57" s="25"/>
      <c r="G57" s="24"/>
      <c r="H57" s="10"/>
      <c r="I57" s="10"/>
      <c r="J57" s="25">
        <f>SUM(R49:R56)</f>
        <v>3216.52</v>
      </c>
      <c r="K57" s="25"/>
    </row>
    <row r="58" spans="1:22" ht="14.25" x14ac:dyDescent="0.2">
      <c r="A58" s="20"/>
      <c r="B58" s="21"/>
      <c r="C58" s="21" t="s">
        <v>548</v>
      </c>
      <c r="D58" s="23" t="s">
        <v>547</v>
      </c>
      <c r="E58" s="10">
        <f>Source!AU32</f>
        <v>10</v>
      </c>
      <c r="F58" s="25"/>
      <c r="G58" s="24"/>
      <c r="H58" s="10"/>
      <c r="I58" s="10"/>
      <c r="J58" s="25">
        <f>SUM(T49:T57)</f>
        <v>459.5</v>
      </c>
      <c r="K58" s="25"/>
    </row>
    <row r="59" spans="1:22" ht="14.25" x14ac:dyDescent="0.2">
      <c r="A59" s="20"/>
      <c r="B59" s="21"/>
      <c r="C59" s="21" t="s">
        <v>549</v>
      </c>
      <c r="D59" s="23" t="s">
        <v>547</v>
      </c>
      <c r="E59" s="10">
        <f>108</f>
        <v>108</v>
      </c>
      <c r="F59" s="25"/>
      <c r="G59" s="24"/>
      <c r="H59" s="10"/>
      <c r="I59" s="10"/>
      <c r="J59" s="25">
        <f>SUM(V49:V58)</f>
        <v>1566.36</v>
      </c>
      <c r="K59" s="25"/>
    </row>
    <row r="60" spans="1:22" ht="14.25" x14ac:dyDescent="0.2">
      <c r="A60" s="20"/>
      <c r="B60" s="21"/>
      <c r="C60" s="21" t="s">
        <v>550</v>
      </c>
      <c r="D60" s="23" t="s">
        <v>551</v>
      </c>
      <c r="E60" s="10">
        <f>Source!AQ32</f>
        <v>13.57</v>
      </c>
      <c r="F60" s="25"/>
      <c r="G60" s="24" t="str">
        <f>Source!DI32</f>
        <v/>
      </c>
      <c r="H60" s="10">
        <f>Source!AV32</f>
        <v>1</v>
      </c>
      <c r="I60" s="10"/>
      <c r="J60" s="25"/>
      <c r="K60" s="25">
        <f>Source!U32</f>
        <v>21.10135</v>
      </c>
    </row>
    <row r="61" spans="1:22" ht="15" x14ac:dyDescent="0.25">
      <c r="A61" s="31"/>
      <c r="B61" s="31"/>
      <c r="C61" s="31"/>
      <c r="D61" s="31"/>
      <c r="E61" s="31"/>
      <c r="F61" s="31"/>
      <c r="G61" s="31"/>
      <c r="H61" s="31"/>
      <c r="I61" s="70">
        <f>J51+J52+J54+J57+J58+J59+SUM(J55:J56)</f>
        <v>59924.590000000004</v>
      </c>
      <c r="J61" s="70"/>
      <c r="K61" s="32">
        <f>IF(Source!I32&lt;&gt;0, ROUND(I61/Source!I32, 2), 0)</f>
        <v>38536.71</v>
      </c>
      <c r="P61" s="29">
        <f>I61</f>
        <v>59924.590000000004</v>
      </c>
    </row>
    <row r="63" spans="1:22" ht="15" x14ac:dyDescent="0.25">
      <c r="A63" s="73" t="str">
        <f>CONCATENATE("Итого по разделу: ",IF(Source!G36&lt;&gt;"Новый раздел", Source!G36, ""))</f>
        <v>Итого по разделу: Ремонт асфальтобетонного покрытия тротуаров (155,5 м2)</v>
      </c>
      <c r="B63" s="73"/>
      <c r="C63" s="73"/>
      <c r="D63" s="73"/>
      <c r="E63" s="73"/>
      <c r="F63" s="73"/>
      <c r="G63" s="73"/>
      <c r="H63" s="73"/>
      <c r="I63" s="71">
        <f>SUM(P34:P62)</f>
        <v>71691.92</v>
      </c>
      <c r="J63" s="72"/>
      <c r="K63" s="33"/>
    </row>
    <row r="66" spans="1:22" ht="16.5" x14ac:dyDescent="0.25">
      <c r="A66" s="74" t="str">
        <f>CONCATENATE("Раздел: ",IF(Source!G66&lt;&gt;"Новый раздел", Source!G66, ""))</f>
        <v>Раздел: Ремонт асфальтобетонного покрытия площадок (392 м2)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</row>
    <row r="67" spans="1:22" ht="42.75" x14ac:dyDescent="0.2">
      <c r="A67" s="20" t="str">
        <f>Source!E70</f>
        <v>3</v>
      </c>
      <c r="B67" s="21" t="str">
        <f>Source!F70</f>
        <v>2.1-3301-2-1/1</v>
      </c>
      <c r="C67" s="21" t="str">
        <f>Source!G70</f>
        <v>Исправление профиля щебеночных оснований с добавлением нового материала</v>
      </c>
      <c r="D67" s="23" t="str">
        <f>Source!H70</f>
        <v>1000 м2</v>
      </c>
      <c r="E67" s="10">
        <f>Source!I70</f>
        <v>0.1176</v>
      </c>
      <c r="F67" s="25"/>
      <c r="G67" s="24"/>
      <c r="H67" s="10"/>
      <c r="I67" s="10"/>
      <c r="J67" s="25"/>
      <c r="K67" s="25"/>
      <c r="Q67">
        <f>ROUND((Source!BZ70/100)*ROUND((Source!AF70*Source!AV70)*Source!I70, 2), 2)</f>
        <v>1295.51</v>
      </c>
      <c r="R67">
        <f>Source!X70</f>
        <v>1295.51</v>
      </c>
      <c r="S67">
        <f>ROUND((Source!CA70/100)*ROUND((Source!AF70*Source!AV70)*Source!I70, 2), 2)</f>
        <v>185.07</v>
      </c>
      <c r="T67">
        <f>Source!Y70</f>
        <v>185.07</v>
      </c>
      <c r="U67">
        <f>ROUND((175/100)*ROUND((Source!AE70*Source!AV70)*Source!I70, 2), 2)</f>
        <v>7197.1</v>
      </c>
      <c r="V67">
        <f>ROUND((108/100)*ROUND(Source!CS70*Source!I70, 2), 2)</f>
        <v>4441.6400000000003</v>
      </c>
    </row>
    <row r="68" spans="1:22" x14ac:dyDescent="0.2">
      <c r="C68" s="26" t="str">
        <f>"Объем: "&amp;Source!I70&amp;"=("&amp;Source!I74&amp;"*"&amp;"0,3)/"&amp;"10"</f>
        <v>Объем: 0,1176=(3,92*0,3)/10</v>
      </c>
    </row>
    <row r="69" spans="1:22" ht="14.25" x14ac:dyDescent="0.2">
      <c r="A69" s="20"/>
      <c r="B69" s="21"/>
      <c r="C69" s="21" t="s">
        <v>541</v>
      </c>
      <c r="D69" s="23"/>
      <c r="E69" s="10"/>
      <c r="F69" s="25">
        <f>Source!AO70</f>
        <v>15737.51</v>
      </c>
      <c r="G69" s="24" t="str">
        <f>Source!DG70</f>
        <v/>
      </c>
      <c r="H69" s="10">
        <f>Source!AV70</f>
        <v>1</v>
      </c>
      <c r="I69" s="10">
        <f>IF(Source!BA70&lt;&gt; 0, Source!BA70, 1)</f>
        <v>1</v>
      </c>
      <c r="J69" s="25">
        <f>Source!S70</f>
        <v>1850.73</v>
      </c>
      <c r="K69" s="25"/>
    </row>
    <row r="70" spans="1:22" ht="14.25" x14ac:dyDescent="0.2">
      <c r="A70" s="20"/>
      <c r="B70" s="21"/>
      <c r="C70" s="21" t="s">
        <v>542</v>
      </c>
      <c r="D70" s="23"/>
      <c r="E70" s="10"/>
      <c r="F70" s="25">
        <f>Source!AM70</f>
        <v>86387.49</v>
      </c>
      <c r="G70" s="24" t="str">
        <f>Source!DE70</f>
        <v/>
      </c>
      <c r="H70" s="10">
        <f>Source!AV70</f>
        <v>1</v>
      </c>
      <c r="I70" s="10">
        <f>IF(Source!BB70&lt;&gt; 0, Source!BB70, 1)</f>
        <v>1</v>
      </c>
      <c r="J70" s="25">
        <f>Source!Q70</f>
        <v>10159.17</v>
      </c>
      <c r="K70" s="25"/>
    </row>
    <row r="71" spans="1:22" ht="14.25" x14ac:dyDescent="0.2">
      <c r="A71" s="20"/>
      <c r="B71" s="21"/>
      <c r="C71" s="21" t="s">
        <v>543</v>
      </c>
      <c r="D71" s="23"/>
      <c r="E71" s="10"/>
      <c r="F71" s="25">
        <f>Source!AN70</f>
        <v>34971.35</v>
      </c>
      <c r="G71" s="24" t="str">
        <f>Source!DF70</f>
        <v/>
      </c>
      <c r="H71" s="10">
        <f>Source!AV70</f>
        <v>1</v>
      </c>
      <c r="I71" s="10">
        <f>IF(Source!BS70&lt;&gt; 0, Source!BS70, 1)</f>
        <v>1</v>
      </c>
      <c r="J71" s="27">
        <f>Source!R70</f>
        <v>4112.63</v>
      </c>
      <c r="K71" s="25"/>
    </row>
    <row r="72" spans="1:22" ht="14.25" x14ac:dyDescent="0.2">
      <c r="A72" s="20"/>
      <c r="B72" s="21"/>
      <c r="C72" s="21" t="s">
        <v>544</v>
      </c>
      <c r="D72" s="23"/>
      <c r="E72" s="10"/>
      <c r="F72" s="25">
        <f>Source!AL70</f>
        <v>122133.21</v>
      </c>
      <c r="G72" s="24" t="str">
        <f>Source!DD70</f>
        <v/>
      </c>
      <c r="H72" s="10">
        <f>Source!AW70</f>
        <v>1</v>
      </c>
      <c r="I72" s="10">
        <f>IF(Source!BC70&lt;&gt; 0, Source!BC70, 1)</f>
        <v>1</v>
      </c>
      <c r="J72" s="25">
        <f>Source!P70</f>
        <v>14362.87</v>
      </c>
      <c r="K72" s="25"/>
    </row>
    <row r="73" spans="1:22" ht="42.75" x14ac:dyDescent="0.2">
      <c r="A73" s="20" t="str">
        <f>Source!E71</f>
        <v>3,1</v>
      </c>
      <c r="B73" s="21" t="str">
        <f>Source!F71</f>
        <v>21.1-12-35</v>
      </c>
      <c r="C73" s="21" t="str">
        <f>Source!G71</f>
        <v>Щебень из естественного камня для строительных работ, марка 1200-800, фракция 10-20 мм</v>
      </c>
      <c r="D73" s="23" t="str">
        <f>Source!H71</f>
        <v>м3</v>
      </c>
      <c r="E73" s="10">
        <f>Source!I71</f>
        <v>-1.3524</v>
      </c>
      <c r="F73" s="25">
        <f>Source!AK71</f>
        <v>1908.27</v>
      </c>
      <c r="G73" s="28" t="s">
        <v>545</v>
      </c>
      <c r="H73" s="10">
        <f>Source!AW71</f>
        <v>1</v>
      </c>
      <c r="I73" s="10">
        <f>IF(Source!BC71&lt;&gt; 0, Source!BC71, 1)</f>
        <v>1</v>
      </c>
      <c r="J73" s="25">
        <f>Source!O71</f>
        <v>-2580.7399999999998</v>
      </c>
      <c r="K73" s="25"/>
      <c r="Q73">
        <f>ROUND((Source!BZ71/100)*ROUND((Source!AF71*Source!AV71)*Source!I71, 2), 2)</f>
        <v>0</v>
      </c>
      <c r="R73">
        <f>Source!X71</f>
        <v>0</v>
      </c>
      <c r="S73">
        <f>ROUND((Source!CA71/100)*ROUND((Source!AF71*Source!AV71)*Source!I71, 2), 2)</f>
        <v>0</v>
      </c>
      <c r="T73">
        <f>Source!Y71</f>
        <v>0</v>
      </c>
      <c r="U73">
        <f>ROUND((175/100)*ROUND((Source!AE71*Source!AV71)*Source!I71, 2), 2)</f>
        <v>0</v>
      </c>
      <c r="V73">
        <f>ROUND((108/100)*ROUND(Source!CS71*Source!I71, 2), 2)</f>
        <v>0</v>
      </c>
    </row>
    <row r="74" spans="1:22" ht="42.75" x14ac:dyDescent="0.2">
      <c r="A74" s="20" t="str">
        <f>Source!E72</f>
        <v>3,2</v>
      </c>
      <c r="B74" s="21" t="str">
        <f>Source!F72</f>
        <v>21.1-12-36</v>
      </c>
      <c r="C74" s="21" t="str">
        <f>Source!G72</f>
        <v>Щебень из естественного камня для строительных работ, марка 1200-800, фракция 20-40 мм</v>
      </c>
      <c r="D74" s="23" t="str">
        <f>Source!H72</f>
        <v>м3</v>
      </c>
      <c r="E74" s="10">
        <f>Source!I72</f>
        <v>-6.468</v>
      </c>
      <c r="F74" s="25">
        <f>Source!AK72</f>
        <v>1806.27</v>
      </c>
      <c r="G74" s="28" t="s">
        <v>545</v>
      </c>
      <c r="H74" s="10">
        <f>Source!AW72</f>
        <v>1</v>
      </c>
      <c r="I74" s="10">
        <f>IF(Source!BC72&lt;&gt; 0, Source!BC72, 1)</f>
        <v>1</v>
      </c>
      <c r="J74" s="25">
        <f>Source!O72</f>
        <v>-11682.95</v>
      </c>
      <c r="K74" s="25"/>
      <c r="Q74">
        <f>ROUND((Source!BZ72/100)*ROUND((Source!AF72*Source!AV72)*Source!I72, 2), 2)</f>
        <v>0</v>
      </c>
      <c r="R74">
        <f>Source!X72</f>
        <v>0</v>
      </c>
      <c r="S74">
        <f>ROUND((Source!CA72/100)*ROUND((Source!AF72*Source!AV72)*Source!I72, 2), 2)</f>
        <v>0</v>
      </c>
      <c r="T74">
        <f>Source!Y72</f>
        <v>0</v>
      </c>
      <c r="U74">
        <f>ROUND((175/100)*ROUND((Source!AE72*Source!AV72)*Source!I72, 2), 2)</f>
        <v>0</v>
      </c>
      <c r="V74">
        <f>ROUND((108/100)*ROUND(Source!CS72*Source!I72, 2), 2)</f>
        <v>0</v>
      </c>
    </row>
    <row r="75" spans="1:22" ht="42.75" x14ac:dyDescent="0.2">
      <c r="A75" s="20" t="str">
        <f>Source!E73</f>
        <v>3,3</v>
      </c>
      <c r="B75" s="21" t="str">
        <f>Source!F73</f>
        <v>21.1-12-29</v>
      </c>
      <c r="C75" s="21" t="str">
        <f>Source!G73</f>
        <v>Щебень из естественного камня для строительных работ, марка 600-400, фракция 5-10 мм</v>
      </c>
      <c r="D75" s="23" t="str">
        <f>Source!H73</f>
        <v>м3</v>
      </c>
      <c r="E75" s="10">
        <f>Source!I73</f>
        <v>7.8203999999999994</v>
      </c>
      <c r="F75" s="25">
        <f>Source!AK73</f>
        <v>1487.52</v>
      </c>
      <c r="G75" s="28" t="s">
        <v>545</v>
      </c>
      <c r="H75" s="10">
        <f>Source!AW73</f>
        <v>1</v>
      </c>
      <c r="I75" s="10">
        <f>IF(Source!BC73&lt;&gt; 0, Source!BC73, 1)</f>
        <v>1</v>
      </c>
      <c r="J75" s="25">
        <f>Source!O73</f>
        <v>11633</v>
      </c>
      <c r="K75" s="25"/>
      <c r="Q75">
        <f>ROUND((Source!BZ73/100)*ROUND((Source!AF73*Source!AV73)*Source!I73, 2), 2)</f>
        <v>0</v>
      </c>
      <c r="R75">
        <f>Source!X73</f>
        <v>0</v>
      </c>
      <c r="S75">
        <f>ROUND((Source!CA73/100)*ROUND((Source!AF73*Source!AV73)*Source!I73, 2), 2)</f>
        <v>0</v>
      </c>
      <c r="T75">
        <f>Source!Y73</f>
        <v>0</v>
      </c>
      <c r="U75">
        <f>ROUND((175/100)*ROUND((Source!AE73*Source!AV73)*Source!I73, 2), 2)</f>
        <v>0</v>
      </c>
      <c r="V75">
        <f>ROUND((108/100)*ROUND(Source!CS73*Source!I73, 2), 2)</f>
        <v>0</v>
      </c>
    </row>
    <row r="76" spans="1:22" ht="14.25" x14ac:dyDescent="0.2">
      <c r="A76" s="20"/>
      <c r="B76" s="21"/>
      <c r="C76" s="21" t="s">
        <v>546</v>
      </c>
      <c r="D76" s="23" t="s">
        <v>547</v>
      </c>
      <c r="E76" s="10">
        <f>Source!AT70</f>
        <v>70</v>
      </c>
      <c r="F76" s="25"/>
      <c r="G76" s="24"/>
      <c r="H76" s="10"/>
      <c r="I76" s="10"/>
      <c r="J76" s="25">
        <f>SUM(R67:R75)</f>
        <v>1295.51</v>
      </c>
      <c r="K76" s="25"/>
    </row>
    <row r="77" spans="1:22" ht="14.25" x14ac:dyDescent="0.2">
      <c r="A77" s="20"/>
      <c r="B77" s="21"/>
      <c r="C77" s="21" t="s">
        <v>548</v>
      </c>
      <c r="D77" s="23" t="s">
        <v>547</v>
      </c>
      <c r="E77" s="10">
        <f>Source!AU70</f>
        <v>10</v>
      </c>
      <c r="F77" s="25"/>
      <c r="G77" s="24"/>
      <c r="H77" s="10"/>
      <c r="I77" s="10"/>
      <c r="J77" s="25">
        <f>SUM(T67:T76)</f>
        <v>185.07</v>
      </c>
      <c r="K77" s="25"/>
    </row>
    <row r="78" spans="1:22" ht="14.25" x14ac:dyDescent="0.2">
      <c r="A78" s="20"/>
      <c r="B78" s="21"/>
      <c r="C78" s="21" t="s">
        <v>549</v>
      </c>
      <c r="D78" s="23" t="s">
        <v>547</v>
      </c>
      <c r="E78" s="10">
        <f>108</f>
        <v>108</v>
      </c>
      <c r="F78" s="25"/>
      <c r="G78" s="24"/>
      <c r="H78" s="10"/>
      <c r="I78" s="10"/>
      <c r="J78" s="25">
        <f>SUM(V67:V77)</f>
        <v>4441.6400000000003</v>
      </c>
      <c r="K78" s="25"/>
    </row>
    <row r="79" spans="1:22" ht="14.25" x14ac:dyDescent="0.2">
      <c r="A79" s="20"/>
      <c r="B79" s="21"/>
      <c r="C79" s="21" t="s">
        <v>550</v>
      </c>
      <c r="D79" s="23" t="s">
        <v>551</v>
      </c>
      <c r="E79" s="10">
        <f>Source!AQ70</f>
        <v>87.29</v>
      </c>
      <c r="F79" s="25"/>
      <c r="G79" s="24" t="str">
        <f>Source!DI70</f>
        <v/>
      </c>
      <c r="H79" s="10">
        <f>Source!AV70</f>
        <v>1</v>
      </c>
      <c r="I79" s="10"/>
      <c r="J79" s="25"/>
      <c r="K79" s="25">
        <f>Source!U70</f>
        <v>10.265304</v>
      </c>
    </row>
    <row r="80" spans="1:22" ht="15" x14ac:dyDescent="0.25">
      <c r="A80" s="31"/>
      <c r="B80" s="31"/>
      <c r="C80" s="31"/>
      <c r="D80" s="31"/>
      <c r="E80" s="31"/>
      <c r="F80" s="31"/>
      <c r="G80" s="31"/>
      <c r="H80" s="31"/>
      <c r="I80" s="70">
        <f>J69+J70+J72+J76+J77+J78+SUM(J73:J75)</f>
        <v>29664.299999999996</v>
      </c>
      <c r="J80" s="70"/>
      <c r="K80" s="32">
        <f>IF(Source!I70&lt;&gt;0, ROUND(I80/Source!I70, 2), 0)</f>
        <v>252247.45</v>
      </c>
      <c r="P80" s="29">
        <f>I80</f>
        <v>29664.299999999996</v>
      </c>
    </row>
    <row r="81" spans="1:22" ht="42.75" x14ac:dyDescent="0.2">
      <c r="A81" s="20" t="str">
        <f>Source!E74</f>
        <v>4</v>
      </c>
      <c r="B81" s="21" t="str">
        <f>Source!F74</f>
        <v>2.1-3103-18-1/1</v>
      </c>
      <c r="C81" s="21" t="str">
        <f>Source!G74</f>
        <v>Устройство покрытий из асфальтобетонных смесей вручную, толщина 4 см (5 см)</v>
      </c>
      <c r="D81" s="23" t="str">
        <f>Source!H74</f>
        <v>100 м2</v>
      </c>
      <c r="E81" s="10">
        <f>Source!I74</f>
        <v>3.92</v>
      </c>
      <c r="F81" s="25"/>
      <c r="G81" s="24"/>
      <c r="H81" s="10"/>
      <c r="I81" s="10"/>
      <c r="J81" s="25"/>
      <c r="K81" s="25"/>
      <c r="Q81">
        <f>ROUND((Source!BZ74/100)*ROUND((Source!AF74*Source!AV74)*Source!I74, 2), 2)</f>
        <v>8108.52</v>
      </c>
      <c r="R81">
        <f>Source!X74</f>
        <v>8108.52</v>
      </c>
      <c r="S81">
        <f>ROUND((Source!CA74/100)*ROUND((Source!AF74*Source!AV74)*Source!I74, 2), 2)</f>
        <v>1158.3599999999999</v>
      </c>
      <c r="T81">
        <f>Source!Y74</f>
        <v>1158.3599999999999</v>
      </c>
      <c r="U81">
        <f>ROUND((175/100)*ROUND((Source!AE74*Source!AV74)*Source!I74, 2), 2)</f>
        <v>6398.25</v>
      </c>
      <c r="V81">
        <f>ROUND((108/100)*ROUND(Source!CS74*Source!I74, 2), 2)</f>
        <v>3948.63</v>
      </c>
    </row>
    <row r="82" spans="1:22" x14ac:dyDescent="0.2">
      <c r="C82" s="26" t="str">
        <f>"Объем: "&amp;Source!I74&amp;"=392/"&amp;"100"</f>
        <v>Объем: 3,92=392/100</v>
      </c>
    </row>
    <row r="83" spans="1:22" ht="14.25" x14ac:dyDescent="0.2">
      <c r="A83" s="20"/>
      <c r="B83" s="21"/>
      <c r="C83" s="21" t="s">
        <v>541</v>
      </c>
      <c r="D83" s="23"/>
      <c r="E83" s="10"/>
      <c r="F83" s="25">
        <f>Source!AO74</f>
        <v>2955</v>
      </c>
      <c r="G83" s="24" t="str">
        <f>Source!DG74</f>
        <v/>
      </c>
      <c r="H83" s="10">
        <f>Source!AV74</f>
        <v>1</v>
      </c>
      <c r="I83" s="10">
        <f>IF(Source!BA74&lt;&gt; 0, Source!BA74, 1)</f>
        <v>1</v>
      </c>
      <c r="J83" s="25">
        <f>Source!S74</f>
        <v>11583.6</v>
      </c>
      <c r="K83" s="25"/>
    </row>
    <row r="84" spans="1:22" ht="14.25" x14ac:dyDescent="0.2">
      <c r="A84" s="20"/>
      <c r="B84" s="21"/>
      <c r="C84" s="21" t="s">
        <v>542</v>
      </c>
      <c r="D84" s="23"/>
      <c r="E84" s="10"/>
      <c r="F84" s="25">
        <f>Source!AM74</f>
        <v>1539.31</v>
      </c>
      <c r="G84" s="24" t="str">
        <f>Source!DE74</f>
        <v/>
      </c>
      <c r="H84" s="10">
        <f>Source!AV74</f>
        <v>1</v>
      </c>
      <c r="I84" s="10">
        <f>IF(Source!BB74&lt;&gt; 0, Source!BB74, 1)</f>
        <v>1</v>
      </c>
      <c r="J84" s="25">
        <f>Source!Q74</f>
        <v>6034.1</v>
      </c>
      <c r="K84" s="25"/>
    </row>
    <row r="85" spans="1:22" ht="14.25" x14ac:dyDescent="0.2">
      <c r="A85" s="20"/>
      <c r="B85" s="21"/>
      <c r="C85" s="21" t="s">
        <v>543</v>
      </c>
      <c r="D85" s="23"/>
      <c r="E85" s="10"/>
      <c r="F85" s="25">
        <f>Source!AN74</f>
        <v>932.69</v>
      </c>
      <c r="G85" s="24" t="str">
        <f>Source!DF74</f>
        <v/>
      </c>
      <c r="H85" s="10">
        <f>Source!AV74</f>
        <v>1</v>
      </c>
      <c r="I85" s="10">
        <f>IF(Source!BS74&lt;&gt; 0, Source!BS74, 1)</f>
        <v>1</v>
      </c>
      <c r="J85" s="27">
        <f>Source!R74</f>
        <v>3656.14</v>
      </c>
      <c r="K85" s="25"/>
    </row>
    <row r="86" spans="1:22" ht="14.25" x14ac:dyDescent="0.2">
      <c r="A86" s="20"/>
      <c r="B86" s="21"/>
      <c r="C86" s="21" t="s">
        <v>544</v>
      </c>
      <c r="D86" s="23"/>
      <c r="E86" s="10"/>
      <c r="F86" s="25">
        <f>Source!AL74</f>
        <v>26130.89</v>
      </c>
      <c r="G86" s="24" t="str">
        <f>Source!DD74</f>
        <v/>
      </c>
      <c r="H86" s="10">
        <f>Source!AW74</f>
        <v>1</v>
      </c>
      <c r="I86" s="10">
        <f>IF(Source!BC74&lt;&gt; 0, Source!BC74, 1)</f>
        <v>1</v>
      </c>
      <c r="J86" s="25">
        <f>Source!P74</f>
        <v>102433.09</v>
      </c>
      <c r="K86" s="25"/>
    </row>
    <row r="87" spans="1:22" ht="42.75" x14ac:dyDescent="0.2">
      <c r="A87" s="20" t="str">
        <f>Source!E75</f>
        <v>4,1</v>
      </c>
      <c r="B87" s="21" t="str">
        <f>Source!F75</f>
        <v>21.3-3-18</v>
      </c>
      <c r="C87" s="21" t="str">
        <f>Source!G75</f>
        <v>Смеси асфальтобетонные дорожные горячие мелкозернистые, марка I, тип Б</v>
      </c>
      <c r="D87" s="23" t="str">
        <f>Source!H75</f>
        <v>т</v>
      </c>
      <c r="E87" s="10">
        <f>Source!I75</f>
        <v>-37.553600000000003</v>
      </c>
      <c r="F87" s="25">
        <f>Source!AK75</f>
        <v>2727.65</v>
      </c>
      <c r="G87" s="28" t="s">
        <v>545</v>
      </c>
      <c r="H87" s="10">
        <f>Source!AW75</f>
        <v>1</v>
      </c>
      <c r="I87" s="10">
        <f>IF(Source!BC75&lt;&gt; 0, Source!BC75, 1)</f>
        <v>1</v>
      </c>
      <c r="J87" s="25">
        <f>Source!O75</f>
        <v>-102433.08</v>
      </c>
      <c r="K87" s="25"/>
      <c r="Q87">
        <f>ROUND((Source!BZ75/100)*ROUND((Source!AF75*Source!AV75)*Source!I75, 2), 2)</f>
        <v>0</v>
      </c>
      <c r="R87">
        <f>Source!X75</f>
        <v>0</v>
      </c>
      <c r="S87">
        <f>ROUND((Source!CA75/100)*ROUND((Source!AF75*Source!AV75)*Source!I75, 2), 2)</f>
        <v>0</v>
      </c>
      <c r="T87">
        <f>Source!Y75</f>
        <v>0</v>
      </c>
      <c r="U87">
        <f>ROUND((175/100)*ROUND((Source!AE75*Source!AV75)*Source!I75, 2), 2)</f>
        <v>0</v>
      </c>
      <c r="V87">
        <f>ROUND((108/100)*ROUND(Source!CS75*Source!I75, 2), 2)</f>
        <v>0</v>
      </c>
    </row>
    <row r="88" spans="1:22" ht="28.5" x14ac:dyDescent="0.2">
      <c r="A88" s="20" t="str">
        <f>Source!E76</f>
        <v>4,2</v>
      </c>
      <c r="B88" s="21" t="str">
        <f>Source!F76</f>
        <v>21.3-3-34</v>
      </c>
      <c r="C88" s="21" t="str">
        <f>Source!G76</f>
        <v>Смеси асфальтобетонные дорожные горячие песчаные, тип Д, марка III</v>
      </c>
      <c r="D88" s="23" t="str">
        <f>Source!H76</f>
        <v>т</v>
      </c>
      <c r="E88" s="10">
        <f>Source!I76</f>
        <v>45.746400000000001</v>
      </c>
      <c r="F88" s="25">
        <f>Source!AK76</f>
        <v>2628.2</v>
      </c>
      <c r="G88" s="28" t="s">
        <v>545</v>
      </c>
      <c r="H88" s="10">
        <f>Source!AW76</f>
        <v>1</v>
      </c>
      <c r="I88" s="10">
        <f>IF(Source!BC76&lt;&gt; 0, Source!BC76, 1)</f>
        <v>1</v>
      </c>
      <c r="J88" s="25">
        <f>Source!O76</f>
        <v>120230.69</v>
      </c>
      <c r="K88" s="25"/>
      <c r="Q88">
        <f>ROUND((Source!BZ76/100)*ROUND((Source!AF76*Source!AV76)*Source!I76, 2), 2)</f>
        <v>0</v>
      </c>
      <c r="R88">
        <f>Source!X76</f>
        <v>0</v>
      </c>
      <c r="S88">
        <f>ROUND((Source!CA76/100)*ROUND((Source!AF76*Source!AV76)*Source!I76, 2), 2)</f>
        <v>0</v>
      </c>
      <c r="T88">
        <f>Source!Y76</f>
        <v>0</v>
      </c>
      <c r="U88">
        <f>ROUND((175/100)*ROUND((Source!AE76*Source!AV76)*Source!I76, 2), 2)</f>
        <v>0</v>
      </c>
      <c r="V88">
        <f>ROUND((108/100)*ROUND(Source!CS76*Source!I76, 2), 2)</f>
        <v>0</v>
      </c>
    </row>
    <row r="89" spans="1:22" ht="14.25" x14ac:dyDescent="0.2">
      <c r="A89" s="20"/>
      <c r="B89" s="21"/>
      <c r="C89" s="21" t="s">
        <v>546</v>
      </c>
      <c r="D89" s="23" t="s">
        <v>547</v>
      </c>
      <c r="E89" s="10">
        <f>Source!AT74</f>
        <v>70</v>
      </c>
      <c r="F89" s="25"/>
      <c r="G89" s="24"/>
      <c r="H89" s="10"/>
      <c r="I89" s="10"/>
      <c r="J89" s="25">
        <f>SUM(R81:R88)</f>
        <v>8108.52</v>
      </c>
      <c r="K89" s="25"/>
    </row>
    <row r="90" spans="1:22" ht="14.25" x14ac:dyDescent="0.2">
      <c r="A90" s="20"/>
      <c r="B90" s="21"/>
      <c r="C90" s="21" t="s">
        <v>548</v>
      </c>
      <c r="D90" s="23" t="s">
        <v>547</v>
      </c>
      <c r="E90" s="10">
        <f>Source!AU74</f>
        <v>10</v>
      </c>
      <c r="F90" s="25"/>
      <c r="G90" s="24"/>
      <c r="H90" s="10"/>
      <c r="I90" s="10"/>
      <c r="J90" s="25">
        <f>SUM(T81:T89)</f>
        <v>1158.3599999999999</v>
      </c>
      <c r="K90" s="25"/>
    </row>
    <row r="91" spans="1:22" ht="14.25" x14ac:dyDescent="0.2">
      <c r="A91" s="20"/>
      <c r="B91" s="21"/>
      <c r="C91" s="21" t="s">
        <v>549</v>
      </c>
      <c r="D91" s="23" t="s">
        <v>547</v>
      </c>
      <c r="E91" s="10">
        <f>108</f>
        <v>108</v>
      </c>
      <c r="F91" s="25"/>
      <c r="G91" s="24"/>
      <c r="H91" s="10"/>
      <c r="I91" s="10"/>
      <c r="J91" s="25">
        <f>SUM(V81:V90)</f>
        <v>3948.63</v>
      </c>
      <c r="K91" s="25"/>
    </row>
    <row r="92" spans="1:22" ht="14.25" x14ac:dyDescent="0.2">
      <c r="A92" s="20"/>
      <c r="B92" s="21"/>
      <c r="C92" s="21" t="s">
        <v>550</v>
      </c>
      <c r="D92" s="23" t="s">
        <v>551</v>
      </c>
      <c r="E92" s="10">
        <f>Source!AQ74</f>
        <v>13.57</v>
      </c>
      <c r="F92" s="25"/>
      <c r="G92" s="24" t="str">
        <f>Source!DI74</f>
        <v/>
      </c>
      <c r="H92" s="10">
        <f>Source!AV74</f>
        <v>1</v>
      </c>
      <c r="I92" s="10"/>
      <c r="J92" s="25"/>
      <c r="K92" s="25">
        <f>Source!U74</f>
        <v>53.194400000000002</v>
      </c>
    </row>
    <row r="93" spans="1:22" ht="15" x14ac:dyDescent="0.25">
      <c r="A93" s="31"/>
      <c r="B93" s="31"/>
      <c r="C93" s="31"/>
      <c r="D93" s="31"/>
      <c r="E93" s="31"/>
      <c r="F93" s="31"/>
      <c r="G93" s="31"/>
      <c r="H93" s="31"/>
      <c r="I93" s="70">
        <f>J83+J84+J86+J89+J90+J91+SUM(J87:J88)</f>
        <v>151063.90999999997</v>
      </c>
      <c r="J93" s="70"/>
      <c r="K93" s="32">
        <f>IF(Source!I74&lt;&gt;0, ROUND(I93/Source!I74, 2), 0)</f>
        <v>38536.71</v>
      </c>
      <c r="P93" s="29">
        <f>I93</f>
        <v>151063.90999999997</v>
      </c>
    </row>
    <row r="95" spans="1:22" ht="15" x14ac:dyDescent="0.25">
      <c r="A95" s="73" t="str">
        <f>CONCATENATE("Итого по разделу: ",IF(Source!G78&lt;&gt;"Новый раздел", Source!G78, ""))</f>
        <v>Итого по разделу: Ремонт асфальтобетонного покрытия площадок (392 м2)</v>
      </c>
      <c r="B95" s="73"/>
      <c r="C95" s="73"/>
      <c r="D95" s="73"/>
      <c r="E95" s="73"/>
      <c r="F95" s="73"/>
      <c r="G95" s="73"/>
      <c r="H95" s="73"/>
      <c r="I95" s="71">
        <f>SUM(P66:P94)</f>
        <v>180728.20999999996</v>
      </c>
      <c r="J95" s="72"/>
      <c r="K95" s="33"/>
    </row>
    <row r="98" spans="1:22" ht="16.5" x14ac:dyDescent="0.25">
      <c r="A98" s="74" t="str">
        <f>CONCATENATE("Раздел: ",IF(Source!G108&lt;&gt;"Новый раздел", Source!G108, ""))</f>
        <v>Раздел: Ремонт веранд (280 м2)</v>
      </c>
      <c r="B98" s="74"/>
      <c r="C98" s="74"/>
      <c r="D98" s="74"/>
      <c r="E98" s="74"/>
      <c r="F98" s="74"/>
      <c r="G98" s="74"/>
      <c r="H98" s="74"/>
      <c r="I98" s="74"/>
      <c r="J98" s="74"/>
      <c r="K98" s="74"/>
    </row>
    <row r="99" spans="1:22" ht="28.5" x14ac:dyDescent="0.2">
      <c r="A99" s="20" t="str">
        <f>Source!E112</f>
        <v>5</v>
      </c>
      <c r="B99" s="21" t="str">
        <f>Source!F112</f>
        <v>1.10-3404-2-1/1</v>
      </c>
      <c r="C99" s="21" t="str">
        <f>Source!G112</f>
        <v>Разборка дощатых покрытий</v>
      </c>
      <c r="D99" s="23" t="str">
        <f>Source!H112</f>
        <v>100 м2</v>
      </c>
      <c r="E99" s="10">
        <f>Source!I112</f>
        <v>2.8</v>
      </c>
      <c r="F99" s="25"/>
      <c r="G99" s="24"/>
      <c r="H99" s="10"/>
      <c r="I99" s="10"/>
      <c r="J99" s="25"/>
      <c r="K99" s="25"/>
      <c r="Q99">
        <f>ROUND((Source!BZ112/100)*ROUND((Source!AF112*Source!AV112)*Source!I112, 2), 2)</f>
        <v>11335.8</v>
      </c>
      <c r="R99">
        <f>Source!X112</f>
        <v>11335.8</v>
      </c>
      <c r="S99">
        <f>ROUND((Source!CA112/100)*ROUND((Source!AF112*Source!AV112)*Source!I112, 2), 2)</f>
        <v>1619.4</v>
      </c>
      <c r="T99">
        <f>Source!Y112</f>
        <v>1619.4</v>
      </c>
      <c r="U99">
        <f>ROUND((175/100)*ROUND((Source!AE112*Source!AV112)*Source!I112, 2), 2)</f>
        <v>0</v>
      </c>
      <c r="V99">
        <f>ROUND((108/100)*ROUND(Source!CS112*Source!I112, 2), 2)</f>
        <v>0</v>
      </c>
    </row>
    <row r="100" spans="1:22" x14ac:dyDescent="0.2">
      <c r="C100" s="26" t="str">
        <f>"Объем: "&amp;Source!I112&amp;"=280/"&amp;"100"</f>
        <v>Объем: 2,8=280/100</v>
      </c>
    </row>
    <row r="101" spans="1:22" ht="14.25" x14ac:dyDescent="0.2">
      <c r="A101" s="20"/>
      <c r="B101" s="21"/>
      <c r="C101" s="21" t="s">
        <v>541</v>
      </c>
      <c r="D101" s="23"/>
      <c r="E101" s="10"/>
      <c r="F101" s="25">
        <f>Source!AO112</f>
        <v>5783.57</v>
      </c>
      <c r="G101" s="24" t="str">
        <f>Source!DG112</f>
        <v/>
      </c>
      <c r="H101" s="10">
        <f>Source!AV112</f>
        <v>1</v>
      </c>
      <c r="I101" s="10">
        <f>IF(Source!BA112&lt;&gt; 0, Source!BA112, 1)</f>
        <v>1</v>
      </c>
      <c r="J101" s="25">
        <f>Source!S112</f>
        <v>16194</v>
      </c>
      <c r="K101" s="25"/>
    </row>
    <row r="102" spans="1:22" ht="28.5" x14ac:dyDescent="0.2">
      <c r="A102" s="20" t="str">
        <f>Source!E113</f>
        <v>5,1</v>
      </c>
      <c r="B102" s="21" t="str">
        <f>Source!F113</f>
        <v>9999990001</v>
      </c>
      <c r="C102" s="21" t="str">
        <f>Source!G113</f>
        <v>Масса мусора</v>
      </c>
      <c r="D102" s="23" t="str">
        <f>Source!H113</f>
        <v>т</v>
      </c>
      <c r="E102" s="10">
        <f>Source!I113</f>
        <v>-2.2400000000000002</v>
      </c>
      <c r="F102" s="25">
        <f>Source!AK113</f>
        <v>0</v>
      </c>
      <c r="G102" s="28" t="s">
        <v>545</v>
      </c>
      <c r="H102" s="10">
        <f>Source!AW113</f>
        <v>1</v>
      </c>
      <c r="I102" s="10">
        <f>IF(Source!BC113&lt;&gt; 0, Source!BC113, 1)</f>
        <v>1</v>
      </c>
      <c r="J102" s="25">
        <f>Source!O113</f>
        <v>0</v>
      </c>
      <c r="K102" s="25"/>
      <c r="Q102">
        <f>ROUND((Source!BZ113/100)*ROUND((Source!AF113*Source!AV113)*Source!I113, 2), 2)</f>
        <v>0</v>
      </c>
      <c r="R102">
        <f>Source!X113</f>
        <v>0</v>
      </c>
      <c r="S102">
        <f>ROUND((Source!CA113/100)*ROUND((Source!AF113*Source!AV113)*Source!I113, 2), 2)</f>
        <v>0</v>
      </c>
      <c r="T102">
        <f>Source!Y113</f>
        <v>0</v>
      </c>
      <c r="U102">
        <f>ROUND((175/100)*ROUND((Source!AE113*Source!AV113)*Source!I113, 2), 2)</f>
        <v>0</v>
      </c>
      <c r="V102">
        <f>ROUND((108/100)*ROUND(Source!CS113*Source!I113, 2), 2)</f>
        <v>0</v>
      </c>
    </row>
    <row r="103" spans="1:22" ht="14.25" x14ac:dyDescent="0.2">
      <c r="A103" s="20"/>
      <c r="B103" s="21"/>
      <c r="C103" s="21" t="s">
        <v>546</v>
      </c>
      <c r="D103" s="23" t="s">
        <v>547</v>
      </c>
      <c r="E103" s="10">
        <f>Source!AT112</f>
        <v>70</v>
      </c>
      <c r="F103" s="25"/>
      <c r="G103" s="24"/>
      <c r="H103" s="10"/>
      <c r="I103" s="10"/>
      <c r="J103" s="25">
        <f>SUM(R99:R102)</f>
        <v>11335.8</v>
      </c>
      <c r="K103" s="25"/>
    </row>
    <row r="104" spans="1:22" ht="14.25" x14ac:dyDescent="0.2">
      <c r="A104" s="20"/>
      <c r="B104" s="21"/>
      <c r="C104" s="21" t="s">
        <v>548</v>
      </c>
      <c r="D104" s="23" t="s">
        <v>547</v>
      </c>
      <c r="E104" s="10">
        <f>Source!AU112</f>
        <v>10</v>
      </c>
      <c r="F104" s="25"/>
      <c r="G104" s="24"/>
      <c r="H104" s="10"/>
      <c r="I104" s="10"/>
      <c r="J104" s="25">
        <f>SUM(T99:T103)</f>
        <v>1619.4</v>
      </c>
      <c r="K104" s="25"/>
    </row>
    <row r="105" spans="1:22" ht="14.25" x14ac:dyDescent="0.2">
      <c r="A105" s="20"/>
      <c r="B105" s="21"/>
      <c r="C105" s="21" t="s">
        <v>550</v>
      </c>
      <c r="D105" s="23" t="s">
        <v>551</v>
      </c>
      <c r="E105" s="10">
        <f>Source!AQ112</f>
        <v>33.6</v>
      </c>
      <c r="F105" s="25"/>
      <c r="G105" s="24" t="str">
        <f>Source!DI112</f>
        <v/>
      </c>
      <c r="H105" s="10">
        <f>Source!AV112</f>
        <v>1</v>
      </c>
      <c r="I105" s="10"/>
      <c r="J105" s="25"/>
      <c r="K105" s="25">
        <f>Source!U112</f>
        <v>94.08</v>
      </c>
    </row>
    <row r="106" spans="1:22" ht="15" x14ac:dyDescent="0.25">
      <c r="A106" s="31"/>
      <c r="B106" s="31"/>
      <c r="C106" s="31"/>
      <c r="D106" s="31"/>
      <c r="E106" s="31"/>
      <c r="F106" s="31"/>
      <c r="G106" s="31"/>
      <c r="H106" s="31"/>
      <c r="I106" s="70">
        <f>J101+J103+J104+SUM(J102:J102)</f>
        <v>29149.200000000001</v>
      </c>
      <c r="J106" s="70"/>
      <c r="K106" s="32">
        <f>IF(Source!I112&lt;&gt;0, ROUND(I106/Source!I112, 2), 0)</f>
        <v>10410.43</v>
      </c>
      <c r="P106" s="29">
        <f>I106</f>
        <v>29149.200000000001</v>
      </c>
    </row>
    <row r="107" spans="1:22" ht="42.75" x14ac:dyDescent="0.2">
      <c r="A107" s="20" t="str">
        <f>Source!E114</f>
        <v>6</v>
      </c>
      <c r="B107" s="21" t="str">
        <f>Source!F114</f>
        <v>1.49-9101-7-1/1</v>
      </c>
      <c r="C107" s="21" t="str">
        <f>Source!G114</f>
        <v>Механизированная погрузка строительного мусора в автомобили-самосвалы</v>
      </c>
      <c r="D107" s="23" t="str">
        <f>Source!H114</f>
        <v>т</v>
      </c>
      <c r="E107" s="10">
        <f>Source!I114</f>
        <v>2.016</v>
      </c>
      <c r="F107" s="25"/>
      <c r="G107" s="24"/>
      <c r="H107" s="10"/>
      <c r="I107" s="10"/>
      <c r="J107" s="25"/>
      <c r="K107" s="25"/>
      <c r="Q107">
        <f>ROUND((Source!BZ114/100)*ROUND((Source!AF114*Source!AV114)*Source!I114, 2), 2)</f>
        <v>0</v>
      </c>
      <c r="R107">
        <f>Source!X114</f>
        <v>0</v>
      </c>
      <c r="S107">
        <f>ROUND((Source!CA114/100)*ROUND((Source!AF114*Source!AV114)*Source!I114, 2), 2)</f>
        <v>0</v>
      </c>
      <c r="T107">
        <f>Source!Y114</f>
        <v>0</v>
      </c>
      <c r="U107">
        <f>ROUND((175/100)*ROUND((Source!AE114*Source!AV114)*Source!I114, 2), 2)</f>
        <v>86.75</v>
      </c>
      <c r="V107">
        <f>ROUND((108/100)*ROUND(Source!CS114*Source!I114, 2), 2)</f>
        <v>53.54</v>
      </c>
    </row>
    <row r="108" spans="1:22" ht="14.25" x14ac:dyDescent="0.2">
      <c r="A108" s="20"/>
      <c r="B108" s="21"/>
      <c r="C108" s="21" t="s">
        <v>542</v>
      </c>
      <c r="D108" s="23"/>
      <c r="E108" s="10"/>
      <c r="F108" s="25">
        <f>Source!AM114</f>
        <v>77.959999999999994</v>
      </c>
      <c r="G108" s="24" t="str">
        <f>Source!DE114</f>
        <v/>
      </c>
      <c r="H108" s="10">
        <f>Source!AV114</f>
        <v>1</v>
      </c>
      <c r="I108" s="10">
        <f>IF(Source!BB114&lt;&gt; 0, Source!BB114, 1)</f>
        <v>1</v>
      </c>
      <c r="J108" s="25">
        <f>Source!Q114</f>
        <v>157.16999999999999</v>
      </c>
      <c r="K108" s="25"/>
    </row>
    <row r="109" spans="1:22" ht="14.25" x14ac:dyDescent="0.2">
      <c r="A109" s="20"/>
      <c r="B109" s="21"/>
      <c r="C109" s="21" t="s">
        <v>543</v>
      </c>
      <c r="D109" s="23"/>
      <c r="E109" s="10"/>
      <c r="F109" s="25">
        <f>Source!AN114</f>
        <v>24.59</v>
      </c>
      <c r="G109" s="24" t="str">
        <f>Source!DF114</f>
        <v/>
      </c>
      <c r="H109" s="10">
        <f>Source!AV114</f>
        <v>1</v>
      </c>
      <c r="I109" s="10">
        <f>IF(Source!BS114&lt;&gt; 0, Source!BS114, 1)</f>
        <v>1</v>
      </c>
      <c r="J109" s="27">
        <f>Source!R114</f>
        <v>49.57</v>
      </c>
      <c r="K109" s="25"/>
    </row>
    <row r="110" spans="1:22" ht="14.25" x14ac:dyDescent="0.2">
      <c r="A110" s="20"/>
      <c r="B110" s="21"/>
      <c r="C110" s="21" t="s">
        <v>549</v>
      </c>
      <c r="D110" s="23" t="s">
        <v>547</v>
      </c>
      <c r="E110" s="10">
        <f>108</f>
        <v>108</v>
      </c>
      <c r="F110" s="25"/>
      <c r="G110" s="24"/>
      <c r="H110" s="10"/>
      <c r="I110" s="10"/>
      <c r="J110" s="25">
        <f>SUM(V107:V109)</f>
        <v>53.54</v>
      </c>
      <c r="K110" s="25"/>
    </row>
    <row r="111" spans="1:22" ht="15" x14ac:dyDescent="0.25">
      <c r="A111" s="31"/>
      <c r="B111" s="31"/>
      <c r="C111" s="31"/>
      <c r="D111" s="31"/>
      <c r="E111" s="31"/>
      <c r="F111" s="31"/>
      <c r="G111" s="31"/>
      <c r="H111" s="31"/>
      <c r="I111" s="70">
        <f>J108+J110</f>
        <v>210.70999999999998</v>
      </c>
      <c r="J111" s="70"/>
      <c r="K111" s="32">
        <f>IF(Source!I114&lt;&gt;0, ROUND(I111/Source!I114, 2), 0)</f>
        <v>104.52</v>
      </c>
      <c r="P111" s="29">
        <f>I111</f>
        <v>210.70999999999998</v>
      </c>
    </row>
    <row r="112" spans="1:22" ht="28.5" x14ac:dyDescent="0.2">
      <c r="A112" s="20" t="str">
        <f>Source!E115</f>
        <v>7</v>
      </c>
      <c r="B112" s="21" t="str">
        <f>Source!F115</f>
        <v>2.12-3105-5-1/1</v>
      </c>
      <c r="C112" s="21" t="str">
        <f>Source!G115</f>
        <v>Погрузка вручную строительного мусора в самосвал</v>
      </c>
      <c r="D112" s="23" t="str">
        <f>Source!H115</f>
        <v>т</v>
      </c>
      <c r="E112" s="10">
        <f>Source!I115</f>
        <v>0.224</v>
      </c>
      <c r="F112" s="25"/>
      <c r="G112" s="24"/>
      <c r="H112" s="10"/>
      <c r="I112" s="10"/>
      <c r="J112" s="25"/>
      <c r="K112" s="25"/>
      <c r="Q112">
        <f>ROUND((Source!BZ115/100)*ROUND((Source!AF115*Source!AV115)*Source!I115, 2), 2)</f>
        <v>37.51</v>
      </c>
      <c r="R112">
        <f>Source!X115</f>
        <v>37.51</v>
      </c>
      <c r="S112">
        <f>ROUND((Source!CA115/100)*ROUND((Source!AF115*Source!AV115)*Source!I115, 2), 2)</f>
        <v>5.36</v>
      </c>
      <c r="T112">
        <f>Source!Y115</f>
        <v>5.36</v>
      </c>
      <c r="U112">
        <f>ROUND((175/100)*ROUND((Source!AE115*Source!AV115)*Source!I115, 2), 2)</f>
        <v>66.849999999999994</v>
      </c>
      <c r="V112">
        <f>ROUND((108/100)*ROUND(Source!CS115*Source!I115, 2), 2)</f>
        <v>41.26</v>
      </c>
    </row>
    <row r="113" spans="1:22" ht="14.25" x14ac:dyDescent="0.2">
      <c r="A113" s="20"/>
      <c r="B113" s="21"/>
      <c r="C113" s="21" t="s">
        <v>541</v>
      </c>
      <c r="D113" s="23"/>
      <c r="E113" s="10"/>
      <c r="F113" s="25">
        <f>Source!AO115</f>
        <v>239.18</v>
      </c>
      <c r="G113" s="24" t="str">
        <f>Source!DG115</f>
        <v/>
      </c>
      <c r="H113" s="10">
        <f>Source!AV115</f>
        <v>1</v>
      </c>
      <c r="I113" s="10">
        <f>IF(Source!BA115&lt;&gt; 0, Source!BA115, 1)</f>
        <v>1</v>
      </c>
      <c r="J113" s="25">
        <f>Source!S115</f>
        <v>53.58</v>
      </c>
      <c r="K113" s="25"/>
    </row>
    <row r="114" spans="1:22" ht="14.25" x14ac:dyDescent="0.2">
      <c r="A114" s="20"/>
      <c r="B114" s="21"/>
      <c r="C114" s="21" t="s">
        <v>542</v>
      </c>
      <c r="D114" s="23"/>
      <c r="E114" s="10"/>
      <c r="F114" s="25">
        <f>Source!AM115</f>
        <v>513.16999999999996</v>
      </c>
      <c r="G114" s="24" t="str">
        <f>Source!DE115</f>
        <v/>
      </c>
      <c r="H114" s="10">
        <f>Source!AV115</f>
        <v>1</v>
      </c>
      <c r="I114" s="10">
        <f>IF(Source!BB115&lt;&gt; 0, Source!BB115, 1)</f>
        <v>1</v>
      </c>
      <c r="J114" s="25">
        <f>Source!Q115</f>
        <v>114.95</v>
      </c>
      <c r="K114" s="25"/>
    </row>
    <row r="115" spans="1:22" ht="14.25" x14ac:dyDescent="0.2">
      <c r="A115" s="20"/>
      <c r="B115" s="21"/>
      <c r="C115" s="21" t="s">
        <v>543</v>
      </c>
      <c r="D115" s="23"/>
      <c r="E115" s="10"/>
      <c r="F115" s="25">
        <f>Source!AN115</f>
        <v>170.54</v>
      </c>
      <c r="G115" s="24" t="str">
        <f>Source!DF115</f>
        <v/>
      </c>
      <c r="H115" s="10">
        <f>Source!AV115</f>
        <v>1</v>
      </c>
      <c r="I115" s="10">
        <f>IF(Source!BS115&lt;&gt; 0, Source!BS115, 1)</f>
        <v>1</v>
      </c>
      <c r="J115" s="27">
        <f>Source!R115</f>
        <v>38.200000000000003</v>
      </c>
      <c r="K115" s="25"/>
    </row>
    <row r="116" spans="1:22" ht="14.25" x14ac:dyDescent="0.2">
      <c r="A116" s="20"/>
      <c r="B116" s="21"/>
      <c r="C116" s="21" t="s">
        <v>546</v>
      </c>
      <c r="D116" s="23" t="s">
        <v>547</v>
      </c>
      <c r="E116" s="10">
        <f>Source!AT115</f>
        <v>70</v>
      </c>
      <c r="F116" s="25"/>
      <c r="G116" s="24"/>
      <c r="H116" s="10"/>
      <c r="I116" s="10"/>
      <c r="J116" s="25">
        <f>SUM(R112:R115)</f>
        <v>37.51</v>
      </c>
      <c r="K116" s="25"/>
    </row>
    <row r="117" spans="1:22" ht="14.25" x14ac:dyDescent="0.2">
      <c r="A117" s="20"/>
      <c r="B117" s="21"/>
      <c r="C117" s="21" t="s">
        <v>548</v>
      </c>
      <c r="D117" s="23" t="s">
        <v>547</v>
      </c>
      <c r="E117" s="10">
        <f>Source!AU115</f>
        <v>10</v>
      </c>
      <c r="F117" s="25"/>
      <c r="G117" s="24"/>
      <c r="H117" s="10"/>
      <c r="I117" s="10"/>
      <c r="J117" s="25">
        <f>SUM(T112:T116)</f>
        <v>5.36</v>
      </c>
      <c r="K117" s="25"/>
    </row>
    <row r="118" spans="1:22" ht="14.25" x14ac:dyDescent="0.2">
      <c r="A118" s="20"/>
      <c r="B118" s="21"/>
      <c r="C118" s="21" t="s">
        <v>549</v>
      </c>
      <c r="D118" s="23" t="s">
        <v>547</v>
      </c>
      <c r="E118" s="10">
        <f>108</f>
        <v>108</v>
      </c>
      <c r="F118" s="25"/>
      <c r="G118" s="24"/>
      <c r="H118" s="10"/>
      <c r="I118" s="10"/>
      <c r="J118" s="25">
        <f>SUM(V112:V117)</f>
        <v>41.26</v>
      </c>
      <c r="K118" s="25"/>
    </row>
    <row r="119" spans="1:22" ht="14.25" x14ac:dyDescent="0.2">
      <c r="A119" s="20"/>
      <c r="B119" s="21"/>
      <c r="C119" s="21" t="s">
        <v>550</v>
      </c>
      <c r="D119" s="23" t="s">
        <v>551</v>
      </c>
      <c r="E119" s="10">
        <f>Source!AQ115</f>
        <v>1.1200000000000001</v>
      </c>
      <c r="F119" s="25"/>
      <c r="G119" s="24" t="str">
        <f>Source!DI115</f>
        <v/>
      </c>
      <c r="H119" s="10">
        <f>Source!AV115</f>
        <v>1</v>
      </c>
      <c r="I119" s="10"/>
      <c r="J119" s="25"/>
      <c r="K119" s="25">
        <f>Source!U115</f>
        <v>0.25088000000000005</v>
      </c>
    </row>
    <row r="120" spans="1:22" ht="15" x14ac:dyDescent="0.25">
      <c r="A120" s="31"/>
      <c r="B120" s="31"/>
      <c r="C120" s="31"/>
      <c r="D120" s="31"/>
      <c r="E120" s="31"/>
      <c r="F120" s="31"/>
      <c r="G120" s="31"/>
      <c r="H120" s="31"/>
      <c r="I120" s="70">
        <f>J113+J114+J116+J117+J118</f>
        <v>252.66</v>
      </c>
      <c r="J120" s="70"/>
      <c r="K120" s="32">
        <f>IF(Source!I115&lt;&gt;0, ROUND(I120/Source!I115, 2), 0)</f>
        <v>1127.95</v>
      </c>
      <c r="P120" s="29">
        <f>I120</f>
        <v>252.66</v>
      </c>
    </row>
    <row r="121" spans="1:22" ht="57" x14ac:dyDescent="0.2">
      <c r="A121" s="20" t="str">
        <f>Source!E116</f>
        <v>8</v>
      </c>
      <c r="B121" s="21" t="str">
        <f>Source!F116</f>
        <v>1.49-9201-1-2/1</v>
      </c>
      <c r="C121" s="21" t="str">
        <f>Source!G116</f>
        <v>Перевозка строительного мусора автосамосвалами грузоподъемностью до 10 т на расстояние 1 км - при механизированной погрузке</v>
      </c>
      <c r="D121" s="23" t="str">
        <f>Source!H116</f>
        <v>т</v>
      </c>
      <c r="E121" s="10">
        <f>Source!I116</f>
        <v>2.016</v>
      </c>
      <c r="F121" s="25"/>
      <c r="G121" s="24"/>
      <c r="H121" s="10"/>
      <c r="I121" s="10"/>
      <c r="J121" s="25"/>
      <c r="K121" s="25"/>
      <c r="Q121">
        <f>ROUND((Source!BZ116/100)*ROUND((Source!AF116*Source!AV116)*Source!I116, 2), 2)</f>
        <v>0</v>
      </c>
      <c r="R121">
        <f>Source!X116</f>
        <v>0</v>
      </c>
      <c r="S121">
        <f>ROUND((Source!CA116/100)*ROUND((Source!AF116*Source!AV116)*Source!I116, 2), 2)</f>
        <v>0</v>
      </c>
      <c r="T121">
        <f>Source!Y116</f>
        <v>0</v>
      </c>
      <c r="U121">
        <f>ROUND((175/100)*ROUND((Source!AE116*Source!AV116)*Source!I116, 2), 2)</f>
        <v>130.6</v>
      </c>
      <c r="V121">
        <f>ROUND((108/100)*ROUND(Source!CS116*Source!I116, 2), 2)</f>
        <v>80.599999999999994</v>
      </c>
    </row>
    <row r="122" spans="1:22" x14ac:dyDescent="0.2">
      <c r="C122" s="26" t="str">
        <f>"Объем: "&amp;Source!I116&amp;"="&amp;Source!I118&amp;"*"&amp;"0,9"</f>
        <v>Объем: 2,016=2,24*0,9</v>
      </c>
    </row>
    <row r="123" spans="1:22" ht="14.25" x14ac:dyDescent="0.2">
      <c r="A123" s="20"/>
      <c r="B123" s="21"/>
      <c r="C123" s="21" t="s">
        <v>542</v>
      </c>
      <c r="D123" s="23"/>
      <c r="E123" s="10"/>
      <c r="F123" s="25">
        <f>Source!AM116</f>
        <v>62.5</v>
      </c>
      <c r="G123" s="24" t="str">
        <f>Source!DE116</f>
        <v/>
      </c>
      <c r="H123" s="10">
        <f>Source!AV116</f>
        <v>1</v>
      </c>
      <c r="I123" s="10">
        <f>IF(Source!BB116&lt;&gt; 0, Source!BB116, 1)</f>
        <v>1</v>
      </c>
      <c r="J123" s="25">
        <f>Source!Q116</f>
        <v>126</v>
      </c>
      <c r="K123" s="25"/>
    </row>
    <row r="124" spans="1:22" ht="14.25" x14ac:dyDescent="0.2">
      <c r="A124" s="20"/>
      <c r="B124" s="21"/>
      <c r="C124" s="21" t="s">
        <v>543</v>
      </c>
      <c r="D124" s="23"/>
      <c r="E124" s="10"/>
      <c r="F124" s="25">
        <f>Source!AN116</f>
        <v>37.020000000000003</v>
      </c>
      <c r="G124" s="24" t="str">
        <f>Source!DF116</f>
        <v/>
      </c>
      <c r="H124" s="10">
        <f>Source!AV116</f>
        <v>1</v>
      </c>
      <c r="I124" s="10">
        <f>IF(Source!BS116&lt;&gt; 0, Source!BS116, 1)</f>
        <v>1</v>
      </c>
      <c r="J124" s="27">
        <f>Source!R116</f>
        <v>74.63</v>
      </c>
      <c r="K124" s="25"/>
    </row>
    <row r="125" spans="1:22" ht="15" x14ac:dyDescent="0.25">
      <c r="A125" s="31"/>
      <c r="B125" s="31"/>
      <c r="C125" s="31"/>
      <c r="D125" s="31"/>
      <c r="E125" s="31"/>
      <c r="F125" s="31"/>
      <c r="G125" s="31"/>
      <c r="H125" s="31"/>
      <c r="I125" s="70">
        <f>J123</f>
        <v>126</v>
      </c>
      <c r="J125" s="70"/>
      <c r="K125" s="32">
        <f>IF(Source!I116&lt;&gt;0, ROUND(I125/Source!I116, 2), 0)</f>
        <v>62.5</v>
      </c>
      <c r="P125" s="29">
        <f>I125</f>
        <v>126</v>
      </c>
    </row>
    <row r="126" spans="1:22" ht="57" x14ac:dyDescent="0.2">
      <c r="A126" s="20" t="str">
        <f>Source!E117</f>
        <v>9</v>
      </c>
      <c r="B126" s="21" t="str">
        <f>Source!F117</f>
        <v>1.49-9201-1-1/1</v>
      </c>
      <c r="C126" s="21" t="str">
        <f>Source!G117</f>
        <v>Перевозка строительного мусора автосамосвалами грузоподъемностью до 10 т на расстояние 1 км - при погрузке вручную</v>
      </c>
      <c r="D126" s="23" t="str">
        <f>Source!H117</f>
        <v>т</v>
      </c>
      <c r="E126" s="10">
        <f>Source!I117</f>
        <v>0.224</v>
      </c>
      <c r="F126" s="25"/>
      <c r="G126" s="24"/>
      <c r="H126" s="10"/>
      <c r="I126" s="10"/>
      <c r="J126" s="25"/>
      <c r="K126" s="25"/>
      <c r="Q126">
        <f>ROUND((Source!BZ117/100)*ROUND((Source!AF117*Source!AV117)*Source!I117, 2), 2)</f>
        <v>0</v>
      </c>
      <c r="R126">
        <f>Source!X117</f>
        <v>0</v>
      </c>
      <c r="S126">
        <f>ROUND((Source!CA117/100)*ROUND((Source!AF117*Source!AV117)*Source!I117, 2), 2)</f>
        <v>0</v>
      </c>
      <c r="T126">
        <f>Source!Y117</f>
        <v>0</v>
      </c>
      <c r="U126">
        <f>ROUND((175/100)*ROUND((Source!AE117*Source!AV117)*Source!I117, 2), 2)</f>
        <v>41.63</v>
      </c>
      <c r="V126">
        <f>ROUND((108/100)*ROUND(Source!CS117*Source!I117, 2), 2)</f>
        <v>25.69</v>
      </c>
    </row>
    <row r="127" spans="1:22" x14ac:dyDescent="0.2">
      <c r="C127" s="26" t="str">
        <f>"Объем: "&amp;Source!I117&amp;"="&amp;Source!I118&amp;"*"&amp;"0,1"</f>
        <v>Объем: 0,224=2,24*0,1</v>
      </c>
    </row>
    <row r="128" spans="1:22" ht="14.25" x14ac:dyDescent="0.2">
      <c r="A128" s="20"/>
      <c r="B128" s="21"/>
      <c r="C128" s="21" t="s">
        <v>542</v>
      </c>
      <c r="D128" s="23"/>
      <c r="E128" s="10"/>
      <c r="F128" s="25">
        <f>Source!AM117</f>
        <v>179.4</v>
      </c>
      <c r="G128" s="24" t="str">
        <f>Source!DE117</f>
        <v/>
      </c>
      <c r="H128" s="10">
        <f>Source!AV117</f>
        <v>1</v>
      </c>
      <c r="I128" s="10">
        <f>IF(Source!BB117&lt;&gt; 0, Source!BB117, 1)</f>
        <v>1</v>
      </c>
      <c r="J128" s="25">
        <f>Source!Q117</f>
        <v>40.19</v>
      </c>
      <c r="K128" s="25"/>
    </row>
    <row r="129" spans="1:22" ht="14.25" x14ac:dyDescent="0.2">
      <c r="A129" s="20"/>
      <c r="B129" s="21"/>
      <c r="C129" s="21" t="s">
        <v>543</v>
      </c>
      <c r="D129" s="23"/>
      <c r="E129" s="10"/>
      <c r="F129" s="25">
        <f>Source!AN117</f>
        <v>106.2</v>
      </c>
      <c r="G129" s="24" t="str">
        <f>Source!DF117</f>
        <v/>
      </c>
      <c r="H129" s="10">
        <f>Source!AV117</f>
        <v>1</v>
      </c>
      <c r="I129" s="10">
        <f>IF(Source!BS117&lt;&gt; 0, Source!BS117, 1)</f>
        <v>1</v>
      </c>
      <c r="J129" s="27">
        <f>Source!R117</f>
        <v>23.79</v>
      </c>
      <c r="K129" s="25"/>
    </row>
    <row r="130" spans="1:22" ht="15" x14ac:dyDescent="0.25">
      <c r="A130" s="31"/>
      <c r="B130" s="31"/>
      <c r="C130" s="31"/>
      <c r="D130" s="31"/>
      <c r="E130" s="31"/>
      <c r="F130" s="31"/>
      <c r="G130" s="31"/>
      <c r="H130" s="31"/>
      <c r="I130" s="70">
        <f>J128</f>
        <v>40.19</v>
      </c>
      <c r="J130" s="70"/>
      <c r="K130" s="32">
        <f>IF(Source!I117&lt;&gt;0, ROUND(I130/Source!I117, 2), 0)</f>
        <v>179.42</v>
      </c>
      <c r="P130" s="29">
        <f>I130</f>
        <v>40.19</v>
      </c>
    </row>
    <row r="131" spans="1:22" ht="57" x14ac:dyDescent="0.2">
      <c r="A131" s="20" t="str">
        <f>Source!E118</f>
        <v>10</v>
      </c>
      <c r="B131" s="21" t="str">
        <f>Source!F118</f>
        <v>1.49-9201-1-3/1</v>
      </c>
      <c r="C131" s="21" t="str">
        <f>Source!G118</f>
        <v>Перевозка строительного мусора автосамосвалами грузоподъемностью до 10 т - добавляется на каждый последующий 1 км до 100 км</v>
      </c>
      <c r="D131" s="23" t="str">
        <f>Source!H118</f>
        <v>т</v>
      </c>
      <c r="E131" s="10">
        <f>Source!I118</f>
        <v>2.2400000000000002</v>
      </c>
      <c r="F131" s="25"/>
      <c r="G131" s="24"/>
      <c r="H131" s="10"/>
      <c r="I131" s="10"/>
      <c r="J131" s="25"/>
      <c r="K131" s="25"/>
      <c r="Q131">
        <f>ROUND((Source!BZ118/100)*ROUND((Source!AF118*Source!AV118)*Source!I118, 2), 2)</f>
        <v>0</v>
      </c>
      <c r="R131">
        <f>Source!X118</f>
        <v>0</v>
      </c>
      <c r="S131">
        <f>ROUND((Source!CA118/100)*ROUND((Source!AF118*Source!AV118)*Source!I118, 2), 2)</f>
        <v>0</v>
      </c>
      <c r="T131">
        <f>Source!Y118</f>
        <v>0</v>
      </c>
      <c r="U131">
        <f>ROUND((175/100)*ROUND((Source!AE118*Source!AV118)*Source!I118, 2), 2)</f>
        <v>3506.6</v>
      </c>
      <c r="V131">
        <f>ROUND((108/100)*ROUND(Source!CS118*Source!I118, 2), 2)</f>
        <v>2164.0700000000002</v>
      </c>
    </row>
    <row r="132" spans="1:22" ht="14.25" x14ac:dyDescent="0.2">
      <c r="A132" s="20"/>
      <c r="B132" s="21"/>
      <c r="C132" s="21" t="s">
        <v>542</v>
      </c>
      <c r="D132" s="23"/>
      <c r="E132" s="10"/>
      <c r="F132" s="25">
        <f>Source!AM118</f>
        <v>29.58</v>
      </c>
      <c r="G132" s="24" t="str">
        <f>Source!DE118</f>
        <v>*51</v>
      </c>
      <c r="H132" s="10">
        <f>Source!AV118</f>
        <v>1</v>
      </c>
      <c r="I132" s="10">
        <f>IF(Source!BB118&lt;&gt; 0, Source!BB118, 1)</f>
        <v>1</v>
      </c>
      <c r="J132" s="25">
        <f>Source!Q118</f>
        <v>3379.22</v>
      </c>
      <c r="K132" s="25"/>
    </row>
    <row r="133" spans="1:22" ht="14.25" x14ac:dyDescent="0.2">
      <c r="A133" s="20"/>
      <c r="B133" s="21"/>
      <c r="C133" s="21" t="s">
        <v>543</v>
      </c>
      <c r="D133" s="23"/>
      <c r="E133" s="10"/>
      <c r="F133" s="25">
        <f>Source!AN118</f>
        <v>17.54</v>
      </c>
      <c r="G133" s="24" t="str">
        <f>Source!DF118</f>
        <v>*51</v>
      </c>
      <c r="H133" s="10">
        <f>Source!AV118</f>
        <v>1</v>
      </c>
      <c r="I133" s="10">
        <f>IF(Source!BS118&lt;&gt; 0, Source!BS118, 1)</f>
        <v>1</v>
      </c>
      <c r="J133" s="27">
        <f>Source!R118</f>
        <v>2003.77</v>
      </c>
      <c r="K133" s="25"/>
    </row>
    <row r="134" spans="1:22" ht="15" x14ac:dyDescent="0.25">
      <c r="A134" s="31"/>
      <c r="B134" s="31"/>
      <c r="C134" s="31"/>
      <c r="D134" s="31"/>
      <c r="E134" s="31"/>
      <c r="F134" s="31"/>
      <c r="G134" s="31"/>
      <c r="H134" s="31"/>
      <c r="I134" s="70">
        <f>J132</f>
        <v>3379.22</v>
      </c>
      <c r="J134" s="70"/>
      <c r="K134" s="32">
        <f>IF(Source!I118&lt;&gt;0, ROUND(I134/Source!I118, 2), 0)</f>
        <v>1508.58</v>
      </c>
      <c r="P134" s="29">
        <f>I134</f>
        <v>3379.22</v>
      </c>
    </row>
    <row r="135" spans="1:22" ht="28.5" x14ac:dyDescent="0.2">
      <c r="A135" s="20" t="str">
        <f>Source!E119</f>
        <v>11</v>
      </c>
      <c r="B135" s="21" t="str">
        <f>Source!F119</f>
        <v>21.25-0-1</v>
      </c>
      <c r="C135" s="21" t="str">
        <f>Source!G119</f>
        <v>Содержание свалки отходов строительства и сноса</v>
      </c>
      <c r="D135" s="23" t="str">
        <f>Source!H119</f>
        <v>т</v>
      </c>
      <c r="E135" s="10">
        <f>Source!I119</f>
        <v>2.2400000000000002</v>
      </c>
      <c r="F135" s="25">
        <f>Source!AL119</f>
        <v>197.96</v>
      </c>
      <c r="G135" s="24" t="str">
        <f>Source!DD119</f>
        <v/>
      </c>
      <c r="H135" s="10">
        <f>Source!AW119</f>
        <v>1</v>
      </c>
      <c r="I135" s="10">
        <f>IF(Source!BC119&lt;&gt; 0, Source!BC119, 1)</f>
        <v>1</v>
      </c>
      <c r="J135" s="25">
        <f>Source!P119</f>
        <v>443.43</v>
      </c>
      <c r="K135" s="25"/>
      <c r="Q135">
        <f>ROUND((Source!BZ119/100)*ROUND((Source!AF119*Source!AV119)*Source!I119, 2), 2)</f>
        <v>0</v>
      </c>
      <c r="R135">
        <f>Source!X119</f>
        <v>0</v>
      </c>
      <c r="S135">
        <f>ROUND((Source!CA119/100)*ROUND((Source!AF119*Source!AV119)*Source!I119, 2), 2)</f>
        <v>0</v>
      </c>
      <c r="T135">
        <f>Source!Y119</f>
        <v>0</v>
      </c>
      <c r="U135">
        <f>ROUND((175/100)*ROUND((Source!AE119*Source!AV119)*Source!I119, 2), 2)</f>
        <v>0</v>
      </c>
      <c r="V135">
        <f>ROUND((108/100)*ROUND(Source!CS119*Source!I119, 2), 2)</f>
        <v>0</v>
      </c>
    </row>
    <row r="136" spans="1:22" x14ac:dyDescent="0.2">
      <c r="C136" s="26" t="str">
        <f>"Объем: "&amp;Source!I119&amp;"="&amp;Source!I112&amp;"*"&amp;"0,8"</f>
        <v>Объем: 2,24=2,8*0,8</v>
      </c>
    </row>
    <row r="137" spans="1:22" ht="15" x14ac:dyDescent="0.25">
      <c r="A137" s="31"/>
      <c r="B137" s="31"/>
      <c r="C137" s="31"/>
      <c r="D137" s="31"/>
      <c r="E137" s="31"/>
      <c r="F137" s="31"/>
      <c r="G137" s="31"/>
      <c r="H137" s="31"/>
      <c r="I137" s="70">
        <f>J135</f>
        <v>443.43</v>
      </c>
      <c r="J137" s="70"/>
      <c r="K137" s="32">
        <f>IF(Source!I119&lt;&gt;0, ROUND(I137/Source!I119, 2), 0)</f>
        <v>197.96</v>
      </c>
      <c r="P137" s="29">
        <f>I137</f>
        <v>443.43</v>
      </c>
    </row>
    <row r="138" spans="1:22" ht="28.5" x14ac:dyDescent="0.2">
      <c r="A138" s="20" t="str">
        <f>Source!E120</f>
        <v>12</v>
      </c>
      <c r="B138" s="21" t="str">
        <f>Source!F120</f>
        <v>1.10-3403-2-1/1</v>
      </c>
      <c r="C138" s="21" t="str">
        <f>Source!G120</f>
        <v>Устройство покрытий дощатых толщиной, мм 28</v>
      </c>
      <c r="D138" s="23" t="str">
        <f>Source!H120</f>
        <v>100 м2</v>
      </c>
      <c r="E138" s="10">
        <f>Source!I120</f>
        <v>2.8</v>
      </c>
      <c r="F138" s="25"/>
      <c r="G138" s="24"/>
      <c r="H138" s="10"/>
      <c r="I138" s="10"/>
      <c r="J138" s="25"/>
      <c r="K138" s="25"/>
      <c r="Q138">
        <f>ROUND((Source!BZ120/100)*ROUND((Source!AF120*Source!AV120)*Source!I120, 2), 2)</f>
        <v>23737.11</v>
      </c>
      <c r="R138">
        <f>Source!X120</f>
        <v>23737.11</v>
      </c>
      <c r="S138">
        <f>ROUND((Source!CA120/100)*ROUND((Source!AF120*Source!AV120)*Source!I120, 2), 2)</f>
        <v>3391.02</v>
      </c>
      <c r="T138">
        <f>Source!Y120</f>
        <v>3391.02</v>
      </c>
      <c r="U138">
        <f>ROUND((175/100)*ROUND((Source!AE120*Source!AV120)*Source!I120, 2), 2)</f>
        <v>0.19</v>
      </c>
      <c r="V138">
        <f>ROUND((108/100)*ROUND(Source!CS120*Source!I120, 2), 2)</f>
        <v>0.12</v>
      </c>
    </row>
    <row r="139" spans="1:22" x14ac:dyDescent="0.2">
      <c r="C139" s="26" t="str">
        <f>"Объем: "&amp;Source!I120&amp;"=280/"&amp;"100"</f>
        <v>Объем: 2,8=280/100</v>
      </c>
    </row>
    <row r="140" spans="1:22" ht="14.25" x14ac:dyDescent="0.2">
      <c r="A140" s="20"/>
      <c r="B140" s="21"/>
      <c r="C140" s="21" t="s">
        <v>541</v>
      </c>
      <c r="D140" s="23"/>
      <c r="E140" s="10"/>
      <c r="F140" s="25">
        <f>Source!AO120</f>
        <v>12110.77</v>
      </c>
      <c r="G140" s="24" t="str">
        <f>Source!DG120</f>
        <v/>
      </c>
      <c r="H140" s="10">
        <f>Source!AV120</f>
        <v>1</v>
      </c>
      <c r="I140" s="10">
        <f>IF(Source!BA120&lt;&gt; 0, Source!BA120, 1)</f>
        <v>1</v>
      </c>
      <c r="J140" s="25">
        <f>Source!S120</f>
        <v>33910.160000000003</v>
      </c>
      <c r="K140" s="25"/>
    </row>
    <row r="141" spans="1:22" ht="14.25" x14ac:dyDescent="0.2">
      <c r="A141" s="20"/>
      <c r="B141" s="21"/>
      <c r="C141" s="21" t="s">
        <v>542</v>
      </c>
      <c r="D141" s="23"/>
      <c r="E141" s="10"/>
      <c r="F141" s="25">
        <f>Source!AM120</f>
        <v>27.07</v>
      </c>
      <c r="G141" s="24" t="str">
        <f>Source!DE120</f>
        <v/>
      </c>
      <c r="H141" s="10">
        <f>Source!AV120</f>
        <v>1</v>
      </c>
      <c r="I141" s="10">
        <f>IF(Source!BB120&lt;&gt; 0, Source!BB120, 1)</f>
        <v>1</v>
      </c>
      <c r="J141" s="25">
        <f>Source!Q120</f>
        <v>75.8</v>
      </c>
      <c r="K141" s="25"/>
    </row>
    <row r="142" spans="1:22" ht="14.25" x14ac:dyDescent="0.2">
      <c r="A142" s="20"/>
      <c r="B142" s="21"/>
      <c r="C142" s="21" t="s">
        <v>543</v>
      </c>
      <c r="D142" s="23"/>
      <c r="E142" s="10"/>
      <c r="F142" s="25">
        <f>Source!AN120</f>
        <v>0.04</v>
      </c>
      <c r="G142" s="24" t="str">
        <f>Source!DF120</f>
        <v/>
      </c>
      <c r="H142" s="10">
        <f>Source!AV120</f>
        <v>1</v>
      </c>
      <c r="I142" s="10">
        <f>IF(Source!BS120&lt;&gt; 0, Source!BS120, 1)</f>
        <v>1</v>
      </c>
      <c r="J142" s="27">
        <f>Source!R120</f>
        <v>0.11</v>
      </c>
      <c r="K142" s="25"/>
    </row>
    <row r="143" spans="1:22" ht="14.25" x14ac:dyDescent="0.2">
      <c r="A143" s="20"/>
      <c r="B143" s="21"/>
      <c r="C143" s="21" t="s">
        <v>544</v>
      </c>
      <c r="D143" s="23"/>
      <c r="E143" s="10"/>
      <c r="F143" s="25">
        <f>Source!AL120</f>
        <v>51553.35</v>
      </c>
      <c r="G143" s="24" t="str">
        <f>Source!DD120</f>
        <v/>
      </c>
      <c r="H143" s="10">
        <f>Source!AW120</f>
        <v>1</v>
      </c>
      <c r="I143" s="10">
        <f>IF(Source!BC120&lt;&gt; 0, Source!BC120, 1)</f>
        <v>1</v>
      </c>
      <c r="J143" s="25">
        <f>Source!P120</f>
        <v>144349.38</v>
      </c>
      <c r="K143" s="25"/>
    </row>
    <row r="144" spans="1:22" ht="42.75" x14ac:dyDescent="0.2">
      <c r="A144" s="20" t="str">
        <f>Source!E121</f>
        <v>12,1</v>
      </c>
      <c r="B144" s="21" t="str">
        <f>Source!F121</f>
        <v>21.9-12-11</v>
      </c>
      <c r="C144" s="21" t="str">
        <f>Source!G121</f>
        <v>Доски хвойных пород для покрытия пола, со шпунтом и гребнем, антисептированные, толщина 27 мм</v>
      </c>
      <c r="D144" s="23" t="str">
        <f>Source!H121</f>
        <v>м3</v>
      </c>
      <c r="E144" s="10">
        <f>Source!I121</f>
        <v>-8.0640000000000001</v>
      </c>
      <c r="F144" s="25">
        <f>Source!AK121</f>
        <v>17674.48</v>
      </c>
      <c r="G144" s="28" t="s">
        <v>545</v>
      </c>
      <c r="H144" s="10">
        <f>Source!AW121</f>
        <v>1</v>
      </c>
      <c r="I144" s="10">
        <f>IF(Source!BC121&lt;&gt; 0, Source!BC121, 1)</f>
        <v>1</v>
      </c>
      <c r="J144" s="25">
        <f>Source!O121</f>
        <v>-142527.01</v>
      </c>
      <c r="K144" s="25"/>
      <c r="Q144">
        <f>ROUND((Source!BZ121/100)*ROUND((Source!AF121*Source!AV121)*Source!I121, 2), 2)</f>
        <v>0</v>
      </c>
      <c r="R144">
        <f>Source!X121</f>
        <v>0</v>
      </c>
      <c r="S144">
        <f>ROUND((Source!CA121/100)*ROUND((Source!AF121*Source!AV121)*Source!I121, 2), 2)</f>
        <v>0</v>
      </c>
      <c r="T144">
        <f>Source!Y121</f>
        <v>0</v>
      </c>
      <c r="U144">
        <f>ROUND((175/100)*ROUND((Source!AE121*Source!AV121)*Source!I121, 2), 2)</f>
        <v>0</v>
      </c>
      <c r="V144">
        <f>ROUND((108/100)*ROUND(Source!CS121*Source!I121, 2), 2)</f>
        <v>0</v>
      </c>
    </row>
    <row r="145" spans="1:22" ht="42.75" x14ac:dyDescent="0.2">
      <c r="A145" s="20" t="str">
        <f>Source!E122</f>
        <v>12,2</v>
      </c>
      <c r="B145" s="21" t="str">
        <f>Source!F122</f>
        <v>КА п. 1</v>
      </c>
      <c r="C145" s="21" t="s">
        <v>552</v>
      </c>
      <c r="D145" s="23" t="str">
        <f>Source!H122</f>
        <v>м2</v>
      </c>
      <c r="E145" s="10">
        <f>Source!I122</f>
        <v>280</v>
      </c>
      <c r="F145" s="25">
        <f>Source!AK122</f>
        <v>875</v>
      </c>
      <c r="G145" s="28" t="s">
        <v>545</v>
      </c>
      <c r="H145" s="10">
        <f>Source!AW122</f>
        <v>1</v>
      </c>
      <c r="I145" s="10">
        <f>IF(Source!BC122&lt;&gt; 0, Source!BC122, 1)</f>
        <v>1</v>
      </c>
      <c r="J145" s="25">
        <f>Source!O122</f>
        <v>245000</v>
      </c>
      <c r="K145" s="25"/>
      <c r="Q145">
        <f>ROUND((Source!BZ122/100)*ROUND(Source!AF122*Source!I122, 2), 2)</f>
        <v>0</v>
      </c>
      <c r="R145">
        <f>Source!X122</f>
        <v>0</v>
      </c>
      <c r="S145">
        <f>ROUND((Source!CA122/100)*ROUND(Source!AF122*Source!I122, 2), 2)</f>
        <v>0</v>
      </c>
      <c r="T145">
        <f>Source!Y122</f>
        <v>0</v>
      </c>
      <c r="U145">
        <f>ROUND((175/100)*ROUND(Source!AE122*Source!I122, 2), 2)</f>
        <v>0</v>
      </c>
      <c r="V145">
        <f>ROUND((108/100)*ROUND(Source!CS122*Source!I122, 2), 2)</f>
        <v>0</v>
      </c>
    </row>
    <row r="146" spans="1:22" ht="14.25" x14ac:dyDescent="0.2">
      <c r="A146" s="20" t="str">
        <f>Source!E123</f>
        <v>12,3</v>
      </c>
      <c r="B146" s="21" t="str">
        <f>Source!F123</f>
        <v>21.1-11-46</v>
      </c>
      <c r="C146" s="21" t="str">
        <f>Source!G123</f>
        <v>Гвозди строительные</v>
      </c>
      <c r="D146" s="23" t="str">
        <f>Source!H123</f>
        <v>т</v>
      </c>
      <c r="E146" s="10">
        <f>Source!I123</f>
        <v>-3.4439999999999998E-2</v>
      </c>
      <c r="F146" s="25">
        <f>Source!AK123</f>
        <v>52914.53</v>
      </c>
      <c r="G146" s="28" t="s">
        <v>545</v>
      </c>
      <c r="H146" s="10">
        <f>Source!AW123</f>
        <v>1</v>
      </c>
      <c r="I146" s="10">
        <f>IF(Source!BC123&lt;&gt; 0, Source!BC123, 1)</f>
        <v>1</v>
      </c>
      <c r="J146" s="25">
        <f>Source!O123</f>
        <v>-1822.38</v>
      </c>
      <c r="K146" s="25"/>
      <c r="Q146">
        <f>ROUND((Source!BZ123/100)*ROUND((Source!AF123*Source!AV123)*Source!I123, 2), 2)</f>
        <v>0</v>
      </c>
      <c r="R146">
        <f>Source!X123</f>
        <v>0</v>
      </c>
      <c r="S146">
        <f>ROUND((Source!CA123/100)*ROUND((Source!AF123*Source!AV123)*Source!I123, 2), 2)</f>
        <v>0</v>
      </c>
      <c r="T146">
        <f>Source!Y123</f>
        <v>0</v>
      </c>
      <c r="U146">
        <f>ROUND((175/100)*ROUND((Source!AE123*Source!AV123)*Source!I123, 2), 2)</f>
        <v>0</v>
      </c>
      <c r="V146">
        <f>ROUND((108/100)*ROUND(Source!CS123*Source!I123, 2), 2)</f>
        <v>0</v>
      </c>
    </row>
    <row r="147" spans="1:22" ht="42.75" x14ac:dyDescent="0.2">
      <c r="A147" s="20" t="str">
        <f>Source!E124</f>
        <v>12,4</v>
      </c>
      <c r="B147" s="21" t="str">
        <f>Source!F124</f>
        <v>КА п. 2</v>
      </c>
      <c r="C147" s="21" t="s">
        <v>553</v>
      </c>
      <c r="D147" s="23" t="str">
        <f>Source!H124</f>
        <v>шт.</v>
      </c>
      <c r="E147" s="10">
        <f>Source!I124</f>
        <v>1080</v>
      </c>
      <c r="F147" s="25">
        <f>Source!AK124</f>
        <v>7.5</v>
      </c>
      <c r="G147" s="28" t="s">
        <v>545</v>
      </c>
      <c r="H147" s="10">
        <f>Source!AW124</f>
        <v>1</v>
      </c>
      <c r="I147" s="10">
        <f>IF(Source!BC124&lt;&gt; 0, Source!BC124, 1)</f>
        <v>1</v>
      </c>
      <c r="J147" s="25">
        <f>Source!O124</f>
        <v>8100</v>
      </c>
      <c r="K147" s="25"/>
      <c r="Q147">
        <f>ROUND((Source!BZ124/100)*ROUND((Source!AF124*Source!AV124)*Source!I124, 2), 2)</f>
        <v>0</v>
      </c>
      <c r="R147">
        <f>Source!X124</f>
        <v>0</v>
      </c>
      <c r="S147">
        <f>ROUND((Source!CA124/100)*ROUND((Source!AF124*Source!AV124)*Source!I124, 2), 2)</f>
        <v>0</v>
      </c>
      <c r="T147">
        <f>Source!Y124</f>
        <v>0</v>
      </c>
      <c r="U147">
        <f>ROUND((175/100)*ROUND((Source!AE124*Source!AV124)*Source!I124, 2), 2)</f>
        <v>0</v>
      </c>
      <c r="V147">
        <f>ROUND((108/100)*ROUND(Source!CS124*Source!I124, 2), 2)</f>
        <v>0</v>
      </c>
    </row>
    <row r="148" spans="1:22" ht="42.75" x14ac:dyDescent="0.2">
      <c r="A148" s="20" t="str">
        <f>Source!E125</f>
        <v>12,5</v>
      </c>
      <c r="B148" s="21" t="str">
        <f>Source!F125</f>
        <v>КА п. 3</v>
      </c>
      <c r="C148" s="21" t="s">
        <v>554</v>
      </c>
      <c r="D148" s="23" t="str">
        <f>Source!H125</f>
        <v>шт.</v>
      </c>
      <c r="E148" s="10">
        <f>Source!I125</f>
        <v>4492</v>
      </c>
      <c r="F148" s="25">
        <f>Source!AK125</f>
        <v>7.5</v>
      </c>
      <c r="G148" s="28" t="s">
        <v>545</v>
      </c>
      <c r="H148" s="10">
        <f>Source!AW125</f>
        <v>1</v>
      </c>
      <c r="I148" s="10">
        <f>IF(Source!BC125&lt;&gt; 0, Source!BC125, 1)</f>
        <v>1</v>
      </c>
      <c r="J148" s="25">
        <f>Source!O125</f>
        <v>33690</v>
      </c>
      <c r="K148" s="25"/>
      <c r="Q148">
        <f>ROUND((Source!BZ125/100)*ROUND((Source!AF125*Source!AV125)*Source!I125, 2), 2)</f>
        <v>0</v>
      </c>
      <c r="R148">
        <f>Source!X125</f>
        <v>0</v>
      </c>
      <c r="S148">
        <f>ROUND((Source!CA125/100)*ROUND((Source!AF125*Source!AV125)*Source!I125, 2), 2)</f>
        <v>0</v>
      </c>
      <c r="T148">
        <f>Source!Y125</f>
        <v>0</v>
      </c>
      <c r="U148">
        <f>ROUND((175/100)*ROUND((Source!AE125*Source!AV125)*Source!I125, 2), 2)</f>
        <v>0</v>
      </c>
      <c r="V148">
        <f>ROUND((108/100)*ROUND(Source!CS125*Source!I125, 2), 2)</f>
        <v>0</v>
      </c>
    </row>
    <row r="149" spans="1:22" ht="14.25" x14ac:dyDescent="0.2">
      <c r="A149" s="20"/>
      <c r="B149" s="21"/>
      <c r="C149" s="21" t="s">
        <v>546</v>
      </c>
      <c r="D149" s="23" t="s">
        <v>547</v>
      </c>
      <c r="E149" s="10">
        <f>Source!AT120</f>
        <v>70</v>
      </c>
      <c r="F149" s="25"/>
      <c r="G149" s="24"/>
      <c r="H149" s="10"/>
      <c r="I149" s="10"/>
      <c r="J149" s="25">
        <f>SUM(R138:R148)</f>
        <v>23737.11</v>
      </c>
      <c r="K149" s="25"/>
    </row>
    <row r="150" spans="1:22" ht="14.25" x14ac:dyDescent="0.2">
      <c r="A150" s="20"/>
      <c r="B150" s="21"/>
      <c r="C150" s="21" t="s">
        <v>548</v>
      </c>
      <c r="D150" s="23" t="s">
        <v>547</v>
      </c>
      <c r="E150" s="10">
        <f>Source!AU120</f>
        <v>10</v>
      </c>
      <c r="F150" s="25"/>
      <c r="G150" s="24"/>
      <c r="H150" s="10"/>
      <c r="I150" s="10"/>
      <c r="J150" s="25">
        <f>SUM(T138:T149)</f>
        <v>3391.02</v>
      </c>
      <c r="K150" s="25"/>
    </row>
    <row r="151" spans="1:22" ht="14.25" x14ac:dyDescent="0.2">
      <c r="A151" s="20"/>
      <c r="B151" s="21"/>
      <c r="C151" s="21" t="s">
        <v>549</v>
      </c>
      <c r="D151" s="23" t="s">
        <v>547</v>
      </c>
      <c r="E151" s="10">
        <f>108</f>
        <v>108</v>
      </c>
      <c r="F151" s="25"/>
      <c r="G151" s="24"/>
      <c r="H151" s="10"/>
      <c r="I151" s="10"/>
      <c r="J151" s="25">
        <f>SUM(V138:V150)</f>
        <v>0.12</v>
      </c>
      <c r="K151" s="25"/>
    </row>
    <row r="152" spans="1:22" ht="14.25" x14ac:dyDescent="0.2">
      <c r="A152" s="20"/>
      <c r="B152" s="21"/>
      <c r="C152" s="21" t="s">
        <v>550</v>
      </c>
      <c r="D152" s="23" t="s">
        <v>551</v>
      </c>
      <c r="E152" s="10">
        <f>Source!AQ120</f>
        <v>62.9</v>
      </c>
      <c r="F152" s="25"/>
      <c r="G152" s="24" t="str">
        <f>Source!DI120</f>
        <v/>
      </c>
      <c r="H152" s="10">
        <f>Source!AV120</f>
        <v>1</v>
      </c>
      <c r="I152" s="10"/>
      <c r="J152" s="25"/>
      <c r="K152" s="25">
        <f>Source!U120</f>
        <v>176.11999999999998</v>
      </c>
    </row>
    <row r="153" spans="1:22" ht="15" x14ac:dyDescent="0.25">
      <c r="A153" s="31"/>
      <c r="B153" s="31"/>
      <c r="C153" s="31"/>
      <c r="D153" s="31"/>
      <c r="E153" s="31"/>
      <c r="F153" s="31"/>
      <c r="G153" s="31"/>
      <c r="H153" s="31"/>
      <c r="I153" s="70">
        <f>J140+J141+J143+J149+J150+J151+SUM(J144:J148)</f>
        <v>347904.19999999995</v>
      </c>
      <c r="J153" s="70"/>
      <c r="K153" s="32">
        <f>IF(Source!I120&lt;&gt;0, ROUND(I153/Source!I120, 2), 0)</f>
        <v>124251.5</v>
      </c>
      <c r="P153" s="29">
        <f>I153</f>
        <v>347904.19999999995</v>
      </c>
    </row>
    <row r="155" spans="1:22" ht="15" x14ac:dyDescent="0.25">
      <c r="A155" s="73" t="str">
        <f>CONCATENATE("Итого по разделу: ",IF(Source!G127&lt;&gt;"Новый раздел", Source!G127, ""))</f>
        <v>Итого по разделу: Ремонт веранд (280 м2)</v>
      </c>
      <c r="B155" s="73"/>
      <c r="C155" s="73"/>
      <c r="D155" s="73"/>
      <c r="E155" s="73"/>
      <c r="F155" s="73"/>
      <c r="G155" s="73"/>
      <c r="H155" s="73"/>
      <c r="I155" s="71">
        <f>SUM(P98:P154)</f>
        <v>381505.60999999993</v>
      </c>
      <c r="J155" s="72"/>
      <c r="K155" s="33"/>
    </row>
    <row r="158" spans="1:22" ht="16.5" x14ac:dyDescent="0.25">
      <c r="A158" s="74" t="str">
        <f>CONCATENATE("Раздел: ",IF(Source!G157&lt;&gt;"Новый раздел", Source!G157, ""))</f>
        <v>Раздел: Ремонт металлического ограждения (330 мп)</v>
      </c>
      <c r="B158" s="74"/>
      <c r="C158" s="74"/>
      <c r="D158" s="74"/>
      <c r="E158" s="74"/>
      <c r="F158" s="74"/>
      <c r="G158" s="74"/>
      <c r="H158" s="74"/>
      <c r="I158" s="74"/>
      <c r="J158" s="74"/>
      <c r="K158" s="74"/>
    </row>
    <row r="159" spans="1:22" ht="28.5" x14ac:dyDescent="0.2">
      <c r="A159" s="20" t="str">
        <f>Source!E161</f>
        <v>13</v>
      </c>
      <c r="B159" s="21" t="str">
        <f>Source!F161</f>
        <v>1.13-3204-1-1/1</v>
      </c>
      <c r="C159" s="21" t="str">
        <f>Source!G161</f>
        <v>Расчистка поверхностей от старых покрасок (шпателем, щетками и т.д.)</v>
      </c>
      <c r="D159" s="23" t="str">
        <f>Source!H161</f>
        <v>м2</v>
      </c>
      <c r="E159" s="10">
        <f>Source!I161</f>
        <v>396</v>
      </c>
      <c r="F159" s="25"/>
      <c r="G159" s="24"/>
      <c r="H159" s="10"/>
      <c r="I159" s="10"/>
      <c r="J159" s="25"/>
      <c r="K159" s="25"/>
      <c r="Q159">
        <f>ROUND((Source!BZ161/100)*ROUND((Source!AF161*Source!AV161)*Source!I161, 2), 2)</f>
        <v>28629.22</v>
      </c>
      <c r="R159">
        <f>Source!X161</f>
        <v>28629.22</v>
      </c>
      <c r="S159">
        <f>ROUND((Source!CA161/100)*ROUND((Source!AF161*Source!AV161)*Source!I161, 2), 2)</f>
        <v>4089.89</v>
      </c>
      <c r="T159">
        <f>Source!Y161</f>
        <v>4089.89</v>
      </c>
      <c r="U159">
        <f>ROUND((175/100)*ROUND((Source!AE161*Source!AV161)*Source!I161, 2), 2)</f>
        <v>0</v>
      </c>
      <c r="V159">
        <f>ROUND((108/100)*ROUND(Source!CS161*Source!I161, 2), 2)</f>
        <v>0</v>
      </c>
    </row>
    <row r="160" spans="1:22" ht="14.25" x14ac:dyDescent="0.2">
      <c r="A160" s="20"/>
      <c r="B160" s="21"/>
      <c r="C160" s="21" t="s">
        <v>541</v>
      </c>
      <c r="D160" s="23"/>
      <c r="E160" s="10"/>
      <c r="F160" s="25">
        <f>Source!AO161</f>
        <v>103.28</v>
      </c>
      <c r="G160" s="24" t="str">
        <f>Source!DG161</f>
        <v/>
      </c>
      <c r="H160" s="10">
        <f>Source!AV161</f>
        <v>1</v>
      </c>
      <c r="I160" s="10">
        <f>IF(Source!BA161&lt;&gt; 0, Source!BA161, 1)</f>
        <v>1</v>
      </c>
      <c r="J160" s="25">
        <f>Source!S161</f>
        <v>40898.879999999997</v>
      </c>
      <c r="K160" s="25"/>
    </row>
    <row r="161" spans="1:22" ht="14.25" x14ac:dyDescent="0.2">
      <c r="A161" s="20"/>
      <c r="B161" s="21"/>
      <c r="C161" s="21" t="s">
        <v>546</v>
      </c>
      <c r="D161" s="23" t="s">
        <v>547</v>
      </c>
      <c r="E161" s="10">
        <f>Source!AT161</f>
        <v>70</v>
      </c>
      <c r="F161" s="25"/>
      <c r="G161" s="24"/>
      <c r="H161" s="10"/>
      <c r="I161" s="10"/>
      <c r="J161" s="25">
        <f>SUM(R159:R160)</f>
        <v>28629.22</v>
      </c>
      <c r="K161" s="25"/>
    </row>
    <row r="162" spans="1:22" ht="14.25" x14ac:dyDescent="0.2">
      <c r="A162" s="20"/>
      <c r="B162" s="21"/>
      <c r="C162" s="21" t="s">
        <v>548</v>
      </c>
      <c r="D162" s="23" t="s">
        <v>547</v>
      </c>
      <c r="E162" s="10">
        <f>Source!AU161</f>
        <v>10</v>
      </c>
      <c r="F162" s="25"/>
      <c r="G162" s="24"/>
      <c r="H162" s="10"/>
      <c r="I162" s="10"/>
      <c r="J162" s="25">
        <f>SUM(T159:T161)</f>
        <v>4089.89</v>
      </c>
      <c r="K162" s="25"/>
    </row>
    <row r="163" spans="1:22" ht="14.25" x14ac:dyDescent="0.2">
      <c r="A163" s="20"/>
      <c r="B163" s="21"/>
      <c r="C163" s="21" t="s">
        <v>550</v>
      </c>
      <c r="D163" s="23" t="s">
        <v>551</v>
      </c>
      <c r="E163" s="10">
        <f>Source!AQ161</f>
        <v>0.6</v>
      </c>
      <c r="F163" s="25"/>
      <c r="G163" s="24" t="str">
        <f>Source!DI161</f>
        <v/>
      </c>
      <c r="H163" s="10">
        <f>Source!AV161</f>
        <v>1</v>
      </c>
      <c r="I163" s="10"/>
      <c r="J163" s="25"/>
      <c r="K163" s="25">
        <f>Source!U161</f>
        <v>237.6</v>
      </c>
    </row>
    <row r="164" spans="1:22" ht="15" x14ac:dyDescent="0.25">
      <c r="A164" s="31"/>
      <c r="B164" s="31"/>
      <c r="C164" s="31"/>
      <c r="D164" s="31"/>
      <c r="E164" s="31"/>
      <c r="F164" s="31"/>
      <c r="G164" s="31"/>
      <c r="H164" s="31"/>
      <c r="I164" s="70">
        <f>J160+J161+J162</f>
        <v>73617.990000000005</v>
      </c>
      <c r="J164" s="70"/>
      <c r="K164" s="32">
        <f>IF(Source!I161&lt;&gt;0, ROUND(I164/Source!I161, 2), 0)</f>
        <v>185.9</v>
      </c>
      <c r="P164" s="29">
        <f>I164</f>
        <v>73617.990000000005</v>
      </c>
    </row>
    <row r="165" spans="1:22" ht="42.75" x14ac:dyDescent="0.2">
      <c r="A165" s="20" t="str">
        <f>Source!E162</f>
        <v>14</v>
      </c>
      <c r="B165" s="21" t="str">
        <f>Source!F162</f>
        <v>1.14-3203-14-7/1</v>
      </c>
      <c r="C165" s="21" t="str">
        <f>Source!G162</f>
        <v>Окраска масляными составами за два раза металлических поверхностей решеток и оград</v>
      </c>
      <c r="D165" s="23" t="str">
        <f>Source!H162</f>
        <v>100 м2</v>
      </c>
      <c r="E165" s="10">
        <f>Source!I162</f>
        <v>6.6</v>
      </c>
      <c r="F165" s="25"/>
      <c r="G165" s="24"/>
      <c r="H165" s="10"/>
      <c r="I165" s="10"/>
      <c r="J165" s="25"/>
      <c r="K165" s="25"/>
      <c r="Q165">
        <f>ROUND((Source!BZ162/100)*ROUND((Source!AF162*Source!AV162)*Source!I162, 2), 2)</f>
        <v>68515.11</v>
      </c>
      <c r="R165">
        <f>Source!X162</f>
        <v>68515.11</v>
      </c>
      <c r="S165">
        <f>ROUND((Source!CA162/100)*ROUND((Source!AF162*Source!AV162)*Source!I162, 2), 2)</f>
        <v>9787.8700000000008</v>
      </c>
      <c r="T165">
        <f>Source!Y162</f>
        <v>9787.8700000000008</v>
      </c>
      <c r="U165">
        <f>ROUND((175/100)*ROUND((Source!AE162*Source!AV162)*Source!I162, 2), 2)</f>
        <v>0</v>
      </c>
      <c r="V165">
        <f>ROUND((108/100)*ROUND(Source!CS162*Source!I162, 2), 2)</f>
        <v>0</v>
      </c>
    </row>
    <row r="166" spans="1:22" x14ac:dyDescent="0.2">
      <c r="C166" s="26" t="str">
        <f>"Объем: "&amp;Source!I162&amp;"=660/"&amp;"100"</f>
        <v>Объем: 6,6=660/100</v>
      </c>
    </row>
    <row r="167" spans="1:22" ht="14.25" x14ac:dyDescent="0.2">
      <c r="A167" s="20"/>
      <c r="B167" s="21"/>
      <c r="C167" s="21" t="s">
        <v>541</v>
      </c>
      <c r="D167" s="23"/>
      <c r="E167" s="10"/>
      <c r="F167" s="25">
        <f>Source!AO162</f>
        <v>14830.11</v>
      </c>
      <c r="G167" s="24" t="str">
        <f>Source!DG162</f>
        <v/>
      </c>
      <c r="H167" s="10">
        <f>Source!AV162</f>
        <v>1</v>
      </c>
      <c r="I167" s="10">
        <f>IF(Source!BA162&lt;&gt; 0, Source!BA162, 1)</f>
        <v>1</v>
      </c>
      <c r="J167" s="25">
        <f>Source!S162</f>
        <v>97878.73</v>
      </c>
      <c r="K167" s="25"/>
    </row>
    <row r="168" spans="1:22" ht="14.25" x14ac:dyDescent="0.2">
      <c r="A168" s="20"/>
      <c r="B168" s="21"/>
      <c r="C168" s="21" t="s">
        <v>544</v>
      </c>
      <c r="D168" s="23"/>
      <c r="E168" s="10"/>
      <c r="F168" s="25">
        <f>Source!AL162</f>
        <v>1387.98</v>
      </c>
      <c r="G168" s="24" t="str">
        <f>Source!DD162</f>
        <v/>
      </c>
      <c r="H168" s="10">
        <f>Source!AW162</f>
        <v>1</v>
      </c>
      <c r="I168" s="10">
        <f>IF(Source!BC162&lt;&gt; 0, Source!BC162, 1)</f>
        <v>1</v>
      </c>
      <c r="J168" s="25">
        <f>Source!P162</f>
        <v>9160.67</v>
      </c>
      <c r="K168" s="25"/>
    </row>
    <row r="169" spans="1:22" ht="14.25" x14ac:dyDescent="0.2">
      <c r="A169" s="20"/>
      <c r="B169" s="21"/>
      <c r="C169" s="21" t="s">
        <v>546</v>
      </c>
      <c r="D169" s="23" t="s">
        <v>547</v>
      </c>
      <c r="E169" s="10">
        <f>Source!AT162</f>
        <v>70</v>
      </c>
      <c r="F169" s="25"/>
      <c r="G169" s="24"/>
      <c r="H169" s="10"/>
      <c r="I169" s="10"/>
      <c r="J169" s="25">
        <f>SUM(R165:R168)</f>
        <v>68515.11</v>
      </c>
      <c r="K169" s="25"/>
    </row>
    <row r="170" spans="1:22" ht="14.25" x14ac:dyDescent="0.2">
      <c r="A170" s="20"/>
      <c r="B170" s="21"/>
      <c r="C170" s="21" t="s">
        <v>548</v>
      </c>
      <c r="D170" s="23" t="s">
        <v>547</v>
      </c>
      <c r="E170" s="10">
        <f>Source!AU162</f>
        <v>10</v>
      </c>
      <c r="F170" s="25"/>
      <c r="G170" s="24"/>
      <c r="H170" s="10"/>
      <c r="I170" s="10"/>
      <c r="J170" s="25">
        <f>SUM(T165:T169)</f>
        <v>9787.8700000000008</v>
      </c>
      <c r="K170" s="25"/>
    </row>
    <row r="171" spans="1:22" ht="14.25" x14ac:dyDescent="0.2">
      <c r="A171" s="20"/>
      <c r="B171" s="21"/>
      <c r="C171" s="21" t="s">
        <v>550</v>
      </c>
      <c r="D171" s="23" t="s">
        <v>551</v>
      </c>
      <c r="E171" s="10">
        <f>Source!AQ162</f>
        <v>73.8</v>
      </c>
      <c r="F171" s="25"/>
      <c r="G171" s="24" t="str">
        <f>Source!DI162</f>
        <v/>
      </c>
      <c r="H171" s="10">
        <f>Source!AV162</f>
        <v>1</v>
      </c>
      <c r="I171" s="10"/>
      <c r="J171" s="25"/>
      <c r="K171" s="25">
        <f>Source!U162</f>
        <v>487.07999999999993</v>
      </c>
    </row>
    <row r="172" spans="1:22" ht="15" x14ac:dyDescent="0.25">
      <c r="A172" s="31"/>
      <c r="B172" s="31"/>
      <c r="C172" s="31"/>
      <c r="D172" s="31"/>
      <c r="E172" s="31"/>
      <c r="F172" s="31"/>
      <c r="G172" s="31"/>
      <c r="H172" s="31"/>
      <c r="I172" s="70">
        <f>J167+J168+J169+J170</f>
        <v>185342.38</v>
      </c>
      <c r="J172" s="70"/>
      <c r="K172" s="32">
        <f>IF(Source!I162&lt;&gt;0, ROUND(I172/Source!I162, 2), 0)</f>
        <v>28082.18</v>
      </c>
      <c r="P172" s="29">
        <f>I172</f>
        <v>185342.38</v>
      </c>
    </row>
    <row r="174" spans="1:22" ht="15" x14ac:dyDescent="0.25">
      <c r="A174" s="73" t="str">
        <f>CONCATENATE("Итого по разделу: ",IF(Source!G164&lt;&gt;"Новый раздел", Source!G164, ""))</f>
        <v>Итого по разделу: Ремонт металлического ограждения (330 мп)</v>
      </c>
      <c r="B174" s="73"/>
      <c r="C174" s="73"/>
      <c r="D174" s="73"/>
      <c r="E174" s="73"/>
      <c r="F174" s="73"/>
      <c r="G174" s="73"/>
      <c r="H174" s="73"/>
      <c r="I174" s="71">
        <f>SUM(P158:P173)</f>
        <v>258960.37</v>
      </c>
      <c r="J174" s="72"/>
      <c r="K174" s="33"/>
    </row>
    <row r="177" spans="1:22" ht="16.5" x14ac:dyDescent="0.25">
      <c r="A177" s="74" t="str">
        <f>CONCATENATE("Раздел: ",IF(Source!G194&lt;&gt;"Новый раздел", Source!G194, ""))</f>
        <v>Раздел: Ремонт покрытия из брусчатки (1484 м2)</v>
      </c>
      <c r="B177" s="74"/>
      <c r="C177" s="74"/>
      <c r="D177" s="74"/>
      <c r="E177" s="74"/>
      <c r="F177" s="74"/>
      <c r="G177" s="74"/>
      <c r="H177" s="74"/>
      <c r="I177" s="74"/>
      <c r="J177" s="74"/>
      <c r="K177" s="74"/>
    </row>
    <row r="178" spans="1:22" ht="42.75" x14ac:dyDescent="0.2">
      <c r="A178" s="20" t="str">
        <f>Source!E198</f>
        <v>15</v>
      </c>
      <c r="B178" s="21" t="str">
        <f>Source!F198</f>
        <v>2.1-3301-2-1/1</v>
      </c>
      <c r="C178" s="21" t="str">
        <f>Source!G198</f>
        <v>Исправление профиля щебеночных оснований с добавлением нового материала</v>
      </c>
      <c r="D178" s="23" t="str">
        <f>Source!H198</f>
        <v>1000 м2</v>
      </c>
      <c r="E178" s="10">
        <f>Source!I198</f>
        <v>0.44519999999999998</v>
      </c>
      <c r="F178" s="25"/>
      <c r="G178" s="24"/>
      <c r="H178" s="10"/>
      <c r="I178" s="10"/>
      <c r="J178" s="25"/>
      <c r="K178" s="25"/>
      <c r="Q178">
        <f>ROUND((Source!BZ198/100)*ROUND((Source!AF198*Source!AV198)*Source!I198, 2), 2)</f>
        <v>4904.4399999999996</v>
      </c>
      <c r="R178">
        <f>Source!X198</f>
        <v>4904.4399999999996</v>
      </c>
      <c r="S178">
        <f>ROUND((Source!CA198/100)*ROUND((Source!AF198*Source!AV198)*Source!I198, 2), 2)</f>
        <v>700.63</v>
      </c>
      <c r="T178">
        <f>Source!Y198</f>
        <v>700.63</v>
      </c>
      <c r="U178">
        <f>ROUND((175/100)*ROUND((Source!AE198*Source!AV198)*Source!I198, 2), 2)</f>
        <v>27246.19</v>
      </c>
      <c r="V178">
        <f>ROUND((108/100)*ROUND(Source!CS198*Source!I198, 2), 2)</f>
        <v>16814.79</v>
      </c>
    </row>
    <row r="179" spans="1:22" x14ac:dyDescent="0.2">
      <c r="C179" s="26" t="str">
        <f>"Объем: "&amp;Source!I198&amp;"=("&amp;Source!I202&amp;"*"&amp;"0,3)/"&amp;"10"</f>
        <v>Объем: 0,4452=(14,84*0,3)/10</v>
      </c>
    </row>
    <row r="180" spans="1:22" ht="14.25" x14ac:dyDescent="0.2">
      <c r="A180" s="20"/>
      <c r="B180" s="21"/>
      <c r="C180" s="21" t="s">
        <v>541</v>
      </c>
      <c r="D180" s="23"/>
      <c r="E180" s="10"/>
      <c r="F180" s="25">
        <f>Source!AO198</f>
        <v>15737.51</v>
      </c>
      <c r="G180" s="24" t="str">
        <f>Source!DG198</f>
        <v/>
      </c>
      <c r="H180" s="10">
        <f>Source!AV198</f>
        <v>1</v>
      </c>
      <c r="I180" s="10">
        <f>IF(Source!BA198&lt;&gt; 0, Source!BA198, 1)</f>
        <v>1</v>
      </c>
      <c r="J180" s="25">
        <f>Source!S198</f>
        <v>7006.34</v>
      </c>
      <c r="K180" s="25"/>
    </row>
    <row r="181" spans="1:22" ht="14.25" x14ac:dyDescent="0.2">
      <c r="A181" s="20"/>
      <c r="B181" s="21"/>
      <c r="C181" s="21" t="s">
        <v>542</v>
      </c>
      <c r="D181" s="23"/>
      <c r="E181" s="10"/>
      <c r="F181" s="25">
        <f>Source!AM198</f>
        <v>86387.49</v>
      </c>
      <c r="G181" s="24" t="str">
        <f>Source!DE198</f>
        <v/>
      </c>
      <c r="H181" s="10">
        <f>Source!AV198</f>
        <v>1</v>
      </c>
      <c r="I181" s="10">
        <f>IF(Source!BB198&lt;&gt; 0, Source!BB198, 1)</f>
        <v>1</v>
      </c>
      <c r="J181" s="25">
        <f>Source!Q198</f>
        <v>38459.71</v>
      </c>
      <c r="K181" s="25"/>
    </row>
    <row r="182" spans="1:22" ht="14.25" x14ac:dyDescent="0.2">
      <c r="A182" s="20"/>
      <c r="B182" s="21"/>
      <c r="C182" s="21" t="s">
        <v>543</v>
      </c>
      <c r="D182" s="23"/>
      <c r="E182" s="10"/>
      <c r="F182" s="25">
        <f>Source!AN198</f>
        <v>34971.35</v>
      </c>
      <c r="G182" s="24" t="str">
        <f>Source!DF198</f>
        <v/>
      </c>
      <c r="H182" s="10">
        <f>Source!AV198</f>
        <v>1</v>
      </c>
      <c r="I182" s="10">
        <f>IF(Source!BS198&lt;&gt; 0, Source!BS198, 1)</f>
        <v>1</v>
      </c>
      <c r="J182" s="27">
        <f>Source!R198</f>
        <v>15569.25</v>
      </c>
      <c r="K182" s="25"/>
    </row>
    <row r="183" spans="1:22" ht="14.25" x14ac:dyDescent="0.2">
      <c r="A183" s="20"/>
      <c r="B183" s="21"/>
      <c r="C183" s="21" t="s">
        <v>544</v>
      </c>
      <c r="D183" s="23"/>
      <c r="E183" s="10"/>
      <c r="F183" s="25">
        <f>Source!AL198</f>
        <v>122133.21</v>
      </c>
      <c r="G183" s="24" t="str">
        <f>Source!DD198</f>
        <v/>
      </c>
      <c r="H183" s="10">
        <f>Source!AW198</f>
        <v>1</v>
      </c>
      <c r="I183" s="10">
        <f>IF(Source!BC198&lt;&gt; 0, Source!BC198, 1)</f>
        <v>1</v>
      </c>
      <c r="J183" s="25">
        <f>Source!P198</f>
        <v>54373.71</v>
      </c>
      <c r="K183" s="25"/>
    </row>
    <row r="184" spans="1:22" ht="42.75" x14ac:dyDescent="0.2">
      <c r="A184" s="20" t="str">
        <f>Source!E199</f>
        <v>15,1</v>
      </c>
      <c r="B184" s="21" t="str">
        <f>Source!F199</f>
        <v>21.1-12-35</v>
      </c>
      <c r="C184" s="21" t="str">
        <f>Source!G199</f>
        <v>Щебень из естественного камня для строительных работ, марка 1200-800, фракция 10-20 мм</v>
      </c>
      <c r="D184" s="23" t="str">
        <f>Source!H199</f>
        <v>м3</v>
      </c>
      <c r="E184" s="10">
        <f>Source!I199</f>
        <v>-5.1197999999999997</v>
      </c>
      <c r="F184" s="25">
        <f>Source!AK199</f>
        <v>1908.27</v>
      </c>
      <c r="G184" s="28" t="s">
        <v>545</v>
      </c>
      <c r="H184" s="10">
        <f>Source!AW199</f>
        <v>1</v>
      </c>
      <c r="I184" s="10">
        <f>IF(Source!BC199&lt;&gt; 0, Source!BC199, 1)</f>
        <v>1</v>
      </c>
      <c r="J184" s="25">
        <f>Source!O199</f>
        <v>-9769.9599999999991</v>
      </c>
      <c r="K184" s="25"/>
      <c r="Q184">
        <f>ROUND((Source!BZ199/100)*ROUND((Source!AF199*Source!AV199)*Source!I199, 2), 2)</f>
        <v>0</v>
      </c>
      <c r="R184">
        <f>Source!X199</f>
        <v>0</v>
      </c>
      <c r="S184">
        <f>ROUND((Source!CA199/100)*ROUND((Source!AF199*Source!AV199)*Source!I199, 2), 2)</f>
        <v>0</v>
      </c>
      <c r="T184">
        <f>Source!Y199</f>
        <v>0</v>
      </c>
      <c r="U184">
        <f>ROUND((175/100)*ROUND((Source!AE199*Source!AV199)*Source!I199, 2), 2)</f>
        <v>0</v>
      </c>
      <c r="V184">
        <f>ROUND((108/100)*ROUND(Source!CS199*Source!I199, 2), 2)</f>
        <v>0</v>
      </c>
    </row>
    <row r="185" spans="1:22" ht="42.75" x14ac:dyDescent="0.2">
      <c r="A185" s="20" t="str">
        <f>Source!E200</f>
        <v>15,2</v>
      </c>
      <c r="B185" s="21" t="str">
        <f>Source!F200</f>
        <v>21.1-12-36</v>
      </c>
      <c r="C185" s="21" t="str">
        <f>Source!G200</f>
        <v>Щебень из естественного камня для строительных работ, марка 1200-800, фракция 20-40 мм</v>
      </c>
      <c r="D185" s="23" t="str">
        <f>Source!H200</f>
        <v>м3</v>
      </c>
      <c r="E185" s="10">
        <f>Source!I200</f>
        <v>-24.486000000000001</v>
      </c>
      <c r="F185" s="25">
        <f>Source!AK200</f>
        <v>1806.27</v>
      </c>
      <c r="G185" s="28" t="s">
        <v>545</v>
      </c>
      <c r="H185" s="10">
        <f>Source!AW200</f>
        <v>1</v>
      </c>
      <c r="I185" s="10">
        <f>IF(Source!BC200&lt;&gt; 0, Source!BC200, 1)</f>
        <v>1</v>
      </c>
      <c r="J185" s="25">
        <f>Source!O200</f>
        <v>-44228.33</v>
      </c>
      <c r="K185" s="25"/>
      <c r="Q185">
        <f>ROUND((Source!BZ200/100)*ROUND((Source!AF200*Source!AV200)*Source!I200, 2), 2)</f>
        <v>0</v>
      </c>
      <c r="R185">
        <f>Source!X200</f>
        <v>0</v>
      </c>
      <c r="S185">
        <f>ROUND((Source!CA200/100)*ROUND((Source!AF200*Source!AV200)*Source!I200, 2), 2)</f>
        <v>0</v>
      </c>
      <c r="T185">
        <f>Source!Y200</f>
        <v>0</v>
      </c>
      <c r="U185">
        <f>ROUND((175/100)*ROUND((Source!AE200*Source!AV200)*Source!I200, 2), 2)</f>
        <v>0</v>
      </c>
      <c r="V185">
        <f>ROUND((108/100)*ROUND(Source!CS200*Source!I200, 2), 2)</f>
        <v>0</v>
      </c>
    </row>
    <row r="186" spans="1:22" ht="42.75" x14ac:dyDescent="0.2">
      <c r="A186" s="20" t="str">
        <f>Source!E201</f>
        <v>15,3</v>
      </c>
      <c r="B186" s="21" t="str">
        <f>Source!F201</f>
        <v>21.1-12-29</v>
      </c>
      <c r="C186" s="21" t="str">
        <f>Source!G201</f>
        <v>Щебень из естественного камня для строительных работ, марка 600-400, фракция 5-10 мм</v>
      </c>
      <c r="D186" s="23" t="str">
        <f>Source!H201</f>
        <v>м3</v>
      </c>
      <c r="E186" s="10">
        <f>Source!I201</f>
        <v>29.605799999999999</v>
      </c>
      <c r="F186" s="25">
        <f>Source!AK201</f>
        <v>1487.52</v>
      </c>
      <c r="G186" s="28" t="s">
        <v>545</v>
      </c>
      <c r="H186" s="10">
        <f>Source!AW201</f>
        <v>1</v>
      </c>
      <c r="I186" s="10">
        <f>IF(Source!BC201&lt;&gt; 0, Source!BC201, 1)</f>
        <v>1</v>
      </c>
      <c r="J186" s="25">
        <f>Source!O201</f>
        <v>44039.22</v>
      </c>
      <c r="K186" s="25"/>
      <c r="Q186">
        <f>ROUND((Source!BZ201/100)*ROUND((Source!AF201*Source!AV201)*Source!I201, 2), 2)</f>
        <v>0</v>
      </c>
      <c r="R186">
        <f>Source!X201</f>
        <v>0</v>
      </c>
      <c r="S186">
        <f>ROUND((Source!CA201/100)*ROUND((Source!AF201*Source!AV201)*Source!I201, 2), 2)</f>
        <v>0</v>
      </c>
      <c r="T186">
        <f>Source!Y201</f>
        <v>0</v>
      </c>
      <c r="U186">
        <f>ROUND((175/100)*ROUND((Source!AE201*Source!AV201)*Source!I201, 2), 2)</f>
        <v>0</v>
      </c>
      <c r="V186">
        <f>ROUND((108/100)*ROUND(Source!CS201*Source!I201, 2), 2)</f>
        <v>0</v>
      </c>
    </row>
    <row r="187" spans="1:22" ht="14.25" x14ac:dyDescent="0.2">
      <c r="A187" s="20"/>
      <c r="B187" s="21"/>
      <c r="C187" s="21" t="s">
        <v>546</v>
      </c>
      <c r="D187" s="23" t="s">
        <v>547</v>
      </c>
      <c r="E187" s="10">
        <f>Source!AT198</f>
        <v>70</v>
      </c>
      <c r="F187" s="25"/>
      <c r="G187" s="24"/>
      <c r="H187" s="10"/>
      <c r="I187" s="10"/>
      <c r="J187" s="25">
        <f>SUM(R178:R186)</f>
        <v>4904.4399999999996</v>
      </c>
      <c r="K187" s="25"/>
    </row>
    <row r="188" spans="1:22" ht="14.25" x14ac:dyDescent="0.2">
      <c r="A188" s="20"/>
      <c r="B188" s="21"/>
      <c r="C188" s="21" t="s">
        <v>548</v>
      </c>
      <c r="D188" s="23" t="s">
        <v>547</v>
      </c>
      <c r="E188" s="10">
        <f>Source!AU198</f>
        <v>10</v>
      </c>
      <c r="F188" s="25"/>
      <c r="G188" s="24"/>
      <c r="H188" s="10"/>
      <c r="I188" s="10"/>
      <c r="J188" s="25">
        <f>SUM(T178:T187)</f>
        <v>700.63</v>
      </c>
      <c r="K188" s="25"/>
    </row>
    <row r="189" spans="1:22" ht="14.25" x14ac:dyDescent="0.2">
      <c r="A189" s="20"/>
      <c r="B189" s="21"/>
      <c r="C189" s="21" t="s">
        <v>549</v>
      </c>
      <c r="D189" s="23" t="s">
        <v>547</v>
      </c>
      <c r="E189" s="10">
        <f>108</f>
        <v>108</v>
      </c>
      <c r="F189" s="25"/>
      <c r="G189" s="24"/>
      <c r="H189" s="10"/>
      <c r="I189" s="10"/>
      <c r="J189" s="25">
        <f>SUM(V178:V188)</f>
        <v>16814.79</v>
      </c>
      <c r="K189" s="25"/>
    </row>
    <row r="190" spans="1:22" ht="14.25" x14ac:dyDescent="0.2">
      <c r="A190" s="20"/>
      <c r="B190" s="21"/>
      <c r="C190" s="21" t="s">
        <v>550</v>
      </c>
      <c r="D190" s="23" t="s">
        <v>551</v>
      </c>
      <c r="E190" s="10">
        <f>Source!AQ198</f>
        <v>87.29</v>
      </c>
      <c r="F190" s="25"/>
      <c r="G190" s="24" t="str">
        <f>Source!DI198</f>
        <v/>
      </c>
      <c r="H190" s="10">
        <f>Source!AV198</f>
        <v>1</v>
      </c>
      <c r="I190" s="10"/>
      <c r="J190" s="25"/>
      <c r="K190" s="25">
        <f>Source!U198</f>
        <v>38.861508000000001</v>
      </c>
    </row>
    <row r="191" spans="1:22" ht="15" x14ac:dyDescent="0.25">
      <c r="A191" s="31"/>
      <c r="B191" s="31"/>
      <c r="C191" s="31"/>
      <c r="D191" s="31"/>
      <c r="E191" s="31"/>
      <c r="F191" s="31"/>
      <c r="G191" s="31"/>
      <c r="H191" s="31"/>
      <c r="I191" s="70">
        <f>J180+J181+J183+J187+J188+J189+SUM(J184:J186)</f>
        <v>112300.55000000002</v>
      </c>
      <c r="J191" s="70"/>
      <c r="K191" s="32">
        <f>IF(Source!I198&lt;&gt;0, ROUND(I191/Source!I198, 2), 0)</f>
        <v>252247.42</v>
      </c>
      <c r="P191" s="29">
        <f>I191</f>
        <v>112300.55000000002</v>
      </c>
    </row>
    <row r="192" spans="1:22" ht="42.75" x14ac:dyDescent="0.2">
      <c r="A192" s="20" t="str">
        <f>Source!E202</f>
        <v>16</v>
      </c>
      <c r="B192" s="21" t="str">
        <f>Source!F202</f>
        <v>2.1-3103-17-1/1</v>
      </c>
      <c r="C192" s="21" t="str">
        <f>Source!G202</f>
        <v>Устройство покрытий тротуаров из бетонной плитки типа "Брусчатка" рядовым или паркетным мощением</v>
      </c>
      <c r="D192" s="23" t="str">
        <f>Source!H202</f>
        <v>100 м2</v>
      </c>
      <c r="E192" s="10">
        <f>Source!I202</f>
        <v>14.84</v>
      </c>
      <c r="F192" s="25"/>
      <c r="G192" s="24"/>
      <c r="H192" s="10"/>
      <c r="I192" s="10"/>
      <c r="J192" s="25"/>
      <c r="K192" s="25"/>
      <c r="Q192">
        <f>ROUND((Source!BZ202/100)*ROUND((Source!AF202*Source!AV202)*Source!I202, 2), 2)</f>
        <v>268833.96000000002</v>
      </c>
      <c r="R192">
        <f>Source!X202</f>
        <v>268833.96000000002</v>
      </c>
      <c r="S192">
        <f>ROUND((Source!CA202/100)*ROUND((Source!AF202*Source!AV202)*Source!I202, 2), 2)</f>
        <v>38404.85</v>
      </c>
      <c r="T192">
        <f>Source!Y202</f>
        <v>38404.85</v>
      </c>
      <c r="U192">
        <f>ROUND((175/100)*ROUND((Source!AE202*Source!AV202)*Source!I202, 2), 2)</f>
        <v>441.49</v>
      </c>
      <c r="V192">
        <f>ROUND((108/100)*ROUND(Source!CS202*Source!I202, 2), 2)</f>
        <v>272.45999999999998</v>
      </c>
    </row>
    <row r="193" spans="1:22" x14ac:dyDescent="0.2">
      <c r="C193" s="26" t="str">
        <f>"Объем: "&amp;Source!I202&amp;"=1484/"&amp;"100"</f>
        <v>Объем: 14,84=1484/100</v>
      </c>
    </row>
    <row r="194" spans="1:22" ht="14.25" x14ac:dyDescent="0.2">
      <c r="A194" s="20"/>
      <c r="B194" s="21"/>
      <c r="C194" s="21" t="s">
        <v>541</v>
      </c>
      <c r="D194" s="23"/>
      <c r="E194" s="10"/>
      <c r="F194" s="25">
        <f>Source!AO202</f>
        <v>25879.279999999999</v>
      </c>
      <c r="G194" s="24" t="str">
        <f>Source!DG202</f>
        <v/>
      </c>
      <c r="H194" s="10">
        <f>Source!AV202</f>
        <v>1</v>
      </c>
      <c r="I194" s="10">
        <f>IF(Source!BA202&lt;&gt; 0, Source!BA202, 1)</f>
        <v>1</v>
      </c>
      <c r="J194" s="25">
        <f>Source!S202</f>
        <v>384048.52</v>
      </c>
      <c r="K194" s="25"/>
    </row>
    <row r="195" spans="1:22" ht="14.25" x14ac:dyDescent="0.2">
      <c r="A195" s="20"/>
      <c r="B195" s="21"/>
      <c r="C195" s="21" t="s">
        <v>542</v>
      </c>
      <c r="D195" s="23"/>
      <c r="E195" s="10"/>
      <c r="F195" s="25">
        <f>Source!AM202</f>
        <v>370.79</v>
      </c>
      <c r="G195" s="24" t="str">
        <f>Source!DE202</f>
        <v/>
      </c>
      <c r="H195" s="10">
        <f>Source!AV202</f>
        <v>1</v>
      </c>
      <c r="I195" s="10">
        <f>IF(Source!BB202&lt;&gt; 0, Source!BB202, 1)</f>
        <v>1</v>
      </c>
      <c r="J195" s="25">
        <f>Source!Q202</f>
        <v>5502.52</v>
      </c>
      <c r="K195" s="25"/>
    </row>
    <row r="196" spans="1:22" ht="14.25" x14ac:dyDescent="0.2">
      <c r="A196" s="20"/>
      <c r="B196" s="21"/>
      <c r="C196" s="21" t="s">
        <v>543</v>
      </c>
      <c r="D196" s="23"/>
      <c r="E196" s="10"/>
      <c r="F196" s="25">
        <f>Source!AN202</f>
        <v>17</v>
      </c>
      <c r="G196" s="24" t="str">
        <f>Source!DF202</f>
        <v/>
      </c>
      <c r="H196" s="10">
        <f>Source!AV202</f>
        <v>1</v>
      </c>
      <c r="I196" s="10">
        <f>IF(Source!BS202&lt;&gt; 0, Source!BS202, 1)</f>
        <v>1</v>
      </c>
      <c r="J196" s="27">
        <f>Source!R202</f>
        <v>252.28</v>
      </c>
      <c r="K196" s="25"/>
    </row>
    <row r="197" spans="1:22" ht="14.25" x14ac:dyDescent="0.2">
      <c r="A197" s="20"/>
      <c r="B197" s="21"/>
      <c r="C197" s="21" t="s">
        <v>544</v>
      </c>
      <c r="D197" s="23"/>
      <c r="E197" s="10"/>
      <c r="F197" s="25">
        <f>Source!AL202</f>
        <v>33083.43</v>
      </c>
      <c r="G197" s="24" t="str">
        <f>Source!DD202</f>
        <v/>
      </c>
      <c r="H197" s="10">
        <f>Source!AW202</f>
        <v>1</v>
      </c>
      <c r="I197" s="10">
        <f>IF(Source!BC202&lt;&gt; 0, Source!BC202, 1)</f>
        <v>1</v>
      </c>
      <c r="J197" s="25">
        <f>Source!P202</f>
        <v>490958.1</v>
      </c>
      <c r="K197" s="25"/>
    </row>
    <row r="198" spans="1:22" ht="42.75" x14ac:dyDescent="0.2">
      <c r="A198" s="20" t="str">
        <f>Source!E203</f>
        <v>16,1</v>
      </c>
      <c r="B198" s="21" t="str">
        <f>Source!F203</f>
        <v>21.5-3-76</v>
      </c>
      <c r="C198" s="21" t="str">
        <f>Source!G203</f>
        <v>Плиты бетонные тротуарные, толщина 70 мм, цвет: разного цвета (Брусчатка Бр 20.10.7, цветная)</v>
      </c>
      <c r="D198" s="23" t="str">
        <f>Source!H203</f>
        <v>м2</v>
      </c>
      <c r="E198" s="10">
        <f>Source!I203</f>
        <v>1558.2</v>
      </c>
      <c r="F198" s="25">
        <f>Source!AK203</f>
        <v>820.08</v>
      </c>
      <c r="G198" s="28" t="s">
        <v>545</v>
      </c>
      <c r="H198" s="10">
        <f>Source!AW203</f>
        <v>1</v>
      </c>
      <c r="I198" s="10">
        <f>IF(Source!BC203&lt;&gt; 0, Source!BC203, 1)</f>
        <v>1</v>
      </c>
      <c r="J198" s="25">
        <f>Source!O203</f>
        <v>1277848.6599999999</v>
      </c>
      <c r="K198" s="25"/>
      <c r="Q198">
        <f>ROUND((Source!BZ203/100)*ROUND((Source!AF203*Source!AV203)*Source!I203, 2), 2)</f>
        <v>0</v>
      </c>
      <c r="R198">
        <f>Source!X203</f>
        <v>0</v>
      </c>
      <c r="S198">
        <f>ROUND((Source!CA203/100)*ROUND((Source!AF203*Source!AV203)*Source!I203, 2), 2)</f>
        <v>0</v>
      </c>
      <c r="T198">
        <f>Source!Y203</f>
        <v>0</v>
      </c>
      <c r="U198">
        <f>ROUND((175/100)*ROUND((Source!AE203*Source!AV203)*Source!I203, 2), 2)</f>
        <v>0</v>
      </c>
      <c r="V198">
        <f>ROUND((108/100)*ROUND(Source!CS203*Source!I203, 2), 2)</f>
        <v>0</v>
      </c>
    </row>
    <row r="199" spans="1:22" ht="14.25" x14ac:dyDescent="0.2">
      <c r="A199" s="20"/>
      <c r="B199" s="21"/>
      <c r="C199" s="21" t="s">
        <v>546</v>
      </c>
      <c r="D199" s="23" t="s">
        <v>547</v>
      </c>
      <c r="E199" s="10">
        <f>Source!AT202</f>
        <v>70</v>
      </c>
      <c r="F199" s="25"/>
      <c r="G199" s="24"/>
      <c r="H199" s="10"/>
      <c r="I199" s="10"/>
      <c r="J199" s="25">
        <f>SUM(R192:R198)</f>
        <v>268833.96000000002</v>
      </c>
      <c r="K199" s="25"/>
    </row>
    <row r="200" spans="1:22" ht="14.25" x14ac:dyDescent="0.2">
      <c r="A200" s="20"/>
      <c r="B200" s="21"/>
      <c r="C200" s="21" t="s">
        <v>548</v>
      </c>
      <c r="D200" s="23" t="s">
        <v>547</v>
      </c>
      <c r="E200" s="10">
        <f>Source!AU202</f>
        <v>10</v>
      </c>
      <c r="F200" s="25"/>
      <c r="G200" s="24"/>
      <c r="H200" s="10"/>
      <c r="I200" s="10"/>
      <c r="J200" s="25">
        <f>SUM(T192:T199)</f>
        <v>38404.85</v>
      </c>
      <c r="K200" s="25"/>
    </row>
    <row r="201" spans="1:22" ht="14.25" x14ac:dyDescent="0.2">
      <c r="A201" s="20"/>
      <c r="B201" s="21"/>
      <c r="C201" s="21" t="s">
        <v>549</v>
      </c>
      <c r="D201" s="23" t="s">
        <v>547</v>
      </c>
      <c r="E201" s="10">
        <f>108</f>
        <v>108</v>
      </c>
      <c r="F201" s="25"/>
      <c r="G201" s="24"/>
      <c r="H201" s="10"/>
      <c r="I201" s="10"/>
      <c r="J201" s="25">
        <f>SUM(V192:V200)</f>
        <v>272.45999999999998</v>
      </c>
      <c r="K201" s="25"/>
    </row>
    <row r="202" spans="1:22" ht="14.25" x14ac:dyDescent="0.2">
      <c r="A202" s="20"/>
      <c r="B202" s="21"/>
      <c r="C202" s="21" t="s">
        <v>550</v>
      </c>
      <c r="D202" s="23" t="s">
        <v>551</v>
      </c>
      <c r="E202" s="10">
        <f>Source!AQ202</f>
        <v>134.08000000000001</v>
      </c>
      <c r="F202" s="25"/>
      <c r="G202" s="24" t="str">
        <f>Source!DI202</f>
        <v/>
      </c>
      <c r="H202" s="10">
        <f>Source!AV202</f>
        <v>1</v>
      </c>
      <c r="I202" s="10"/>
      <c r="J202" s="25"/>
      <c r="K202" s="25">
        <f>Source!U202</f>
        <v>1989.7472000000002</v>
      </c>
    </row>
    <row r="203" spans="1:22" ht="15" x14ac:dyDescent="0.25">
      <c r="A203" s="31"/>
      <c r="B203" s="31"/>
      <c r="C203" s="31"/>
      <c r="D203" s="31"/>
      <c r="E203" s="31"/>
      <c r="F203" s="31"/>
      <c r="G203" s="31"/>
      <c r="H203" s="31"/>
      <c r="I203" s="70">
        <f>J194+J195+J197+J199+J200+J201+SUM(J198:J198)</f>
        <v>2465869.0700000003</v>
      </c>
      <c r="J203" s="70"/>
      <c r="K203" s="32">
        <f>IF(Source!I202&lt;&gt;0, ROUND(I203/Source!I202, 2), 0)</f>
        <v>166163.68</v>
      </c>
      <c r="P203" s="29">
        <f>I203</f>
        <v>2465869.0700000003</v>
      </c>
    </row>
    <row r="205" spans="1:22" ht="15" x14ac:dyDescent="0.25">
      <c r="A205" s="73" t="str">
        <f>CONCATENATE("Итого по разделу: ",IF(Source!G205&lt;&gt;"Новый раздел", Source!G205, ""))</f>
        <v>Итого по разделу: Ремонт покрытия из брусчатки (1484 м2)</v>
      </c>
      <c r="B205" s="73"/>
      <c r="C205" s="73"/>
      <c r="D205" s="73"/>
      <c r="E205" s="73"/>
      <c r="F205" s="73"/>
      <c r="G205" s="73"/>
      <c r="H205" s="73"/>
      <c r="I205" s="71">
        <f>SUM(P177:P204)</f>
        <v>2578169.62</v>
      </c>
      <c r="J205" s="72"/>
      <c r="K205" s="33"/>
    </row>
    <row r="208" spans="1:22" ht="16.5" x14ac:dyDescent="0.25">
      <c r="A208" s="74" t="str">
        <f>CONCATENATE("Раздел: ",IF(Source!G235&lt;&gt;"Новый раздел", Source!G235, ""))</f>
        <v>Раздел: Ремонт покрытия из резиновой крошки (392 м2)</v>
      </c>
      <c r="B208" s="74"/>
      <c r="C208" s="74"/>
      <c r="D208" s="74"/>
      <c r="E208" s="74"/>
      <c r="F208" s="74"/>
      <c r="G208" s="74"/>
      <c r="H208" s="74"/>
      <c r="I208" s="74"/>
      <c r="J208" s="74"/>
      <c r="K208" s="74"/>
    </row>
    <row r="209" spans="1:22" ht="57" x14ac:dyDescent="0.2">
      <c r="A209" s="20" t="str">
        <f>Source!E239</f>
        <v>17</v>
      </c>
      <c r="B209" s="21" t="str">
        <f>Source!F239</f>
        <v>5.3-3103-11-1/1</v>
      </c>
      <c r="C209" s="21" t="str">
        <f>Source!G239</f>
        <v>Устройство наливного полиуретанового покрытия спортивных площадок и беговых дорожек толщиной 10 мм</v>
      </c>
      <c r="D209" s="23" t="str">
        <f>Source!H239</f>
        <v>100 м2</v>
      </c>
      <c r="E209" s="10">
        <f>Source!I239</f>
        <v>3.92</v>
      </c>
      <c r="F209" s="25"/>
      <c r="G209" s="24"/>
      <c r="H209" s="10"/>
      <c r="I209" s="10"/>
      <c r="J209" s="25"/>
      <c r="K209" s="25"/>
      <c r="Q209">
        <f>ROUND((Source!BZ239/100)*ROUND((Source!AF239*Source!AV239)*Source!I239, 2), 2)</f>
        <v>10653.61</v>
      </c>
      <c r="R209">
        <f>Source!X239</f>
        <v>10653.61</v>
      </c>
      <c r="S209">
        <f>ROUND((Source!CA239/100)*ROUND((Source!AF239*Source!AV239)*Source!I239, 2), 2)</f>
        <v>1521.94</v>
      </c>
      <c r="T209">
        <f>Source!Y239</f>
        <v>1521.94</v>
      </c>
      <c r="U209">
        <f>ROUND((175/100)*ROUND((Source!AE239*Source!AV239)*Source!I239, 2), 2)</f>
        <v>13471.05</v>
      </c>
      <c r="V209">
        <f>ROUND((108/100)*ROUND(Source!CS239*Source!I239, 2), 2)</f>
        <v>8313.56</v>
      </c>
    </row>
    <row r="210" spans="1:22" x14ac:dyDescent="0.2">
      <c r="C210" s="26" t="str">
        <f>"Объем: "&amp;Source!I239&amp;"=392/"&amp;"100"</f>
        <v>Объем: 3,92=392/100</v>
      </c>
    </row>
    <row r="211" spans="1:22" ht="14.25" x14ac:dyDescent="0.2">
      <c r="A211" s="20"/>
      <c r="B211" s="21"/>
      <c r="C211" s="21" t="s">
        <v>541</v>
      </c>
      <c r="D211" s="23"/>
      <c r="E211" s="10"/>
      <c r="F211" s="25">
        <f>Source!AO239</f>
        <v>3882.51</v>
      </c>
      <c r="G211" s="24" t="str">
        <f>Source!DG239</f>
        <v/>
      </c>
      <c r="H211" s="10">
        <f>Source!AV239</f>
        <v>1</v>
      </c>
      <c r="I211" s="10">
        <f>IF(Source!BA239&lt;&gt; 0, Source!BA239, 1)</f>
        <v>1</v>
      </c>
      <c r="J211" s="25">
        <f>Source!S239</f>
        <v>15219.44</v>
      </c>
      <c r="K211" s="25"/>
    </row>
    <row r="212" spans="1:22" ht="14.25" x14ac:dyDescent="0.2">
      <c r="A212" s="20"/>
      <c r="B212" s="21"/>
      <c r="C212" s="21" t="s">
        <v>542</v>
      </c>
      <c r="D212" s="23"/>
      <c r="E212" s="10"/>
      <c r="F212" s="25">
        <f>Source!AM239</f>
        <v>2505.5300000000002</v>
      </c>
      <c r="G212" s="24" t="str">
        <f>Source!DE239</f>
        <v/>
      </c>
      <c r="H212" s="10">
        <f>Source!AV239</f>
        <v>1</v>
      </c>
      <c r="I212" s="10">
        <f>IF(Source!BB239&lt;&gt; 0, Source!BB239, 1)</f>
        <v>1</v>
      </c>
      <c r="J212" s="25">
        <f>Source!Q239</f>
        <v>9821.68</v>
      </c>
      <c r="K212" s="25"/>
    </row>
    <row r="213" spans="1:22" ht="14.25" x14ac:dyDescent="0.2">
      <c r="A213" s="20"/>
      <c r="B213" s="21"/>
      <c r="C213" s="21" t="s">
        <v>543</v>
      </c>
      <c r="D213" s="23"/>
      <c r="E213" s="10"/>
      <c r="F213" s="25">
        <f>Source!AN239</f>
        <v>1963.71</v>
      </c>
      <c r="G213" s="24" t="str">
        <f>Source!DF239</f>
        <v/>
      </c>
      <c r="H213" s="10">
        <f>Source!AV239</f>
        <v>1</v>
      </c>
      <c r="I213" s="10">
        <f>IF(Source!BS239&lt;&gt; 0, Source!BS239, 1)</f>
        <v>1</v>
      </c>
      <c r="J213" s="27">
        <f>Source!R239</f>
        <v>7697.74</v>
      </c>
      <c r="K213" s="25"/>
    </row>
    <row r="214" spans="1:22" ht="14.25" x14ac:dyDescent="0.2">
      <c r="A214" s="20"/>
      <c r="B214" s="21"/>
      <c r="C214" s="21" t="s">
        <v>544</v>
      </c>
      <c r="D214" s="23"/>
      <c r="E214" s="10"/>
      <c r="F214" s="25">
        <f>Source!AL239</f>
        <v>99773.18</v>
      </c>
      <c r="G214" s="24" t="str">
        <f>Source!DD239</f>
        <v/>
      </c>
      <c r="H214" s="10">
        <f>Source!AW239</f>
        <v>1</v>
      </c>
      <c r="I214" s="10">
        <f>IF(Source!BC239&lt;&gt; 0, Source!BC239, 1)</f>
        <v>1</v>
      </c>
      <c r="J214" s="25">
        <f>Source!P239</f>
        <v>391110.87</v>
      </c>
      <c r="K214" s="25"/>
    </row>
    <row r="215" spans="1:22" ht="28.5" x14ac:dyDescent="0.2">
      <c r="A215" s="20" t="str">
        <f>Source!E240</f>
        <v>17,1</v>
      </c>
      <c r="B215" s="21" t="str">
        <f>Source!F240</f>
        <v>21.1-6-101</v>
      </c>
      <c r="C215" s="21" t="str">
        <f>Source!G240</f>
        <v>Пигменты сухие для красок, кислотный желтый</v>
      </c>
      <c r="D215" s="23" t="str">
        <f>Source!H240</f>
        <v>т</v>
      </c>
      <c r="E215" s="10">
        <f>Source!I240</f>
        <v>-0.20580000000000001</v>
      </c>
      <c r="F215" s="25">
        <f>Source!AK240</f>
        <v>748288.41</v>
      </c>
      <c r="G215" s="28" t="s">
        <v>545</v>
      </c>
      <c r="H215" s="10">
        <f>Source!AW240</f>
        <v>1</v>
      </c>
      <c r="I215" s="10">
        <f>IF(Source!BC240&lt;&gt; 0, Source!BC240, 1)</f>
        <v>1</v>
      </c>
      <c r="J215" s="25">
        <f>Source!O240</f>
        <v>-153997.75</v>
      </c>
      <c r="K215" s="25"/>
      <c r="Q215">
        <f>ROUND((Source!BZ240/100)*ROUND((Source!AF240*Source!AV240)*Source!I240, 2), 2)</f>
        <v>0</v>
      </c>
      <c r="R215">
        <f>Source!X240</f>
        <v>0</v>
      </c>
      <c r="S215">
        <f>ROUND((Source!CA240/100)*ROUND((Source!AF240*Source!AV240)*Source!I240, 2), 2)</f>
        <v>0</v>
      </c>
      <c r="T215">
        <f>Source!Y240</f>
        <v>0</v>
      </c>
      <c r="U215">
        <f>ROUND((175/100)*ROUND((Source!AE240*Source!AV240)*Source!I240, 2), 2)</f>
        <v>0</v>
      </c>
      <c r="V215">
        <f>ROUND((108/100)*ROUND(Source!CS240*Source!I240, 2), 2)</f>
        <v>0</v>
      </c>
    </row>
    <row r="216" spans="1:22" ht="14.25" x14ac:dyDescent="0.2">
      <c r="A216" s="20"/>
      <c r="B216" s="21"/>
      <c r="C216" s="21" t="s">
        <v>546</v>
      </c>
      <c r="D216" s="23" t="s">
        <v>547</v>
      </c>
      <c r="E216" s="10">
        <f>Source!AT239</f>
        <v>70</v>
      </c>
      <c r="F216" s="25"/>
      <c r="G216" s="24"/>
      <c r="H216" s="10"/>
      <c r="I216" s="10"/>
      <c r="J216" s="25">
        <f>SUM(R209:R215)</f>
        <v>10653.61</v>
      </c>
      <c r="K216" s="25"/>
    </row>
    <row r="217" spans="1:22" ht="14.25" x14ac:dyDescent="0.2">
      <c r="A217" s="20"/>
      <c r="B217" s="21"/>
      <c r="C217" s="21" t="s">
        <v>548</v>
      </c>
      <c r="D217" s="23" t="s">
        <v>547</v>
      </c>
      <c r="E217" s="10">
        <f>Source!AU239</f>
        <v>10</v>
      </c>
      <c r="F217" s="25"/>
      <c r="G217" s="24"/>
      <c r="H217" s="10"/>
      <c r="I217" s="10"/>
      <c r="J217" s="25">
        <f>SUM(T209:T216)</f>
        <v>1521.94</v>
      </c>
      <c r="K217" s="25"/>
    </row>
    <row r="218" spans="1:22" ht="14.25" x14ac:dyDescent="0.2">
      <c r="A218" s="20"/>
      <c r="B218" s="21"/>
      <c r="C218" s="21" t="s">
        <v>549</v>
      </c>
      <c r="D218" s="23" t="s">
        <v>547</v>
      </c>
      <c r="E218" s="10">
        <f>108</f>
        <v>108</v>
      </c>
      <c r="F218" s="25"/>
      <c r="G218" s="24"/>
      <c r="H218" s="10"/>
      <c r="I218" s="10"/>
      <c r="J218" s="25">
        <f>SUM(V209:V217)</f>
        <v>8313.56</v>
      </c>
      <c r="K218" s="25"/>
    </row>
    <row r="219" spans="1:22" ht="14.25" x14ac:dyDescent="0.2">
      <c r="A219" s="20"/>
      <c r="B219" s="21"/>
      <c r="C219" s="21" t="s">
        <v>550</v>
      </c>
      <c r="D219" s="23" t="s">
        <v>551</v>
      </c>
      <c r="E219" s="10">
        <f>Source!AQ239</f>
        <v>18.440000000000001</v>
      </c>
      <c r="F219" s="25"/>
      <c r="G219" s="24" t="str">
        <f>Source!DI239</f>
        <v/>
      </c>
      <c r="H219" s="10">
        <f>Source!AV239</f>
        <v>1</v>
      </c>
      <c r="I219" s="10"/>
      <c r="J219" s="25"/>
      <c r="K219" s="25">
        <f>Source!U239</f>
        <v>72.284800000000004</v>
      </c>
    </row>
    <row r="220" spans="1:22" ht="15" x14ac:dyDescent="0.25">
      <c r="A220" s="31"/>
      <c r="B220" s="31"/>
      <c r="C220" s="31"/>
      <c r="D220" s="31"/>
      <c r="E220" s="31"/>
      <c r="F220" s="31"/>
      <c r="G220" s="31"/>
      <c r="H220" s="31"/>
      <c r="I220" s="70">
        <f>J211+J212+J214+J216+J217+J218+SUM(J215:J215)</f>
        <v>282643.34999999998</v>
      </c>
      <c r="J220" s="70"/>
      <c r="K220" s="32">
        <f>IF(Source!I239&lt;&gt;0, ROUND(I220/Source!I239, 2), 0)</f>
        <v>72102.899999999994</v>
      </c>
      <c r="P220" s="29">
        <f>I220</f>
        <v>282643.34999999998</v>
      </c>
    </row>
    <row r="221" spans="1:22" ht="71.25" x14ac:dyDescent="0.2">
      <c r="A221" s="20" t="str">
        <f>Source!E241</f>
        <v>18</v>
      </c>
      <c r="B221" s="21" t="str">
        <f>Source!F241</f>
        <v>5.3-3103-11-2/1</v>
      </c>
      <c r="C221" s="21" t="str">
        <f>Source!G241</f>
        <v>Устройство наливного полиуретанового покрытия спортивных площадок и беговых дорожек, добавляется на 2 мм толщины покрытия</v>
      </c>
      <c r="D221" s="23" t="str">
        <f>Source!H241</f>
        <v>100 м2</v>
      </c>
      <c r="E221" s="10">
        <f>Source!I241</f>
        <v>3.92</v>
      </c>
      <c r="F221" s="25"/>
      <c r="G221" s="24"/>
      <c r="H221" s="10"/>
      <c r="I221" s="10"/>
      <c r="J221" s="25"/>
      <c r="K221" s="25"/>
      <c r="Q221">
        <f>ROUND((Source!BZ241/100)*ROUND((Source!AF241*Source!AV241)*Source!I241, 2), 2)</f>
        <v>7874.32</v>
      </c>
      <c r="R221">
        <f>Source!X241</f>
        <v>7874.32</v>
      </c>
      <c r="S221">
        <f>ROUND((Source!CA241/100)*ROUND((Source!AF241*Source!AV241)*Source!I241, 2), 2)</f>
        <v>1124.9000000000001</v>
      </c>
      <c r="T221">
        <f>Source!Y241</f>
        <v>1124.9000000000001</v>
      </c>
      <c r="U221">
        <f>ROUND((175/100)*ROUND((Source!AE241*Source!AV241)*Source!I241, 2), 2)</f>
        <v>12717.76</v>
      </c>
      <c r="V221">
        <f>ROUND((108/100)*ROUND(Source!CS241*Source!I241, 2), 2)</f>
        <v>7848.67</v>
      </c>
    </row>
    <row r="222" spans="1:22" ht="14.25" x14ac:dyDescent="0.2">
      <c r="A222" s="20"/>
      <c r="B222" s="21"/>
      <c r="C222" s="21" t="s">
        <v>541</v>
      </c>
      <c r="D222" s="23"/>
      <c r="E222" s="10"/>
      <c r="F222" s="25">
        <f>Source!AO241</f>
        <v>573.92999999999995</v>
      </c>
      <c r="G222" s="24" t="str">
        <f>Source!DG241</f>
        <v>*5</v>
      </c>
      <c r="H222" s="10">
        <f>Source!AV241</f>
        <v>1</v>
      </c>
      <c r="I222" s="10">
        <f>IF(Source!BA241&lt;&gt; 0, Source!BA241, 1)</f>
        <v>1</v>
      </c>
      <c r="J222" s="25">
        <f>Source!S241</f>
        <v>11249.03</v>
      </c>
      <c r="K222" s="25"/>
    </row>
    <row r="223" spans="1:22" ht="14.25" x14ac:dyDescent="0.2">
      <c r="A223" s="20"/>
      <c r="B223" s="21"/>
      <c r="C223" s="21" t="s">
        <v>542</v>
      </c>
      <c r="D223" s="23"/>
      <c r="E223" s="10"/>
      <c r="F223" s="25">
        <f>Source!AM241</f>
        <v>471.69</v>
      </c>
      <c r="G223" s="24" t="str">
        <f>Source!DE241</f>
        <v>*5</v>
      </c>
      <c r="H223" s="10">
        <f>Source!AV241</f>
        <v>1</v>
      </c>
      <c r="I223" s="10">
        <f>IF(Source!BB241&lt;&gt; 0, Source!BB241, 1)</f>
        <v>1</v>
      </c>
      <c r="J223" s="25">
        <f>Source!Q241</f>
        <v>9245.1200000000008</v>
      </c>
      <c r="K223" s="25"/>
    </row>
    <row r="224" spans="1:22" ht="14.25" x14ac:dyDescent="0.2">
      <c r="A224" s="20"/>
      <c r="B224" s="21"/>
      <c r="C224" s="21" t="s">
        <v>543</v>
      </c>
      <c r="D224" s="23"/>
      <c r="E224" s="10"/>
      <c r="F224" s="25">
        <f>Source!AN241</f>
        <v>370.78</v>
      </c>
      <c r="G224" s="24" t="str">
        <f>Source!DF241</f>
        <v>*5</v>
      </c>
      <c r="H224" s="10">
        <f>Source!AV241</f>
        <v>1</v>
      </c>
      <c r="I224" s="10">
        <f>IF(Source!BS241&lt;&gt; 0, Source!BS241, 1)</f>
        <v>1</v>
      </c>
      <c r="J224" s="27">
        <f>Source!R241</f>
        <v>7267.29</v>
      </c>
      <c r="K224" s="25"/>
    </row>
    <row r="225" spans="1:22" ht="14.25" x14ac:dyDescent="0.2">
      <c r="A225" s="20"/>
      <c r="B225" s="21"/>
      <c r="C225" s="21" t="s">
        <v>544</v>
      </c>
      <c r="D225" s="23"/>
      <c r="E225" s="10"/>
      <c r="F225" s="25">
        <f>Source!AL241</f>
        <v>18525.45</v>
      </c>
      <c r="G225" s="24" t="str">
        <f>Source!DD241</f>
        <v>*5</v>
      </c>
      <c r="H225" s="10">
        <f>Source!AW241</f>
        <v>1</v>
      </c>
      <c r="I225" s="10">
        <f>IF(Source!BC241&lt;&gt; 0, Source!BC241, 1)</f>
        <v>1</v>
      </c>
      <c r="J225" s="25">
        <f>Source!P241</f>
        <v>363098.82</v>
      </c>
      <c r="K225" s="25"/>
    </row>
    <row r="226" spans="1:22" ht="28.5" x14ac:dyDescent="0.2">
      <c r="A226" s="20" t="str">
        <f>Source!E242</f>
        <v>18,1</v>
      </c>
      <c r="B226" s="21" t="str">
        <f>Source!F242</f>
        <v>21.1-6-101</v>
      </c>
      <c r="C226" s="21" t="str">
        <f>Source!G242</f>
        <v>Пигменты сухие для красок, кислотный желтый</v>
      </c>
      <c r="D226" s="23" t="str">
        <f>Source!H242</f>
        <v>т</v>
      </c>
      <c r="E226" s="10">
        <f>Source!I242</f>
        <v>-0.20580000000000001</v>
      </c>
      <c r="F226" s="25">
        <f>Source!AK242</f>
        <v>748288.41</v>
      </c>
      <c r="G226" s="28" t="s">
        <v>555</v>
      </c>
      <c r="H226" s="10">
        <f>Source!AW242</f>
        <v>1</v>
      </c>
      <c r="I226" s="10">
        <f>IF(Source!BC242&lt;&gt; 0, Source!BC242, 1)</f>
        <v>1</v>
      </c>
      <c r="J226" s="25">
        <f>Source!O242</f>
        <v>-153997.75</v>
      </c>
      <c r="K226" s="25"/>
      <c r="Q226">
        <f>ROUND((Source!BZ242/100)*ROUND((Source!AF242*Source!AV242)*Source!I242, 2), 2)</f>
        <v>0</v>
      </c>
      <c r="R226">
        <f>Source!X242</f>
        <v>0</v>
      </c>
      <c r="S226">
        <f>ROUND((Source!CA242/100)*ROUND((Source!AF242*Source!AV242)*Source!I242, 2), 2)</f>
        <v>0</v>
      </c>
      <c r="T226">
        <f>Source!Y242</f>
        <v>0</v>
      </c>
      <c r="U226">
        <f>ROUND((175/100)*ROUND((Source!AE242*Source!AV242)*Source!I242, 2), 2)</f>
        <v>0</v>
      </c>
      <c r="V226">
        <f>ROUND((108/100)*ROUND(Source!CS242*Source!I242, 2), 2)</f>
        <v>0</v>
      </c>
    </row>
    <row r="227" spans="1:22" ht="28.5" x14ac:dyDescent="0.2">
      <c r="A227" s="20" t="str">
        <f>Source!E243</f>
        <v>18,2</v>
      </c>
      <c r="B227" s="21" t="str">
        <f>Source!F243</f>
        <v>21.1-6-156</v>
      </c>
      <c r="C227" s="21" t="str">
        <f>Source!G243</f>
        <v>Пигменты сухие красного цвета, железоокисные</v>
      </c>
      <c r="D227" s="23" t="str">
        <f>Source!H243</f>
        <v>кг</v>
      </c>
      <c r="E227" s="10">
        <f>Source!I243</f>
        <v>205.8</v>
      </c>
      <c r="F227" s="25">
        <f>Source!AK243</f>
        <v>124.48</v>
      </c>
      <c r="G227" s="28" t="s">
        <v>545</v>
      </c>
      <c r="H227" s="10">
        <f>Source!AW243</f>
        <v>1</v>
      </c>
      <c r="I227" s="10">
        <f>IF(Source!BC243&lt;&gt; 0, Source!BC243, 1)</f>
        <v>1</v>
      </c>
      <c r="J227" s="25">
        <f>Source!O243</f>
        <v>25617.98</v>
      </c>
      <c r="K227" s="25"/>
      <c r="Q227">
        <f>ROUND((Source!BZ243/100)*ROUND((Source!AF243*Source!AV243)*Source!I243, 2), 2)</f>
        <v>0</v>
      </c>
      <c r="R227">
        <f>Source!X243</f>
        <v>0</v>
      </c>
      <c r="S227">
        <f>ROUND((Source!CA243/100)*ROUND((Source!AF243*Source!AV243)*Source!I243, 2), 2)</f>
        <v>0</v>
      </c>
      <c r="T227">
        <f>Source!Y243</f>
        <v>0</v>
      </c>
      <c r="U227">
        <f>ROUND((175/100)*ROUND((Source!AE243*Source!AV243)*Source!I243, 2), 2)</f>
        <v>0</v>
      </c>
      <c r="V227">
        <f>ROUND((108/100)*ROUND(Source!CS243*Source!I243, 2), 2)</f>
        <v>0</v>
      </c>
    </row>
    <row r="228" spans="1:22" ht="14.25" x14ac:dyDescent="0.2">
      <c r="A228" s="20"/>
      <c r="B228" s="21"/>
      <c r="C228" s="21" t="s">
        <v>546</v>
      </c>
      <c r="D228" s="23" t="s">
        <v>547</v>
      </c>
      <c r="E228" s="10">
        <f>Source!AT241</f>
        <v>70</v>
      </c>
      <c r="F228" s="25"/>
      <c r="G228" s="24"/>
      <c r="H228" s="10"/>
      <c r="I228" s="10"/>
      <c r="J228" s="25">
        <f>SUM(R221:R227)</f>
        <v>7874.32</v>
      </c>
      <c r="K228" s="25"/>
    </row>
    <row r="229" spans="1:22" ht="14.25" x14ac:dyDescent="0.2">
      <c r="A229" s="20"/>
      <c r="B229" s="21"/>
      <c r="C229" s="21" t="s">
        <v>548</v>
      </c>
      <c r="D229" s="23" t="s">
        <v>547</v>
      </c>
      <c r="E229" s="10">
        <f>Source!AU241</f>
        <v>10</v>
      </c>
      <c r="F229" s="25"/>
      <c r="G229" s="24"/>
      <c r="H229" s="10"/>
      <c r="I229" s="10"/>
      <c r="J229" s="25">
        <f>SUM(T221:T228)</f>
        <v>1124.9000000000001</v>
      </c>
      <c r="K229" s="25"/>
    </row>
    <row r="230" spans="1:22" ht="14.25" x14ac:dyDescent="0.2">
      <c r="A230" s="20"/>
      <c r="B230" s="21"/>
      <c r="C230" s="21" t="s">
        <v>549</v>
      </c>
      <c r="D230" s="23" t="s">
        <v>547</v>
      </c>
      <c r="E230" s="10">
        <f>108</f>
        <v>108</v>
      </c>
      <c r="F230" s="25"/>
      <c r="G230" s="24"/>
      <c r="H230" s="10"/>
      <c r="I230" s="10"/>
      <c r="J230" s="25">
        <f>SUM(V221:V229)</f>
        <v>7848.67</v>
      </c>
      <c r="K230" s="25"/>
    </row>
    <row r="231" spans="1:22" ht="14.25" x14ac:dyDescent="0.2">
      <c r="A231" s="20"/>
      <c r="B231" s="21"/>
      <c r="C231" s="21" t="s">
        <v>550</v>
      </c>
      <c r="D231" s="23" t="s">
        <v>551</v>
      </c>
      <c r="E231" s="10">
        <f>Source!AQ241</f>
        <v>2.65</v>
      </c>
      <c r="F231" s="25"/>
      <c r="G231" s="24" t="str">
        <f>Source!DI241</f>
        <v>*5</v>
      </c>
      <c r="H231" s="10">
        <f>Source!AV241</f>
        <v>1</v>
      </c>
      <c r="I231" s="10"/>
      <c r="J231" s="25"/>
      <c r="K231" s="25">
        <f>Source!U241</f>
        <v>51.94</v>
      </c>
    </row>
    <row r="232" spans="1:22" ht="15" x14ac:dyDescent="0.25">
      <c r="A232" s="31"/>
      <c r="B232" s="31"/>
      <c r="C232" s="31"/>
      <c r="D232" s="31"/>
      <c r="E232" s="31"/>
      <c r="F232" s="31"/>
      <c r="G232" s="31"/>
      <c r="H232" s="31"/>
      <c r="I232" s="70">
        <f>J222+J223+J225+J228+J229+J230+SUM(J226:J227)</f>
        <v>272061.09000000003</v>
      </c>
      <c r="J232" s="70"/>
      <c r="K232" s="32">
        <f>IF(Source!I241&lt;&gt;0, ROUND(I232/Source!I241, 2), 0)</f>
        <v>69403.34</v>
      </c>
      <c r="P232" s="29">
        <f>I232</f>
        <v>272061.09000000003</v>
      </c>
    </row>
    <row r="234" spans="1:22" ht="15" x14ac:dyDescent="0.25">
      <c r="A234" s="73" t="str">
        <f>CONCATENATE("Итого по разделу: ",IF(Source!G245&lt;&gt;"Новый раздел", Source!G245, ""))</f>
        <v>Итого по разделу: Ремонт покрытия из резиновой крошки (392 м2)</v>
      </c>
      <c r="B234" s="73"/>
      <c r="C234" s="73"/>
      <c r="D234" s="73"/>
      <c r="E234" s="73"/>
      <c r="F234" s="73"/>
      <c r="G234" s="73"/>
      <c r="H234" s="73"/>
      <c r="I234" s="71">
        <f>SUM(P208:P233)</f>
        <v>554704.43999999994</v>
      </c>
      <c r="J234" s="72"/>
      <c r="K234" s="33"/>
    </row>
    <row r="237" spans="1:22" ht="16.5" x14ac:dyDescent="0.25">
      <c r="A237" s="74" t="str">
        <f>CONCATENATE("Раздел: ",IF(Source!G275&lt;&gt;"Новый раздел", Source!G275, ""))</f>
        <v>Раздел: Замена бортовых камней бетонных Бр 100.20.8 (538,5 мп)</v>
      </c>
      <c r="B237" s="74"/>
      <c r="C237" s="74"/>
      <c r="D237" s="74"/>
      <c r="E237" s="74"/>
      <c r="F237" s="74"/>
      <c r="G237" s="74"/>
      <c r="H237" s="74"/>
      <c r="I237" s="74"/>
      <c r="J237" s="74"/>
      <c r="K237" s="74"/>
    </row>
    <row r="238" spans="1:22" ht="28.5" x14ac:dyDescent="0.2">
      <c r="A238" s="20" t="str">
        <f>Source!E283</f>
        <v>21</v>
      </c>
      <c r="B238" s="21" t="str">
        <f>Source!F283</f>
        <v>2.1-3204-6-1/1</v>
      </c>
      <c r="C238" s="21" t="str">
        <f>Source!G283</f>
        <v>Разборка бортовых камней на бетонном основании</v>
      </c>
      <c r="D238" s="23" t="str">
        <f>Source!H283</f>
        <v>100 м</v>
      </c>
      <c r="E238" s="10">
        <f>Source!I283</f>
        <v>5.3849999999999998</v>
      </c>
      <c r="F238" s="25"/>
      <c r="G238" s="24"/>
      <c r="H238" s="10"/>
      <c r="I238" s="10"/>
      <c r="J238" s="25"/>
      <c r="K238" s="25"/>
      <c r="Q238">
        <f>ROUND((Source!BZ283/100)*ROUND((Source!AF283*Source!AV283)*Source!I283, 2), 2)</f>
        <v>55667.3</v>
      </c>
      <c r="R238">
        <f>Source!X283</f>
        <v>55667.3</v>
      </c>
      <c r="S238">
        <f>ROUND((Source!CA283/100)*ROUND((Source!AF283*Source!AV283)*Source!I283, 2), 2)</f>
        <v>7952.47</v>
      </c>
      <c r="T238">
        <f>Source!Y283</f>
        <v>7952.47</v>
      </c>
      <c r="U238">
        <f>ROUND((175/100)*ROUND((Source!AE283*Source!AV283)*Source!I283, 2), 2)</f>
        <v>0</v>
      </c>
      <c r="V238">
        <f>ROUND((108/100)*ROUND(Source!CS283*Source!I283, 2), 2)</f>
        <v>0</v>
      </c>
    </row>
    <row r="239" spans="1:22" x14ac:dyDescent="0.2">
      <c r="C239" s="26" t="str">
        <f>"Объем: "&amp;Source!I283&amp;"=538,5/"&amp;"100"</f>
        <v>Объем: 5,385=538,5/100</v>
      </c>
    </row>
    <row r="240" spans="1:22" ht="14.25" x14ac:dyDescent="0.2">
      <c r="A240" s="20"/>
      <c r="B240" s="21"/>
      <c r="C240" s="21" t="s">
        <v>541</v>
      </c>
      <c r="D240" s="23"/>
      <c r="E240" s="10"/>
      <c r="F240" s="25">
        <f>Source!AO283</f>
        <v>14767.82</v>
      </c>
      <c r="G240" s="24" t="str">
        <f>Source!DG283</f>
        <v/>
      </c>
      <c r="H240" s="10">
        <f>Source!AV283</f>
        <v>1</v>
      </c>
      <c r="I240" s="10">
        <f>IF(Source!BA283&lt;&gt; 0, Source!BA283, 1)</f>
        <v>1</v>
      </c>
      <c r="J240" s="25">
        <f>Source!S283</f>
        <v>79524.710000000006</v>
      </c>
      <c r="K240" s="25"/>
    </row>
    <row r="241" spans="1:22" ht="28.5" x14ac:dyDescent="0.2">
      <c r="A241" s="20" t="str">
        <f>Source!E284</f>
        <v>21,1</v>
      </c>
      <c r="B241" s="21" t="str">
        <f>Source!F284</f>
        <v>9999990001</v>
      </c>
      <c r="C241" s="21" t="str">
        <f>Source!G284</f>
        <v>Масса мусора (бетонные изделия 5,92 м3 на 100 м, * 2,4 т = 14,208 т на 100 м)</v>
      </c>
      <c r="D241" s="23" t="str">
        <f>Source!H284</f>
        <v>т</v>
      </c>
      <c r="E241" s="10">
        <f>Source!I284</f>
        <v>76.510080000000002</v>
      </c>
      <c r="F241" s="25">
        <f>Source!AK284</f>
        <v>0</v>
      </c>
      <c r="G241" s="28" t="s">
        <v>545</v>
      </c>
      <c r="H241" s="10">
        <f>Source!AW284</f>
        <v>1</v>
      </c>
      <c r="I241" s="10">
        <f>IF(Source!BC284&lt;&gt; 0, Source!BC284, 1)</f>
        <v>1</v>
      </c>
      <c r="J241" s="25">
        <f>Source!O284</f>
        <v>0</v>
      </c>
      <c r="K241" s="25"/>
      <c r="Q241">
        <f>ROUND((Source!BZ284/100)*ROUND((Source!AF284*Source!AV284)*Source!I284, 2), 2)</f>
        <v>0</v>
      </c>
      <c r="R241">
        <f>Source!X284</f>
        <v>0</v>
      </c>
      <c r="S241">
        <f>ROUND((Source!CA284/100)*ROUND((Source!AF284*Source!AV284)*Source!I284, 2), 2)</f>
        <v>0</v>
      </c>
      <c r="T241">
        <f>Source!Y284</f>
        <v>0</v>
      </c>
      <c r="U241">
        <f>ROUND((175/100)*ROUND((Source!AE284*Source!AV284)*Source!I284, 2), 2)</f>
        <v>0</v>
      </c>
      <c r="V241">
        <f>ROUND((108/100)*ROUND(Source!CS284*Source!I284, 2), 2)</f>
        <v>0</v>
      </c>
    </row>
    <row r="242" spans="1:22" ht="14.25" x14ac:dyDescent="0.2">
      <c r="A242" s="20"/>
      <c r="B242" s="21"/>
      <c r="C242" s="21" t="s">
        <v>546</v>
      </c>
      <c r="D242" s="23" t="s">
        <v>547</v>
      </c>
      <c r="E242" s="10">
        <f>Source!AT283</f>
        <v>70</v>
      </c>
      <c r="F242" s="25"/>
      <c r="G242" s="24"/>
      <c r="H242" s="10"/>
      <c r="I242" s="10"/>
      <c r="J242" s="25">
        <f>SUM(R238:R241)</f>
        <v>55667.3</v>
      </c>
      <c r="K242" s="25"/>
    </row>
    <row r="243" spans="1:22" ht="14.25" x14ac:dyDescent="0.2">
      <c r="A243" s="20"/>
      <c r="B243" s="21"/>
      <c r="C243" s="21" t="s">
        <v>548</v>
      </c>
      <c r="D243" s="23" t="s">
        <v>547</v>
      </c>
      <c r="E243" s="10">
        <f>Source!AU283</f>
        <v>10</v>
      </c>
      <c r="F243" s="25"/>
      <c r="G243" s="24"/>
      <c r="H243" s="10"/>
      <c r="I243" s="10"/>
      <c r="J243" s="25">
        <f>SUM(T238:T242)</f>
        <v>7952.47</v>
      </c>
      <c r="K243" s="25"/>
    </row>
    <row r="244" spans="1:22" ht="14.25" x14ac:dyDescent="0.2">
      <c r="A244" s="20"/>
      <c r="B244" s="21"/>
      <c r="C244" s="21" t="s">
        <v>550</v>
      </c>
      <c r="D244" s="23" t="s">
        <v>551</v>
      </c>
      <c r="E244" s="10">
        <f>Source!AQ283</f>
        <v>76.7</v>
      </c>
      <c r="F244" s="25"/>
      <c r="G244" s="24" t="str">
        <f>Source!DI283</f>
        <v/>
      </c>
      <c r="H244" s="10">
        <f>Source!AV283</f>
        <v>1</v>
      </c>
      <c r="I244" s="10"/>
      <c r="J244" s="25"/>
      <c r="K244" s="25">
        <f>Source!U283</f>
        <v>413.02949999999998</v>
      </c>
    </row>
    <row r="245" spans="1:22" ht="15" x14ac:dyDescent="0.25">
      <c r="A245" s="31"/>
      <c r="B245" s="31"/>
      <c r="C245" s="31"/>
      <c r="D245" s="31"/>
      <c r="E245" s="31"/>
      <c r="F245" s="31"/>
      <c r="G245" s="31"/>
      <c r="H245" s="31"/>
      <c r="I245" s="70">
        <f>J240+J242+J243+SUM(J241:J241)</f>
        <v>143144.48000000001</v>
      </c>
      <c r="J245" s="70"/>
      <c r="K245" s="32">
        <f>IF(Source!I283&lt;&gt;0, ROUND(I245/Source!I283, 2), 0)</f>
        <v>26582.080000000002</v>
      </c>
      <c r="P245" s="29">
        <f>I245</f>
        <v>143144.48000000001</v>
      </c>
    </row>
    <row r="246" spans="1:22" ht="42.75" x14ac:dyDescent="0.2">
      <c r="A246" s="20" t="str">
        <f>Source!E285</f>
        <v>22</v>
      </c>
      <c r="B246" s="21" t="str">
        <f>Source!F285</f>
        <v>2.1-3203-1-5/2</v>
      </c>
      <c r="C246" s="21" t="str">
        <f>Source!G285</f>
        <v>Установка бортовых камней бетонных газонных и садовых при цементобетонных покрытиях</v>
      </c>
      <c r="D246" s="23" t="str">
        <f>Source!H285</f>
        <v>100 м</v>
      </c>
      <c r="E246" s="10">
        <f>Source!I285</f>
        <v>5.3849999999999998</v>
      </c>
      <c r="F246" s="25"/>
      <c r="G246" s="24"/>
      <c r="H246" s="10"/>
      <c r="I246" s="10"/>
      <c r="J246" s="25"/>
      <c r="K246" s="25"/>
      <c r="Q246">
        <f>ROUND((Source!BZ285/100)*ROUND((Source!AF285*Source!AV285)*Source!I285, 2), 2)</f>
        <v>53070.19</v>
      </c>
      <c r="R246">
        <f>Source!X285</f>
        <v>53070.19</v>
      </c>
      <c r="S246">
        <f>ROUND((Source!CA285/100)*ROUND((Source!AF285*Source!AV285)*Source!I285, 2), 2)</f>
        <v>7581.46</v>
      </c>
      <c r="T246">
        <f>Source!Y285</f>
        <v>7581.46</v>
      </c>
      <c r="U246">
        <f>ROUND((175/100)*ROUND((Source!AE285*Source!AV285)*Source!I285, 2), 2)</f>
        <v>865.67</v>
      </c>
      <c r="V246">
        <f>ROUND((108/100)*ROUND(Source!CS285*Source!I285, 2), 2)</f>
        <v>534.24</v>
      </c>
    </row>
    <row r="247" spans="1:22" x14ac:dyDescent="0.2">
      <c r="C247" s="26" t="str">
        <f>"Объем: "&amp;Source!I285&amp;"=538,5/"&amp;"100"</f>
        <v>Объем: 5,385=538,5/100</v>
      </c>
    </row>
    <row r="248" spans="1:22" ht="14.25" x14ac:dyDescent="0.2">
      <c r="A248" s="20"/>
      <c r="B248" s="21"/>
      <c r="C248" s="21" t="s">
        <v>541</v>
      </c>
      <c r="D248" s="23"/>
      <c r="E248" s="10"/>
      <c r="F248" s="25">
        <f>Source!AO285</f>
        <v>14078.84</v>
      </c>
      <c r="G248" s="24" t="str">
        <f>Source!DG285</f>
        <v/>
      </c>
      <c r="H248" s="10">
        <f>Source!AV285</f>
        <v>1</v>
      </c>
      <c r="I248" s="10">
        <f>IF(Source!BA285&lt;&gt; 0, Source!BA285, 1)</f>
        <v>1</v>
      </c>
      <c r="J248" s="25">
        <f>Source!S285</f>
        <v>75814.55</v>
      </c>
      <c r="K248" s="25"/>
    </row>
    <row r="249" spans="1:22" ht="14.25" x14ac:dyDescent="0.2">
      <c r="A249" s="20"/>
      <c r="B249" s="21"/>
      <c r="C249" s="21" t="s">
        <v>542</v>
      </c>
      <c r="D249" s="23"/>
      <c r="E249" s="10"/>
      <c r="F249" s="25">
        <f>Source!AM285</f>
        <v>172.12</v>
      </c>
      <c r="G249" s="24" t="str">
        <f>Source!DE285</f>
        <v/>
      </c>
      <c r="H249" s="10">
        <f>Source!AV285</f>
        <v>1</v>
      </c>
      <c r="I249" s="10">
        <f>IF(Source!BB285&lt;&gt; 0, Source!BB285, 1)</f>
        <v>1</v>
      </c>
      <c r="J249" s="25">
        <f>Source!Q285</f>
        <v>926.87</v>
      </c>
      <c r="K249" s="25"/>
    </row>
    <row r="250" spans="1:22" ht="14.25" x14ac:dyDescent="0.2">
      <c r="A250" s="20"/>
      <c r="B250" s="21"/>
      <c r="C250" s="21" t="s">
        <v>543</v>
      </c>
      <c r="D250" s="23"/>
      <c r="E250" s="10"/>
      <c r="F250" s="25">
        <f>Source!AN285</f>
        <v>91.86</v>
      </c>
      <c r="G250" s="24" t="str">
        <f>Source!DF285</f>
        <v/>
      </c>
      <c r="H250" s="10">
        <f>Source!AV285</f>
        <v>1</v>
      </c>
      <c r="I250" s="10">
        <f>IF(Source!BS285&lt;&gt; 0, Source!BS285, 1)</f>
        <v>1</v>
      </c>
      <c r="J250" s="27">
        <f>Source!R285</f>
        <v>494.67</v>
      </c>
      <c r="K250" s="25"/>
    </row>
    <row r="251" spans="1:22" ht="14.25" x14ac:dyDescent="0.2">
      <c r="A251" s="20"/>
      <c r="B251" s="21"/>
      <c r="C251" s="21" t="s">
        <v>544</v>
      </c>
      <c r="D251" s="23"/>
      <c r="E251" s="10"/>
      <c r="F251" s="25">
        <f>Source!AL285</f>
        <v>31064.27</v>
      </c>
      <c r="G251" s="24" t="str">
        <f>Source!DD285</f>
        <v/>
      </c>
      <c r="H251" s="10">
        <f>Source!AW285</f>
        <v>1</v>
      </c>
      <c r="I251" s="10">
        <f>IF(Source!BC285&lt;&gt; 0, Source!BC285, 1)</f>
        <v>1</v>
      </c>
      <c r="J251" s="25">
        <f>Source!P285</f>
        <v>167281.09</v>
      </c>
      <c r="K251" s="25"/>
    </row>
    <row r="252" spans="1:22" ht="14.25" x14ac:dyDescent="0.2">
      <c r="A252" s="20"/>
      <c r="B252" s="21"/>
      <c r="C252" s="21" t="s">
        <v>546</v>
      </c>
      <c r="D252" s="23" t="s">
        <v>547</v>
      </c>
      <c r="E252" s="10">
        <f>Source!AT285</f>
        <v>70</v>
      </c>
      <c r="F252" s="25"/>
      <c r="G252" s="24"/>
      <c r="H252" s="10"/>
      <c r="I252" s="10"/>
      <c r="J252" s="25">
        <f>SUM(R246:R251)</f>
        <v>53070.19</v>
      </c>
      <c r="K252" s="25"/>
    </row>
    <row r="253" spans="1:22" ht="14.25" x14ac:dyDescent="0.2">
      <c r="A253" s="20"/>
      <c r="B253" s="21"/>
      <c r="C253" s="21" t="s">
        <v>548</v>
      </c>
      <c r="D253" s="23" t="s">
        <v>547</v>
      </c>
      <c r="E253" s="10">
        <f>Source!AU285</f>
        <v>10</v>
      </c>
      <c r="F253" s="25"/>
      <c r="G253" s="24"/>
      <c r="H253" s="10"/>
      <c r="I253" s="10"/>
      <c r="J253" s="25">
        <f>SUM(T246:T252)</f>
        <v>7581.46</v>
      </c>
      <c r="K253" s="25"/>
    </row>
    <row r="254" spans="1:22" ht="14.25" x14ac:dyDescent="0.2">
      <c r="A254" s="20"/>
      <c r="B254" s="21"/>
      <c r="C254" s="21" t="s">
        <v>549</v>
      </c>
      <c r="D254" s="23" t="s">
        <v>547</v>
      </c>
      <c r="E254" s="10">
        <f>108</f>
        <v>108</v>
      </c>
      <c r="F254" s="25"/>
      <c r="G254" s="24"/>
      <c r="H254" s="10"/>
      <c r="I254" s="10"/>
      <c r="J254" s="25">
        <f>SUM(V246:V253)</f>
        <v>534.24</v>
      </c>
      <c r="K254" s="25"/>
    </row>
    <row r="255" spans="1:22" ht="14.25" x14ac:dyDescent="0.2">
      <c r="A255" s="20"/>
      <c r="B255" s="21"/>
      <c r="C255" s="21" t="s">
        <v>550</v>
      </c>
      <c r="D255" s="23" t="s">
        <v>551</v>
      </c>
      <c r="E255" s="10">
        <f>Source!AQ285</f>
        <v>72.95</v>
      </c>
      <c r="F255" s="25"/>
      <c r="G255" s="24" t="str">
        <f>Source!DI285</f>
        <v/>
      </c>
      <c r="H255" s="10">
        <f>Source!AV285</f>
        <v>1</v>
      </c>
      <c r="I255" s="10"/>
      <c r="J255" s="25"/>
      <c r="K255" s="25">
        <f>Source!U285</f>
        <v>392.83575000000002</v>
      </c>
    </row>
    <row r="256" spans="1:22" ht="15" x14ac:dyDescent="0.25">
      <c r="A256" s="31"/>
      <c r="B256" s="31"/>
      <c r="C256" s="31"/>
      <c r="D256" s="31"/>
      <c r="E256" s="31"/>
      <c r="F256" s="31"/>
      <c r="G256" s="31"/>
      <c r="H256" s="31"/>
      <c r="I256" s="70">
        <f>J248+J249+J251+J252+J253+J254</f>
        <v>305208.40000000002</v>
      </c>
      <c r="J256" s="70"/>
      <c r="K256" s="32">
        <f>IF(Source!I285&lt;&gt;0, ROUND(I256/Source!I285, 2), 0)</f>
        <v>56677.51</v>
      </c>
      <c r="P256" s="29">
        <f>I256</f>
        <v>305208.40000000002</v>
      </c>
    </row>
    <row r="257" spans="1:22" ht="57" x14ac:dyDescent="0.2">
      <c r="A257" s="20" t="str">
        <f>Source!E286</f>
        <v>23</v>
      </c>
      <c r="B257" s="21" t="str">
        <f>Source!F286</f>
        <v>1.49-9201-1-2/1</v>
      </c>
      <c r="C257" s="21" t="str">
        <f>Source!G286</f>
        <v>Перевозка строительного мусора автосамосвалами грузоподъемностью до 10 т на расстояние 1 км - при механизированной погрузке</v>
      </c>
      <c r="D257" s="23" t="str">
        <f>Source!H286</f>
        <v>т</v>
      </c>
      <c r="E257" s="10">
        <f>Source!I286</f>
        <v>68.859071999999998</v>
      </c>
      <c r="F257" s="25"/>
      <c r="G257" s="24"/>
      <c r="H257" s="10"/>
      <c r="I257" s="10"/>
      <c r="J257" s="25"/>
      <c r="K257" s="25"/>
      <c r="Q257">
        <f>ROUND((Source!BZ286/100)*ROUND((Source!AF286*Source!AV286)*Source!I286, 2), 2)</f>
        <v>0</v>
      </c>
      <c r="R257">
        <f>Source!X286</f>
        <v>0</v>
      </c>
      <c r="S257">
        <f>ROUND((Source!CA286/100)*ROUND((Source!AF286*Source!AV286)*Source!I286, 2), 2)</f>
        <v>0</v>
      </c>
      <c r="T257">
        <f>Source!Y286</f>
        <v>0</v>
      </c>
      <c r="U257">
        <f>ROUND((175/100)*ROUND((Source!AE286*Source!AV286)*Source!I286, 2), 2)</f>
        <v>4461.03</v>
      </c>
      <c r="V257">
        <f>ROUND((108/100)*ROUND(Source!CS286*Source!I286, 2), 2)</f>
        <v>2753.09</v>
      </c>
    </row>
    <row r="258" spans="1:22" x14ac:dyDescent="0.2">
      <c r="C258" s="26" t="str">
        <f>"Объем: "&amp;Source!I286&amp;"="&amp;Source!I288&amp;"*"&amp;"0,9"</f>
        <v>Объем: 68,859072=76,51008*0,9</v>
      </c>
    </row>
    <row r="259" spans="1:22" ht="14.25" x14ac:dyDescent="0.2">
      <c r="A259" s="20"/>
      <c r="B259" s="21"/>
      <c r="C259" s="21" t="s">
        <v>542</v>
      </c>
      <c r="D259" s="23"/>
      <c r="E259" s="10"/>
      <c r="F259" s="25">
        <f>Source!AM286</f>
        <v>62.5</v>
      </c>
      <c r="G259" s="24" t="str">
        <f>Source!DE286</f>
        <v/>
      </c>
      <c r="H259" s="10">
        <f>Source!AV286</f>
        <v>1</v>
      </c>
      <c r="I259" s="10">
        <f>IF(Source!BB286&lt;&gt; 0, Source!BB286, 1)</f>
        <v>1</v>
      </c>
      <c r="J259" s="25">
        <f>Source!Q286</f>
        <v>4303.6899999999996</v>
      </c>
      <c r="K259" s="25"/>
    </row>
    <row r="260" spans="1:22" ht="14.25" x14ac:dyDescent="0.2">
      <c r="A260" s="20"/>
      <c r="B260" s="21"/>
      <c r="C260" s="21" t="s">
        <v>543</v>
      </c>
      <c r="D260" s="23"/>
      <c r="E260" s="10"/>
      <c r="F260" s="25">
        <f>Source!AN286</f>
        <v>37.020000000000003</v>
      </c>
      <c r="G260" s="24" t="str">
        <f>Source!DF286</f>
        <v/>
      </c>
      <c r="H260" s="10">
        <f>Source!AV286</f>
        <v>1</v>
      </c>
      <c r="I260" s="10">
        <f>IF(Source!BS286&lt;&gt; 0, Source!BS286, 1)</f>
        <v>1</v>
      </c>
      <c r="J260" s="27">
        <f>Source!R286</f>
        <v>2549.16</v>
      </c>
      <c r="K260" s="25"/>
    </row>
    <row r="261" spans="1:22" ht="15" x14ac:dyDescent="0.25">
      <c r="A261" s="31"/>
      <c r="B261" s="31"/>
      <c r="C261" s="31"/>
      <c r="D261" s="31"/>
      <c r="E261" s="31"/>
      <c r="F261" s="31"/>
      <c r="G261" s="31"/>
      <c r="H261" s="31"/>
      <c r="I261" s="70">
        <f>J259</f>
        <v>4303.6899999999996</v>
      </c>
      <c r="J261" s="70"/>
      <c r="K261" s="32">
        <f>IF(Source!I286&lt;&gt;0, ROUND(I261/Source!I286, 2), 0)</f>
        <v>62.5</v>
      </c>
      <c r="P261" s="29">
        <f>I261</f>
        <v>4303.6899999999996</v>
      </c>
    </row>
    <row r="262" spans="1:22" ht="57" x14ac:dyDescent="0.2">
      <c r="A262" s="20" t="str">
        <f>Source!E287</f>
        <v>24</v>
      </c>
      <c r="B262" s="21" t="str">
        <f>Source!F287</f>
        <v>1.49-9201-1-1/1</v>
      </c>
      <c r="C262" s="21" t="str">
        <f>Source!G287</f>
        <v>Перевозка строительного мусора автосамосвалами грузоподъемностью до 10 т на расстояние 1 км - при погрузке вручную</v>
      </c>
      <c r="D262" s="23" t="str">
        <f>Source!H287</f>
        <v>т</v>
      </c>
      <c r="E262" s="10">
        <f>Source!I287</f>
        <v>7.651008</v>
      </c>
      <c r="F262" s="25"/>
      <c r="G262" s="24"/>
      <c r="H262" s="10"/>
      <c r="I262" s="10"/>
      <c r="J262" s="25"/>
      <c r="K262" s="25"/>
      <c r="Q262">
        <f>ROUND((Source!BZ287/100)*ROUND((Source!AF287*Source!AV287)*Source!I287, 2), 2)</f>
        <v>0</v>
      </c>
      <c r="R262">
        <f>Source!X287</f>
        <v>0</v>
      </c>
      <c r="S262">
        <f>ROUND((Source!CA287/100)*ROUND((Source!AF287*Source!AV287)*Source!I287, 2), 2)</f>
        <v>0</v>
      </c>
      <c r="T262">
        <f>Source!Y287</f>
        <v>0</v>
      </c>
      <c r="U262">
        <f>ROUND((175/100)*ROUND((Source!AE287*Source!AV287)*Source!I287, 2), 2)</f>
        <v>1421.95</v>
      </c>
      <c r="V262">
        <f>ROUND((108/100)*ROUND(Source!CS287*Source!I287, 2), 2)</f>
        <v>877.54</v>
      </c>
    </row>
    <row r="263" spans="1:22" x14ac:dyDescent="0.2">
      <c r="C263" s="26" t="str">
        <f>"Объем: "&amp;Source!I287&amp;"="&amp;Source!I288&amp;"*"&amp;"0,1"</f>
        <v>Объем: 7,651008=76,51008*0,1</v>
      </c>
    </row>
    <row r="264" spans="1:22" ht="14.25" x14ac:dyDescent="0.2">
      <c r="A264" s="20"/>
      <c r="B264" s="21"/>
      <c r="C264" s="21" t="s">
        <v>542</v>
      </c>
      <c r="D264" s="23"/>
      <c r="E264" s="10"/>
      <c r="F264" s="25">
        <f>Source!AM287</f>
        <v>179.4</v>
      </c>
      <c r="G264" s="24" t="str">
        <f>Source!DE287</f>
        <v/>
      </c>
      <c r="H264" s="10">
        <f>Source!AV287</f>
        <v>1</v>
      </c>
      <c r="I264" s="10">
        <f>IF(Source!BB287&lt;&gt; 0, Source!BB287, 1)</f>
        <v>1</v>
      </c>
      <c r="J264" s="25">
        <f>Source!Q287</f>
        <v>1372.59</v>
      </c>
      <c r="K264" s="25"/>
    </row>
    <row r="265" spans="1:22" ht="14.25" x14ac:dyDescent="0.2">
      <c r="A265" s="20"/>
      <c r="B265" s="21"/>
      <c r="C265" s="21" t="s">
        <v>543</v>
      </c>
      <c r="D265" s="23"/>
      <c r="E265" s="10"/>
      <c r="F265" s="25">
        <f>Source!AN287</f>
        <v>106.2</v>
      </c>
      <c r="G265" s="24" t="str">
        <f>Source!DF287</f>
        <v/>
      </c>
      <c r="H265" s="10">
        <f>Source!AV287</f>
        <v>1</v>
      </c>
      <c r="I265" s="10">
        <f>IF(Source!BS287&lt;&gt; 0, Source!BS287, 1)</f>
        <v>1</v>
      </c>
      <c r="J265" s="27">
        <f>Source!R287</f>
        <v>812.54</v>
      </c>
      <c r="K265" s="25"/>
    </row>
    <row r="266" spans="1:22" ht="15" x14ac:dyDescent="0.25">
      <c r="A266" s="31"/>
      <c r="B266" s="31"/>
      <c r="C266" s="31"/>
      <c r="D266" s="31"/>
      <c r="E266" s="31"/>
      <c r="F266" s="31"/>
      <c r="G266" s="31"/>
      <c r="H266" s="31"/>
      <c r="I266" s="70">
        <f>J264</f>
        <v>1372.59</v>
      </c>
      <c r="J266" s="70"/>
      <c r="K266" s="32">
        <f>IF(Source!I287&lt;&gt;0, ROUND(I266/Source!I287, 2), 0)</f>
        <v>179.4</v>
      </c>
      <c r="P266" s="29">
        <f>I266</f>
        <v>1372.59</v>
      </c>
    </row>
    <row r="267" spans="1:22" ht="57" x14ac:dyDescent="0.2">
      <c r="A267" s="20" t="str">
        <f>Source!E288</f>
        <v>25</v>
      </c>
      <c r="B267" s="21" t="str">
        <f>Source!F288</f>
        <v>1.49-9201-1-3/1</v>
      </c>
      <c r="C267" s="21" t="str">
        <f>Source!G288</f>
        <v>Перевозка строительного мусора автосамосвалами грузоподъемностью до 10 т - добавляется на каждый последующий 1 км до 100 км</v>
      </c>
      <c r="D267" s="23" t="str">
        <f>Source!H288</f>
        <v>т</v>
      </c>
      <c r="E267" s="10">
        <f>Source!I288</f>
        <v>76.510080000000002</v>
      </c>
      <c r="F267" s="25"/>
      <c r="G267" s="24"/>
      <c r="H267" s="10"/>
      <c r="I267" s="10"/>
      <c r="J267" s="25"/>
      <c r="K267" s="25"/>
      <c r="Q267">
        <f>ROUND((Source!BZ288/100)*ROUND((Source!AF288*Source!AV288)*Source!I288, 2), 2)</f>
        <v>0</v>
      </c>
      <c r="R267">
        <f>Source!X288</f>
        <v>0</v>
      </c>
      <c r="S267">
        <f>ROUND((Source!CA288/100)*ROUND((Source!AF288*Source!AV288)*Source!I288, 2), 2)</f>
        <v>0</v>
      </c>
      <c r="T267">
        <f>Source!Y288</f>
        <v>0</v>
      </c>
      <c r="U267">
        <f>ROUND((175/100)*ROUND((Source!AE288*Source!AV288)*Source!I288, 2), 2)</f>
        <v>119772.33</v>
      </c>
      <c r="V267">
        <f>ROUND((108/100)*ROUND(Source!CS288*Source!I288, 2), 2)</f>
        <v>73916.639999999999</v>
      </c>
    </row>
    <row r="268" spans="1:22" x14ac:dyDescent="0.2">
      <c r="C268" s="26" t="str">
        <f>"Объем: "&amp;Source!I288&amp;"="&amp;Source!I283&amp;"*"&amp;"14,208"</f>
        <v>Объем: 76,51008=5,385*14,208</v>
      </c>
    </row>
    <row r="269" spans="1:22" ht="14.25" x14ac:dyDescent="0.2">
      <c r="A269" s="20"/>
      <c r="B269" s="21"/>
      <c r="C269" s="21" t="s">
        <v>542</v>
      </c>
      <c r="D269" s="23"/>
      <c r="E269" s="10"/>
      <c r="F269" s="25">
        <f>Source!AM288</f>
        <v>29.58</v>
      </c>
      <c r="G269" s="24" t="str">
        <f>Source!DE288</f>
        <v>*51</v>
      </c>
      <c r="H269" s="10">
        <f>Source!AV288</f>
        <v>1</v>
      </c>
      <c r="I269" s="10">
        <f>IF(Source!BB288&lt;&gt; 0, Source!BB288, 1)</f>
        <v>1</v>
      </c>
      <c r="J269" s="25">
        <f>Source!Q288</f>
        <v>115421.58</v>
      </c>
      <c r="K269" s="25"/>
    </row>
    <row r="270" spans="1:22" ht="14.25" x14ac:dyDescent="0.2">
      <c r="A270" s="20"/>
      <c r="B270" s="21"/>
      <c r="C270" s="21" t="s">
        <v>543</v>
      </c>
      <c r="D270" s="23"/>
      <c r="E270" s="10"/>
      <c r="F270" s="25">
        <f>Source!AN288</f>
        <v>17.54</v>
      </c>
      <c r="G270" s="24" t="str">
        <f>Source!DF288</f>
        <v>*51</v>
      </c>
      <c r="H270" s="10">
        <f>Source!AV288</f>
        <v>1</v>
      </c>
      <c r="I270" s="10">
        <f>IF(Source!BS288&lt;&gt; 0, Source!BS288, 1)</f>
        <v>1</v>
      </c>
      <c r="J270" s="27">
        <f>Source!R288</f>
        <v>68441.33</v>
      </c>
      <c r="K270" s="25"/>
    </row>
    <row r="271" spans="1:22" ht="15" x14ac:dyDescent="0.25">
      <c r="A271" s="31"/>
      <c r="B271" s="31"/>
      <c r="C271" s="31"/>
      <c r="D271" s="31"/>
      <c r="E271" s="31"/>
      <c r="F271" s="31"/>
      <c r="G271" s="31"/>
      <c r="H271" s="31"/>
      <c r="I271" s="70">
        <f>J269</f>
        <v>115421.58</v>
      </c>
      <c r="J271" s="70"/>
      <c r="K271" s="32">
        <f>IF(Source!I288&lt;&gt;0, ROUND(I271/Source!I288, 2), 0)</f>
        <v>1508.58</v>
      </c>
      <c r="P271" s="29">
        <f>I271</f>
        <v>115421.58</v>
      </c>
    </row>
    <row r="272" spans="1:22" ht="99.75" x14ac:dyDescent="0.2">
      <c r="A272" s="20" t="str">
        <f>Source!E289</f>
        <v>26</v>
      </c>
      <c r="B272" s="21" t="str">
        <f>Source!F289</f>
        <v>21.25-0-5</v>
      </c>
      <c r="C272" s="21" t="str">
        <f>Source!G289</f>
        <v>Стоимость приемки отходов строительства и сноса (боя кирпичной кладки, бетонных и железобетонных изделий, отходов бетона и железобетона, асфальтобетона в кусковой форме) для переработки дробильными комплексами</v>
      </c>
      <c r="D272" s="23" t="str">
        <f>Source!H289</f>
        <v>т</v>
      </c>
      <c r="E272" s="10">
        <f>Source!I289</f>
        <v>76.510080000000002</v>
      </c>
      <c r="F272" s="25">
        <f>Source!AL289</f>
        <v>150.61000000000001</v>
      </c>
      <c r="G272" s="24" t="str">
        <f>Source!DD289</f>
        <v/>
      </c>
      <c r="H272" s="10">
        <f>Source!AW289</f>
        <v>1</v>
      </c>
      <c r="I272" s="10">
        <f>IF(Source!BC289&lt;&gt; 0, Source!BC289, 1)</f>
        <v>1</v>
      </c>
      <c r="J272" s="25">
        <f>Source!P289</f>
        <v>11523.18</v>
      </c>
      <c r="K272" s="25"/>
      <c r="Q272">
        <f>ROUND((Source!BZ289/100)*ROUND((Source!AF289*Source!AV289)*Source!I289, 2), 2)</f>
        <v>0</v>
      </c>
      <c r="R272">
        <f>Source!X289</f>
        <v>0</v>
      </c>
      <c r="S272">
        <f>ROUND((Source!CA289/100)*ROUND((Source!AF289*Source!AV289)*Source!I289, 2), 2)</f>
        <v>0</v>
      </c>
      <c r="T272">
        <f>Source!Y289</f>
        <v>0</v>
      </c>
      <c r="U272">
        <f>ROUND((175/100)*ROUND((Source!AE289*Source!AV289)*Source!I289, 2), 2)</f>
        <v>0</v>
      </c>
      <c r="V272">
        <f>ROUND((108/100)*ROUND(Source!CS289*Source!I289, 2), 2)</f>
        <v>0</v>
      </c>
    </row>
    <row r="273" spans="1:22" ht="15" x14ac:dyDescent="0.25">
      <c r="A273" s="31"/>
      <c r="B273" s="31"/>
      <c r="C273" s="31"/>
      <c r="D273" s="31"/>
      <c r="E273" s="31"/>
      <c r="F273" s="31"/>
      <c r="G273" s="31"/>
      <c r="H273" s="31"/>
      <c r="I273" s="70">
        <f>J272</f>
        <v>11523.18</v>
      </c>
      <c r="J273" s="70"/>
      <c r="K273" s="32">
        <f>IF(Source!I289&lt;&gt;0, ROUND(I273/Source!I289, 2), 0)</f>
        <v>150.61000000000001</v>
      </c>
      <c r="P273" s="29">
        <f>I273</f>
        <v>11523.18</v>
      </c>
    </row>
    <row r="275" spans="1:22" ht="15" x14ac:dyDescent="0.25">
      <c r="A275" s="73" t="str">
        <f>CONCATENATE("Итого по разделу: ",IF(Source!G291&lt;&gt;"Новый раздел", Source!G291, ""))</f>
        <v>Итого по разделу: Замена бортовых камней бетонных Бр 100.20.8 (538,5 мп)</v>
      </c>
      <c r="B275" s="73"/>
      <c r="C275" s="73"/>
      <c r="D275" s="73"/>
      <c r="E275" s="73"/>
      <c r="F275" s="73"/>
      <c r="G275" s="73"/>
      <c r="H275" s="73"/>
      <c r="I275" s="71">
        <f>SUM(P237:P274)</f>
        <v>580973.92000000004</v>
      </c>
      <c r="J275" s="72"/>
      <c r="K275" s="33"/>
    </row>
    <row r="278" spans="1:22" ht="16.5" x14ac:dyDescent="0.25">
      <c r="A278" s="74" t="str">
        <f>CONCATENATE("Раздел: ",IF(Source!G321&lt;&gt;"Новый раздел", Source!G321, ""))</f>
        <v>Раздел: Замена бортовых камней бетонных Бр 100.30.15 (265 мп)</v>
      </c>
      <c r="B278" s="74"/>
      <c r="C278" s="74"/>
      <c r="D278" s="74"/>
      <c r="E278" s="74"/>
      <c r="F278" s="74"/>
      <c r="G278" s="74"/>
      <c r="H278" s="74"/>
      <c r="I278" s="74"/>
      <c r="J278" s="74"/>
      <c r="K278" s="74"/>
    </row>
    <row r="279" spans="1:22" ht="28.5" x14ac:dyDescent="0.2">
      <c r="A279" s="20" t="str">
        <f>Source!E329</f>
        <v>29</v>
      </c>
      <c r="B279" s="21" t="str">
        <f>Source!F329</f>
        <v>2.1-3202-1-1/1</v>
      </c>
      <c r="C279" s="21" t="str">
        <f>Source!G329</f>
        <v>Замена бортового камня бетонного во дворовых территориях</v>
      </c>
      <c r="D279" s="23" t="str">
        <f>Source!H329</f>
        <v>м</v>
      </c>
      <c r="E279" s="10">
        <f>Source!I329</f>
        <v>265</v>
      </c>
      <c r="F279" s="25"/>
      <c r="G279" s="24"/>
      <c r="H279" s="10"/>
      <c r="I279" s="10"/>
      <c r="J279" s="25"/>
      <c r="K279" s="25"/>
      <c r="Q279">
        <f>ROUND((Source!BZ329/100)*ROUND((Source!AF329*Source!AV329)*Source!I329, 2), 2)</f>
        <v>24925.64</v>
      </c>
      <c r="R279">
        <f>Source!X329</f>
        <v>24925.64</v>
      </c>
      <c r="S279">
        <f>ROUND((Source!CA329/100)*ROUND((Source!AF329*Source!AV329)*Source!I329, 2), 2)</f>
        <v>3560.81</v>
      </c>
      <c r="T279">
        <f>Source!Y329</f>
        <v>3560.81</v>
      </c>
      <c r="U279">
        <f>ROUND((175/100)*ROUND((Source!AE329*Source!AV329)*Source!I329, 2), 2)</f>
        <v>47501.91</v>
      </c>
      <c r="V279">
        <f>ROUND((108/100)*ROUND(Source!CS329*Source!I329, 2), 2)</f>
        <v>29315.47</v>
      </c>
    </row>
    <row r="280" spans="1:22" ht="14.25" x14ac:dyDescent="0.2">
      <c r="A280" s="20"/>
      <c r="B280" s="21"/>
      <c r="C280" s="21" t="s">
        <v>541</v>
      </c>
      <c r="D280" s="23"/>
      <c r="E280" s="10"/>
      <c r="F280" s="25">
        <f>Source!AO329</f>
        <v>134.37</v>
      </c>
      <c r="G280" s="24" t="str">
        <f>Source!DG329</f>
        <v/>
      </c>
      <c r="H280" s="10">
        <f>Source!AV329</f>
        <v>1</v>
      </c>
      <c r="I280" s="10">
        <f>IF(Source!BA329&lt;&gt; 0, Source!BA329, 1)</f>
        <v>1</v>
      </c>
      <c r="J280" s="25">
        <f>Source!S329</f>
        <v>35608.050000000003</v>
      </c>
      <c r="K280" s="25"/>
    </row>
    <row r="281" spans="1:22" ht="14.25" x14ac:dyDescent="0.2">
      <c r="A281" s="20"/>
      <c r="B281" s="21"/>
      <c r="C281" s="21" t="s">
        <v>542</v>
      </c>
      <c r="D281" s="23"/>
      <c r="E281" s="10"/>
      <c r="F281" s="25">
        <f>Source!AM329</f>
        <v>184.19</v>
      </c>
      <c r="G281" s="24" t="str">
        <f>Source!DE329</f>
        <v/>
      </c>
      <c r="H281" s="10">
        <f>Source!AV329</f>
        <v>1</v>
      </c>
      <c r="I281" s="10">
        <f>IF(Source!BB329&lt;&gt; 0, Source!BB329, 1)</f>
        <v>1</v>
      </c>
      <c r="J281" s="25">
        <f>Source!Q329</f>
        <v>48810.35</v>
      </c>
      <c r="K281" s="25"/>
    </row>
    <row r="282" spans="1:22" ht="14.25" x14ac:dyDescent="0.2">
      <c r="A282" s="20"/>
      <c r="B282" s="21"/>
      <c r="C282" s="21" t="s">
        <v>543</v>
      </c>
      <c r="D282" s="23"/>
      <c r="E282" s="10"/>
      <c r="F282" s="25">
        <f>Source!AN329</f>
        <v>102.43</v>
      </c>
      <c r="G282" s="24" t="str">
        <f>Source!DF329</f>
        <v/>
      </c>
      <c r="H282" s="10">
        <f>Source!AV329</f>
        <v>1</v>
      </c>
      <c r="I282" s="10">
        <f>IF(Source!BS329&lt;&gt; 0, Source!BS329, 1)</f>
        <v>1</v>
      </c>
      <c r="J282" s="27">
        <f>Source!R329</f>
        <v>27143.95</v>
      </c>
      <c r="K282" s="25"/>
    </row>
    <row r="283" spans="1:22" ht="14.25" x14ac:dyDescent="0.2">
      <c r="A283" s="20"/>
      <c r="B283" s="21"/>
      <c r="C283" s="21" t="s">
        <v>544</v>
      </c>
      <c r="D283" s="23"/>
      <c r="E283" s="10"/>
      <c r="F283" s="25">
        <f>Source!AL329</f>
        <v>510.8</v>
      </c>
      <c r="G283" s="24" t="str">
        <f>Source!DD329</f>
        <v/>
      </c>
      <c r="H283" s="10">
        <f>Source!AW329</f>
        <v>1</v>
      </c>
      <c r="I283" s="10">
        <f>IF(Source!BC329&lt;&gt; 0, Source!BC329, 1)</f>
        <v>1</v>
      </c>
      <c r="J283" s="25">
        <f>Source!P329</f>
        <v>135362</v>
      </c>
      <c r="K283" s="25"/>
    </row>
    <row r="284" spans="1:22" ht="28.5" x14ac:dyDescent="0.2">
      <c r="A284" s="20" t="str">
        <f>Source!E330</f>
        <v>29,1</v>
      </c>
      <c r="B284" s="21" t="str">
        <f>Source!F330</f>
        <v>9999990001</v>
      </c>
      <c r="C284" s="21" t="str">
        <f>Source!G330</f>
        <v>Масса мусора</v>
      </c>
      <c r="D284" s="23" t="str">
        <f>Source!H330</f>
        <v>т</v>
      </c>
      <c r="E284" s="10">
        <f>Source!I330</f>
        <v>-65.19</v>
      </c>
      <c r="F284" s="25">
        <f>Source!AK330</f>
        <v>0</v>
      </c>
      <c r="G284" s="28" t="s">
        <v>545</v>
      </c>
      <c r="H284" s="10">
        <f>Source!AW330</f>
        <v>1</v>
      </c>
      <c r="I284" s="10">
        <f>IF(Source!BC330&lt;&gt; 0, Source!BC330, 1)</f>
        <v>1</v>
      </c>
      <c r="J284" s="25">
        <f>Source!O330</f>
        <v>0</v>
      </c>
      <c r="K284" s="25"/>
      <c r="Q284">
        <f>ROUND((Source!BZ330/100)*ROUND((Source!AF330*Source!AV330)*Source!I330, 2), 2)</f>
        <v>0</v>
      </c>
      <c r="R284">
        <f>Source!X330</f>
        <v>0</v>
      </c>
      <c r="S284">
        <f>ROUND((Source!CA330/100)*ROUND((Source!AF330*Source!AV330)*Source!I330, 2), 2)</f>
        <v>0</v>
      </c>
      <c r="T284">
        <f>Source!Y330</f>
        <v>0</v>
      </c>
      <c r="U284">
        <f>ROUND((175/100)*ROUND((Source!AE330*Source!AV330)*Source!I330, 2), 2)</f>
        <v>0</v>
      </c>
      <c r="V284">
        <f>ROUND((108/100)*ROUND(Source!CS330*Source!I330, 2), 2)</f>
        <v>0</v>
      </c>
    </row>
    <row r="285" spans="1:22" ht="14.25" x14ac:dyDescent="0.2">
      <c r="A285" s="20"/>
      <c r="B285" s="21"/>
      <c r="C285" s="21" t="s">
        <v>546</v>
      </c>
      <c r="D285" s="23" t="s">
        <v>547</v>
      </c>
      <c r="E285" s="10">
        <f>Source!AT329</f>
        <v>70</v>
      </c>
      <c r="F285" s="25"/>
      <c r="G285" s="24"/>
      <c r="H285" s="10"/>
      <c r="I285" s="10"/>
      <c r="J285" s="25">
        <f>SUM(R279:R284)</f>
        <v>24925.64</v>
      </c>
      <c r="K285" s="25"/>
    </row>
    <row r="286" spans="1:22" ht="14.25" x14ac:dyDescent="0.2">
      <c r="A286" s="20"/>
      <c r="B286" s="21"/>
      <c r="C286" s="21" t="s">
        <v>548</v>
      </c>
      <c r="D286" s="23" t="s">
        <v>547</v>
      </c>
      <c r="E286" s="10">
        <f>Source!AU329</f>
        <v>10</v>
      </c>
      <c r="F286" s="25"/>
      <c r="G286" s="24"/>
      <c r="H286" s="10"/>
      <c r="I286" s="10"/>
      <c r="J286" s="25">
        <f>SUM(T279:T285)</f>
        <v>3560.81</v>
      </c>
      <c r="K286" s="25"/>
    </row>
    <row r="287" spans="1:22" ht="14.25" x14ac:dyDescent="0.2">
      <c r="A287" s="20"/>
      <c r="B287" s="21"/>
      <c r="C287" s="21" t="s">
        <v>549</v>
      </c>
      <c r="D287" s="23" t="s">
        <v>547</v>
      </c>
      <c r="E287" s="10">
        <f>108</f>
        <v>108</v>
      </c>
      <c r="F287" s="25"/>
      <c r="G287" s="24"/>
      <c r="H287" s="10"/>
      <c r="I287" s="10"/>
      <c r="J287" s="25">
        <f>SUM(V279:V286)</f>
        <v>29315.47</v>
      </c>
      <c r="K287" s="25"/>
    </row>
    <row r="288" spans="1:22" ht="14.25" x14ac:dyDescent="0.2">
      <c r="A288" s="20"/>
      <c r="B288" s="21"/>
      <c r="C288" s="21" t="s">
        <v>550</v>
      </c>
      <c r="D288" s="23" t="s">
        <v>551</v>
      </c>
      <c r="E288" s="10">
        <f>Source!AQ329</f>
        <v>0.66</v>
      </c>
      <c r="F288" s="25"/>
      <c r="G288" s="24" t="str">
        <f>Source!DI329</f>
        <v/>
      </c>
      <c r="H288" s="10">
        <f>Source!AV329</f>
        <v>1</v>
      </c>
      <c r="I288" s="10"/>
      <c r="J288" s="25"/>
      <c r="K288" s="25">
        <f>Source!U329</f>
        <v>174.9</v>
      </c>
    </row>
    <row r="289" spans="1:22" ht="15" x14ac:dyDescent="0.25">
      <c r="A289" s="31"/>
      <c r="B289" s="31"/>
      <c r="C289" s="31"/>
      <c r="D289" s="31"/>
      <c r="E289" s="31"/>
      <c r="F289" s="31"/>
      <c r="G289" s="31"/>
      <c r="H289" s="31"/>
      <c r="I289" s="70">
        <f>J280+J281+J283+J285+J286+J287+SUM(J284:J284)</f>
        <v>277582.31999999995</v>
      </c>
      <c r="J289" s="70"/>
      <c r="K289" s="32">
        <f>IF(Source!I329&lt;&gt;0, ROUND(I289/Source!I329, 2), 0)</f>
        <v>1047.48</v>
      </c>
      <c r="P289" s="29">
        <f>I289</f>
        <v>277582.31999999995</v>
      </c>
    </row>
    <row r="290" spans="1:22" ht="57" x14ac:dyDescent="0.2">
      <c r="A290" s="20" t="str">
        <f>Source!E331</f>
        <v>30</v>
      </c>
      <c r="B290" s="21" t="str">
        <f>Source!F331</f>
        <v>1.49-9201-1-2/1</v>
      </c>
      <c r="C290" s="21" t="str">
        <f>Source!G331</f>
        <v>Перевозка строительного мусора автосамосвалами грузоподъемностью до 10 т на расстояние 1 км - при механизированной погрузке</v>
      </c>
      <c r="D290" s="23" t="str">
        <f>Source!H331</f>
        <v>т</v>
      </c>
      <c r="E290" s="10">
        <f>Source!I331</f>
        <v>58.670999999999999</v>
      </c>
      <c r="F290" s="25"/>
      <c r="G290" s="24"/>
      <c r="H290" s="10"/>
      <c r="I290" s="10"/>
      <c r="J290" s="25"/>
      <c r="K290" s="25"/>
      <c r="Q290">
        <f>ROUND((Source!BZ331/100)*ROUND((Source!AF331*Source!AV331)*Source!I331, 2), 2)</f>
        <v>0</v>
      </c>
      <c r="R290">
        <f>Source!X331</f>
        <v>0</v>
      </c>
      <c r="S290">
        <f>ROUND((Source!CA331/100)*ROUND((Source!AF331*Source!AV331)*Source!I331, 2), 2)</f>
        <v>0</v>
      </c>
      <c r="T290">
        <f>Source!Y331</f>
        <v>0</v>
      </c>
      <c r="U290">
        <f>ROUND((175/100)*ROUND((Source!AE331*Source!AV331)*Source!I331, 2), 2)</f>
        <v>3801</v>
      </c>
      <c r="V290">
        <f>ROUND((108/100)*ROUND(Source!CS331*Source!I331, 2), 2)</f>
        <v>2345.7600000000002</v>
      </c>
    </row>
    <row r="291" spans="1:22" x14ac:dyDescent="0.2">
      <c r="C291" s="26" t="str">
        <f>"Объем: "&amp;Source!I331&amp;"="&amp;Source!I333&amp;"*"&amp;"0,9"</f>
        <v>Объем: 58,671=65,19*0,9</v>
      </c>
    </row>
    <row r="292" spans="1:22" ht="14.25" x14ac:dyDescent="0.2">
      <c r="A292" s="20"/>
      <c r="B292" s="21"/>
      <c r="C292" s="21" t="s">
        <v>542</v>
      </c>
      <c r="D292" s="23"/>
      <c r="E292" s="10"/>
      <c r="F292" s="25">
        <f>Source!AM331</f>
        <v>62.5</v>
      </c>
      <c r="G292" s="24" t="str">
        <f>Source!DE331</f>
        <v/>
      </c>
      <c r="H292" s="10">
        <f>Source!AV331</f>
        <v>1</v>
      </c>
      <c r="I292" s="10">
        <f>IF(Source!BB331&lt;&gt; 0, Source!BB331, 1)</f>
        <v>1</v>
      </c>
      <c r="J292" s="25">
        <f>Source!Q331</f>
        <v>3666.94</v>
      </c>
      <c r="K292" s="25"/>
    </row>
    <row r="293" spans="1:22" ht="14.25" x14ac:dyDescent="0.2">
      <c r="A293" s="20"/>
      <c r="B293" s="21"/>
      <c r="C293" s="21" t="s">
        <v>543</v>
      </c>
      <c r="D293" s="23"/>
      <c r="E293" s="10"/>
      <c r="F293" s="25">
        <f>Source!AN331</f>
        <v>37.020000000000003</v>
      </c>
      <c r="G293" s="24" t="str">
        <f>Source!DF331</f>
        <v/>
      </c>
      <c r="H293" s="10">
        <f>Source!AV331</f>
        <v>1</v>
      </c>
      <c r="I293" s="10">
        <f>IF(Source!BS331&lt;&gt; 0, Source!BS331, 1)</f>
        <v>1</v>
      </c>
      <c r="J293" s="27">
        <f>Source!R331</f>
        <v>2172</v>
      </c>
      <c r="K293" s="25"/>
    </row>
    <row r="294" spans="1:22" ht="15" x14ac:dyDescent="0.25">
      <c r="A294" s="31"/>
      <c r="B294" s="31"/>
      <c r="C294" s="31"/>
      <c r="D294" s="31"/>
      <c r="E294" s="31"/>
      <c r="F294" s="31"/>
      <c r="G294" s="31"/>
      <c r="H294" s="31"/>
      <c r="I294" s="70">
        <f>J292</f>
        <v>3666.94</v>
      </c>
      <c r="J294" s="70"/>
      <c r="K294" s="32">
        <f>IF(Source!I331&lt;&gt;0, ROUND(I294/Source!I331, 2), 0)</f>
        <v>62.5</v>
      </c>
      <c r="P294" s="29">
        <f>I294</f>
        <v>3666.94</v>
      </c>
    </row>
    <row r="295" spans="1:22" ht="57" x14ac:dyDescent="0.2">
      <c r="A295" s="20" t="str">
        <f>Source!E332</f>
        <v>31</v>
      </c>
      <c r="B295" s="21" t="str">
        <f>Source!F332</f>
        <v>1.49-9201-1-1/1</v>
      </c>
      <c r="C295" s="21" t="str">
        <f>Source!G332</f>
        <v>Перевозка строительного мусора автосамосвалами грузоподъемностью до 10 т на расстояние 1 км - при погрузке вручную</v>
      </c>
      <c r="D295" s="23" t="str">
        <f>Source!H332</f>
        <v>т</v>
      </c>
      <c r="E295" s="10">
        <f>Source!I332</f>
        <v>6.5190000000000001</v>
      </c>
      <c r="F295" s="25"/>
      <c r="G295" s="24"/>
      <c r="H295" s="10"/>
      <c r="I295" s="10"/>
      <c r="J295" s="25"/>
      <c r="K295" s="25"/>
      <c r="Q295">
        <f>ROUND((Source!BZ332/100)*ROUND((Source!AF332*Source!AV332)*Source!I332, 2), 2)</f>
        <v>0</v>
      </c>
      <c r="R295">
        <f>Source!X332</f>
        <v>0</v>
      </c>
      <c r="S295">
        <f>ROUND((Source!CA332/100)*ROUND((Source!AF332*Source!AV332)*Source!I332, 2), 2)</f>
        <v>0</v>
      </c>
      <c r="T295">
        <f>Source!Y332</f>
        <v>0</v>
      </c>
      <c r="U295">
        <f>ROUND((175/100)*ROUND((Source!AE332*Source!AV332)*Source!I332, 2), 2)</f>
        <v>1211.56</v>
      </c>
      <c r="V295">
        <f>ROUND((108/100)*ROUND(Source!CS332*Source!I332, 2), 2)</f>
        <v>747.71</v>
      </c>
    </row>
    <row r="296" spans="1:22" x14ac:dyDescent="0.2">
      <c r="C296" s="26" t="str">
        <f>"Объем: "&amp;Source!I332&amp;"="&amp;Source!I333&amp;"*"&amp;"0,1"</f>
        <v>Объем: 6,519=65,19*0,1</v>
      </c>
    </row>
    <row r="297" spans="1:22" ht="14.25" x14ac:dyDescent="0.2">
      <c r="A297" s="20"/>
      <c r="B297" s="21"/>
      <c r="C297" s="21" t="s">
        <v>542</v>
      </c>
      <c r="D297" s="23"/>
      <c r="E297" s="10"/>
      <c r="F297" s="25">
        <f>Source!AM332</f>
        <v>179.4</v>
      </c>
      <c r="G297" s="24" t="str">
        <f>Source!DE332</f>
        <v/>
      </c>
      <c r="H297" s="10">
        <f>Source!AV332</f>
        <v>1</v>
      </c>
      <c r="I297" s="10">
        <f>IF(Source!BB332&lt;&gt; 0, Source!BB332, 1)</f>
        <v>1</v>
      </c>
      <c r="J297" s="25">
        <f>Source!Q332</f>
        <v>1169.51</v>
      </c>
      <c r="K297" s="25"/>
    </row>
    <row r="298" spans="1:22" ht="14.25" x14ac:dyDescent="0.2">
      <c r="A298" s="20"/>
      <c r="B298" s="21"/>
      <c r="C298" s="21" t="s">
        <v>543</v>
      </c>
      <c r="D298" s="23"/>
      <c r="E298" s="10"/>
      <c r="F298" s="25">
        <f>Source!AN332</f>
        <v>106.2</v>
      </c>
      <c r="G298" s="24" t="str">
        <f>Source!DF332</f>
        <v/>
      </c>
      <c r="H298" s="10">
        <f>Source!AV332</f>
        <v>1</v>
      </c>
      <c r="I298" s="10">
        <f>IF(Source!BS332&lt;&gt; 0, Source!BS332, 1)</f>
        <v>1</v>
      </c>
      <c r="J298" s="27">
        <f>Source!R332</f>
        <v>692.32</v>
      </c>
      <c r="K298" s="25"/>
    </row>
    <row r="299" spans="1:22" ht="15" x14ac:dyDescent="0.25">
      <c r="A299" s="31"/>
      <c r="B299" s="31"/>
      <c r="C299" s="31"/>
      <c r="D299" s="31"/>
      <c r="E299" s="31"/>
      <c r="F299" s="31"/>
      <c r="G299" s="31"/>
      <c r="H299" s="31"/>
      <c r="I299" s="70">
        <f>J297</f>
        <v>1169.51</v>
      </c>
      <c r="J299" s="70"/>
      <c r="K299" s="32">
        <f>IF(Source!I332&lt;&gt;0, ROUND(I299/Source!I332, 2), 0)</f>
        <v>179.4</v>
      </c>
      <c r="P299" s="29">
        <f>I299</f>
        <v>1169.51</v>
      </c>
    </row>
    <row r="300" spans="1:22" ht="57" x14ac:dyDescent="0.2">
      <c r="A300" s="20" t="str">
        <f>Source!E333</f>
        <v>32</v>
      </c>
      <c r="B300" s="21" t="str">
        <f>Source!F333</f>
        <v>1.49-9201-1-3/1</v>
      </c>
      <c r="C300" s="21" t="str">
        <f>Source!G333</f>
        <v>Перевозка строительного мусора автосамосвалами грузоподъемностью до 10 т - добавляется на каждый последующий 1 км до 100 км</v>
      </c>
      <c r="D300" s="23" t="str">
        <f>Source!H333</f>
        <v>т</v>
      </c>
      <c r="E300" s="10">
        <f>Source!I333</f>
        <v>65.19</v>
      </c>
      <c r="F300" s="25"/>
      <c r="G300" s="24"/>
      <c r="H300" s="10"/>
      <c r="I300" s="10"/>
      <c r="J300" s="25"/>
      <c r="K300" s="25"/>
      <c r="Q300">
        <f>ROUND((Source!BZ333/100)*ROUND((Source!AF333*Source!AV333)*Source!I333, 2), 2)</f>
        <v>0</v>
      </c>
      <c r="R300">
        <f>Source!X333</f>
        <v>0</v>
      </c>
      <c r="S300">
        <f>ROUND((Source!CA333/100)*ROUND((Source!AF333*Source!AV333)*Source!I333, 2), 2)</f>
        <v>0</v>
      </c>
      <c r="T300">
        <f>Source!Y333</f>
        <v>0</v>
      </c>
      <c r="U300">
        <f>ROUND((175/100)*ROUND((Source!AE333*Source!AV333)*Source!I333, 2), 2)</f>
        <v>102051.36</v>
      </c>
      <c r="V300">
        <f>ROUND((108/100)*ROUND(Source!CS333*Source!I333, 2), 2)</f>
        <v>62980.26</v>
      </c>
    </row>
    <row r="301" spans="1:22" ht="14.25" x14ac:dyDescent="0.2">
      <c r="A301" s="20"/>
      <c r="B301" s="21"/>
      <c r="C301" s="21" t="s">
        <v>542</v>
      </c>
      <c r="D301" s="23"/>
      <c r="E301" s="10"/>
      <c r="F301" s="25">
        <f>Source!AM333</f>
        <v>29.58</v>
      </c>
      <c r="G301" s="24" t="str">
        <f>Source!DE333</f>
        <v>*51</v>
      </c>
      <c r="H301" s="10">
        <f>Source!AV333</f>
        <v>1</v>
      </c>
      <c r="I301" s="10">
        <f>IF(Source!BB333&lt;&gt; 0, Source!BB333, 1)</f>
        <v>1</v>
      </c>
      <c r="J301" s="25">
        <f>Source!Q333</f>
        <v>98344.33</v>
      </c>
      <c r="K301" s="25"/>
    </row>
    <row r="302" spans="1:22" ht="14.25" x14ac:dyDescent="0.2">
      <c r="A302" s="20"/>
      <c r="B302" s="21"/>
      <c r="C302" s="21" t="s">
        <v>543</v>
      </c>
      <c r="D302" s="23"/>
      <c r="E302" s="10"/>
      <c r="F302" s="25">
        <f>Source!AN333</f>
        <v>17.54</v>
      </c>
      <c r="G302" s="24" t="str">
        <f>Source!DF333</f>
        <v>*51</v>
      </c>
      <c r="H302" s="10">
        <f>Source!AV333</f>
        <v>1</v>
      </c>
      <c r="I302" s="10">
        <f>IF(Source!BS333&lt;&gt; 0, Source!BS333, 1)</f>
        <v>1</v>
      </c>
      <c r="J302" s="27">
        <f>Source!R333</f>
        <v>58315.06</v>
      </c>
      <c r="K302" s="25"/>
    </row>
    <row r="303" spans="1:22" ht="15" x14ac:dyDescent="0.25">
      <c r="A303" s="31"/>
      <c r="B303" s="31"/>
      <c r="C303" s="31"/>
      <c r="D303" s="31"/>
      <c r="E303" s="31"/>
      <c r="F303" s="31"/>
      <c r="G303" s="31"/>
      <c r="H303" s="31"/>
      <c r="I303" s="70">
        <f>J301</f>
        <v>98344.33</v>
      </c>
      <c r="J303" s="70"/>
      <c r="K303" s="32">
        <f>IF(Source!I333&lt;&gt;0, ROUND(I303/Source!I333, 2), 0)</f>
        <v>1508.58</v>
      </c>
      <c r="P303" s="29">
        <f>I303</f>
        <v>98344.33</v>
      </c>
    </row>
    <row r="304" spans="1:22" ht="99.75" x14ac:dyDescent="0.2">
      <c r="A304" s="20" t="str">
        <f>Source!E334</f>
        <v>33</v>
      </c>
      <c r="B304" s="21" t="str">
        <f>Source!F334</f>
        <v>21.25-0-5</v>
      </c>
      <c r="C304" s="21" t="str">
        <f>Source!G334</f>
        <v>Стоимость приемки отходов строительства и сноса (боя кирпичной кладки, бетонных и железобетонных изделий, отходов бетона и железобетона, асфальтобетона в кусковой форме) для переработки дробильными комплексами</v>
      </c>
      <c r="D304" s="23" t="str">
        <f>Source!H334</f>
        <v>т</v>
      </c>
      <c r="E304" s="10">
        <f>Source!I334</f>
        <v>65.19</v>
      </c>
      <c r="F304" s="25">
        <f>Source!AL334</f>
        <v>150.61000000000001</v>
      </c>
      <c r="G304" s="24" t="str">
        <f>Source!DD334</f>
        <v/>
      </c>
      <c r="H304" s="10">
        <f>Source!AW334</f>
        <v>1</v>
      </c>
      <c r="I304" s="10">
        <f>IF(Source!BC334&lt;&gt; 0, Source!BC334, 1)</f>
        <v>1</v>
      </c>
      <c r="J304" s="25">
        <f>Source!P334</f>
        <v>9818.27</v>
      </c>
      <c r="K304" s="25"/>
      <c r="Q304">
        <f>ROUND((Source!BZ334/100)*ROUND((Source!AF334*Source!AV334)*Source!I334, 2), 2)</f>
        <v>0</v>
      </c>
      <c r="R304">
        <f>Source!X334</f>
        <v>0</v>
      </c>
      <c r="S304">
        <f>ROUND((Source!CA334/100)*ROUND((Source!AF334*Source!AV334)*Source!I334, 2), 2)</f>
        <v>0</v>
      </c>
      <c r="T304">
        <f>Source!Y334</f>
        <v>0</v>
      </c>
      <c r="U304">
        <f>ROUND((175/100)*ROUND((Source!AE334*Source!AV334)*Source!I334, 2), 2)</f>
        <v>0</v>
      </c>
      <c r="V304">
        <f>ROUND((108/100)*ROUND(Source!CS334*Source!I334, 2), 2)</f>
        <v>0</v>
      </c>
    </row>
    <row r="305" spans="1:22" x14ac:dyDescent="0.2">
      <c r="C305" s="26" t="str">
        <f>"Объем: "&amp;Source!I334&amp;"="&amp;Source!I329&amp;"*"&amp;"0,246"</f>
        <v>Объем: 65,19=265*0,246</v>
      </c>
    </row>
    <row r="306" spans="1:22" ht="15" x14ac:dyDescent="0.25">
      <c r="A306" s="31"/>
      <c r="B306" s="31"/>
      <c r="C306" s="31"/>
      <c r="D306" s="31"/>
      <c r="E306" s="31"/>
      <c r="F306" s="31"/>
      <c r="G306" s="31"/>
      <c r="H306" s="31"/>
      <c r="I306" s="70">
        <f>J304</f>
        <v>9818.27</v>
      </c>
      <c r="J306" s="70"/>
      <c r="K306" s="32">
        <f>IF(Source!I334&lt;&gt;0, ROUND(I306/Source!I334, 2), 0)</f>
        <v>150.61000000000001</v>
      </c>
      <c r="P306" s="29">
        <f>I306</f>
        <v>9818.27</v>
      </c>
    </row>
    <row r="308" spans="1:22" ht="15" x14ac:dyDescent="0.25">
      <c r="A308" s="73" t="str">
        <f>CONCATENATE("Итого по разделу: ",IF(Source!G337&lt;&gt;"Новый раздел", Source!G337, ""))</f>
        <v>Итого по разделу: Замена бортовых камней бетонных Бр 100.30.15 (265 мп)</v>
      </c>
      <c r="B308" s="73"/>
      <c r="C308" s="73"/>
      <c r="D308" s="73"/>
      <c r="E308" s="73"/>
      <c r="F308" s="73"/>
      <c r="G308" s="73"/>
      <c r="H308" s="73"/>
      <c r="I308" s="71">
        <f>SUM(P278:P307)</f>
        <v>390581.37</v>
      </c>
      <c r="J308" s="72"/>
      <c r="K308" s="33"/>
    </row>
    <row r="311" spans="1:22" ht="16.5" x14ac:dyDescent="0.25">
      <c r="A311" s="74" t="str">
        <f>CONCATENATE("Раздел: ",IF(Source!G367&lt;&gt;"Новый раздел", Source!G367, ""))</f>
        <v>Раздел: Устройство газона (1000 м2)</v>
      </c>
      <c r="B311" s="74"/>
      <c r="C311" s="74"/>
      <c r="D311" s="74"/>
      <c r="E311" s="74"/>
      <c r="F311" s="74"/>
      <c r="G311" s="74"/>
      <c r="H311" s="74"/>
      <c r="I311" s="74"/>
      <c r="J311" s="74"/>
      <c r="K311" s="74"/>
    </row>
    <row r="312" spans="1:22" ht="57" x14ac:dyDescent="0.2">
      <c r="A312" s="20" t="str">
        <f>Source!E371</f>
        <v>35</v>
      </c>
      <c r="B312" s="21" t="str">
        <f>Source!F371</f>
        <v>2.49-3101-3-3/1</v>
      </c>
      <c r="C312" s="21" t="str">
        <f>Source!G371</f>
        <v>Разработка грунта с погрузкой на автомобили-самосвалы экскаваторами с ковшом вместимостью 0,5 м3, группа грунтов 1-3</v>
      </c>
      <c r="D312" s="23" t="str">
        <f>Source!H371</f>
        <v>100 м3</v>
      </c>
      <c r="E312" s="10">
        <f>Source!I371</f>
        <v>0.75</v>
      </c>
      <c r="F312" s="25"/>
      <c r="G312" s="24"/>
      <c r="H312" s="10"/>
      <c r="I312" s="10"/>
      <c r="J312" s="25"/>
      <c r="K312" s="25"/>
      <c r="Q312">
        <f>ROUND((Source!BZ371/100)*ROUND((Source!AF371*Source!AV371)*Source!I371, 2), 2)</f>
        <v>143.69</v>
      </c>
      <c r="R312">
        <f>Source!X371</f>
        <v>143.69</v>
      </c>
      <c r="S312">
        <f>ROUND((Source!CA371/100)*ROUND((Source!AF371*Source!AV371)*Source!I371, 2), 2)</f>
        <v>20.53</v>
      </c>
      <c r="T312">
        <f>Source!Y371</f>
        <v>20.53</v>
      </c>
      <c r="U312">
        <f>ROUND((175/100)*ROUND((Source!AE371*Source!AV371)*Source!I371, 2), 2)</f>
        <v>4279.3100000000004</v>
      </c>
      <c r="V312">
        <f>ROUND((108/100)*ROUND(Source!CS371*Source!I371, 2), 2)</f>
        <v>2640.95</v>
      </c>
    </row>
    <row r="313" spans="1:22" x14ac:dyDescent="0.2">
      <c r="C313" s="26" t="str">
        <f>"Объем: "&amp;Source!I371&amp;"=("&amp;Source!I375&amp;"*"&amp;"0,75)/"&amp;"100"</f>
        <v>Объем: 0,75=(100*0,75)/100</v>
      </c>
    </row>
    <row r="314" spans="1:22" ht="14.25" x14ac:dyDescent="0.2">
      <c r="A314" s="20"/>
      <c r="B314" s="21"/>
      <c r="C314" s="21" t="s">
        <v>541</v>
      </c>
      <c r="D314" s="23"/>
      <c r="E314" s="10"/>
      <c r="F314" s="25">
        <f>Source!AO371</f>
        <v>273.69</v>
      </c>
      <c r="G314" s="24" t="str">
        <f>Source!DG371</f>
        <v/>
      </c>
      <c r="H314" s="10">
        <f>Source!AV371</f>
        <v>1</v>
      </c>
      <c r="I314" s="10">
        <f>IF(Source!BA371&lt;&gt; 0, Source!BA371, 1)</f>
        <v>1</v>
      </c>
      <c r="J314" s="25">
        <f>Source!S371</f>
        <v>205.27</v>
      </c>
      <c r="K314" s="25"/>
    </row>
    <row r="315" spans="1:22" ht="14.25" x14ac:dyDescent="0.2">
      <c r="A315" s="20"/>
      <c r="B315" s="21"/>
      <c r="C315" s="21" t="s">
        <v>542</v>
      </c>
      <c r="D315" s="23"/>
      <c r="E315" s="10"/>
      <c r="F315" s="25">
        <f>Source!AM371</f>
        <v>8502.7099999999991</v>
      </c>
      <c r="G315" s="24" t="str">
        <f>Source!DE371</f>
        <v/>
      </c>
      <c r="H315" s="10">
        <f>Source!AV371</f>
        <v>1</v>
      </c>
      <c r="I315" s="10">
        <f>IF(Source!BB371&lt;&gt; 0, Source!BB371, 1)</f>
        <v>1</v>
      </c>
      <c r="J315" s="25">
        <f>Source!Q371</f>
        <v>6377.03</v>
      </c>
      <c r="K315" s="25"/>
    </row>
    <row r="316" spans="1:22" ht="14.25" x14ac:dyDescent="0.2">
      <c r="A316" s="20"/>
      <c r="B316" s="21"/>
      <c r="C316" s="21" t="s">
        <v>543</v>
      </c>
      <c r="D316" s="23"/>
      <c r="E316" s="10"/>
      <c r="F316" s="25">
        <f>Source!AN371</f>
        <v>3260.42</v>
      </c>
      <c r="G316" s="24" t="str">
        <f>Source!DF371</f>
        <v/>
      </c>
      <c r="H316" s="10">
        <f>Source!AV371</f>
        <v>1</v>
      </c>
      <c r="I316" s="10">
        <f>IF(Source!BS371&lt;&gt; 0, Source!BS371, 1)</f>
        <v>1</v>
      </c>
      <c r="J316" s="27">
        <f>Source!R371</f>
        <v>2445.3200000000002</v>
      </c>
      <c r="K316" s="25"/>
    </row>
    <row r="317" spans="1:22" ht="14.25" x14ac:dyDescent="0.2">
      <c r="A317" s="20"/>
      <c r="B317" s="21"/>
      <c r="C317" s="21" t="s">
        <v>546</v>
      </c>
      <c r="D317" s="23" t="s">
        <v>547</v>
      </c>
      <c r="E317" s="10">
        <f>Source!AT371</f>
        <v>70</v>
      </c>
      <c r="F317" s="25"/>
      <c r="G317" s="24"/>
      <c r="H317" s="10"/>
      <c r="I317" s="10"/>
      <c r="J317" s="25">
        <f>SUM(R312:R316)</f>
        <v>143.69</v>
      </c>
      <c r="K317" s="25"/>
    </row>
    <row r="318" spans="1:22" ht="14.25" x14ac:dyDescent="0.2">
      <c r="A318" s="20"/>
      <c r="B318" s="21"/>
      <c r="C318" s="21" t="s">
        <v>548</v>
      </c>
      <c r="D318" s="23" t="s">
        <v>547</v>
      </c>
      <c r="E318" s="10">
        <f>Source!AU371</f>
        <v>10</v>
      </c>
      <c r="F318" s="25"/>
      <c r="G318" s="24"/>
      <c r="H318" s="10"/>
      <c r="I318" s="10"/>
      <c r="J318" s="25">
        <f>SUM(T312:T317)</f>
        <v>20.53</v>
      </c>
      <c r="K318" s="25"/>
    </row>
    <row r="319" spans="1:22" ht="14.25" x14ac:dyDescent="0.2">
      <c r="A319" s="20"/>
      <c r="B319" s="21"/>
      <c r="C319" s="21" t="s">
        <v>549</v>
      </c>
      <c r="D319" s="23" t="s">
        <v>547</v>
      </c>
      <c r="E319" s="10">
        <f>108</f>
        <v>108</v>
      </c>
      <c r="F319" s="25"/>
      <c r="G319" s="24"/>
      <c r="H319" s="10"/>
      <c r="I319" s="10"/>
      <c r="J319" s="25">
        <f>SUM(V312:V318)</f>
        <v>2640.95</v>
      </c>
      <c r="K319" s="25"/>
    </row>
    <row r="320" spans="1:22" ht="14.25" x14ac:dyDescent="0.2">
      <c r="A320" s="20"/>
      <c r="B320" s="21"/>
      <c r="C320" s="21" t="s">
        <v>550</v>
      </c>
      <c r="D320" s="23" t="s">
        <v>551</v>
      </c>
      <c r="E320" s="10">
        <f>Source!AQ371</f>
        <v>1.59</v>
      </c>
      <c r="F320" s="25"/>
      <c r="G320" s="24" t="str">
        <f>Source!DI371</f>
        <v/>
      </c>
      <c r="H320" s="10">
        <f>Source!AV371</f>
        <v>1</v>
      </c>
      <c r="I320" s="10"/>
      <c r="J320" s="25"/>
      <c r="K320" s="25">
        <f>Source!U371</f>
        <v>1.1925000000000001</v>
      </c>
    </row>
    <row r="321" spans="1:22" ht="15" x14ac:dyDescent="0.25">
      <c r="A321" s="31"/>
      <c r="B321" s="31"/>
      <c r="C321" s="31"/>
      <c r="D321" s="31"/>
      <c r="E321" s="31"/>
      <c r="F321" s="31"/>
      <c r="G321" s="31"/>
      <c r="H321" s="31"/>
      <c r="I321" s="70">
        <f>J314+J315+J317+J318+J319</f>
        <v>9387.4699999999993</v>
      </c>
      <c r="J321" s="70"/>
      <c r="K321" s="32">
        <f>IF(Source!I371&lt;&gt;0, ROUND(I321/Source!I371, 2), 0)</f>
        <v>12516.63</v>
      </c>
      <c r="P321" s="29">
        <f>I321</f>
        <v>9387.4699999999993</v>
      </c>
    </row>
    <row r="322" spans="1:22" ht="42.75" x14ac:dyDescent="0.2">
      <c r="A322" s="20" t="str">
        <f>Source!E372</f>
        <v>36</v>
      </c>
      <c r="B322" s="21" t="str">
        <f>Source!F372</f>
        <v>1.1-3303-2-1/1</v>
      </c>
      <c r="C322" s="21" t="str">
        <f>Source!G372</f>
        <v>Разработка грунта вручную в траншеях глубиной до 2 м без креплений с откосами группа грунтов 1-3</v>
      </c>
      <c r="D322" s="23" t="str">
        <f>Source!H372</f>
        <v>100 м3</v>
      </c>
      <c r="E322" s="10">
        <f>Source!I372</f>
        <v>0.25</v>
      </c>
      <c r="F322" s="25"/>
      <c r="G322" s="24"/>
      <c r="H322" s="10"/>
      <c r="I322" s="10"/>
      <c r="J322" s="25"/>
      <c r="K322" s="25"/>
      <c r="Q322">
        <f>ROUND((Source!BZ372/100)*ROUND((Source!AF372*Source!AV372)*Source!I372, 2), 2)</f>
        <v>6991.65</v>
      </c>
      <c r="R322">
        <f>Source!X372</f>
        <v>6991.65</v>
      </c>
      <c r="S322">
        <f>ROUND((Source!CA372/100)*ROUND((Source!AF372*Source!AV372)*Source!I372, 2), 2)</f>
        <v>998.81</v>
      </c>
      <c r="T322">
        <f>Source!Y372</f>
        <v>998.81</v>
      </c>
      <c r="U322">
        <f>ROUND((175/100)*ROUND((Source!AE372*Source!AV372)*Source!I372, 2), 2)</f>
        <v>0</v>
      </c>
      <c r="V322">
        <f>ROUND((108/100)*ROUND(Source!CS372*Source!I372, 2), 2)</f>
        <v>0</v>
      </c>
    </row>
    <row r="323" spans="1:22" x14ac:dyDescent="0.2">
      <c r="C323" s="26" t="str">
        <f>"Объем: "&amp;Source!I372&amp;"=("&amp;Source!I375&amp;"*"&amp;"0,25)/"&amp;"100"</f>
        <v>Объем: 0,25=(100*0,25)/100</v>
      </c>
    </row>
    <row r="324" spans="1:22" ht="14.25" x14ac:dyDescent="0.2">
      <c r="A324" s="20"/>
      <c r="B324" s="21"/>
      <c r="C324" s="21" t="s">
        <v>541</v>
      </c>
      <c r="D324" s="23"/>
      <c r="E324" s="10"/>
      <c r="F324" s="25">
        <f>Source!AO372</f>
        <v>39952.26</v>
      </c>
      <c r="G324" s="24" t="str">
        <f>Source!DG372</f>
        <v/>
      </c>
      <c r="H324" s="10">
        <f>Source!AV372</f>
        <v>1</v>
      </c>
      <c r="I324" s="10">
        <f>IF(Source!BA372&lt;&gt; 0, Source!BA372, 1)</f>
        <v>1</v>
      </c>
      <c r="J324" s="25">
        <f>Source!S372</f>
        <v>9988.07</v>
      </c>
      <c r="K324" s="25"/>
    </row>
    <row r="325" spans="1:22" ht="14.25" x14ac:dyDescent="0.2">
      <c r="A325" s="20"/>
      <c r="B325" s="21"/>
      <c r="C325" s="21" t="s">
        <v>546</v>
      </c>
      <c r="D325" s="23" t="s">
        <v>547</v>
      </c>
      <c r="E325" s="10">
        <f>Source!AT372</f>
        <v>70</v>
      </c>
      <c r="F325" s="25"/>
      <c r="G325" s="24"/>
      <c r="H325" s="10"/>
      <c r="I325" s="10"/>
      <c r="J325" s="25">
        <f>SUM(R322:R324)</f>
        <v>6991.65</v>
      </c>
      <c r="K325" s="25"/>
    </row>
    <row r="326" spans="1:22" ht="14.25" x14ac:dyDescent="0.2">
      <c r="A326" s="20"/>
      <c r="B326" s="21"/>
      <c r="C326" s="21" t="s">
        <v>548</v>
      </c>
      <c r="D326" s="23" t="s">
        <v>547</v>
      </c>
      <c r="E326" s="10">
        <f>Source!AU372</f>
        <v>10</v>
      </c>
      <c r="F326" s="25"/>
      <c r="G326" s="24"/>
      <c r="H326" s="10"/>
      <c r="I326" s="10"/>
      <c r="J326" s="25">
        <f>SUM(T322:T325)</f>
        <v>998.81</v>
      </c>
      <c r="K326" s="25"/>
    </row>
    <row r="327" spans="1:22" ht="14.25" x14ac:dyDescent="0.2">
      <c r="A327" s="20"/>
      <c r="B327" s="21"/>
      <c r="C327" s="21" t="s">
        <v>550</v>
      </c>
      <c r="D327" s="23" t="s">
        <v>551</v>
      </c>
      <c r="E327" s="10">
        <f>Source!AQ372</f>
        <v>221.6</v>
      </c>
      <c r="F327" s="25"/>
      <c r="G327" s="24" t="str">
        <f>Source!DI372</f>
        <v/>
      </c>
      <c r="H327" s="10">
        <f>Source!AV372</f>
        <v>1</v>
      </c>
      <c r="I327" s="10"/>
      <c r="J327" s="25"/>
      <c r="K327" s="25">
        <f>Source!U372</f>
        <v>55.4</v>
      </c>
    </row>
    <row r="328" spans="1:22" ht="15" x14ac:dyDescent="0.25">
      <c r="A328" s="31"/>
      <c r="B328" s="31"/>
      <c r="C328" s="31"/>
      <c r="D328" s="31"/>
      <c r="E328" s="31"/>
      <c r="F328" s="31"/>
      <c r="G328" s="31"/>
      <c r="H328" s="31"/>
      <c r="I328" s="70">
        <f>J324+J325+J326</f>
        <v>17978.530000000002</v>
      </c>
      <c r="J328" s="70"/>
      <c r="K328" s="32">
        <f>IF(Source!I372&lt;&gt;0, ROUND(I328/Source!I372, 2), 0)</f>
        <v>71914.12</v>
      </c>
      <c r="P328" s="29">
        <f>I328</f>
        <v>17978.530000000002</v>
      </c>
    </row>
    <row r="329" spans="1:22" ht="57" x14ac:dyDescent="0.2">
      <c r="A329" s="20" t="str">
        <f>Source!E373</f>
        <v>37</v>
      </c>
      <c r="B329" s="21" t="str">
        <f>Source!F373</f>
        <v>2.49-3101-3-3/1</v>
      </c>
      <c r="C329" s="21" t="str">
        <f>Source!G373</f>
        <v>Разработка грунта с погрузкой на автомобили-самосвалы экскаваторами с ковшом вместимостью 0,5 м3, группа грунтов 1-3</v>
      </c>
      <c r="D329" s="23" t="str">
        <f>Source!H373</f>
        <v>100 м3</v>
      </c>
      <c r="E329" s="10">
        <f>Source!I373</f>
        <v>0.22500000000000001</v>
      </c>
      <c r="F329" s="25"/>
      <c r="G329" s="24"/>
      <c r="H329" s="10"/>
      <c r="I329" s="10"/>
      <c r="J329" s="25"/>
      <c r="K329" s="25"/>
      <c r="Q329">
        <f>ROUND((Source!BZ373/100)*ROUND((Source!AF373*Source!AV373)*Source!I373, 2), 2)</f>
        <v>43.11</v>
      </c>
      <c r="R329">
        <f>Source!X373</f>
        <v>43.11</v>
      </c>
      <c r="S329">
        <f>ROUND((Source!CA373/100)*ROUND((Source!AF373*Source!AV373)*Source!I373, 2), 2)</f>
        <v>6.16</v>
      </c>
      <c r="T329">
        <f>Source!Y373</f>
        <v>6.16</v>
      </c>
      <c r="U329">
        <f>ROUND((175/100)*ROUND((Source!AE373*Source!AV373)*Source!I373, 2), 2)</f>
        <v>1283.78</v>
      </c>
      <c r="V329">
        <f>ROUND((108/100)*ROUND(Source!CS373*Source!I373, 2), 2)</f>
        <v>792.28</v>
      </c>
    </row>
    <row r="330" spans="1:22" x14ac:dyDescent="0.2">
      <c r="C330" s="26" t="str">
        <f>"Объем: "&amp;Source!I373&amp;"="&amp;Source!I372&amp;"*"&amp;"0,9"</f>
        <v>Объем: 0,225=0,25*0,9</v>
      </c>
    </row>
    <row r="331" spans="1:22" ht="14.25" x14ac:dyDescent="0.2">
      <c r="A331" s="20"/>
      <c r="B331" s="21"/>
      <c r="C331" s="21" t="s">
        <v>541</v>
      </c>
      <c r="D331" s="23"/>
      <c r="E331" s="10"/>
      <c r="F331" s="25">
        <f>Source!AO373</f>
        <v>273.69</v>
      </c>
      <c r="G331" s="24" t="str">
        <f>Source!DG373</f>
        <v/>
      </c>
      <c r="H331" s="10">
        <f>Source!AV373</f>
        <v>1</v>
      </c>
      <c r="I331" s="10">
        <f>IF(Source!BA373&lt;&gt; 0, Source!BA373, 1)</f>
        <v>1</v>
      </c>
      <c r="J331" s="25">
        <f>Source!S373</f>
        <v>61.58</v>
      </c>
      <c r="K331" s="25"/>
    </row>
    <row r="332" spans="1:22" ht="14.25" x14ac:dyDescent="0.2">
      <c r="A332" s="20"/>
      <c r="B332" s="21"/>
      <c r="C332" s="21" t="s">
        <v>542</v>
      </c>
      <c r="D332" s="23"/>
      <c r="E332" s="10"/>
      <c r="F332" s="25">
        <f>Source!AM373</f>
        <v>8502.7099999999991</v>
      </c>
      <c r="G332" s="24" t="str">
        <f>Source!DE373</f>
        <v/>
      </c>
      <c r="H332" s="10">
        <f>Source!AV373</f>
        <v>1</v>
      </c>
      <c r="I332" s="10">
        <f>IF(Source!BB373&lt;&gt; 0, Source!BB373, 1)</f>
        <v>1</v>
      </c>
      <c r="J332" s="25">
        <f>Source!Q373</f>
        <v>1913.11</v>
      </c>
      <c r="K332" s="25"/>
    </row>
    <row r="333" spans="1:22" ht="14.25" x14ac:dyDescent="0.2">
      <c r="A333" s="20"/>
      <c r="B333" s="21"/>
      <c r="C333" s="21" t="s">
        <v>543</v>
      </c>
      <c r="D333" s="23"/>
      <c r="E333" s="10"/>
      <c r="F333" s="25">
        <f>Source!AN373</f>
        <v>3260.42</v>
      </c>
      <c r="G333" s="24" t="str">
        <f>Source!DF373</f>
        <v/>
      </c>
      <c r="H333" s="10">
        <f>Source!AV373</f>
        <v>1</v>
      </c>
      <c r="I333" s="10">
        <f>IF(Source!BS373&lt;&gt; 0, Source!BS373, 1)</f>
        <v>1</v>
      </c>
      <c r="J333" s="27">
        <f>Source!R373</f>
        <v>733.59</v>
      </c>
      <c r="K333" s="25"/>
    </row>
    <row r="334" spans="1:22" ht="14.25" x14ac:dyDescent="0.2">
      <c r="A334" s="20"/>
      <c r="B334" s="21"/>
      <c r="C334" s="21" t="s">
        <v>546</v>
      </c>
      <c r="D334" s="23" t="s">
        <v>547</v>
      </c>
      <c r="E334" s="10">
        <f>Source!AT373</f>
        <v>70</v>
      </c>
      <c r="F334" s="25"/>
      <c r="G334" s="24"/>
      <c r="H334" s="10"/>
      <c r="I334" s="10"/>
      <c r="J334" s="25">
        <f>SUM(R329:R333)</f>
        <v>43.11</v>
      </c>
      <c r="K334" s="25"/>
    </row>
    <row r="335" spans="1:22" ht="14.25" x14ac:dyDescent="0.2">
      <c r="A335" s="20"/>
      <c r="B335" s="21"/>
      <c r="C335" s="21" t="s">
        <v>548</v>
      </c>
      <c r="D335" s="23" t="s">
        <v>547</v>
      </c>
      <c r="E335" s="10">
        <f>Source!AU373</f>
        <v>10</v>
      </c>
      <c r="F335" s="25"/>
      <c r="G335" s="24"/>
      <c r="H335" s="10"/>
      <c r="I335" s="10"/>
      <c r="J335" s="25">
        <f>SUM(T329:T334)</f>
        <v>6.16</v>
      </c>
      <c r="K335" s="25"/>
    </row>
    <row r="336" spans="1:22" ht="14.25" x14ac:dyDescent="0.2">
      <c r="A336" s="20"/>
      <c r="B336" s="21"/>
      <c r="C336" s="21" t="s">
        <v>549</v>
      </c>
      <c r="D336" s="23" t="s">
        <v>547</v>
      </c>
      <c r="E336" s="10">
        <f>108</f>
        <v>108</v>
      </c>
      <c r="F336" s="25"/>
      <c r="G336" s="24"/>
      <c r="H336" s="10"/>
      <c r="I336" s="10"/>
      <c r="J336" s="25">
        <f>SUM(V329:V335)</f>
        <v>792.28</v>
      </c>
      <c r="K336" s="25"/>
    </row>
    <row r="337" spans="1:22" ht="14.25" x14ac:dyDescent="0.2">
      <c r="A337" s="20"/>
      <c r="B337" s="21"/>
      <c r="C337" s="21" t="s">
        <v>550</v>
      </c>
      <c r="D337" s="23" t="s">
        <v>551</v>
      </c>
      <c r="E337" s="10">
        <f>Source!AQ373</f>
        <v>1.59</v>
      </c>
      <c r="F337" s="25"/>
      <c r="G337" s="24" t="str">
        <f>Source!DI373</f>
        <v/>
      </c>
      <c r="H337" s="10">
        <f>Source!AV373</f>
        <v>1</v>
      </c>
      <c r="I337" s="10"/>
      <c r="J337" s="25"/>
      <c r="K337" s="25">
        <f>Source!U373</f>
        <v>0.35775000000000001</v>
      </c>
    </row>
    <row r="338" spans="1:22" ht="15" x14ac:dyDescent="0.25">
      <c r="A338" s="31"/>
      <c r="B338" s="31"/>
      <c r="C338" s="31"/>
      <c r="D338" s="31"/>
      <c r="E338" s="31"/>
      <c r="F338" s="31"/>
      <c r="G338" s="31"/>
      <c r="H338" s="31"/>
      <c r="I338" s="70">
        <f>J331+J332+J334+J335+J336</f>
        <v>2816.24</v>
      </c>
      <c r="J338" s="70"/>
      <c r="K338" s="32">
        <f>IF(Source!I373&lt;&gt;0, ROUND(I338/Source!I373, 2), 0)</f>
        <v>12516.62</v>
      </c>
      <c r="P338" s="29">
        <f>I338</f>
        <v>2816.24</v>
      </c>
    </row>
    <row r="339" spans="1:22" ht="28.5" x14ac:dyDescent="0.2">
      <c r="A339" s="20" t="str">
        <f>Source!E374</f>
        <v>38</v>
      </c>
      <c r="B339" s="21" t="str">
        <f>Source!F374</f>
        <v>1.1-3101-6-1/1</v>
      </c>
      <c r="C339" s="21" t="str">
        <f>Source!G374</f>
        <v>Погрузка грунта вручную в автомобили-самосвалы с выгрузкой</v>
      </c>
      <c r="D339" s="23" t="str">
        <f>Source!H374</f>
        <v>100 м3</v>
      </c>
      <c r="E339" s="10">
        <f>Source!I374</f>
        <v>2.5000000000000001E-2</v>
      </c>
      <c r="F339" s="25"/>
      <c r="G339" s="24"/>
      <c r="H339" s="10"/>
      <c r="I339" s="10"/>
      <c r="J339" s="25"/>
      <c r="K339" s="25"/>
      <c r="Q339">
        <f>ROUND((Source!BZ374/100)*ROUND((Source!AF374*Source!AV374)*Source!I374, 2), 2)</f>
        <v>186.35</v>
      </c>
      <c r="R339">
        <f>Source!X374</f>
        <v>186.35</v>
      </c>
      <c r="S339">
        <f>ROUND((Source!CA374/100)*ROUND((Source!AF374*Source!AV374)*Source!I374, 2), 2)</f>
        <v>26.62</v>
      </c>
      <c r="T339">
        <f>Source!Y374</f>
        <v>26.62</v>
      </c>
      <c r="U339">
        <f>ROUND((175/100)*ROUND((Source!AE374*Source!AV374)*Source!I374, 2), 2)</f>
        <v>0</v>
      </c>
      <c r="V339">
        <f>ROUND((108/100)*ROUND(Source!CS374*Source!I374, 2), 2)</f>
        <v>0</v>
      </c>
    </row>
    <row r="340" spans="1:22" x14ac:dyDescent="0.2">
      <c r="C340" s="26" t="str">
        <f>"Объем: "&amp;Source!I374&amp;"=("&amp;Source!I372&amp;"*"&amp;"0,1)"</f>
        <v>Объем: 0,025=(0,25*0,1)</v>
      </c>
    </row>
    <row r="341" spans="1:22" ht="14.25" x14ac:dyDescent="0.2">
      <c r="A341" s="20"/>
      <c r="B341" s="21"/>
      <c r="C341" s="21" t="s">
        <v>541</v>
      </c>
      <c r="D341" s="23"/>
      <c r="E341" s="10"/>
      <c r="F341" s="25">
        <f>Source!AO374</f>
        <v>10648.9</v>
      </c>
      <c r="G341" s="24" t="str">
        <f>Source!DG374</f>
        <v/>
      </c>
      <c r="H341" s="10">
        <f>Source!AV374</f>
        <v>1</v>
      </c>
      <c r="I341" s="10">
        <f>IF(Source!BA374&lt;&gt; 0, Source!BA374, 1)</f>
        <v>1</v>
      </c>
      <c r="J341" s="25">
        <f>Source!S374</f>
        <v>266.22000000000003</v>
      </c>
      <c r="K341" s="25"/>
    </row>
    <row r="342" spans="1:22" ht="14.25" x14ac:dyDescent="0.2">
      <c r="A342" s="20"/>
      <c r="B342" s="21"/>
      <c r="C342" s="21" t="s">
        <v>546</v>
      </c>
      <c r="D342" s="23" t="s">
        <v>547</v>
      </c>
      <c r="E342" s="10">
        <f>Source!AT374</f>
        <v>70</v>
      </c>
      <c r="F342" s="25"/>
      <c r="G342" s="24"/>
      <c r="H342" s="10"/>
      <c r="I342" s="10"/>
      <c r="J342" s="25">
        <f>SUM(R339:R341)</f>
        <v>186.35</v>
      </c>
      <c r="K342" s="25"/>
    </row>
    <row r="343" spans="1:22" ht="14.25" x14ac:dyDescent="0.2">
      <c r="A343" s="20"/>
      <c r="B343" s="21"/>
      <c r="C343" s="21" t="s">
        <v>548</v>
      </c>
      <c r="D343" s="23" t="s">
        <v>547</v>
      </c>
      <c r="E343" s="10">
        <f>Source!AU374</f>
        <v>10</v>
      </c>
      <c r="F343" s="25"/>
      <c r="G343" s="24"/>
      <c r="H343" s="10"/>
      <c r="I343" s="10"/>
      <c r="J343" s="25">
        <f>SUM(T339:T342)</f>
        <v>26.62</v>
      </c>
      <c r="K343" s="25"/>
    </row>
    <row r="344" spans="1:22" ht="14.25" x14ac:dyDescent="0.2">
      <c r="A344" s="20"/>
      <c r="B344" s="21"/>
      <c r="C344" s="21" t="s">
        <v>550</v>
      </c>
      <c r="D344" s="23" t="s">
        <v>551</v>
      </c>
      <c r="E344" s="10">
        <f>Source!AQ374</f>
        <v>83</v>
      </c>
      <c r="F344" s="25"/>
      <c r="G344" s="24" t="str">
        <f>Source!DI374</f>
        <v/>
      </c>
      <c r="H344" s="10">
        <f>Source!AV374</f>
        <v>1</v>
      </c>
      <c r="I344" s="10"/>
      <c r="J344" s="25"/>
      <c r="K344" s="25">
        <f>Source!U374</f>
        <v>2.0750000000000002</v>
      </c>
    </row>
    <row r="345" spans="1:22" ht="15" x14ac:dyDescent="0.25">
      <c r="A345" s="31"/>
      <c r="B345" s="31"/>
      <c r="C345" s="31"/>
      <c r="D345" s="31"/>
      <c r="E345" s="31"/>
      <c r="F345" s="31"/>
      <c r="G345" s="31"/>
      <c r="H345" s="31"/>
      <c r="I345" s="70">
        <f>J341+J342+J343</f>
        <v>479.19000000000005</v>
      </c>
      <c r="J345" s="70"/>
      <c r="K345" s="32">
        <f>IF(Source!I374&lt;&gt;0, ROUND(I345/Source!I374, 2), 0)</f>
        <v>19167.599999999999</v>
      </c>
      <c r="P345" s="29">
        <f>I345</f>
        <v>479.19000000000005</v>
      </c>
    </row>
    <row r="346" spans="1:22" ht="42.75" x14ac:dyDescent="0.2">
      <c r="A346" s="20" t="str">
        <f>Source!E375</f>
        <v>39</v>
      </c>
      <c r="B346" s="21" t="str">
        <f>Source!F375</f>
        <v>2.49-3401-1-1/1</v>
      </c>
      <c r="C346" s="21" t="str">
        <f>Source!G375</f>
        <v>Перевозка грунта автосамосвалами грузоподъемностью до 10 т на расстояние 1 км</v>
      </c>
      <c r="D346" s="23" t="str">
        <f>Source!H375</f>
        <v>м3</v>
      </c>
      <c r="E346" s="10">
        <f>Source!I375</f>
        <v>100</v>
      </c>
      <c r="F346" s="25"/>
      <c r="G346" s="24"/>
      <c r="H346" s="10"/>
      <c r="I346" s="10"/>
      <c r="J346" s="25"/>
      <c r="K346" s="25"/>
      <c r="Q346">
        <f>ROUND((Source!BZ375/100)*ROUND((Source!AF375*Source!AV375)*Source!I375, 2), 2)</f>
        <v>0</v>
      </c>
      <c r="R346">
        <f>Source!X375</f>
        <v>0</v>
      </c>
      <c r="S346">
        <f>ROUND((Source!CA375/100)*ROUND((Source!AF375*Source!AV375)*Source!I375, 2), 2)</f>
        <v>0</v>
      </c>
      <c r="T346">
        <f>Source!Y375</f>
        <v>0</v>
      </c>
      <c r="U346">
        <f>ROUND((175/100)*ROUND((Source!AE375*Source!AV375)*Source!I375, 2), 2)</f>
        <v>5288.5</v>
      </c>
      <c r="V346">
        <f>ROUND((108/100)*ROUND(Source!CS375*Source!I375, 2), 2)</f>
        <v>3263.76</v>
      </c>
    </row>
    <row r="347" spans="1:22" x14ac:dyDescent="0.2">
      <c r="C347" s="26" t="str">
        <f>"Объем: "&amp;Source!I375&amp;"="&amp;Source!I381&amp;"*"&amp;"0,1*"&amp;"100"</f>
        <v>Объем: 100=10*0,1*100</v>
      </c>
    </row>
    <row r="348" spans="1:22" ht="14.25" x14ac:dyDescent="0.2">
      <c r="A348" s="20"/>
      <c r="B348" s="21"/>
      <c r="C348" s="21" t="s">
        <v>542</v>
      </c>
      <c r="D348" s="23"/>
      <c r="E348" s="10"/>
      <c r="F348" s="25">
        <f>Source!AM375</f>
        <v>51.67</v>
      </c>
      <c r="G348" s="24" t="str">
        <f>Source!DE375</f>
        <v/>
      </c>
      <c r="H348" s="10">
        <f>Source!AV375</f>
        <v>1</v>
      </c>
      <c r="I348" s="10">
        <f>IF(Source!BB375&lt;&gt; 0, Source!BB375, 1)</f>
        <v>1</v>
      </c>
      <c r="J348" s="25">
        <f>Source!Q375</f>
        <v>5167</v>
      </c>
      <c r="K348" s="25"/>
    </row>
    <row r="349" spans="1:22" ht="14.25" x14ac:dyDescent="0.2">
      <c r="A349" s="20"/>
      <c r="B349" s="21"/>
      <c r="C349" s="21" t="s">
        <v>543</v>
      </c>
      <c r="D349" s="23"/>
      <c r="E349" s="10"/>
      <c r="F349" s="25">
        <f>Source!AN375</f>
        <v>30.22</v>
      </c>
      <c r="G349" s="24" t="str">
        <f>Source!DF375</f>
        <v/>
      </c>
      <c r="H349" s="10">
        <f>Source!AV375</f>
        <v>1</v>
      </c>
      <c r="I349" s="10">
        <f>IF(Source!BS375&lt;&gt; 0, Source!BS375, 1)</f>
        <v>1</v>
      </c>
      <c r="J349" s="27">
        <f>Source!R375</f>
        <v>3022</v>
      </c>
      <c r="K349" s="25"/>
    </row>
    <row r="350" spans="1:22" ht="15" x14ac:dyDescent="0.25">
      <c r="A350" s="31"/>
      <c r="B350" s="31"/>
      <c r="C350" s="31"/>
      <c r="D350" s="31"/>
      <c r="E350" s="31"/>
      <c r="F350" s="31"/>
      <c r="G350" s="31"/>
      <c r="H350" s="31"/>
      <c r="I350" s="70">
        <f>J348</f>
        <v>5167</v>
      </c>
      <c r="J350" s="70"/>
      <c r="K350" s="32">
        <f>IF(Source!I375&lt;&gt;0, ROUND(I350/Source!I375, 2), 0)</f>
        <v>51.67</v>
      </c>
      <c r="P350" s="29">
        <f>I350</f>
        <v>5167</v>
      </c>
    </row>
    <row r="351" spans="1:22" ht="57" x14ac:dyDescent="0.2">
      <c r="A351" s="20" t="str">
        <f>Source!E376</f>
        <v>40</v>
      </c>
      <c r="B351" s="21" t="str">
        <f>Source!F376</f>
        <v>2.49-3401-1-2/1</v>
      </c>
      <c r="C351" s="21" t="str">
        <f>Source!G376</f>
        <v>Перевозка грунта автосамосвалами грузоподъемностью до 10 т - добавляется на каждый последующий 1 км до 100 км (к поз. 49-3401-1-1)</v>
      </c>
      <c r="D351" s="23" t="str">
        <f>Source!H376</f>
        <v>м3</v>
      </c>
      <c r="E351" s="10">
        <f>Source!I376</f>
        <v>100</v>
      </c>
      <c r="F351" s="25"/>
      <c r="G351" s="24"/>
      <c r="H351" s="10"/>
      <c r="I351" s="10"/>
      <c r="J351" s="25"/>
      <c r="K351" s="25"/>
      <c r="Q351">
        <f>ROUND((Source!BZ376/100)*ROUND((Source!AF376*Source!AV376)*Source!I376, 2), 2)</f>
        <v>0</v>
      </c>
      <c r="R351">
        <f>Source!X376</f>
        <v>0</v>
      </c>
      <c r="S351">
        <f>ROUND((Source!CA376/100)*ROUND((Source!AF376*Source!AV376)*Source!I376, 2), 2)</f>
        <v>0</v>
      </c>
      <c r="T351">
        <f>Source!Y376</f>
        <v>0</v>
      </c>
      <c r="U351">
        <f>ROUND((175/100)*ROUND((Source!AE376*Source!AV376)*Source!I376, 2), 2)</f>
        <v>90431.25</v>
      </c>
      <c r="V351">
        <f>ROUND((108/100)*ROUND(Source!CS376*Source!I376, 2), 2)</f>
        <v>55809</v>
      </c>
    </row>
    <row r="352" spans="1:22" ht="14.25" x14ac:dyDescent="0.2">
      <c r="A352" s="20"/>
      <c r="B352" s="21"/>
      <c r="C352" s="21" t="s">
        <v>542</v>
      </c>
      <c r="D352" s="23"/>
      <c r="E352" s="10"/>
      <c r="F352" s="25">
        <f>Source!AM376</f>
        <v>16.670000000000002</v>
      </c>
      <c r="G352" s="24" t="str">
        <f>Source!DE376</f>
        <v>*53</v>
      </c>
      <c r="H352" s="10">
        <f>Source!AV376</f>
        <v>1</v>
      </c>
      <c r="I352" s="10">
        <f>IF(Source!BB376&lt;&gt; 0, Source!BB376, 1)</f>
        <v>1</v>
      </c>
      <c r="J352" s="25">
        <f>Source!Q376</f>
        <v>88351</v>
      </c>
      <c r="K352" s="25"/>
    </row>
    <row r="353" spans="1:22" ht="14.25" x14ac:dyDescent="0.2">
      <c r="A353" s="20"/>
      <c r="B353" s="21"/>
      <c r="C353" s="21" t="s">
        <v>543</v>
      </c>
      <c r="D353" s="23"/>
      <c r="E353" s="10"/>
      <c r="F353" s="25">
        <f>Source!AN376</f>
        <v>9.75</v>
      </c>
      <c r="G353" s="24" t="str">
        <f>Source!DF376</f>
        <v>*53</v>
      </c>
      <c r="H353" s="10">
        <f>Source!AV376</f>
        <v>1</v>
      </c>
      <c r="I353" s="10">
        <f>IF(Source!BS376&lt;&gt; 0, Source!BS376, 1)</f>
        <v>1</v>
      </c>
      <c r="J353" s="27">
        <f>Source!R376</f>
        <v>51675</v>
      </c>
      <c r="K353" s="25"/>
    </row>
    <row r="354" spans="1:22" ht="15" x14ac:dyDescent="0.25">
      <c r="A354" s="31"/>
      <c r="B354" s="31"/>
      <c r="C354" s="31"/>
      <c r="D354" s="31"/>
      <c r="E354" s="31"/>
      <c r="F354" s="31"/>
      <c r="G354" s="31"/>
      <c r="H354" s="31"/>
      <c r="I354" s="70">
        <f>J352</f>
        <v>88351</v>
      </c>
      <c r="J354" s="70"/>
      <c r="K354" s="32">
        <f>IF(Source!I376&lt;&gt;0, ROUND(I354/Source!I376, 2), 0)</f>
        <v>883.51</v>
      </c>
      <c r="P354" s="29">
        <f>I354</f>
        <v>88351</v>
      </c>
    </row>
    <row r="355" spans="1:22" ht="71.25" x14ac:dyDescent="0.2">
      <c r="A355" s="20" t="str">
        <f>Source!E377</f>
        <v>41</v>
      </c>
      <c r="B355" s="21" t="str">
        <f>Source!F377</f>
        <v>21.25-0-2</v>
      </c>
      <c r="C355" s="21" t="str">
        <f>Source!G377</f>
        <v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v>
      </c>
      <c r="D355" s="23" t="str">
        <f>Source!H377</f>
        <v>т</v>
      </c>
      <c r="E355" s="10">
        <f>Source!I377</f>
        <v>140</v>
      </c>
      <c r="F355" s="25">
        <f>Source!AL377</f>
        <v>153.63999999999999</v>
      </c>
      <c r="G355" s="24" t="str">
        <f>Source!DD377</f>
        <v/>
      </c>
      <c r="H355" s="10">
        <f>Source!AW377</f>
        <v>1</v>
      </c>
      <c r="I355" s="10">
        <f>IF(Source!BC377&lt;&gt; 0, Source!BC377, 1)</f>
        <v>1</v>
      </c>
      <c r="J355" s="25">
        <f>Source!P377</f>
        <v>21509.599999999999</v>
      </c>
      <c r="K355" s="25"/>
      <c r="Q355">
        <f>ROUND((Source!BZ377/100)*ROUND((Source!AF377*Source!AV377)*Source!I377, 2), 2)</f>
        <v>0</v>
      </c>
      <c r="R355">
        <f>Source!X377</f>
        <v>0</v>
      </c>
      <c r="S355">
        <f>ROUND((Source!CA377/100)*ROUND((Source!AF377*Source!AV377)*Source!I377, 2), 2)</f>
        <v>0</v>
      </c>
      <c r="T355">
        <f>Source!Y377</f>
        <v>0</v>
      </c>
      <c r="U355">
        <f>ROUND((175/100)*ROUND((Source!AE377*Source!AV377)*Source!I377, 2), 2)</f>
        <v>0</v>
      </c>
      <c r="V355">
        <f>ROUND((108/100)*ROUND(Source!CS377*Source!I377, 2), 2)</f>
        <v>0</v>
      </c>
    </row>
    <row r="356" spans="1:22" x14ac:dyDescent="0.2">
      <c r="C356" s="26" t="str">
        <f>"Объем: "&amp;Source!I377&amp;"="&amp;Source!I376&amp;"*"&amp;"1,4"</f>
        <v>Объем: 140=100*1,4</v>
      </c>
    </row>
    <row r="357" spans="1:22" ht="15" x14ac:dyDescent="0.25">
      <c r="A357" s="31"/>
      <c r="B357" s="31"/>
      <c r="C357" s="31"/>
      <c r="D357" s="31"/>
      <c r="E357" s="31"/>
      <c r="F357" s="31"/>
      <c r="G357" s="31"/>
      <c r="H357" s="31"/>
      <c r="I357" s="70">
        <f>J355</f>
        <v>21509.599999999999</v>
      </c>
      <c r="J357" s="70"/>
      <c r="K357" s="32">
        <f>IF(Source!I377&lt;&gt;0, ROUND(I357/Source!I377, 2), 0)</f>
        <v>153.63999999999999</v>
      </c>
      <c r="P357" s="29">
        <f>I357</f>
        <v>21509.599999999999</v>
      </c>
    </row>
    <row r="358" spans="1:22" ht="57" x14ac:dyDescent="0.2">
      <c r="A358" s="20" t="str">
        <f>Source!E378</f>
        <v>42</v>
      </c>
      <c r="B358" s="21" t="str">
        <f>Source!F378</f>
        <v>5.4-3203-3-3/1</v>
      </c>
      <c r="C358" s="21" t="str">
        <f>Source!G378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D358" s="23" t="str">
        <f>Source!H378</f>
        <v>100 м2</v>
      </c>
      <c r="E358" s="10">
        <f>Source!I378</f>
        <v>7.5</v>
      </c>
      <c r="F358" s="25"/>
      <c r="G358" s="24"/>
      <c r="H358" s="10"/>
      <c r="I358" s="10"/>
      <c r="J358" s="25"/>
      <c r="K358" s="25"/>
      <c r="Q358">
        <f>ROUND((Source!BZ378/100)*ROUND((Source!AF378*Source!AV378)*Source!I378, 2), 2)</f>
        <v>28493.17</v>
      </c>
      <c r="R358">
        <f>Source!X378</f>
        <v>28493.17</v>
      </c>
      <c r="S358">
        <f>ROUND((Source!CA378/100)*ROUND((Source!AF378*Source!AV378)*Source!I378, 2), 2)</f>
        <v>4070.45</v>
      </c>
      <c r="T358">
        <f>Source!Y378</f>
        <v>4070.45</v>
      </c>
      <c r="U358">
        <f>ROUND((175/100)*ROUND((Source!AE378*Source!AV378)*Source!I378, 2), 2)</f>
        <v>335.88</v>
      </c>
      <c r="V358">
        <f>ROUND((108/100)*ROUND(Source!CS378*Source!I378, 2), 2)</f>
        <v>207.28</v>
      </c>
    </row>
    <row r="359" spans="1:22" x14ac:dyDescent="0.2">
      <c r="C359" s="26" t="str">
        <f>"Объем: "&amp;Source!I378&amp;"="&amp;Source!I380&amp;"*"&amp;"0,75"</f>
        <v>Объем: 7,5=10*0,75</v>
      </c>
    </row>
    <row r="360" spans="1:22" ht="14.25" x14ac:dyDescent="0.2">
      <c r="A360" s="20"/>
      <c r="B360" s="21"/>
      <c r="C360" s="21" t="s">
        <v>541</v>
      </c>
      <c r="D360" s="23"/>
      <c r="E360" s="10"/>
      <c r="F360" s="25">
        <f>Source!AO378</f>
        <v>5427.27</v>
      </c>
      <c r="G360" s="24" t="str">
        <f>Source!DG378</f>
        <v/>
      </c>
      <c r="H360" s="10">
        <f>Source!AV378</f>
        <v>1</v>
      </c>
      <c r="I360" s="10">
        <f>IF(Source!BA378&lt;&gt; 0, Source!BA378, 1)</f>
        <v>1</v>
      </c>
      <c r="J360" s="25">
        <f>Source!S378</f>
        <v>40704.53</v>
      </c>
      <c r="K360" s="25"/>
    </row>
    <row r="361" spans="1:22" ht="14.25" x14ac:dyDescent="0.2">
      <c r="A361" s="20"/>
      <c r="B361" s="21"/>
      <c r="C361" s="21" t="s">
        <v>542</v>
      </c>
      <c r="D361" s="23"/>
      <c r="E361" s="10"/>
      <c r="F361" s="25">
        <f>Source!AM378</f>
        <v>52.67</v>
      </c>
      <c r="G361" s="24" t="str">
        <f>Source!DE378</f>
        <v/>
      </c>
      <c r="H361" s="10">
        <f>Source!AV378</f>
        <v>1</v>
      </c>
      <c r="I361" s="10">
        <f>IF(Source!BB378&lt;&gt; 0, Source!BB378, 1)</f>
        <v>1</v>
      </c>
      <c r="J361" s="25">
        <f>Source!Q378</f>
        <v>395.03</v>
      </c>
      <c r="K361" s="25"/>
    </row>
    <row r="362" spans="1:22" ht="14.25" x14ac:dyDescent="0.2">
      <c r="A362" s="20"/>
      <c r="B362" s="21"/>
      <c r="C362" s="21" t="s">
        <v>543</v>
      </c>
      <c r="D362" s="23"/>
      <c r="E362" s="10"/>
      <c r="F362" s="25">
        <f>Source!AN378</f>
        <v>25.59</v>
      </c>
      <c r="G362" s="24" t="str">
        <f>Source!DF378</f>
        <v/>
      </c>
      <c r="H362" s="10">
        <f>Source!AV378</f>
        <v>1</v>
      </c>
      <c r="I362" s="10">
        <f>IF(Source!BS378&lt;&gt; 0, Source!BS378, 1)</f>
        <v>1</v>
      </c>
      <c r="J362" s="27">
        <f>Source!R378</f>
        <v>191.93</v>
      </c>
      <c r="K362" s="25"/>
    </row>
    <row r="363" spans="1:22" ht="14.25" x14ac:dyDescent="0.2">
      <c r="A363" s="20"/>
      <c r="B363" s="21"/>
      <c r="C363" s="21" t="s">
        <v>544</v>
      </c>
      <c r="D363" s="23"/>
      <c r="E363" s="10"/>
      <c r="F363" s="25">
        <f>Source!AL378</f>
        <v>11305.05</v>
      </c>
      <c r="G363" s="24" t="str">
        <f>Source!DD378</f>
        <v/>
      </c>
      <c r="H363" s="10">
        <f>Source!AW378</f>
        <v>1</v>
      </c>
      <c r="I363" s="10">
        <f>IF(Source!BC378&lt;&gt; 0, Source!BC378, 1)</f>
        <v>1</v>
      </c>
      <c r="J363" s="25">
        <f>Source!P378</f>
        <v>84787.88</v>
      </c>
      <c r="K363" s="25"/>
    </row>
    <row r="364" spans="1:22" ht="14.25" x14ac:dyDescent="0.2">
      <c r="A364" s="20"/>
      <c r="B364" s="21"/>
      <c r="C364" s="21" t="s">
        <v>546</v>
      </c>
      <c r="D364" s="23" t="s">
        <v>547</v>
      </c>
      <c r="E364" s="10">
        <f>Source!AT378</f>
        <v>70</v>
      </c>
      <c r="F364" s="25"/>
      <c r="G364" s="24"/>
      <c r="H364" s="10"/>
      <c r="I364" s="10"/>
      <c r="J364" s="25">
        <f>SUM(R358:R363)</f>
        <v>28493.17</v>
      </c>
      <c r="K364" s="25"/>
    </row>
    <row r="365" spans="1:22" ht="14.25" x14ac:dyDescent="0.2">
      <c r="A365" s="20"/>
      <c r="B365" s="21"/>
      <c r="C365" s="21" t="s">
        <v>548</v>
      </c>
      <c r="D365" s="23" t="s">
        <v>547</v>
      </c>
      <c r="E365" s="10">
        <f>Source!AU378</f>
        <v>10</v>
      </c>
      <c r="F365" s="25"/>
      <c r="G365" s="24"/>
      <c r="H365" s="10"/>
      <c r="I365" s="10"/>
      <c r="J365" s="25">
        <f>SUM(T358:T364)</f>
        <v>4070.45</v>
      </c>
      <c r="K365" s="25"/>
    </row>
    <row r="366" spans="1:22" ht="14.25" x14ac:dyDescent="0.2">
      <c r="A366" s="20"/>
      <c r="B366" s="21"/>
      <c r="C366" s="21" t="s">
        <v>549</v>
      </c>
      <c r="D366" s="23" t="s">
        <v>547</v>
      </c>
      <c r="E366" s="10">
        <f>108</f>
        <v>108</v>
      </c>
      <c r="F366" s="25"/>
      <c r="G366" s="24"/>
      <c r="H366" s="10"/>
      <c r="I366" s="10"/>
      <c r="J366" s="25">
        <f>SUM(V358:V365)</f>
        <v>207.28</v>
      </c>
      <c r="K366" s="25"/>
    </row>
    <row r="367" spans="1:22" ht="14.25" x14ac:dyDescent="0.2">
      <c r="A367" s="20"/>
      <c r="B367" s="21"/>
      <c r="C367" s="21" t="s">
        <v>550</v>
      </c>
      <c r="D367" s="23" t="s">
        <v>551</v>
      </c>
      <c r="E367" s="10">
        <f>Source!AQ378</f>
        <v>30.8</v>
      </c>
      <c r="F367" s="25"/>
      <c r="G367" s="24" t="str">
        <f>Source!DI378</f>
        <v/>
      </c>
      <c r="H367" s="10">
        <f>Source!AV378</f>
        <v>1</v>
      </c>
      <c r="I367" s="10"/>
      <c r="J367" s="25"/>
      <c r="K367" s="25">
        <f>Source!U378</f>
        <v>231</v>
      </c>
    </row>
    <row r="368" spans="1:22" ht="15" x14ac:dyDescent="0.25">
      <c r="A368" s="31"/>
      <c r="B368" s="31"/>
      <c r="C368" s="31"/>
      <c r="D368" s="31"/>
      <c r="E368" s="31"/>
      <c r="F368" s="31"/>
      <c r="G368" s="31"/>
      <c r="H368" s="31"/>
      <c r="I368" s="70">
        <f>J360+J361+J363+J364+J365+J366</f>
        <v>158658.34</v>
      </c>
      <c r="J368" s="70"/>
      <c r="K368" s="32">
        <f>IF(Source!I378&lt;&gt;0, ROUND(I368/Source!I378, 2), 0)</f>
        <v>21154.45</v>
      </c>
      <c r="P368" s="29">
        <f>I368</f>
        <v>158658.34</v>
      </c>
    </row>
    <row r="369" spans="1:22" ht="57" x14ac:dyDescent="0.2">
      <c r="A369" s="20" t="str">
        <f>Source!E379</f>
        <v>43</v>
      </c>
      <c r="B369" s="21" t="str">
        <f>Source!F379</f>
        <v>5.4-3203-3-4/1</v>
      </c>
      <c r="C369" s="21" t="str">
        <f>Source!G379</f>
        <v>Подготовка почвы для устройства партерного и обыкновенного газонов с внесением растительной земли слоем 15 см вручную</v>
      </c>
      <c r="D369" s="23" t="str">
        <f>Source!H379</f>
        <v>100 м2</v>
      </c>
      <c r="E369" s="10">
        <f>Source!I379</f>
        <v>2.5</v>
      </c>
      <c r="F369" s="25"/>
      <c r="G369" s="24"/>
      <c r="H369" s="10"/>
      <c r="I369" s="10"/>
      <c r="J369" s="25"/>
      <c r="K369" s="25"/>
      <c r="Q369">
        <f>ROUND((Source!BZ379/100)*ROUND((Source!AF379*Source!AV379)*Source!I379, 2), 2)</f>
        <v>14184.91</v>
      </c>
      <c r="R369">
        <f>Source!X379</f>
        <v>14184.91</v>
      </c>
      <c r="S369">
        <f>ROUND((Source!CA379/100)*ROUND((Source!AF379*Source!AV379)*Source!I379, 2), 2)</f>
        <v>2026.42</v>
      </c>
      <c r="T369">
        <f>Source!Y379</f>
        <v>2026.42</v>
      </c>
      <c r="U369">
        <f>ROUND((175/100)*ROUND((Source!AE379*Source!AV379)*Source!I379, 2), 2)</f>
        <v>0</v>
      </c>
      <c r="V369">
        <f>ROUND((108/100)*ROUND(Source!CS379*Source!I379, 2), 2)</f>
        <v>0</v>
      </c>
    </row>
    <row r="370" spans="1:22" x14ac:dyDescent="0.2">
      <c r="C370" s="26" t="str">
        <f>"Объем: "&amp;Source!I379&amp;"="&amp;Source!I380&amp;"*"&amp;"0,25"</f>
        <v>Объем: 2,5=10*0,25</v>
      </c>
    </row>
    <row r="371" spans="1:22" ht="14.25" x14ac:dyDescent="0.2">
      <c r="A371" s="20"/>
      <c r="B371" s="21"/>
      <c r="C371" s="21" t="s">
        <v>541</v>
      </c>
      <c r="D371" s="23"/>
      <c r="E371" s="10"/>
      <c r="F371" s="25">
        <f>Source!AO379</f>
        <v>8105.66</v>
      </c>
      <c r="G371" s="24" t="str">
        <f>Source!DG379</f>
        <v/>
      </c>
      <c r="H371" s="10">
        <f>Source!AV379</f>
        <v>1</v>
      </c>
      <c r="I371" s="10">
        <f>IF(Source!BA379&lt;&gt; 0, Source!BA379, 1)</f>
        <v>1</v>
      </c>
      <c r="J371" s="25">
        <f>Source!S379</f>
        <v>20264.150000000001</v>
      </c>
      <c r="K371" s="25"/>
    </row>
    <row r="372" spans="1:22" ht="14.25" x14ac:dyDescent="0.2">
      <c r="A372" s="20"/>
      <c r="B372" s="21"/>
      <c r="C372" s="21" t="s">
        <v>544</v>
      </c>
      <c r="D372" s="23"/>
      <c r="E372" s="10"/>
      <c r="F372" s="25">
        <f>Source!AL379</f>
        <v>11305.05</v>
      </c>
      <c r="G372" s="24" t="str">
        <f>Source!DD379</f>
        <v/>
      </c>
      <c r="H372" s="10">
        <f>Source!AW379</f>
        <v>1</v>
      </c>
      <c r="I372" s="10">
        <f>IF(Source!BC379&lt;&gt; 0, Source!BC379, 1)</f>
        <v>1</v>
      </c>
      <c r="J372" s="25">
        <f>Source!P379</f>
        <v>28262.63</v>
      </c>
      <c r="K372" s="25"/>
    </row>
    <row r="373" spans="1:22" ht="14.25" x14ac:dyDescent="0.2">
      <c r="A373" s="20"/>
      <c r="B373" s="21"/>
      <c r="C373" s="21" t="s">
        <v>546</v>
      </c>
      <c r="D373" s="23" t="s">
        <v>547</v>
      </c>
      <c r="E373" s="10">
        <f>Source!AT379</f>
        <v>70</v>
      </c>
      <c r="F373" s="25"/>
      <c r="G373" s="24"/>
      <c r="H373" s="10"/>
      <c r="I373" s="10"/>
      <c r="J373" s="25">
        <f>SUM(R369:R372)</f>
        <v>14184.91</v>
      </c>
      <c r="K373" s="25"/>
    </row>
    <row r="374" spans="1:22" ht="14.25" x14ac:dyDescent="0.2">
      <c r="A374" s="20"/>
      <c r="B374" s="21"/>
      <c r="C374" s="21" t="s">
        <v>548</v>
      </c>
      <c r="D374" s="23" t="s">
        <v>547</v>
      </c>
      <c r="E374" s="10">
        <f>Source!AU379</f>
        <v>10</v>
      </c>
      <c r="F374" s="25"/>
      <c r="G374" s="24"/>
      <c r="H374" s="10"/>
      <c r="I374" s="10"/>
      <c r="J374" s="25">
        <f>SUM(T369:T373)</f>
        <v>2026.42</v>
      </c>
      <c r="K374" s="25"/>
    </row>
    <row r="375" spans="1:22" ht="14.25" x14ac:dyDescent="0.2">
      <c r="A375" s="20"/>
      <c r="B375" s="21"/>
      <c r="C375" s="21" t="s">
        <v>550</v>
      </c>
      <c r="D375" s="23" t="s">
        <v>551</v>
      </c>
      <c r="E375" s="10">
        <f>Source!AQ379</f>
        <v>46</v>
      </c>
      <c r="F375" s="25"/>
      <c r="G375" s="24" t="str">
        <f>Source!DI379</f>
        <v/>
      </c>
      <c r="H375" s="10">
        <f>Source!AV379</f>
        <v>1</v>
      </c>
      <c r="I375" s="10"/>
      <c r="J375" s="25"/>
      <c r="K375" s="25">
        <f>Source!U379</f>
        <v>115</v>
      </c>
    </row>
    <row r="376" spans="1:22" ht="15" x14ac:dyDescent="0.25">
      <c r="A376" s="31"/>
      <c r="B376" s="31"/>
      <c r="C376" s="31"/>
      <c r="D376" s="31"/>
      <c r="E376" s="31"/>
      <c r="F376" s="31"/>
      <c r="G376" s="31"/>
      <c r="H376" s="31"/>
      <c r="I376" s="70">
        <f>J371+J372+J373+J374</f>
        <v>64738.11</v>
      </c>
      <c r="J376" s="70"/>
      <c r="K376" s="32">
        <f>IF(Source!I379&lt;&gt;0, ROUND(I376/Source!I379, 2), 0)</f>
        <v>25895.24</v>
      </c>
      <c r="P376" s="29">
        <f>I376</f>
        <v>64738.11</v>
      </c>
    </row>
    <row r="377" spans="1:22" ht="57" x14ac:dyDescent="0.2">
      <c r="A377" s="20" t="str">
        <f>Source!E380</f>
        <v>44</v>
      </c>
      <c r="B377" s="21" t="str">
        <f>Source!F380</f>
        <v>5.4-3203-3-5/1</v>
      </c>
      <c r="C377" s="21" t="str">
        <f>Source!G380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D377" s="23" t="str">
        <f>Source!H380</f>
        <v>100 м2</v>
      </c>
      <c r="E377" s="10">
        <f>Source!I380</f>
        <v>10</v>
      </c>
      <c r="F377" s="25"/>
      <c r="G377" s="24"/>
      <c r="H377" s="10"/>
      <c r="I377" s="10"/>
      <c r="J377" s="25"/>
      <c r="K377" s="25"/>
      <c r="Q377">
        <f>ROUND((Source!BZ380/100)*ROUND((Source!AF380*Source!AV380)*Source!I380, 2), 2)</f>
        <v>-7758.52</v>
      </c>
      <c r="R377">
        <f>Source!X380</f>
        <v>-7758.52</v>
      </c>
      <c r="S377">
        <f>ROUND((Source!CA380/100)*ROUND((Source!AF380*Source!AV380)*Source!I380, 2), 2)</f>
        <v>-1108.3599999999999</v>
      </c>
      <c r="T377">
        <f>Source!Y380</f>
        <v>-1108.3599999999999</v>
      </c>
      <c r="U377">
        <f>ROUND((175/100)*ROUND((Source!AE380*Source!AV380)*Source!I380, 2), 2)</f>
        <v>0</v>
      </c>
      <c r="V377">
        <f>ROUND((108/100)*ROUND(Source!CS380*Source!I380, 2), 2)</f>
        <v>0</v>
      </c>
    </row>
    <row r="378" spans="1:22" ht="14.25" x14ac:dyDescent="0.2">
      <c r="A378" s="20"/>
      <c r="B378" s="21"/>
      <c r="C378" s="21" t="s">
        <v>541</v>
      </c>
      <c r="D378" s="23"/>
      <c r="E378" s="10"/>
      <c r="F378" s="25">
        <f>Source!AO380</f>
        <v>1108.3599999999999</v>
      </c>
      <c r="G378" s="24" t="str">
        <f>Source!DG380</f>
        <v>*-1</v>
      </c>
      <c r="H378" s="10">
        <f>Source!AV380</f>
        <v>1</v>
      </c>
      <c r="I378" s="10">
        <f>IF(Source!BA380&lt;&gt; 0, Source!BA380, 1)</f>
        <v>1</v>
      </c>
      <c r="J378" s="25">
        <f>Source!S380</f>
        <v>-11083.6</v>
      </c>
      <c r="K378" s="25"/>
    </row>
    <row r="379" spans="1:22" ht="14.25" x14ac:dyDescent="0.2">
      <c r="A379" s="20"/>
      <c r="B379" s="21"/>
      <c r="C379" s="21" t="s">
        <v>544</v>
      </c>
      <c r="D379" s="23"/>
      <c r="E379" s="10"/>
      <c r="F379" s="25">
        <f>Source!AL380</f>
        <v>3768.35</v>
      </c>
      <c r="G379" s="24" t="str">
        <f>Source!DD380</f>
        <v>*-1</v>
      </c>
      <c r="H379" s="10">
        <f>Source!AW380</f>
        <v>1</v>
      </c>
      <c r="I379" s="10">
        <f>IF(Source!BC380&lt;&gt; 0, Source!BC380, 1)</f>
        <v>1</v>
      </c>
      <c r="J379" s="25">
        <f>Source!P380</f>
        <v>-37683.5</v>
      </c>
      <c r="K379" s="25"/>
    </row>
    <row r="380" spans="1:22" ht="14.25" x14ac:dyDescent="0.2">
      <c r="A380" s="20"/>
      <c r="B380" s="21"/>
      <c r="C380" s="21" t="s">
        <v>546</v>
      </c>
      <c r="D380" s="23" t="s">
        <v>547</v>
      </c>
      <c r="E380" s="10">
        <f>Source!AT380</f>
        <v>70</v>
      </c>
      <c r="F380" s="25"/>
      <c r="G380" s="24"/>
      <c r="H380" s="10"/>
      <c r="I380" s="10"/>
      <c r="J380" s="25">
        <f>SUM(R377:R379)</f>
        <v>-7758.52</v>
      </c>
      <c r="K380" s="25"/>
    </row>
    <row r="381" spans="1:22" ht="14.25" x14ac:dyDescent="0.2">
      <c r="A381" s="20"/>
      <c r="B381" s="21"/>
      <c r="C381" s="21" t="s">
        <v>548</v>
      </c>
      <c r="D381" s="23" t="s">
        <v>547</v>
      </c>
      <c r="E381" s="10">
        <f>Source!AU380</f>
        <v>10</v>
      </c>
      <c r="F381" s="25"/>
      <c r="G381" s="24"/>
      <c r="H381" s="10"/>
      <c r="I381" s="10"/>
      <c r="J381" s="25">
        <f>SUM(T377:T380)</f>
        <v>-1108.3599999999999</v>
      </c>
      <c r="K381" s="25"/>
    </row>
    <row r="382" spans="1:22" ht="14.25" x14ac:dyDescent="0.2">
      <c r="A382" s="20"/>
      <c r="B382" s="21"/>
      <c r="C382" s="21" t="s">
        <v>550</v>
      </c>
      <c r="D382" s="23" t="s">
        <v>551</v>
      </c>
      <c r="E382" s="10">
        <f>Source!AQ380</f>
        <v>6.29</v>
      </c>
      <c r="F382" s="25"/>
      <c r="G382" s="24" t="str">
        <f>Source!DI380</f>
        <v>*-1</v>
      </c>
      <c r="H382" s="10">
        <f>Source!AV380</f>
        <v>1</v>
      </c>
      <c r="I382" s="10"/>
      <c r="J382" s="25"/>
      <c r="K382" s="25">
        <f>Source!U380</f>
        <v>-62.9</v>
      </c>
    </row>
    <row r="383" spans="1:22" ht="15" x14ac:dyDescent="0.25">
      <c r="A383" s="31"/>
      <c r="B383" s="31"/>
      <c r="C383" s="31"/>
      <c r="D383" s="31"/>
      <c r="E383" s="31"/>
      <c r="F383" s="31"/>
      <c r="G383" s="31"/>
      <c r="H383" s="31"/>
      <c r="I383" s="70">
        <f>J378+J379+J380+J381</f>
        <v>-57633.979999999996</v>
      </c>
      <c r="J383" s="70"/>
      <c r="K383" s="32">
        <f>IF(Source!I380&lt;&gt;0, ROUND(I383/Source!I380, 2), 0)</f>
        <v>-5763.4</v>
      </c>
      <c r="P383" s="29">
        <f>I383</f>
        <v>-57633.979999999996</v>
      </c>
    </row>
    <row r="384" spans="1:22" ht="57" x14ac:dyDescent="0.2">
      <c r="A384" s="20" t="str">
        <f>Source!E381</f>
        <v>45</v>
      </c>
      <c r="B384" s="21" t="str">
        <f>Source!F381</f>
        <v>5.4-3203-12-1/1</v>
      </c>
      <c r="C384" s="21" t="str">
        <f>Source!G381</f>
        <v>Сплошная укладка готового газона в рулонах на горизонтальных поверхностях или откосах с уклоном на круче 1:2</v>
      </c>
      <c r="D384" s="23" t="str">
        <f>Source!H381</f>
        <v>100 м2</v>
      </c>
      <c r="E384" s="10">
        <f>Source!I381</f>
        <v>10</v>
      </c>
      <c r="F384" s="25"/>
      <c r="G384" s="24"/>
      <c r="H384" s="10"/>
      <c r="I384" s="10"/>
      <c r="J384" s="25"/>
      <c r="K384" s="25"/>
      <c r="Q384">
        <f>ROUND((Source!BZ381/100)*ROUND((Source!AF381*Source!AV381)*Source!I381, 2), 2)</f>
        <v>17265.71</v>
      </c>
      <c r="R384">
        <f>Source!X381</f>
        <v>17265.71</v>
      </c>
      <c r="S384">
        <f>ROUND((Source!CA381/100)*ROUND((Source!AF381*Source!AV381)*Source!I381, 2), 2)</f>
        <v>2466.5300000000002</v>
      </c>
      <c r="T384">
        <f>Source!Y381</f>
        <v>2466.5300000000002</v>
      </c>
      <c r="U384">
        <f>ROUND((175/100)*ROUND((Source!AE381*Source!AV381)*Source!I381, 2), 2)</f>
        <v>0</v>
      </c>
      <c r="V384">
        <f>ROUND((108/100)*ROUND(Source!CS381*Source!I381, 2), 2)</f>
        <v>0</v>
      </c>
    </row>
    <row r="385" spans="1:22" x14ac:dyDescent="0.2">
      <c r="C385" s="26" t="str">
        <f>"Объем: "&amp;Source!I381&amp;"=1000/"&amp;"100"</f>
        <v>Объем: 10=1000/100</v>
      </c>
    </row>
    <row r="386" spans="1:22" ht="14.25" x14ac:dyDescent="0.2">
      <c r="A386" s="20"/>
      <c r="B386" s="21"/>
      <c r="C386" s="21" t="s">
        <v>541</v>
      </c>
      <c r="D386" s="23"/>
      <c r="E386" s="10"/>
      <c r="F386" s="25">
        <f>Source!AO381</f>
        <v>2466.5300000000002</v>
      </c>
      <c r="G386" s="24" t="str">
        <f>Source!DG381</f>
        <v/>
      </c>
      <c r="H386" s="10">
        <f>Source!AV381</f>
        <v>1</v>
      </c>
      <c r="I386" s="10">
        <f>IF(Source!BA381&lt;&gt; 0, Source!BA381, 1)</f>
        <v>1</v>
      </c>
      <c r="J386" s="25">
        <f>Source!S381</f>
        <v>24665.3</v>
      </c>
      <c r="K386" s="25"/>
    </row>
    <row r="387" spans="1:22" ht="14.25" x14ac:dyDescent="0.2">
      <c r="A387" s="20"/>
      <c r="B387" s="21"/>
      <c r="C387" s="21" t="s">
        <v>544</v>
      </c>
      <c r="D387" s="23"/>
      <c r="E387" s="10"/>
      <c r="F387" s="25">
        <f>Source!AL381</f>
        <v>14146.14</v>
      </c>
      <c r="G387" s="24" t="str">
        <f>Source!DD381</f>
        <v/>
      </c>
      <c r="H387" s="10">
        <f>Source!AW381</f>
        <v>1</v>
      </c>
      <c r="I387" s="10">
        <f>IF(Source!BC381&lt;&gt; 0, Source!BC381, 1)</f>
        <v>1</v>
      </c>
      <c r="J387" s="25">
        <f>Source!P381</f>
        <v>141461.4</v>
      </c>
      <c r="K387" s="25"/>
    </row>
    <row r="388" spans="1:22" ht="14.25" x14ac:dyDescent="0.2">
      <c r="A388" s="20"/>
      <c r="B388" s="21"/>
      <c r="C388" s="21" t="s">
        <v>546</v>
      </c>
      <c r="D388" s="23" t="s">
        <v>547</v>
      </c>
      <c r="E388" s="10">
        <f>Source!AT381</f>
        <v>70</v>
      </c>
      <c r="F388" s="25"/>
      <c r="G388" s="24"/>
      <c r="H388" s="10"/>
      <c r="I388" s="10"/>
      <c r="J388" s="25">
        <f>SUM(R384:R387)</f>
        <v>17265.71</v>
      </c>
      <c r="K388" s="25"/>
    </row>
    <row r="389" spans="1:22" ht="14.25" x14ac:dyDescent="0.2">
      <c r="A389" s="20"/>
      <c r="B389" s="21"/>
      <c r="C389" s="21" t="s">
        <v>548</v>
      </c>
      <c r="D389" s="23" t="s">
        <v>547</v>
      </c>
      <c r="E389" s="10">
        <f>Source!AU381</f>
        <v>10</v>
      </c>
      <c r="F389" s="25"/>
      <c r="G389" s="24"/>
      <c r="H389" s="10"/>
      <c r="I389" s="10"/>
      <c r="J389" s="25">
        <f>SUM(T384:T388)</f>
        <v>2466.5300000000002</v>
      </c>
      <c r="K389" s="25"/>
    </row>
    <row r="390" spans="1:22" ht="14.25" x14ac:dyDescent="0.2">
      <c r="A390" s="20"/>
      <c r="B390" s="21"/>
      <c r="C390" s="21" t="s">
        <v>550</v>
      </c>
      <c r="D390" s="23" t="s">
        <v>551</v>
      </c>
      <c r="E390" s="10">
        <f>Source!AQ381</f>
        <v>13.42</v>
      </c>
      <c r="F390" s="25"/>
      <c r="G390" s="24" t="str">
        <f>Source!DI381</f>
        <v/>
      </c>
      <c r="H390" s="10">
        <f>Source!AV381</f>
        <v>1</v>
      </c>
      <c r="I390" s="10"/>
      <c r="J390" s="25"/>
      <c r="K390" s="25">
        <f>Source!U381</f>
        <v>134.19999999999999</v>
      </c>
    </row>
    <row r="391" spans="1:22" ht="15" x14ac:dyDescent="0.25">
      <c r="A391" s="31"/>
      <c r="B391" s="31"/>
      <c r="C391" s="31"/>
      <c r="D391" s="31"/>
      <c r="E391" s="31"/>
      <c r="F391" s="31"/>
      <c r="G391" s="31"/>
      <c r="H391" s="31"/>
      <c r="I391" s="70">
        <f>J386+J387+J388+J389</f>
        <v>185858.93999999997</v>
      </c>
      <c r="J391" s="70"/>
      <c r="K391" s="32">
        <f>IF(Source!I381&lt;&gt;0, ROUND(I391/Source!I381, 2), 0)</f>
        <v>18585.89</v>
      </c>
      <c r="P391" s="29">
        <f>I391</f>
        <v>185858.93999999997</v>
      </c>
    </row>
    <row r="393" spans="1:22" ht="15" x14ac:dyDescent="0.25">
      <c r="A393" s="73" t="str">
        <f>CONCATENATE("Итого по разделу: ",IF(Source!G383&lt;&gt;"Новый раздел", Source!G383, ""))</f>
        <v>Итого по разделу: Устройство газона (1000 м2)</v>
      </c>
      <c r="B393" s="73"/>
      <c r="C393" s="73"/>
      <c r="D393" s="73"/>
      <c r="E393" s="73"/>
      <c r="F393" s="73"/>
      <c r="G393" s="73"/>
      <c r="H393" s="73"/>
      <c r="I393" s="71">
        <f>SUM(P311:P392)</f>
        <v>497310.43999999994</v>
      </c>
      <c r="J393" s="72"/>
      <c r="K393" s="33"/>
    </row>
    <row r="396" spans="1:22" ht="16.5" x14ac:dyDescent="0.25">
      <c r="A396" s="74" t="str">
        <f>CONCATENATE("Раздел: ",IF(Source!G413&lt;&gt;"Новый раздел", Source!G413, ""))</f>
        <v>Раздел: Устройство асфальтобетонного покрытия площадок (828 м2)</v>
      </c>
      <c r="B396" s="74"/>
      <c r="C396" s="74"/>
      <c r="D396" s="74"/>
      <c r="E396" s="74"/>
      <c r="F396" s="74"/>
      <c r="G396" s="74"/>
      <c r="H396" s="74"/>
      <c r="I396" s="74"/>
      <c r="J396" s="74"/>
      <c r="K396" s="74"/>
    </row>
    <row r="397" spans="1:22" ht="42.75" x14ac:dyDescent="0.2">
      <c r="A397" s="20" t="str">
        <f>Source!E419</f>
        <v>47</v>
      </c>
      <c r="B397" s="21" t="str">
        <f>Source!F419</f>
        <v>2.1-3303-1-1/1</v>
      </c>
      <c r="C397" s="21" t="str">
        <f>Source!G419</f>
        <v>Устройство подстилающих и выравнивающих слоев оснований из песка</v>
      </c>
      <c r="D397" s="23" t="str">
        <f>Source!H419</f>
        <v>100 м3</v>
      </c>
      <c r="E397" s="10">
        <f>Source!I419</f>
        <v>1.242</v>
      </c>
      <c r="F397" s="25"/>
      <c r="G397" s="24"/>
      <c r="H397" s="10"/>
      <c r="I397" s="10"/>
      <c r="J397" s="25"/>
      <c r="K397" s="25"/>
      <c r="Q397">
        <f>ROUND((Source!BZ419/100)*ROUND((Source!AF419*Source!AV419)*Source!I419, 2), 2)</f>
        <v>2566.31</v>
      </c>
      <c r="R397">
        <f>Source!X419</f>
        <v>2566.31</v>
      </c>
      <c r="S397">
        <f>ROUND((Source!CA419/100)*ROUND((Source!AF419*Source!AV419)*Source!I419, 2), 2)</f>
        <v>366.62</v>
      </c>
      <c r="T397">
        <f>Source!Y419</f>
        <v>366.62</v>
      </c>
      <c r="U397">
        <f>ROUND((175/100)*ROUND((Source!AE419*Source!AV419)*Source!I419, 2), 2)</f>
        <v>7265.44</v>
      </c>
      <c r="V397">
        <f>ROUND((108/100)*ROUND(Source!CS419*Source!I419, 2), 2)</f>
        <v>4483.8100000000004</v>
      </c>
    </row>
    <row r="398" spans="1:22" x14ac:dyDescent="0.2">
      <c r="C398" s="26" t="str">
        <f>"Объем: "&amp;Source!I419&amp;"=("&amp;Source!I426&amp;"*"&amp;"0,15)"</f>
        <v>Объем: 1,242=(8,28*0,15)</v>
      </c>
    </row>
    <row r="399" spans="1:22" ht="14.25" x14ac:dyDescent="0.2">
      <c r="A399" s="20"/>
      <c r="B399" s="21"/>
      <c r="C399" s="21" t="s">
        <v>541</v>
      </c>
      <c r="D399" s="23"/>
      <c r="E399" s="10"/>
      <c r="F399" s="25">
        <f>Source!AO419</f>
        <v>2951.82</v>
      </c>
      <c r="G399" s="24" t="str">
        <f>Source!DG419</f>
        <v/>
      </c>
      <c r="H399" s="10">
        <f>Source!AV419</f>
        <v>1</v>
      </c>
      <c r="I399" s="10">
        <f>IF(Source!BA419&lt;&gt; 0, Source!BA419, 1)</f>
        <v>1</v>
      </c>
      <c r="J399" s="25">
        <f>Source!S419</f>
        <v>3666.16</v>
      </c>
      <c r="K399" s="25"/>
    </row>
    <row r="400" spans="1:22" ht="14.25" x14ac:dyDescent="0.2">
      <c r="A400" s="20"/>
      <c r="B400" s="21"/>
      <c r="C400" s="21" t="s">
        <v>542</v>
      </c>
      <c r="D400" s="23"/>
      <c r="E400" s="10"/>
      <c r="F400" s="25">
        <f>Source!AM419</f>
        <v>8265.0300000000007</v>
      </c>
      <c r="G400" s="24" t="str">
        <f>Source!DE419</f>
        <v/>
      </c>
      <c r="H400" s="10">
        <f>Source!AV419</f>
        <v>1</v>
      </c>
      <c r="I400" s="10">
        <f>IF(Source!BB419&lt;&gt; 0, Source!BB419, 1)</f>
        <v>1</v>
      </c>
      <c r="J400" s="25">
        <f>Source!Q419</f>
        <v>10265.17</v>
      </c>
      <c r="K400" s="25"/>
    </row>
    <row r="401" spans="1:22" ht="14.25" x14ac:dyDescent="0.2">
      <c r="A401" s="20"/>
      <c r="B401" s="21"/>
      <c r="C401" s="21" t="s">
        <v>543</v>
      </c>
      <c r="D401" s="23"/>
      <c r="E401" s="10"/>
      <c r="F401" s="25">
        <f>Source!AN419</f>
        <v>3342.74</v>
      </c>
      <c r="G401" s="24" t="str">
        <f>Source!DF419</f>
        <v/>
      </c>
      <c r="H401" s="10">
        <f>Source!AV419</f>
        <v>1</v>
      </c>
      <c r="I401" s="10">
        <f>IF(Source!BS419&lt;&gt; 0, Source!BS419, 1)</f>
        <v>1</v>
      </c>
      <c r="J401" s="27">
        <f>Source!R419</f>
        <v>4151.68</v>
      </c>
      <c r="K401" s="25"/>
    </row>
    <row r="402" spans="1:22" ht="14.25" x14ac:dyDescent="0.2">
      <c r="A402" s="20"/>
      <c r="B402" s="21"/>
      <c r="C402" s="21" t="s">
        <v>544</v>
      </c>
      <c r="D402" s="23"/>
      <c r="E402" s="10"/>
      <c r="F402" s="25">
        <f>Source!AL419</f>
        <v>65154.45</v>
      </c>
      <c r="G402" s="24" t="str">
        <f>Source!DD419</f>
        <v/>
      </c>
      <c r="H402" s="10">
        <f>Source!AW419</f>
        <v>1</v>
      </c>
      <c r="I402" s="10">
        <f>IF(Source!BC419&lt;&gt; 0, Source!BC419, 1)</f>
        <v>1</v>
      </c>
      <c r="J402" s="25">
        <f>Source!P419</f>
        <v>80921.83</v>
      </c>
      <c r="K402" s="25"/>
    </row>
    <row r="403" spans="1:22" ht="14.25" x14ac:dyDescent="0.2">
      <c r="A403" s="20"/>
      <c r="B403" s="21"/>
      <c r="C403" s="21" t="s">
        <v>546</v>
      </c>
      <c r="D403" s="23" t="s">
        <v>547</v>
      </c>
      <c r="E403" s="10">
        <f>Source!AT419</f>
        <v>70</v>
      </c>
      <c r="F403" s="25"/>
      <c r="G403" s="24"/>
      <c r="H403" s="10"/>
      <c r="I403" s="10"/>
      <c r="J403" s="25">
        <f>SUM(R397:R402)</f>
        <v>2566.31</v>
      </c>
      <c r="K403" s="25"/>
    </row>
    <row r="404" spans="1:22" ht="14.25" x14ac:dyDescent="0.2">
      <c r="A404" s="20"/>
      <c r="B404" s="21"/>
      <c r="C404" s="21" t="s">
        <v>548</v>
      </c>
      <c r="D404" s="23" t="s">
        <v>547</v>
      </c>
      <c r="E404" s="10">
        <f>Source!AU419</f>
        <v>10</v>
      </c>
      <c r="F404" s="25"/>
      <c r="G404" s="24"/>
      <c r="H404" s="10"/>
      <c r="I404" s="10"/>
      <c r="J404" s="25">
        <f>SUM(T397:T403)</f>
        <v>366.62</v>
      </c>
      <c r="K404" s="25"/>
    </row>
    <row r="405" spans="1:22" ht="14.25" x14ac:dyDescent="0.2">
      <c r="A405" s="20"/>
      <c r="B405" s="21"/>
      <c r="C405" s="21" t="s">
        <v>549</v>
      </c>
      <c r="D405" s="23" t="s">
        <v>547</v>
      </c>
      <c r="E405" s="10">
        <f>108</f>
        <v>108</v>
      </c>
      <c r="F405" s="25"/>
      <c r="G405" s="24"/>
      <c r="H405" s="10"/>
      <c r="I405" s="10"/>
      <c r="J405" s="25">
        <f>SUM(V397:V404)</f>
        <v>4483.8100000000004</v>
      </c>
      <c r="K405" s="25"/>
    </row>
    <row r="406" spans="1:22" ht="14.25" x14ac:dyDescent="0.2">
      <c r="A406" s="20"/>
      <c r="B406" s="21"/>
      <c r="C406" s="21" t="s">
        <v>550</v>
      </c>
      <c r="D406" s="23" t="s">
        <v>551</v>
      </c>
      <c r="E406" s="10">
        <f>Source!AQ419</f>
        <v>16.559999999999999</v>
      </c>
      <c r="F406" s="25"/>
      <c r="G406" s="24" t="str">
        <f>Source!DI419</f>
        <v/>
      </c>
      <c r="H406" s="10">
        <f>Source!AV419</f>
        <v>1</v>
      </c>
      <c r="I406" s="10"/>
      <c r="J406" s="25"/>
      <c r="K406" s="25">
        <f>Source!U419</f>
        <v>20.567519999999998</v>
      </c>
    </row>
    <row r="407" spans="1:22" ht="15" x14ac:dyDescent="0.25">
      <c r="A407" s="31"/>
      <c r="B407" s="31"/>
      <c r="C407" s="31"/>
      <c r="D407" s="31"/>
      <c r="E407" s="31"/>
      <c r="F407" s="31"/>
      <c r="G407" s="31"/>
      <c r="H407" s="31"/>
      <c r="I407" s="70">
        <f>J399+J400+J402+J403+J404+J405</f>
        <v>102269.9</v>
      </c>
      <c r="J407" s="70"/>
      <c r="K407" s="32">
        <f>IF(Source!I419&lt;&gt;0, ROUND(I407/Source!I419, 2), 0)</f>
        <v>82342.91</v>
      </c>
      <c r="P407" s="29">
        <f>I407</f>
        <v>102269.9</v>
      </c>
    </row>
    <row r="408" spans="1:22" ht="42.75" x14ac:dyDescent="0.2">
      <c r="A408" s="20" t="str">
        <f>Source!E420</f>
        <v>48</v>
      </c>
      <c r="B408" s="21" t="str">
        <f>Source!F420</f>
        <v>2.1-3303-1-2/1</v>
      </c>
      <c r="C408" s="21" t="str">
        <f>Source!G420</f>
        <v>Устройство подстилающих и выравнивающих слоев оснований из щебня</v>
      </c>
      <c r="D408" s="23" t="str">
        <f>Source!H420</f>
        <v>100 м3</v>
      </c>
      <c r="E408" s="10">
        <f>Source!I420</f>
        <v>0.82799999999999996</v>
      </c>
      <c r="F408" s="25"/>
      <c r="G408" s="24"/>
      <c r="H408" s="10"/>
      <c r="I408" s="10"/>
      <c r="J408" s="25"/>
      <c r="K408" s="25"/>
      <c r="Q408">
        <f>ROUND((Source!BZ420/100)*ROUND((Source!AF420*Source!AV420)*Source!I420, 2), 2)</f>
        <v>2566.31</v>
      </c>
      <c r="R408">
        <f>Source!X420</f>
        <v>2566.31</v>
      </c>
      <c r="S408">
        <f>ROUND((Source!CA420/100)*ROUND((Source!AF420*Source!AV420)*Source!I420, 2), 2)</f>
        <v>366.62</v>
      </c>
      <c r="T408">
        <f>Source!Y420</f>
        <v>366.62</v>
      </c>
      <c r="U408">
        <f>ROUND((175/100)*ROUND((Source!AE420*Source!AV420)*Source!I420, 2), 2)</f>
        <v>29254.44</v>
      </c>
      <c r="V408">
        <f>ROUND((108/100)*ROUND(Source!CS420*Source!I420, 2), 2)</f>
        <v>18054.169999999998</v>
      </c>
    </row>
    <row r="409" spans="1:22" x14ac:dyDescent="0.2">
      <c r="C409" s="26" t="str">
        <f>"Объем: "&amp;Source!I420&amp;"=("&amp;Source!I426&amp;"*"&amp;"0,1)"</f>
        <v>Объем: 0,828=(8,28*0,1)</v>
      </c>
    </row>
    <row r="410" spans="1:22" ht="14.25" x14ac:dyDescent="0.2">
      <c r="A410" s="20"/>
      <c r="B410" s="21"/>
      <c r="C410" s="21" t="s">
        <v>541</v>
      </c>
      <c r="D410" s="23"/>
      <c r="E410" s="10"/>
      <c r="F410" s="25">
        <f>Source!AO420</f>
        <v>4427.7299999999996</v>
      </c>
      <c r="G410" s="24" t="str">
        <f>Source!DG420</f>
        <v/>
      </c>
      <c r="H410" s="10">
        <f>Source!AV420</f>
        <v>1</v>
      </c>
      <c r="I410" s="10">
        <f>IF(Source!BA420&lt;&gt; 0, Source!BA420, 1)</f>
        <v>1</v>
      </c>
      <c r="J410" s="25">
        <f>Source!S420</f>
        <v>3666.16</v>
      </c>
      <c r="K410" s="25"/>
    </row>
    <row r="411" spans="1:22" ht="14.25" x14ac:dyDescent="0.2">
      <c r="A411" s="20"/>
      <c r="B411" s="21"/>
      <c r="C411" s="21" t="s">
        <v>542</v>
      </c>
      <c r="D411" s="23"/>
      <c r="E411" s="10"/>
      <c r="F411" s="25">
        <f>Source!AM420</f>
        <v>51353.4</v>
      </c>
      <c r="G411" s="24" t="str">
        <f>Source!DE420</f>
        <v/>
      </c>
      <c r="H411" s="10">
        <f>Source!AV420</f>
        <v>1</v>
      </c>
      <c r="I411" s="10">
        <f>IF(Source!BB420&lt;&gt; 0, Source!BB420, 1)</f>
        <v>1</v>
      </c>
      <c r="J411" s="25">
        <f>Source!Q420</f>
        <v>42520.62</v>
      </c>
      <c r="K411" s="25"/>
    </row>
    <row r="412" spans="1:22" ht="14.25" x14ac:dyDescent="0.2">
      <c r="A412" s="20"/>
      <c r="B412" s="21"/>
      <c r="C412" s="21" t="s">
        <v>543</v>
      </c>
      <c r="D412" s="23"/>
      <c r="E412" s="10"/>
      <c r="F412" s="25">
        <f>Source!AN420</f>
        <v>20189.400000000001</v>
      </c>
      <c r="G412" s="24" t="str">
        <f>Source!DF420</f>
        <v/>
      </c>
      <c r="H412" s="10">
        <f>Source!AV420</f>
        <v>1</v>
      </c>
      <c r="I412" s="10">
        <f>IF(Source!BS420&lt;&gt; 0, Source!BS420, 1)</f>
        <v>1</v>
      </c>
      <c r="J412" s="27">
        <f>Source!R420</f>
        <v>16716.82</v>
      </c>
      <c r="K412" s="25"/>
    </row>
    <row r="413" spans="1:22" ht="14.25" x14ac:dyDescent="0.2">
      <c r="A413" s="20"/>
      <c r="B413" s="21"/>
      <c r="C413" s="21" t="s">
        <v>544</v>
      </c>
      <c r="D413" s="23"/>
      <c r="E413" s="10"/>
      <c r="F413" s="25">
        <f>Source!AL420</f>
        <v>227826.13</v>
      </c>
      <c r="G413" s="24" t="str">
        <f>Source!DD420</f>
        <v/>
      </c>
      <c r="H413" s="10">
        <f>Source!AW420</f>
        <v>1</v>
      </c>
      <c r="I413" s="10">
        <f>IF(Source!BC420&lt;&gt; 0, Source!BC420, 1)</f>
        <v>1</v>
      </c>
      <c r="J413" s="25">
        <f>Source!P420</f>
        <v>188640.04</v>
      </c>
      <c r="K413" s="25"/>
    </row>
    <row r="414" spans="1:22" ht="42.75" x14ac:dyDescent="0.2">
      <c r="A414" s="20" t="str">
        <f>Source!E421</f>
        <v>48,1</v>
      </c>
      <c r="B414" s="21" t="str">
        <f>Source!F421</f>
        <v>21.1-12-36</v>
      </c>
      <c r="C414" s="21" t="str">
        <f>Source!G421</f>
        <v>Щебень из естественного камня для строительных работ, марка 1200-800, фракция 20-40 мм</v>
      </c>
      <c r="D414" s="23" t="str">
        <f>Source!H421</f>
        <v>м3</v>
      </c>
      <c r="E414" s="10">
        <f>Source!I421</f>
        <v>-104.328</v>
      </c>
      <c r="F414" s="25">
        <f>Source!AK421</f>
        <v>1806.27</v>
      </c>
      <c r="G414" s="28" t="s">
        <v>545</v>
      </c>
      <c r="H414" s="10">
        <f>Source!AW421</f>
        <v>1</v>
      </c>
      <c r="I414" s="10">
        <f>IF(Source!BC421&lt;&gt; 0, Source!BC421, 1)</f>
        <v>1</v>
      </c>
      <c r="J414" s="25">
        <f>Source!O421</f>
        <v>-188444.54</v>
      </c>
      <c r="K414" s="25"/>
      <c r="Q414">
        <f>ROUND((Source!BZ421/100)*ROUND((Source!AF421*Source!AV421)*Source!I421, 2), 2)</f>
        <v>0</v>
      </c>
      <c r="R414">
        <f>Source!X421</f>
        <v>0</v>
      </c>
      <c r="S414">
        <f>ROUND((Source!CA421/100)*ROUND((Source!AF421*Source!AV421)*Source!I421, 2), 2)</f>
        <v>0</v>
      </c>
      <c r="T414">
        <f>Source!Y421</f>
        <v>0</v>
      </c>
      <c r="U414">
        <f>ROUND((175/100)*ROUND((Source!AE421*Source!AV421)*Source!I421, 2), 2)</f>
        <v>0</v>
      </c>
      <c r="V414">
        <f>ROUND((108/100)*ROUND(Source!CS421*Source!I421, 2), 2)</f>
        <v>0</v>
      </c>
    </row>
    <row r="415" spans="1:22" ht="42.75" x14ac:dyDescent="0.2">
      <c r="A415" s="20" t="str">
        <f>Source!E422</f>
        <v>48,2</v>
      </c>
      <c r="B415" s="21" t="str">
        <f>Source!F422</f>
        <v>21.1-12-31</v>
      </c>
      <c r="C415" s="21" t="str">
        <f>Source!G422</f>
        <v>Щебень из естественного камня для строительных работ, марка 600-400, фракция 20-40 мм</v>
      </c>
      <c r="D415" s="23" t="str">
        <f>Source!H422</f>
        <v>м3</v>
      </c>
      <c r="E415" s="10">
        <f>Source!I422</f>
        <v>104.328</v>
      </c>
      <c r="F415" s="25">
        <f>Source!AK422</f>
        <v>1487.52</v>
      </c>
      <c r="G415" s="28" t="s">
        <v>545</v>
      </c>
      <c r="H415" s="10">
        <f>Source!AW422</f>
        <v>1</v>
      </c>
      <c r="I415" s="10">
        <f>IF(Source!BC422&lt;&gt; 0, Source!BC422, 1)</f>
        <v>1</v>
      </c>
      <c r="J415" s="25">
        <f>Source!O422</f>
        <v>155189.99</v>
      </c>
      <c r="K415" s="25"/>
      <c r="Q415">
        <f>ROUND((Source!BZ422/100)*ROUND((Source!AF422*Source!AV422)*Source!I422, 2), 2)</f>
        <v>0</v>
      </c>
      <c r="R415">
        <f>Source!X422</f>
        <v>0</v>
      </c>
      <c r="S415">
        <f>ROUND((Source!CA422/100)*ROUND((Source!AF422*Source!AV422)*Source!I422, 2), 2)</f>
        <v>0</v>
      </c>
      <c r="T415">
        <f>Source!Y422</f>
        <v>0</v>
      </c>
      <c r="U415">
        <f>ROUND((175/100)*ROUND((Source!AE422*Source!AV422)*Source!I422, 2), 2)</f>
        <v>0</v>
      </c>
      <c r="V415">
        <f>ROUND((108/100)*ROUND(Source!CS422*Source!I422, 2), 2)</f>
        <v>0</v>
      </c>
    </row>
    <row r="416" spans="1:22" ht="14.25" x14ac:dyDescent="0.2">
      <c r="A416" s="20"/>
      <c r="B416" s="21"/>
      <c r="C416" s="21" t="s">
        <v>546</v>
      </c>
      <c r="D416" s="23" t="s">
        <v>547</v>
      </c>
      <c r="E416" s="10">
        <f>Source!AT420</f>
        <v>70</v>
      </c>
      <c r="F416" s="25"/>
      <c r="G416" s="24"/>
      <c r="H416" s="10"/>
      <c r="I416" s="10"/>
      <c r="J416" s="25">
        <f>SUM(R408:R415)</f>
        <v>2566.31</v>
      </c>
      <c r="K416" s="25"/>
    </row>
    <row r="417" spans="1:22" ht="14.25" x14ac:dyDescent="0.2">
      <c r="A417" s="20"/>
      <c r="B417" s="21"/>
      <c r="C417" s="21" t="s">
        <v>548</v>
      </c>
      <c r="D417" s="23" t="s">
        <v>547</v>
      </c>
      <c r="E417" s="10">
        <f>Source!AU420</f>
        <v>10</v>
      </c>
      <c r="F417" s="25"/>
      <c r="G417" s="24"/>
      <c r="H417" s="10"/>
      <c r="I417" s="10"/>
      <c r="J417" s="25">
        <f>SUM(T408:T416)</f>
        <v>366.62</v>
      </c>
      <c r="K417" s="25"/>
    </row>
    <row r="418" spans="1:22" ht="14.25" x14ac:dyDescent="0.2">
      <c r="A418" s="20"/>
      <c r="B418" s="21"/>
      <c r="C418" s="21" t="s">
        <v>549</v>
      </c>
      <c r="D418" s="23" t="s">
        <v>547</v>
      </c>
      <c r="E418" s="10">
        <f>108</f>
        <v>108</v>
      </c>
      <c r="F418" s="25"/>
      <c r="G418" s="24"/>
      <c r="H418" s="10"/>
      <c r="I418" s="10"/>
      <c r="J418" s="25">
        <f>SUM(V408:V417)</f>
        <v>18054.169999999998</v>
      </c>
      <c r="K418" s="25"/>
    </row>
    <row r="419" spans="1:22" ht="14.25" x14ac:dyDescent="0.2">
      <c r="A419" s="20"/>
      <c r="B419" s="21"/>
      <c r="C419" s="21" t="s">
        <v>550</v>
      </c>
      <c r="D419" s="23" t="s">
        <v>551</v>
      </c>
      <c r="E419" s="10">
        <f>Source!AQ420</f>
        <v>24.84</v>
      </c>
      <c r="F419" s="25"/>
      <c r="G419" s="24" t="str">
        <f>Source!DI420</f>
        <v/>
      </c>
      <c r="H419" s="10">
        <f>Source!AV420</f>
        <v>1</v>
      </c>
      <c r="I419" s="10"/>
      <c r="J419" s="25"/>
      <c r="K419" s="25">
        <f>Source!U420</f>
        <v>20.567519999999998</v>
      </c>
    </row>
    <row r="420" spans="1:22" ht="15" x14ac:dyDescent="0.25">
      <c r="A420" s="31"/>
      <c r="B420" s="31"/>
      <c r="C420" s="31"/>
      <c r="D420" s="31"/>
      <c r="E420" s="31"/>
      <c r="F420" s="31"/>
      <c r="G420" s="31"/>
      <c r="H420" s="31"/>
      <c r="I420" s="70">
        <f>J410+J411+J413+J416+J417+J418+SUM(J414:J415)</f>
        <v>222559.36999999997</v>
      </c>
      <c r="J420" s="70"/>
      <c r="K420" s="32">
        <f>IF(Source!I420&lt;&gt;0, ROUND(I420/Source!I420, 2), 0)</f>
        <v>268791.51</v>
      </c>
      <c r="P420" s="29">
        <f>I420</f>
        <v>222559.36999999997</v>
      </c>
    </row>
    <row r="421" spans="1:22" ht="42.75" x14ac:dyDescent="0.2">
      <c r="A421" s="20" t="str">
        <f>Source!E423</f>
        <v>49</v>
      </c>
      <c r="B421" s="21" t="str">
        <f>Source!F423</f>
        <v>2.1-3303-1-2/1</v>
      </c>
      <c r="C421" s="21" t="str">
        <f>Source!G423</f>
        <v>Устройство подстилающих и выравнивающих слоев оснований из щебня</v>
      </c>
      <c r="D421" s="23" t="str">
        <f>Source!H423</f>
        <v>100 м3</v>
      </c>
      <c r="E421" s="10">
        <f>Source!I423</f>
        <v>0.24840000000000001</v>
      </c>
      <c r="F421" s="25"/>
      <c r="G421" s="24"/>
      <c r="H421" s="10"/>
      <c r="I421" s="10"/>
      <c r="J421" s="25"/>
      <c r="K421" s="25"/>
      <c r="Q421">
        <f>ROUND((Source!BZ423/100)*ROUND((Source!AF423*Source!AV423)*Source!I423, 2), 2)</f>
        <v>769.9</v>
      </c>
      <c r="R421">
        <f>Source!X423</f>
        <v>769.9</v>
      </c>
      <c r="S421">
        <f>ROUND((Source!CA423/100)*ROUND((Source!AF423*Source!AV423)*Source!I423, 2), 2)</f>
        <v>109.99</v>
      </c>
      <c r="T421">
        <f>Source!Y423</f>
        <v>109.99</v>
      </c>
      <c r="U421">
        <f>ROUND((175/100)*ROUND((Source!AE423*Source!AV423)*Source!I423, 2), 2)</f>
        <v>8776.34</v>
      </c>
      <c r="V421">
        <f>ROUND((108/100)*ROUND(Source!CS423*Source!I423, 2), 2)</f>
        <v>5416.25</v>
      </c>
    </row>
    <row r="422" spans="1:22" x14ac:dyDescent="0.2">
      <c r="C422" s="26" t="str">
        <f>"Объем: "&amp;Source!I423&amp;"=("&amp;Source!I426&amp;"*"&amp;"0,03)"</f>
        <v>Объем: 0,2484=(8,28*0,03)</v>
      </c>
    </row>
    <row r="423" spans="1:22" ht="14.25" x14ac:dyDescent="0.2">
      <c r="A423" s="20"/>
      <c r="B423" s="21"/>
      <c r="C423" s="21" t="s">
        <v>541</v>
      </c>
      <c r="D423" s="23"/>
      <c r="E423" s="10"/>
      <c r="F423" s="25">
        <f>Source!AO423</f>
        <v>4427.7299999999996</v>
      </c>
      <c r="G423" s="24" t="str">
        <f>Source!DG423</f>
        <v/>
      </c>
      <c r="H423" s="10">
        <f>Source!AV423</f>
        <v>1</v>
      </c>
      <c r="I423" s="10">
        <f>IF(Source!BA423&lt;&gt; 0, Source!BA423, 1)</f>
        <v>1</v>
      </c>
      <c r="J423" s="25">
        <f>Source!S423</f>
        <v>1099.8499999999999</v>
      </c>
      <c r="K423" s="25"/>
    </row>
    <row r="424" spans="1:22" ht="14.25" x14ac:dyDescent="0.2">
      <c r="A424" s="20"/>
      <c r="B424" s="21"/>
      <c r="C424" s="21" t="s">
        <v>542</v>
      </c>
      <c r="D424" s="23"/>
      <c r="E424" s="10"/>
      <c r="F424" s="25">
        <f>Source!AM423</f>
        <v>51353.4</v>
      </c>
      <c r="G424" s="24" t="str">
        <f>Source!DE423</f>
        <v/>
      </c>
      <c r="H424" s="10">
        <f>Source!AV423</f>
        <v>1</v>
      </c>
      <c r="I424" s="10">
        <f>IF(Source!BB423&lt;&gt; 0, Source!BB423, 1)</f>
        <v>1</v>
      </c>
      <c r="J424" s="25">
        <f>Source!Q423</f>
        <v>12756.18</v>
      </c>
      <c r="K424" s="25"/>
    </row>
    <row r="425" spans="1:22" ht="14.25" x14ac:dyDescent="0.2">
      <c r="A425" s="20"/>
      <c r="B425" s="21"/>
      <c r="C425" s="21" t="s">
        <v>543</v>
      </c>
      <c r="D425" s="23"/>
      <c r="E425" s="10"/>
      <c r="F425" s="25">
        <f>Source!AN423</f>
        <v>20189.400000000001</v>
      </c>
      <c r="G425" s="24" t="str">
        <f>Source!DF423</f>
        <v/>
      </c>
      <c r="H425" s="10">
        <f>Source!AV423</f>
        <v>1</v>
      </c>
      <c r="I425" s="10">
        <f>IF(Source!BS423&lt;&gt; 0, Source!BS423, 1)</f>
        <v>1</v>
      </c>
      <c r="J425" s="27">
        <f>Source!R423</f>
        <v>5015.05</v>
      </c>
      <c r="K425" s="25"/>
    </row>
    <row r="426" spans="1:22" ht="14.25" x14ac:dyDescent="0.2">
      <c r="A426" s="20"/>
      <c r="B426" s="21"/>
      <c r="C426" s="21" t="s">
        <v>544</v>
      </c>
      <c r="D426" s="23"/>
      <c r="E426" s="10"/>
      <c r="F426" s="25">
        <f>Source!AL423</f>
        <v>227826.13</v>
      </c>
      <c r="G426" s="24" t="str">
        <f>Source!DD423</f>
        <v/>
      </c>
      <c r="H426" s="10">
        <f>Source!AW423</f>
        <v>1</v>
      </c>
      <c r="I426" s="10">
        <f>IF(Source!BC423&lt;&gt; 0, Source!BC423, 1)</f>
        <v>1</v>
      </c>
      <c r="J426" s="25">
        <f>Source!P423</f>
        <v>56592.01</v>
      </c>
      <c r="K426" s="25"/>
    </row>
    <row r="427" spans="1:22" ht="42.75" x14ac:dyDescent="0.2">
      <c r="A427" s="20" t="str">
        <f>Source!E424</f>
        <v>49,1</v>
      </c>
      <c r="B427" s="21" t="str">
        <f>Source!F424</f>
        <v>21.1-12-36</v>
      </c>
      <c r="C427" s="21" t="str">
        <f>Source!G424</f>
        <v>Щебень из естественного камня для строительных работ, марка 1200-800, фракция 20-40 мм</v>
      </c>
      <c r="D427" s="23" t="str">
        <f>Source!H424</f>
        <v>м3</v>
      </c>
      <c r="E427" s="10">
        <f>Source!I424</f>
        <v>-31.298400000000001</v>
      </c>
      <c r="F427" s="25">
        <f>Source!AK424</f>
        <v>1806.27</v>
      </c>
      <c r="G427" s="28" t="s">
        <v>545</v>
      </c>
      <c r="H427" s="10">
        <f>Source!AW424</f>
        <v>1</v>
      </c>
      <c r="I427" s="10">
        <f>IF(Source!BC424&lt;&gt; 0, Source!BC424, 1)</f>
        <v>1</v>
      </c>
      <c r="J427" s="25">
        <f>Source!O424</f>
        <v>-56533.36</v>
      </c>
      <c r="K427" s="25"/>
      <c r="Q427">
        <f>ROUND((Source!BZ424/100)*ROUND((Source!AF424*Source!AV424)*Source!I424, 2), 2)</f>
        <v>0</v>
      </c>
      <c r="R427">
        <f>Source!X424</f>
        <v>0</v>
      </c>
      <c r="S427">
        <f>ROUND((Source!CA424/100)*ROUND((Source!AF424*Source!AV424)*Source!I424, 2), 2)</f>
        <v>0</v>
      </c>
      <c r="T427">
        <f>Source!Y424</f>
        <v>0</v>
      </c>
      <c r="U427">
        <f>ROUND((175/100)*ROUND((Source!AE424*Source!AV424)*Source!I424, 2), 2)</f>
        <v>0</v>
      </c>
      <c r="V427">
        <f>ROUND((108/100)*ROUND(Source!CS424*Source!I424, 2), 2)</f>
        <v>0</v>
      </c>
    </row>
    <row r="428" spans="1:22" ht="42.75" x14ac:dyDescent="0.2">
      <c r="A428" s="20" t="str">
        <f>Source!E425</f>
        <v>49,2</v>
      </c>
      <c r="B428" s="21" t="str">
        <f>Source!F425</f>
        <v>21.1-12-29</v>
      </c>
      <c r="C428" s="21" t="str">
        <f>Source!G425</f>
        <v>Щебень из естественного камня для строительных работ, марка 600-400, фракция 5-10 мм</v>
      </c>
      <c r="D428" s="23" t="str">
        <f>Source!H425</f>
        <v>м3</v>
      </c>
      <c r="E428" s="10">
        <f>Source!I425</f>
        <v>31.298400000000001</v>
      </c>
      <c r="F428" s="25">
        <f>Source!AK425</f>
        <v>1487.52</v>
      </c>
      <c r="G428" s="28" t="s">
        <v>545</v>
      </c>
      <c r="H428" s="10">
        <f>Source!AW425</f>
        <v>1</v>
      </c>
      <c r="I428" s="10">
        <f>IF(Source!BC425&lt;&gt; 0, Source!BC425, 1)</f>
        <v>1</v>
      </c>
      <c r="J428" s="25">
        <f>Source!O425</f>
        <v>46557</v>
      </c>
      <c r="K428" s="25"/>
      <c r="Q428">
        <f>ROUND((Source!BZ425/100)*ROUND((Source!AF425*Source!AV425)*Source!I425, 2), 2)</f>
        <v>0</v>
      </c>
      <c r="R428">
        <f>Source!X425</f>
        <v>0</v>
      </c>
      <c r="S428">
        <f>ROUND((Source!CA425/100)*ROUND((Source!AF425*Source!AV425)*Source!I425, 2), 2)</f>
        <v>0</v>
      </c>
      <c r="T428">
        <f>Source!Y425</f>
        <v>0</v>
      </c>
      <c r="U428">
        <f>ROUND((175/100)*ROUND((Source!AE425*Source!AV425)*Source!I425, 2), 2)</f>
        <v>0</v>
      </c>
      <c r="V428">
        <f>ROUND((108/100)*ROUND(Source!CS425*Source!I425, 2), 2)</f>
        <v>0</v>
      </c>
    </row>
    <row r="429" spans="1:22" ht="14.25" x14ac:dyDescent="0.2">
      <c r="A429" s="20"/>
      <c r="B429" s="21"/>
      <c r="C429" s="21" t="s">
        <v>546</v>
      </c>
      <c r="D429" s="23" t="s">
        <v>547</v>
      </c>
      <c r="E429" s="10">
        <f>Source!AT423</f>
        <v>70</v>
      </c>
      <c r="F429" s="25"/>
      <c r="G429" s="24"/>
      <c r="H429" s="10"/>
      <c r="I429" s="10"/>
      <c r="J429" s="25">
        <f>SUM(R421:R428)</f>
        <v>769.9</v>
      </c>
      <c r="K429" s="25"/>
    </row>
    <row r="430" spans="1:22" ht="14.25" x14ac:dyDescent="0.2">
      <c r="A430" s="20"/>
      <c r="B430" s="21"/>
      <c r="C430" s="21" t="s">
        <v>548</v>
      </c>
      <c r="D430" s="23" t="s">
        <v>547</v>
      </c>
      <c r="E430" s="10">
        <f>Source!AU423</f>
        <v>10</v>
      </c>
      <c r="F430" s="25"/>
      <c r="G430" s="24"/>
      <c r="H430" s="10"/>
      <c r="I430" s="10"/>
      <c r="J430" s="25">
        <f>SUM(T421:T429)</f>
        <v>109.99</v>
      </c>
      <c r="K430" s="25"/>
    </row>
    <row r="431" spans="1:22" ht="14.25" x14ac:dyDescent="0.2">
      <c r="A431" s="20"/>
      <c r="B431" s="21"/>
      <c r="C431" s="21" t="s">
        <v>549</v>
      </c>
      <c r="D431" s="23" t="s">
        <v>547</v>
      </c>
      <c r="E431" s="10">
        <f>108</f>
        <v>108</v>
      </c>
      <c r="F431" s="25"/>
      <c r="G431" s="24"/>
      <c r="H431" s="10"/>
      <c r="I431" s="10"/>
      <c r="J431" s="25">
        <f>SUM(V421:V430)</f>
        <v>5416.25</v>
      </c>
      <c r="K431" s="25"/>
    </row>
    <row r="432" spans="1:22" ht="14.25" x14ac:dyDescent="0.2">
      <c r="A432" s="20"/>
      <c r="B432" s="21"/>
      <c r="C432" s="21" t="s">
        <v>550</v>
      </c>
      <c r="D432" s="23" t="s">
        <v>551</v>
      </c>
      <c r="E432" s="10">
        <f>Source!AQ423</f>
        <v>24.84</v>
      </c>
      <c r="F432" s="25"/>
      <c r="G432" s="24" t="str">
        <f>Source!DI423</f>
        <v/>
      </c>
      <c r="H432" s="10">
        <f>Source!AV423</f>
        <v>1</v>
      </c>
      <c r="I432" s="10"/>
      <c r="J432" s="25"/>
      <c r="K432" s="25">
        <f>Source!U423</f>
        <v>6.1702560000000002</v>
      </c>
    </row>
    <row r="433" spans="1:22" ht="15" x14ac:dyDescent="0.25">
      <c r="A433" s="31"/>
      <c r="B433" s="31"/>
      <c r="C433" s="31"/>
      <c r="D433" s="31"/>
      <c r="E433" s="31"/>
      <c r="F433" s="31"/>
      <c r="G433" s="31"/>
      <c r="H433" s="31"/>
      <c r="I433" s="70">
        <f>J423+J424+J426+J429+J430+J431+SUM(J427:J428)</f>
        <v>66767.820000000007</v>
      </c>
      <c r="J433" s="70"/>
      <c r="K433" s="32">
        <f>IF(Source!I423&lt;&gt;0, ROUND(I433/Source!I423, 2), 0)</f>
        <v>268791.55</v>
      </c>
      <c r="P433" s="29">
        <f>I433</f>
        <v>66767.820000000007</v>
      </c>
    </row>
    <row r="434" spans="1:22" ht="42.75" x14ac:dyDescent="0.2">
      <c r="A434" s="20" t="str">
        <f>Source!E426</f>
        <v>50</v>
      </c>
      <c r="B434" s="21" t="str">
        <f>Source!F426</f>
        <v>2.1-3103-18-1/1</v>
      </c>
      <c r="C434" s="21" t="str">
        <f>Source!G426</f>
        <v>Устройство покрытий из асфальтобетонных смесей вручную, толщина 4 см (5 см)</v>
      </c>
      <c r="D434" s="23" t="str">
        <f>Source!H426</f>
        <v>100 м2</v>
      </c>
      <c r="E434" s="10">
        <f>Source!I426</f>
        <v>8.2799999999999994</v>
      </c>
      <c r="F434" s="25"/>
      <c r="G434" s="24"/>
      <c r="H434" s="10"/>
      <c r="I434" s="10"/>
      <c r="J434" s="25"/>
      <c r="K434" s="25"/>
      <c r="Q434">
        <f>ROUND((Source!BZ426/100)*ROUND((Source!AF426*Source!AV426)*Source!I426, 2), 2)</f>
        <v>17127.18</v>
      </c>
      <c r="R434">
        <f>Source!X426</f>
        <v>17127.18</v>
      </c>
      <c r="S434">
        <f>ROUND((Source!CA426/100)*ROUND((Source!AF426*Source!AV426)*Source!I426, 2), 2)</f>
        <v>2446.7399999999998</v>
      </c>
      <c r="T434">
        <f>Source!Y426</f>
        <v>2446.7399999999998</v>
      </c>
      <c r="U434">
        <f>ROUND((175/100)*ROUND((Source!AE426*Source!AV426)*Source!I426, 2), 2)</f>
        <v>13514.67</v>
      </c>
      <c r="V434">
        <f>ROUND((108/100)*ROUND(Source!CS426*Source!I426, 2), 2)</f>
        <v>8340.48</v>
      </c>
    </row>
    <row r="435" spans="1:22" x14ac:dyDescent="0.2">
      <c r="C435" s="26" t="str">
        <f>"Объем: "&amp;Source!I426&amp;"=828/"&amp;"100"</f>
        <v>Объем: 8,28=828/100</v>
      </c>
    </row>
    <row r="436" spans="1:22" ht="14.25" x14ac:dyDescent="0.2">
      <c r="A436" s="20"/>
      <c r="B436" s="21"/>
      <c r="C436" s="21" t="s">
        <v>541</v>
      </c>
      <c r="D436" s="23"/>
      <c r="E436" s="10"/>
      <c r="F436" s="25">
        <f>Source!AO426</f>
        <v>2955</v>
      </c>
      <c r="G436" s="24" t="str">
        <f>Source!DG426</f>
        <v/>
      </c>
      <c r="H436" s="10">
        <f>Source!AV426</f>
        <v>1</v>
      </c>
      <c r="I436" s="10">
        <f>IF(Source!BA426&lt;&gt; 0, Source!BA426, 1)</f>
        <v>1</v>
      </c>
      <c r="J436" s="25">
        <f>Source!S426</f>
        <v>24467.4</v>
      </c>
      <c r="K436" s="25"/>
    </row>
    <row r="437" spans="1:22" ht="14.25" x14ac:dyDescent="0.2">
      <c r="A437" s="20"/>
      <c r="B437" s="21"/>
      <c r="C437" s="21" t="s">
        <v>542</v>
      </c>
      <c r="D437" s="23"/>
      <c r="E437" s="10"/>
      <c r="F437" s="25">
        <f>Source!AM426</f>
        <v>1539.31</v>
      </c>
      <c r="G437" s="24" t="str">
        <f>Source!DE426</f>
        <v/>
      </c>
      <c r="H437" s="10">
        <f>Source!AV426</f>
        <v>1</v>
      </c>
      <c r="I437" s="10">
        <f>IF(Source!BB426&lt;&gt; 0, Source!BB426, 1)</f>
        <v>1</v>
      </c>
      <c r="J437" s="25">
        <f>Source!Q426</f>
        <v>12745.49</v>
      </c>
      <c r="K437" s="25"/>
    </row>
    <row r="438" spans="1:22" ht="14.25" x14ac:dyDescent="0.2">
      <c r="A438" s="20"/>
      <c r="B438" s="21"/>
      <c r="C438" s="21" t="s">
        <v>543</v>
      </c>
      <c r="D438" s="23"/>
      <c r="E438" s="10"/>
      <c r="F438" s="25">
        <f>Source!AN426</f>
        <v>932.69</v>
      </c>
      <c r="G438" s="24" t="str">
        <f>Source!DF426</f>
        <v/>
      </c>
      <c r="H438" s="10">
        <f>Source!AV426</f>
        <v>1</v>
      </c>
      <c r="I438" s="10">
        <f>IF(Source!BS426&lt;&gt; 0, Source!BS426, 1)</f>
        <v>1</v>
      </c>
      <c r="J438" s="27">
        <f>Source!R426</f>
        <v>7722.67</v>
      </c>
      <c r="K438" s="25"/>
    </row>
    <row r="439" spans="1:22" ht="14.25" x14ac:dyDescent="0.2">
      <c r="A439" s="20"/>
      <c r="B439" s="21"/>
      <c r="C439" s="21" t="s">
        <v>544</v>
      </c>
      <c r="D439" s="23"/>
      <c r="E439" s="10"/>
      <c r="F439" s="25">
        <f>Source!AL426</f>
        <v>26130.89</v>
      </c>
      <c r="G439" s="24" t="str">
        <f>Source!DD426</f>
        <v/>
      </c>
      <c r="H439" s="10">
        <f>Source!AW426</f>
        <v>1</v>
      </c>
      <c r="I439" s="10">
        <f>IF(Source!BC426&lt;&gt; 0, Source!BC426, 1)</f>
        <v>1</v>
      </c>
      <c r="J439" s="25">
        <f>Source!P426</f>
        <v>216363.77</v>
      </c>
      <c r="K439" s="25"/>
    </row>
    <row r="440" spans="1:22" ht="42.75" x14ac:dyDescent="0.2">
      <c r="A440" s="20" t="str">
        <f>Source!E427</f>
        <v>50,1</v>
      </c>
      <c r="B440" s="21" t="str">
        <f>Source!F427</f>
        <v>21.3-3-18</v>
      </c>
      <c r="C440" s="21" t="str">
        <f>Source!G427</f>
        <v>Смеси асфальтобетонные дорожные горячие мелкозернистые, марка I, тип Б</v>
      </c>
      <c r="D440" s="23" t="str">
        <f>Source!H427</f>
        <v>т</v>
      </c>
      <c r="E440" s="10">
        <f>Source!I427</f>
        <v>-79.322399999999988</v>
      </c>
      <c r="F440" s="25">
        <f>Source!AK427</f>
        <v>2727.65</v>
      </c>
      <c r="G440" s="28" t="s">
        <v>545</v>
      </c>
      <c r="H440" s="10">
        <f>Source!AW427</f>
        <v>1</v>
      </c>
      <c r="I440" s="10">
        <f>IF(Source!BC427&lt;&gt; 0, Source!BC427, 1)</f>
        <v>1</v>
      </c>
      <c r="J440" s="25">
        <f>Source!O427</f>
        <v>-216363.74</v>
      </c>
      <c r="K440" s="25"/>
      <c r="Q440">
        <f>ROUND((Source!BZ427/100)*ROUND((Source!AF427*Source!AV427)*Source!I427, 2), 2)</f>
        <v>0</v>
      </c>
      <c r="R440">
        <f>Source!X427</f>
        <v>0</v>
      </c>
      <c r="S440">
        <f>ROUND((Source!CA427/100)*ROUND((Source!AF427*Source!AV427)*Source!I427, 2), 2)</f>
        <v>0</v>
      </c>
      <c r="T440">
        <f>Source!Y427</f>
        <v>0</v>
      </c>
      <c r="U440">
        <f>ROUND((175/100)*ROUND((Source!AE427*Source!AV427)*Source!I427, 2), 2)</f>
        <v>0</v>
      </c>
      <c r="V440">
        <f>ROUND((108/100)*ROUND(Source!CS427*Source!I427, 2), 2)</f>
        <v>0</v>
      </c>
    </row>
    <row r="441" spans="1:22" ht="28.5" x14ac:dyDescent="0.2">
      <c r="A441" s="20" t="str">
        <f>Source!E428</f>
        <v>50,2</v>
      </c>
      <c r="B441" s="21" t="str">
        <f>Source!F428</f>
        <v>21.3-3-34</v>
      </c>
      <c r="C441" s="21" t="str">
        <f>Source!G428</f>
        <v>Смеси асфальтобетонные дорожные горячие песчаные, тип Д, марка III</v>
      </c>
      <c r="D441" s="23" t="str">
        <f>Source!H428</f>
        <v>т</v>
      </c>
      <c r="E441" s="10">
        <f>Source!I428</f>
        <v>96.627600000000001</v>
      </c>
      <c r="F441" s="25">
        <f>Source!AK428</f>
        <v>2628.2</v>
      </c>
      <c r="G441" s="28" t="s">
        <v>545</v>
      </c>
      <c r="H441" s="10">
        <f>Source!AW428</f>
        <v>1</v>
      </c>
      <c r="I441" s="10">
        <f>IF(Source!BC428&lt;&gt; 0, Source!BC428, 1)</f>
        <v>1</v>
      </c>
      <c r="J441" s="25">
        <f>Source!O428</f>
        <v>253956.66</v>
      </c>
      <c r="K441" s="25"/>
      <c r="Q441">
        <f>ROUND((Source!BZ428/100)*ROUND((Source!AF428*Source!AV428)*Source!I428, 2), 2)</f>
        <v>0</v>
      </c>
      <c r="R441">
        <f>Source!X428</f>
        <v>0</v>
      </c>
      <c r="S441">
        <f>ROUND((Source!CA428/100)*ROUND((Source!AF428*Source!AV428)*Source!I428, 2), 2)</f>
        <v>0</v>
      </c>
      <c r="T441">
        <f>Source!Y428</f>
        <v>0</v>
      </c>
      <c r="U441">
        <f>ROUND((175/100)*ROUND((Source!AE428*Source!AV428)*Source!I428, 2), 2)</f>
        <v>0</v>
      </c>
      <c r="V441">
        <f>ROUND((108/100)*ROUND(Source!CS428*Source!I428, 2), 2)</f>
        <v>0</v>
      </c>
    </row>
    <row r="442" spans="1:22" ht="14.25" x14ac:dyDescent="0.2">
      <c r="A442" s="20"/>
      <c r="B442" s="21"/>
      <c r="C442" s="21" t="s">
        <v>546</v>
      </c>
      <c r="D442" s="23" t="s">
        <v>547</v>
      </c>
      <c r="E442" s="10">
        <f>Source!AT426</f>
        <v>70</v>
      </c>
      <c r="F442" s="25"/>
      <c r="G442" s="24"/>
      <c r="H442" s="10"/>
      <c r="I442" s="10"/>
      <c r="J442" s="25">
        <f>SUM(R434:R441)</f>
        <v>17127.18</v>
      </c>
      <c r="K442" s="25"/>
    </row>
    <row r="443" spans="1:22" ht="14.25" x14ac:dyDescent="0.2">
      <c r="A443" s="20"/>
      <c r="B443" s="21"/>
      <c r="C443" s="21" t="s">
        <v>548</v>
      </c>
      <c r="D443" s="23" t="s">
        <v>547</v>
      </c>
      <c r="E443" s="10">
        <f>Source!AU426</f>
        <v>10</v>
      </c>
      <c r="F443" s="25"/>
      <c r="G443" s="24"/>
      <c r="H443" s="10"/>
      <c r="I443" s="10"/>
      <c r="J443" s="25">
        <f>SUM(T434:T442)</f>
        <v>2446.7399999999998</v>
      </c>
      <c r="K443" s="25"/>
    </row>
    <row r="444" spans="1:22" ht="14.25" x14ac:dyDescent="0.2">
      <c r="A444" s="20"/>
      <c r="B444" s="21"/>
      <c r="C444" s="21" t="s">
        <v>549</v>
      </c>
      <c r="D444" s="23" t="s">
        <v>547</v>
      </c>
      <c r="E444" s="10">
        <f>108</f>
        <v>108</v>
      </c>
      <c r="F444" s="25"/>
      <c r="G444" s="24"/>
      <c r="H444" s="10"/>
      <c r="I444" s="10"/>
      <c r="J444" s="25">
        <f>SUM(V434:V443)</f>
        <v>8340.48</v>
      </c>
      <c r="K444" s="25"/>
    </row>
    <row r="445" spans="1:22" ht="14.25" x14ac:dyDescent="0.2">
      <c r="A445" s="20"/>
      <c r="B445" s="21"/>
      <c r="C445" s="21" t="s">
        <v>550</v>
      </c>
      <c r="D445" s="23" t="s">
        <v>551</v>
      </c>
      <c r="E445" s="10">
        <f>Source!AQ426</f>
        <v>13.57</v>
      </c>
      <c r="F445" s="25"/>
      <c r="G445" s="24" t="str">
        <f>Source!DI426</f>
        <v/>
      </c>
      <c r="H445" s="10">
        <f>Source!AV426</f>
        <v>1</v>
      </c>
      <c r="I445" s="10"/>
      <c r="J445" s="25"/>
      <c r="K445" s="25">
        <f>Source!U426</f>
        <v>112.3596</v>
      </c>
    </row>
    <row r="446" spans="1:22" ht="15" x14ac:dyDescent="0.25">
      <c r="A446" s="31"/>
      <c r="B446" s="31"/>
      <c r="C446" s="31"/>
      <c r="D446" s="31"/>
      <c r="E446" s="31"/>
      <c r="F446" s="31"/>
      <c r="G446" s="31"/>
      <c r="H446" s="31"/>
      <c r="I446" s="70">
        <f>J436+J437+J439+J442+J443+J444+SUM(J440:J441)</f>
        <v>319083.98</v>
      </c>
      <c r="J446" s="70"/>
      <c r="K446" s="32">
        <f>IF(Source!I426&lt;&gt;0, ROUND(I446/Source!I426, 2), 0)</f>
        <v>38536.71</v>
      </c>
      <c r="P446" s="29">
        <f>I446</f>
        <v>319083.98</v>
      </c>
    </row>
    <row r="448" spans="1:22" ht="15" x14ac:dyDescent="0.25">
      <c r="A448" s="73" t="str">
        <f>CONCATENATE("Итого по разделу: ",IF(Source!G430&lt;&gt;"Новый раздел", Source!G430, ""))</f>
        <v>Итого по разделу: Устройство асфальтобетонного покрытия площадок (828 м2)</v>
      </c>
      <c r="B448" s="73"/>
      <c r="C448" s="73"/>
      <c r="D448" s="73"/>
      <c r="E448" s="73"/>
      <c r="F448" s="73"/>
      <c r="G448" s="73"/>
      <c r="H448" s="73"/>
      <c r="I448" s="71">
        <f>SUM(P396:P447)</f>
        <v>710681.07</v>
      </c>
      <c r="J448" s="72"/>
      <c r="K448" s="33"/>
    </row>
    <row r="451" spans="1:22" ht="16.5" x14ac:dyDescent="0.25">
      <c r="A451" s="74" t="str">
        <f>CONCATENATE("Раздел: ",IF(Source!G460&lt;&gt;"Новый раздел", Source!G460, ""))</f>
        <v>Раздел: Устройство покрытия из резиновой крошки (828 м2)</v>
      </c>
      <c r="B451" s="74"/>
      <c r="C451" s="74"/>
      <c r="D451" s="74"/>
      <c r="E451" s="74"/>
      <c r="F451" s="74"/>
      <c r="G451" s="74"/>
      <c r="H451" s="74"/>
      <c r="I451" s="74"/>
      <c r="J451" s="74"/>
      <c r="K451" s="74"/>
    </row>
    <row r="452" spans="1:22" ht="57" x14ac:dyDescent="0.2">
      <c r="A452" s="20" t="str">
        <f>Source!E464</f>
        <v>51</v>
      </c>
      <c r="B452" s="21" t="str">
        <f>Source!F464</f>
        <v>5.3-3103-11-1/1</v>
      </c>
      <c r="C452" s="21" t="str">
        <f>Source!G464</f>
        <v>Устройство наливного полиуретанового покрытия спортивных площадок и беговых дорожек толщиной 10 мм</v>
      </c>
      <c r="D452" s="23" t="str">
        <f>Source!H464</f>
        <v>100 м2</v>
      </c>
      <c r="E452" s="10">
        <f>Source!I464</f>
        <v>8.2799999999999994</v>
      </c>
      <c r="F452" s="25"/>
      <c r="G452" s="24"/>
      <c r="H452" s="10"/>
      <c r="I452" s="10"/>
      <c r="J452" s="25"/>
      <c r="K452" s="25"/>
      <c r="Q452">
        <f>ROUND((Source!BZ464/100)*ROUND((Source!AF464*Source!AV464)*Source!I464, 2), 2)</f>
        <v>22503.03</v>
      </c>
      <c r="R452">
        <f>Source!X464</f>
        <v>22503.03</v>
      </c>
      <c r="S452">
        <f>ROUND((Source!CA464/100)*ROUND((Source!AF464*Source!AV464)*Source!I464, 2), 2)</f>
        <v>3214.72</v>
      </c>
      <c r="T452">
        <f>Source!Y464</f>
        <v>3214.72</v>
      </c>
      <c r="U452">
        <f>ROUND((175/100)*ROUND((Source!AE464*Source!AV464)*Source!I464, 2), 2)</f>
        <v>28454.16</v>
      </c>
      <c r="V452">
        <f>ROUND((108/100)*ROUND(Source!CS464*Source!I464, 2), 2)</f>
        <v>17560.28</v>
      </c>
    </row>
    <row r="453" spans="1:22" x14ac:dyDescent="0.2">
      <c r="C453" s="26" t="str">
        <f>"Объем: "&amp;Source!I464&amp;"=828/"&amp;"100"</f>
        <v>Объем: 8,28=828/100</v>
      </c>
    </row>
    <row r="454" spans="1:22" ht="14.25" x14ac:dyDescent="0.2">
      <c r="A454" s="20"/>
      <c r="B454" s="21"/>
      <c r="C454" s="21" t="s">
        <v>541</v>
      </c>
      <c r="D454" s="23"/>
      <c r="E454" s="10"/>
      <c r="F454" s="25">
        <f>Source!AO464</f>
        <v>3882.51</v>
      </c>
      <c r="G454" s="24" t="str">
        <f>Source!DG464</f>
        <v/>
      </c>
      <c r="H454" s="10">
        <f>Source!AV464</f>
        <v>1</v>
      </c>
      <c r="I454" s="10">
        <f>IF(Source!BA464&lt;&gt; 0, Source!BA464, 1)</f>
        <v>1</v>
      </c>
      <c r="J454" s="25">
        <f>Source!S464</f>
        <v>32147.18</v>
      </c>
      <c r="K454" s="25"/>
    </row>
    <row r="455" spans="1:22" ht="14.25" x14ac:dyDescent="0.2">
      <c r="A455" s="20"/>
      <c r="B455" s="21"/>
      <c r="C455" s="21" t="s">
        <v>542</v>
      </c>
      <c r="D455" s="23"/>
      <c r="E455" s="10"/>
      <c r="F455" s="25">
        <f>Source!AM464</f>
        <v>2505.5300000000002</v>
      </c>
      <c r="G455" s="24" t="str">
        <f>Source!DE464</f>
        <v/>
      </c>
      <c r="H455" s="10">
        <f>Source!AV464</f>
        <v>1</v>
      </c>
      <c r="I455" s="10">
        <f>IF(Source!BB464&lt;&gt; 0, Source!BB464, 1)</f>
        <v>1</v>
      </c>
      <c r="J455" s="25">
        <f>Source!Q464</f>
        <v>20745.79</v>
      </c>
      <c r="K455" s="25"/>
    </row>
    <row r="456" spans="1:22" ht="14.25" x14ac:dyDescent="0.2">
      <c r="A456" s="20"/>
      <c r="B456" s="21"/>
      <c r="C456" s="21" t="s">
        <v>543</v>
      </c>
      <c r="D456" s="23"/>
      <c r="E456" s="10"/>
      <c r="F456" s="25">
        <f>Source!AN464</f>
        <v>1963.71</v>
      </c>
      <c r="G456" s="24" t="str">
        <f>Source!DF464</f>
        <v/>
      </c>
      <c r="H456" s="10">
        <f>Source!AV464</f>
        <v>1</v>
      </c>
      <c r="I456" s="10">
        <f>IF(Source!BS464&lt;&gt; 0, Source!BS464, 1)</f>
        <v>1</v>
      </c>
      <c r="J456" s="27">
        <f>Source!R464</f>
        <v>16259.52</v>
      </c>
      <c r="K456" s="25"/>
    </row>
    <row r="457" spans="1:22" ht="14.25" x14ac:dyDescent="0.2">
      <c r="A457" s="20"/>
      <c r="B457" s="21"/>
      <c r="C457" s="21" t="s">
        <v>544</v>
      </c>
      <c r="D457" s="23"/>
      <c r="E457" s="10"/>
      <c r="F457" s="25">
        <f>Source!AL464</f>
        <v>99773.18</v>
      </c>
      <c r="G457" s="24" t="str">
        <f>Source!DD464</f>
        <v/>
      </c>
      <c r="H457" s="10">
        <f>Source!AW464</f>
        <v>1</v>
      </c>
      <c r="I457" s="10">
        <f>IF(Source!BC464&lt;&gt; 0, Source!BC464, 1)</f>
        <v>1</v>
      </c>
      <c r="J457" s="25">
        <f>Source!P464</f>
        <v>826121.93</v>
      </c>
      <c r="K457" s="25"/>
    </row>
    <row r="458" spans="1:22" ht="28.5" x14ac:dyDescent="0.2">
      <c r="A458" s="20" t="str">
        <f>Source!E465</f>
        <v>51,1</v>
      </c>
      <c r="B458" s="21" t="str">
        <f>Source!F465</f>
        <v>21.1-6-101</v>
      </c>
      <c r="C458" s="21" t="str">
        <f>Source!G465</f>
        <v>Пигменты сухие для красок, кислотный желтый</v>
      </c>
      <c r="D458" s="23" t="str">
        <f>Source!H465</f>
        <v>т</v>
      </c>
      <c r="E458" s="10">
        <f>Source!I465</f>
        <v>-0.43469999999999998</v>
      </c>
      <c r="F458" s="25">
        <f>Source!AK465</f>
        <v>748288.41</v>
      </c>
      <c r="G458" s="28" t="s">
        <v>545</v>
      </c>
      <c r="H458" s="10">
        <f>Source!AW465</f>
        <v>1</v>
      </c>
      <c r="I458" s="10">
        <f>IF(Source!BC465&lt;&gt; 0, Source!BC465, 1)</f>
        <v>1</v>
      </c>
      <c r="J458" s="25">
        <f>Source!O465</f>
        <v>-325280.96999999997</v>
      </c>
      <c r="K458" s="25"/>
      <c r="Q458">
        <f>ROUND((Source!BZ465/100)*ROUND((Source!AF465*Source!AV465)*Source!I465, 2), 2)</f>
        <v>0</v>
      </c>
      <c r="R458">
        <f>Source!X465</f>
        <v>0</v>
      </c>
      <c r="S458">
        <f>ROUND((Source!CA465/100)*ROUND((Source!AF465*Source!AV465)*Source!I465, 2), 2)</f>
        <v>0</v>
      </c>
      <c r="T458">
        <f>Source!Y465</f>
        <v>0</v>
      </c>
      <c r="U458">
        <f>ROUND((175/100)*ROUND((Source!AE465*Source!AV465)*Source!I465, 2), 2)</f>
        <v>0</v>
      </c>
      <c r="V458">
        <f>ROUND((108/100)*ROUND(Source!CS465*Source!I465, 2), 2)</f>
        <v>0</v>
      </c>
    </row>
    <row r="459" spans="1:22" ht="14.25" x14ac:dyDescent="0.2">
      <c r="A459" s="20"/>
      <c r="B459" s="21"/>
      <c r="C459" s="21" t="s">
        <v>546</v>
      </c>
      <c r="D459" s="23" t="s">
        <v>547</v>
      </c>
      <c r="E459" s="10">
        <f>Source!AT464</f>
        <v>70</v>
      </c>
      <c r="F459" s="25"/>
      <c r="G459" s="24"/>
      <c r="H459" s="10"/>
      <c r="I459" s="10"/>
      <c r="J459" s="25">
        <f>SUM(R452:R458)</f>
        <v>22503.03</v>
      </c>
      <c r="K459" s="25"/>
    </row>
    <row r="460" spans="1:22" ht="14.25" x14ac:dyDescent="0.2">
      <c r="A460" s="20"/>
      <c r="B460" s="21"/>
      <c r="C460" s="21" t="s">
        <v>548</v>
      </c>
      <c r="D460" s="23" t="s">
        <v>547</v>
      </c>
      <c r="E460" s="10">
        <f>Source!AU464</f>
        <v>10</v>
      </c>
      <c r="F460" s="25"/>
      <c r="G460" s="24"/>
      <c r="H460" s="10"/>
      <c r="I460" s="10"/>
      <c r="J460" s="25">
        <f>SUM(T452:T459)</f>
        <v>3214.72</v>
      </c>
      <c r="K460" s="25"/>
    </row>
    <row r="461" spans="1:22" ht="14.25" x14ac:dyDescent="0.2">
      <c r="A461" s="20"/>
      <c r="B461" s="21"/>
      <c r="C461" s="21" t="s">
        <v>549</v>
      </c>
      <c r="D461" s="23" t="s">
        <v>547</v>
      </c>
      <c r="E461" s="10">
        <f>108</f>
        <v>108</v>
      </c>
      <c r="F461" s="25"/>
      <c r="G461" s="24"/>
      <c r="H461" s="10"/>
      <c r="I461" s="10"/>
      <c r="J461" s="25">
        <f>SUM(V452:V460)</f>
        <v>17560.28</v>
      </c>
      <c r="K461" s="25"/>
    </row>
    <row r="462" spans="1:22" ht="14.25" x14ac:dyDescent="0.2">
      <c r="A462" s="20"/>
      <c r="B462" s="21"/>
      <c r="C462" s="21" t="s">
        <v>550</v>
      </c>
      <c r="D462" s="23" t="s">
        <v>551</v>
      </c>
      <c r="E462" s="10">
        <f>Source!AQ464</f>
        <v>18.440000000000001</v>
      </c>
      <c r="F462" s="25"/>
      <c r="G462" s="24" t="str">
        <f>Source!DI464</f>
        <v/>
      </c>
      <c r="H462" s="10">
        <f>Source!AV464</f>
        <v>1</v>
      </c>
      <c r="I462" s="10"/>
      <c r="J462" s="25"/>
      <c r="K462" s="25">
        <f>Source!U464</f>
        <v>152.6832</v>
      </c>
    </row>
    <row r="463" spans="1:22" ht="15" x14ac:dyDescent="0.25">
      <c r="A463" s="31"/>
      <c r="B463" s="31"/>
      <c r="C463" s="31"/>
      <c r="D463" s="31"/>
      <c r="E463" s="31"/>
      <c r="F463" s="31"/>
      <c r="G463" s="31"/>
      <c r="H463" s="31"/>
      <c r="I463" s="70">
        <f>J454+J455+J457+J459+J460+J461+SUM(J458:J458)</f>
        <v>597011.96000000008</v>
      </c>
      <c r="J463" s="70"/>
      <c r="K463" s="32">
        <f>IF(Source!I464&lt;&gt;0, ROUND(I463/Source!I464, 2), 0)</f>
        <v>72102.89</v>
      </c>
      <c r="P463" s="29">
        <f>I463</f>
        <v>597011.96000000008</v>
      </c>
    </row>
    <row r="464" spans="1:22" ht="71.25" x14ac:dyDescent="0.2">
      <c r="A464" s="20" t="str">
        <f>Source!E466</f>
        <v>52</v>
      </c>
      <c r="B464" s="21" t="str">
        <f>Source!F466</f>
        <v>5.3-3103-11-2/1</v>
      </c>
      <c r="C464" s="21" t="str">
        <f>Source!G466</f>
        <v>Устройство наливного полиуретанового покрытия спортивных площадок и беговых дорожек, добавляется на 2 мм толщины покрытия</v>
      </c>
      <c r="D464" s="23" t="str">
        <f>Source!H466</f>
        <v>100 м2</v>
      </c>
      <c r="E464" s="10">
        <f>Source!I466</f>
        <v>8.2799999999999994</v>
      </c>
      <c r="F464" s="25"/>
      <c r="G464" s="24"/>
      <c r="H464" s="10"/>
      <c r="I464" s="10"/>
      <c r="J464" s="25"/>
      <c r="K464" s="25"/>
      <c r="Q464">
        <f>ROUND((Source!BZ466/100)*ROUND((Source!AF466*Source!AV466)*Source!I466, 2), 2)</f>
        <v>16632.490000000002</v>
      </c>
      <c r="R464">
        <f>Source!X466</f>
        <v>16632.490000000002</v>
      </c>
      <c r="S464">
        <f>ROUND((Source!CA466/100)*ROUND((Source!AF466*Source!AV466)*Source!I466, 2), 2)</f>
        <v>2376.0700000000002</v>
      </c>
      <c r="T464">
        <f>Source!Y466</f>
        <v>2376.0700000000002</v>
      </c>
      <c r="U464">
        <f>ROUND((175/100)*ROUND((Source!AE466*Source!AV466)*Source!I466, 2), 2)</f>
        <v>26863.01</v>
      </c>
      <c r="V464">
        <f>ROUND((108/100)*ROUND(Source!CS466*Source!I466, 2), 2)</f>
        <v>16578.310000000001</v>
      </c>
    </row>
    <row r="465" spans="1:32" ht="14.25" x14ac:dyDescent="0.2">
      <c r="A465" s="20"/>
      <c r="B465" s="21"/>
      <c r="C465" s="21" t="s">
        <v>541</v>
      </c>
      <c r="D465" s="23"/>
      <c r="E465" s="10"/>
      <c r="F465" s="25">
        <f>Source!AO466</f>
        <v>573.92999999999995</v>
      </c>
      <c r="G465" s="24" t="str">
        <f>Source!DG466</f>
        <v>*5</v>
      </c>
      <c r="H465" s="10">
        <f>Source!AV466</f>
        <v>1</v>
      </c>
      <c r="I465" s="10">
        <f>IF(Source!BA466&lt;&gt; 0, Source!BA466, 1)</f>
        <v>1</v>
      </c>
      <c r="J465" s="25">
        <f>Source!S466</f>
        <v>23760.7</v>
      </c>
      <c r="K465" s="25"/>
    </row>
    <row r="466" spans="1:32" ht="14.25" x14ac:dyDescent="0.2">
      <c r="A466" s="20"/>
      <c r="B466" s="21"/>
      <c r="C466" s="21" t="s">
        <v>542</v>
      </c>
      <c r="D466" s="23"/>
      <c r="E466" s="10"/>
      <c r="F466" s="25">
        <f>Source!AM466</f>
        <v>471.69</v>
      </c>
      <c r="G466" s="24" t="str">
        <f>Source!DE466</f>
        <v>*5</v>
      </c>
      <c r="H466" s="10">
        <f>Source!AV466</f>
        <v>1</v>
      </c>
      <c r="I466" s="10">
        <f>IF(Source!BB466&lt;&gt; 0, Source!BB466, 1)</f>
        <v>1</v>
      </c>
      <c r="J466" s="25">
        <f>Source!Q466</f>
        <v>19527.97</v>
      </c>
      <c r="K466" s="25"/>
    </row>
    <row r="467" spans="1:32" ht="14.25" x14ac:dyDescent="0.2">
      <c r="A467" s="20"/>
      <c r="B467" s="21"/>
      <c r="C467" s="21" t="s">
        <v>543</v>
      </c>
      <c r="D467" s="23"/>
      <c r="E467" s="10"/>
      <c r="F467" s="25">
        <f>Source!AN466</f>
        <v>370.78</v>
      </c>
      <c r="G467" s="24" t="str">
        <f>Source!DF466</f>
        <v>*5</v>
      </c>
      <c r="H467" s="10">
        <f>Source!AV466</f>
        <v>1</v>
      </c>
      <c r="I467" s="10">
        <f>IF(Source!BS466&lt;&gt; 0, Source!BS466, 1)</f>
        <v>1</v>
      </c>
      <c r="J467" s="27">
        <f>Source!R466</f>
        <v>15350.29</v>
      </c>
      <c r="K467" s="25"/>
    </row>
    <row r="468" spans="1:32" ht="14.25" x14ac:dyDescent="0.2">
      <c r="A468" s="20"/>
      <c r="B468" s="21"/>
      <c r="C468" s="21" t="s">
        <v>544</v>
      </c>
      <c r="D468" s="23"/>
      <c r="E468" s="10"/>
      <c r="F468" s="25">
        <f>Source!AL466</f>
        <v>18525.45</v>
      </c>
      <c r="G468" s="24" t="str">
        <f>Source!DD466</f>
        <v>*5</v>
      </c>
      <c r="H468" s="10">
        <f>Source!AW466</f>
        <v>1</v>
      </c>
      <c r="I468" s="10">
        <f>IF(Source!BC466&lt;&gt; 0, Source!BC466, 1)</f>
        <v>1</v>
      </c>
      <c r="J468" s="25">
        <f>Source!P466</f>
        <v>766953.63</v>
      </c>
      <c r="K468" s="25"/>
    </row>
    <row r="469" spans="1:32" ht="28.5" x14ac:dyDescent="0.2">
      <c r="A469" s="20" t="str">
        <f>Source!E467</f>
        <v>52,1</v>
      </c>
      <c r="B469" s="21" t="str">
        <f>Source!F467</f>
        <v>21.1-6-101</v>
      </c>
      <c r="C469" s="21" t="str">
        <f>Source!G467</f>
        <v>Пигменты сухие для красок, кислотный желтый</v>
      </c>
      <c r="D469" s="23" t="str">
        <f>Source!H467</f>
        <v>т</v>
      </c>
      <c r="E469" s="10">
        <f>Source!I467</f>
        <v>-0.43469999999999998</v>
      </c>
      <c r="F469" s="25">
        <f>Source!AK467</f>
        <v>748288.41</v>
      </c>
      <c r="G469" s="28" t="s">
        <v>555</v>
      </c>
      <c r="H469" s="10">
        <f>Source!AW467</f>
        <v>1</v>
      </c>
      <c r="I469" s="10">
        <f>IF(Source!BC467&lt;&gt; 0, Source!BC467, 1)</f>
        <v>1</v>
      </c>
      <c r="J469" s="25">
        <f>Source!O467</f>
        <v>-325280.96999999997</v>
      </c>
      <c r="K469" s="25"/>
      <c r="Q469">
        <f>ROUND((Source!BZ467/100)*ROUND((Source!AF467*Source!AV467)*Source!I467, 2), 2)</f>
        <v>0</v>
      </c>
      <c r="R469">
        <f>Source!X467</f>
        <v>0</v>
      </c>
      <c r="S469">
        <f>ROUND((Source!CA467/100)*ROUND((Source!AF467*Source!AV467)*Source!I467, 2), 2)</f>
        <v>0</v>
      </c>
      <c r="T469">
        <f>Source!Y467</f>
        <v>0</v>
      </c>
      <c r="U469">
        <f>ROUND((175/100)*ROUND((Source!AE467*Source!AV467)*Source!I467, 2), 2)</f>
        <v>0</v>
      </c>
      <c r="V469">
        <f>ROUND((108/100)*ROUND(Source!CS467*Source!I467, 2), 2)</f>
        <v>0</v>
      </c>
    </row>
    <row r="470" spans="1:32" ht="28.5" x14ac:dyDescent="0.2">
      <c r="A470" s="20" t="str">
        <f>Source!E468</f>
        <v>52,2</v>
      </c>
      <c r="B470" s="21" t="str">
        <f>Source!F468</f>
        <v>21.1-6-156</v>
      </c>
      <c r="C470" s="21" t="str">
        <f>Source!G468</f>
        <v>Пигменты сухие красного цвета, железоокисные</v>
      </c>
      <c r="D470" s="23" t="str">
        <f>Source!H468</f>
        <v>кг</v>
      </c>
      <c r="E470" s="10">
        <f>Source!I468</f>
        <v>434.7</v>
      </c>
      <c r="F470" s="25">
        <f>Source!AK468</f>
        <v>124.48</v>
      </c>
      <c r="G470" s="28" t="s">
        <v>545</v>
      </c>
      <c r="H470" s="10">
        <f>Source!AW468</f>
        <v>1</v>
      </c>
      <c r="I470" s="10">
        <f>IF(Source!BC468&lt;&gt; 0, Source!BC468, 1)</f>
        <v>1</v>
      </c>
      <c r="J470" s="25">
        <f>Source!O468</f>
        <v>54111.46</v>
      </c>
      <c r="K470" s="25"/>
      <c r="Q470">
        <f>ROUND((Source!BZ468/100)*ROUND((Source!AF468*Source!AV468)*Source!I468, 2), 2)</f>
        <v>0</v>
      </c>
      <c r="R470">
        <f>Source!X468</f>
        <v>0</v>
      </c>
      <c r="S470">
        <f>ROUND((Source!CA468/100)*ROUND((Source!AF468*Source!AV468)*Source!I468, 2), 2)</f>
        <v>0</v>
      </c>
      <c r="T470">
        <f>Source!Y468</f>
        <v>0</v>
      </c>
      <c r="U470">
        <f>ROUND((175/100)*ROUND((Source!AE468*Source!AV468)*Source!I468, 2), 2)</f>
        <v>0</v>
      </c>
      <c r="V470">
        <f>ROUND((108/100)*ROUND(Source!CS468*Source!I468, 2), 2)</f>
        <v>0</v>
      </c>
    </row>
    <row r="471" spans="1:32" ht="14.25" x14ac:dyDescent="0.2">
      <c r="A471" s="20"/>
      <c r="B471" s="21"/>
      <c r="C471" s="21" t="s">
        <v>546</v>
      </c>
      <c r="D471" s="23" t="s">
        <v>547</v>
      </c>
      <c r="E471" s="10">
        <f>Source!AT466</f>
        <v>70</v>
      </c>
      <c r="F471" s="25"/>
      <c r="G471" s="24"/>
      <c r="H471" s="10"/>
      <c r="I471" s="10"/>
      <c r="J471" s="25">
        <f>SUM(R464:R470)</f>
        <v>16632.490000000002</v>
      </c>
      <c r="K471" s="25"/>
    </row>
    <row r="472" spans="1:32" ht="14.25" x14ac:dyDescent="0.2">
      <c r="A472" s="20"/>
      <c r="B472" s="21"/>
      <c r="C472" s="21" t="s">
        <v>548</v>
      </c>
      <c r="D472" s="23" t="s">
        <v>547</v>
      </c>
      <c r="E472" s="10">
        <f>Source!AU466</f>
        <v>10</v>
      </c>
      <c r="F472" s="25"/>
      <c r="G472" s="24"/>
      <c r="H472" s="10"/>
      <c r="I472" s="10"/>
      <c r="J472" s="25">
        <f>SUM(T464:T471)</f>
        <v>2376.0700000000002</v>
      </c>
      <c r="K472" s="25"/>
    </row>
    <row r="473" spans="1:32" ht="14.25" x14ac:dyDescent="0.2">
      <c r="A473" s="20"/>
      <c r="B473" s="21"/>
      <c r="C473" s="21" t="s">
        <v>549</v>
      </c>
      <c r="D473" s="23" t="s">
        <v>547</v>
      </c>
      <c r="E473" s="10">
        <f>108</f>
        <v>108</v>
      </c>
      <c r="F473" s="25"/>
      <c r="G473" s="24"/>
      <c r="H473" s="10"/>
      <c r="I473" s="10"/>
      <c r="J473" s="25">
        <f>SUM(V464:V472)</f>
        <v>16578.310000000001</v>
      </c>
      <c r="K473" s="25"/>
    </row>
    <row r="474" spans="1:32" ht="14.25" x14ac:dyDescent="0.2">
      <c r="A474" s="20"/>
      <c r="B474" s="21"/>
      <c r="C474" s="21" t="s">
        <v>550</v>
      </c>
      <c r="D474" s="23" t="s">
        <v>551</v>
      </c>
      <c r="E474" s="10">
        <f>Source!AQ466</f>
        <v>2.65</v>
      </c>
      <c r="F474" s="25"/>
      <c r="G474" s="24" t="str">
        <f>Source!DI466</f>
        <v>*5</v>
      </c>
      <c r="H474" s="10">
        <f>Source!AV466</f>
        <v>1</v>
      </c>
      <c r="I474" s="10"/>
      <c r="J474" s="25"/>
      <c r="K474" s="25">
        <f>Source!U466</f>
        <v>109.71</v>
      </c>
    </row>
    <row r="475" spans="1:32" ht="15" x14ac:dyDescent="0.25">
      <c r="A475" s="31"/>
      <c r="B475" s="31"/>
      <c r="C475" s="31"/>
      <c r="D475" s="31"/>
      <c r="E475" s="31"/>
      <c r="F475" s="31"/>
      <c r="G475" s="31"/>
      <c r="H475" s="31"/>
      <c r="I475" s="70">
        <f>J465+J466+J468+J471+J472+J473+SUM(J469:J470)</f>
        <v>574659.66000000015</v>
      </c>
      <c r="J475" s="70"/>
      <c r="K475" s="32">
        <f>IF(Source!I466&lt;&gt;0, ROUND(I475/Source!I466, 2), 0)</f>
        <v>69403.34</v>
      </c>
      <c r="P475" s="29">
        <f>I475</f>
        <v>574659.66000000015</v>
      </c>
    </row>
    <row r="477" spans="1:32" ht="15" x14ac:dyDescent="0.25">
      <c r="A477" s="73" t="str">
        <f>CONCATENATE("Итого по разделу: ",IF(Source!G470&lt;&gt;"Новый раздел", Source!G470, ""))</f>
        <v>Итого по разделу: Устройство покрытия из резиновой крошки (828 м2)</v>
      </c>
      <c r="B477" s="73"/>
      <c r="C477" s="73"/>
      <c r="D477" s="73"/>
      <c r="E477" s="73"/>
      <c r="F477" s="73"/>
      <c r="G477" s="73"/>
      <c r="H477" s="73"/>
      <c r="I477" s="71">
        <f>SUM(P451:P476)</f>
        <v>1171671.6200000001</v>
      </c>
      <c r="J477" s="72"/>
      <c r="K477" s="33"/>
    </row>
    <row r="480" spans="1:32" ht="30" x14ac:dyDescent="0.25">
      <c r="A480" s="73" t="str">
        <f>CONCATENATE("Итого по локальной смете: ",IF(Source!G500&lt;&gt;"Новая локальная смета", Source!G500, ""))</f>
        <v>Итого по локальной смете: Благоустройство территории, прилегающей к ГБОУ Школа № 1788 по адресу: г. Москва, пос. Внуковское, ул. Летчика Грицевца, д. 5, к. 1</v>
      </c>
      <c r="B480" s="73"/>
      <c r="C480" s="73"/>
      <c r="D480" s="73"/>
      <c r="E480" s="73"/>
      <c r="F480" s="73"/>
      <c r="G480" s="73"/>
      <c r="H480" s="73"/>
      <c r="I480" s="71">
        <f>SUM(P32:P479)</f>
        <v>7376978.5900000026</v>
      </c>
      <c r="J480" s="72"/>
      <c r="K480" s="33"/>
      <c r="AF480" s="34" t="str">
        <f>CONCATENATE("Итого по локальной смете: ",IF(Source!G500&lt;&gt;"Новая локальная смета", Source!G500, ""))</f>
        <v>Итого по локальной смете: Благоустройство территории, прилегающей к ГБОУ Школа № 1788 по адресу: г. Москва, пос. Внуковское, ул. Летчика Грицевца, д. 5, к. 1</v>
      </c>
    </row>
    <row r="481" spans="1:32" hidden="1" x14ac:dyDescent="0.2"/>
    <row r="482" spans="1:32" hidden="1" x14ac:dyDescent="0.2"/>
    <row r="483" spans="1:32" ht="15" hidden="1" x14ac:dyDescent="0.25">
      <c r="A483" s="73" t="str">
        <f>CONCATENATE("Итого по смете: ",IF(Source!G530&lt;&gt;"Новый объект", Source!G530, ""))</f>
        <v>Итого по смете: ГБОУ Школа № 1788 г. Москва, пос. Внуковское, ул. Летчика Грицевца, д. 5, к. 1_(Рем)</v>
      </c>
      <c r="B483" s="73"/>
      <c r="C483" s="73"/>
      <c r="D483" s="73"/>
      <c r="E483" s="73"/>
      <c r="F483" s="73"/>
      <c r="G483" s="73"/>
      <c r="H483" s="73"/>
      <c r="I483" s="71">
        <f>SUM(P1:P482)</f>
        <v>7376978.5900000026</v>
      </c>
      <c r="J483" s="72"/>
      <c r="K483" s="33"/>
      <c r="AF483" s="34" t="str">
        <f>CONCATENATE("Итого по смете: ",IF(Source!G530&lt;&gt;"Новый объект", Source!G530, ""))</f>
        <v>Итого по смете: ГБОУ Школа № 1788 г. Москва, пос. Внуковское, ул. Летчика Грицевца, д. 5, к. 1_(Рем)</v>
      </c>
    </row>
    <row r="484" spans="1:32" ht="14.25" x14ac:dyDescent="0.2">
      <c r="C484" s="66" t="str">
        <f>Source!H559</f>
        <v>Всего</v>
      </c>
      <c r="D484" s="66"/>
      <c r="E484" s="66"/>
      <c r="F484" s="66"/>
      <c r="G484" s="66"/>
      <c r="H484" s="66"/>
      <c r="I484" s="67">
        <f>IF(Source!F559=0, "", Source!F559)</f>
        <v>7376978.5899999999</v>
      </c>
      <c r="J484" s="67"/>
    </row>
    <row r="485" spans="1:32" ht="14.25" x14ac:dyDescent="0.2">
      <c r="C485" s="66" t="str">
        <f>Source!H560</f>
        <v>НДС 20%</v>
      </c>
      <c r="D485" s="66"/>
      <c r="E485" s="66"/>
      <c r="F485" s="66"/>
      <c r="G485" s="66"/>
      <c r="H485" s="66"/>
      <c r="I485" s="67">
        <f>IF(Source!F560=0, "", Source!F560)</f>
        <v>1475395.72</v>
      </c>
      <c r="J485" s="67"/>
    </row>
    <row r="486" spans="1:32" ht="14.25" x14ac:dyDescent="0.2">
      <c r="C486" s="66" t="str">
        <f>Source!H561</f>
        <v>Всего с учетом НДС</v>
      </c>
      <c r="D486" s="66"/>
      <c r="E486" s="66"/>
      <c r="F486" s="66"/>
      <c r="G486" s="66"/>
      <c r="H486" s="66"/>
      <c r="I486" s="67">
        <f>IF(Source!F561=0, "", Source!F561)</f>
        <v>8852374.3100000005</v>
      </c>
      <c r="J486" s="67"/>
    </row>
    <row r="487" spans="1:32" ht="14.25" x14ac:dyDescent="0.2">
      <c r="C487" s="66" t="str">
        <f>Source!H563</f>
        <v>Всего с учетом лимитов финансирования</v>
      </c>
      <c r="D487" s="66"/>
      <c r="E487" s="66"/>
      <c r="F487" s="66"/>
      <c r="G487" s="66"/>
      <c r="H487" s="66"/>
      <c r="I487" s="67">
        <f>IF(Source!F563=0, "", Source!F563)</f>
        <v>8609380.1999999993</v>
      </c>
      <c r="J487" s="67"/>
    </row>
    <row r="490" spans="1:32" ht="14.25" x14ac:dyDescent="0.2">
      <c r="A490" s="68" t="s">
        <v>556</v>
      </c>
      <c r="B490" s="68"/>
      <c r="C490" s="35" t="str">
        <f>IF(Source!AC12&lt;&gt;"", Source!AC12," ")</f>
        <v xml:space="preserve"> </v>
      </c>
      <c r="D490" s="35"/>
      <c r="E490" s="35"/>
      <c r="F490" s="35"/>
      <c r="G490" s="35"/>
      <c r="H490" s="11" t="str">
        <f>IF(Source!AB12&lt;&gt;"", Source!AB12," ")</f>
        <v xml:space="preserve"> </v>
      </c>
      <c r="I490" s="11"/>
      <c r="J490" s="11"/>
      <c r="K490" s="11"/>
    </row>
    <row r="491" spans="1:32" ht="14.25" x14ac:dyDescent="0.2">
      <c r="A491" s="11"/>
      <c r="B491" s="11"/>
      <c r="C491" s="69" t="s">
        <v>557</v>
      </c>
      <c r="D491" s="69"/>
      <c r="E491" s="69"/>
      <c r="F491" s="69"/>
      <c r="G491" s="69"/>
      <c r="H491" s="11"/>
      <c r="I491" s="11"/>
      <c r="J491" s="11"/>
      <c r="K491" s="11"/>
    </row>
    <row r="492" spans="1:32" ht="14.2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</row>
    <row r="493" spans="1:32" ht="14.25" x14ac:dyDescent="0.2">
      <c r="A493" s="68" t="s">
        <v>558</v>
      </c>
      <c r="B493" s="68"/>
      <c r="C493" s="35" t="str">
        <f>IF(Source!AE12&lt;&gt;"", Source!AE12," ")</f>
        <v xml:space="preserve"> </v>
      </c>
      <c r="D493" s="35"/>
      <c r="E493" s="35"/>
      <c r="F493" s="35"/>
      <c r="G493" s="35"/>
      <c r="H493" s="11" t="str">
        <f>IF(Source!AD12&lt;&gt;"", Source!AD12," ")</f>
        <v xml:space="preserve"> </v>
      </c>
      <c r="I493" s="11"/>
      <c r="J493" s="11"/>
      <c r="K493" s="11"/>
    </row>
    <row r="494" spans="1:32" ht="14.25" x14ac:dyDescent="0.2">
      <c r="A494" s="11"/>
      <c r="B494" s="11"/>
      <c r="C494" s="69" t="s">
        <v>557</v>
      </c>
      <c r="D494" s="69"/>
      <c r="E494" s="69"/>
      <c r="F494" s="69"/>
      <c r="G494" s="69"/>
      <c r="H494" s="11"/>
      <c r="I494" s="11"/>
      <c r="J494" s="11"/>
      <c r="K494" s="11"/>
    </row>
  </sheetData>
  <mergeCells count="133">
    <mergeCell ref="B7:E7"/>
    <mergeCell ref="G7:K7"/>
    <mergeCell ref="J2:K2"/>
    <mergeCell ref="A10:K10"/>
    <mergeCell ref="A11:K11"/>
    <mergeCell ref="A13:K13"/>
    <mergeCell ref="B3:E3"/>
    <mergeCell ref="G3:K3"/>
    <mergeCell ref="B4:E4"/>
    <mergeCell ref="G4:K4"/>
    <mergeCell ref="B6:E6"/>
    <mergeCell ref="G6:K6"/>
    <mergeCell ref="F22:H22"/>
    <mergeCell ref="I22:J22"/>
    <mergeCell ref="F23:H23"/>
    <mergeCell ref="I23:J23"/>
    <mergeCell ref="F24:H24"/>
    <mergeCell ref="I24:J24"/>
    <mergeCell ref="A15:K15"/>
    <mergeCell ref="A16:K16"/>
    <mergeCell ref="A18:K18"/>
    <mergeCell ref="F20:H20"/>
    <mergeCell ref="I20:J20"/>
    <mergeCell ref="F21:H21"/>
    <mergeCell ref="I21:J21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I63:J63"/>
    <mergeCell ref="A63:H63"/>
    <mergeCell ref="A66:K66"/>
    <mergeCell ref="I80:J80"/>
    <mergeCell ref="I93:J93"/>
    <mergeCell ref="I95:J95"/>
    <mergeCell ref="A95:H95"/>
    <mergeCell ref="I27:I29"/>
    <mergeCell ref="J27:J29"/>
    <mergeCell ref="A32:K32"/>
    <mergeCell ref="A34:K34"/>
    <mergeCell ref="I48:J48"/>
    <mergeCell ref="I61:J61"/>
    <mergeCell ref="I134:J134"/>
    <mergeCell ref="I137:J137"/>
    <mergeCell ref="I153:J153"/>
    <mergeCell ref="I155:J155"/>
    <mergeCell ref="A155:H155"/>
    <mergeCell ref="A158:K158"/>
    <mergeCell ref="A98:K98"/>
    <mergeCell ref="I106:J106"/>
    <mergeCell ref="I111:J111"/>
    <mergeCell ref="I120:J120"/>
    <mergeCell ref="I125:J125"/>
    <mergeCell ref="I130:J130"/>
    <mergeCell ref="I203:J203"/>
    <mergeCell ref="I205:J205"/>
    <mergeCell ref="A205:H205"/>
    <mergeCell ref="A208:K208"/>
    <mergeCell ref="I220:J220"/>
    <mergeCell ref="I232:J232"/>
    <mergeCell ref="I164:J164"/>
    <mergeCell ref="I172:J172"/>
    <mergeCell ref="I174:J174"/>
    <mergeCell ref="A174:H174"/>
    <mergeCell ref="A177:K177"/>
    <mergeCell ref="I191:J191"/>
    <mergeCell ref="I266:J266"/>
    <mergeCell ref="I271:J271"/>
    <mergeCell ref="I273:J273"/>
    <mergeCell ref="I275:J275"/>
    <mergeCell ref="A275:H275"/>
    <mergeCell ref="A278:K278"/>
    <mergeCell ref="I234:J234"/>
    <mergeCell ref="A234:H234"/>
    <mergeCell ref="A237:K237"/>
    <mergeCell ref="I245:J245"/>
    <mergeCell ref="I256:J256"/>
    <mergeCell ref="I261:J261"/>
    <mergeCell ref="A308:H308"/>
    <mergeCell ref="A311:K311"/>
    <mergeCell ref="I321:J321"/>
    <mergeCell ref="I328:J328"/>
    <mergeCell ref="I338:J338"/>
    <mergeCell ref="I345:J345"/>
    <mergeCell ref="I289:J289"/>
    <mergeCell ref="I294:J294"/>
    <mergeCell ref="I299:J299"/>
    <mergeCell ref="I303:J303"/>
    <mergeCell ref="I306:J306"/>
    <mergeCell ref="I308:J308"/>
    <mergeCell ref="I391:J391"/>
    <mergeCell ref="I393:J393"/>
    <mergeCell ref="A393:H393"/>
    <mergeCell ref="A396:K396"/>
    <mergeCell ref="I407:J407"/>
    <mergeCell ref="I420:J420"/>
    <mergeCell ref="I350:J350"/>
    <mergeCell ref="I354:J354"/>
    <mergeCell ref="I357:J357"/>
    <mergeCell ref="I368:J368"/>
    <mergeCell ref="I376:J376"/>
    <mergeCell ref="I383:J383"/>
    <mergeCell ref="I475:J475"/>
    <mergeCell ref="I477:J477"/>
    <mergeCell ref="A477:H477"/>
    <mergeCell ref="I480:J480"/>
    <mergeCell ref="A480:H480"/>
    <mergeCell ref="I483:J483"/>
    <mergeCell ref="A483:H483"/>
    <mergeCell ref="I433:J433"/>
    <mergeCell ref="I446:J446"/>
    <mergeCell ref="I448:J448"/>
    <mergeCell ref="A448:H448"/>
    <mergeCell ref="A451:K451"/>
    <mergeCell ref="I463:J463"/>
    <mergeCell ref="C487:H487"/>
    <mergeCell ref="I487:J487"/>
    <mergeCell ref="A490:B490"/>
    <mergeCell ref="C491:G491"/>
    <mergeCell ref="A493:B493"/>
    <mergeCell ref="C494:G494"/>
    <mergeCell ref="C484:H484"/>
    <mergeCell ref="I484:J484"/>
    <mergeCell ref="C485:H485"/>
    <mergeCell ref="I485:J485"/>
    <mergeCell ref="C486:H486"/>
    <mergeCell ref="I486:J486"/>
  </mergeCells>
  <pageMargins left="0.4" right="0.2" top="0.2" bottom="0.4" header="0.2" footer="0.2"/>
  <pageSetup paperSize="9" scale="65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0803-6D60-4D69-A8AD-CBFEB80718BD}">
  <sheetPr>
    <pageSetUpPr fitToPage="1"/>
  </sheetPr>
  <dimension ref="A1:AE113"/>
  <sheetViews>
    <sheetView topLeftCell="A100" zoomScaleNormal="100" workbookViewId="0">
      <selection activeCell="C114" sqref="C114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0" width="114.7109375" hidden="1" customWidth="1"/>
    <col min="31" max="31" width="129.7109375" hidden="1" customWidth="1"/>
  </cols>
  <sheetData>
    <row r="1" spans="1:30" x14ac:dyDescent="0.2">
      <c r="A1" s="9" t="str">
        <f>Source!B1</f>
        <v>Smeta.RU  (495) 974-1589</v>
      </c>
    </row>
    <row r="2" spans="1:30" ht="14.25" x14ac:dyDescent="0.2">
      <c r="B2" s="11"/>
      <c r="C2" s="11"/>
      <c r="D2" s="11"/>
    </row>
    <row r="3" spans="1:30" ht="15" x14ac:dyDescent="0.25">
      <c r="B3" s="36" t="s">
        <v>513</v>
      </c>
      <c r="C3" s="11"/>
      <c r="D3" s="30" t="s">
        <v>514</v>
      </c>
    </row>
    <row r="4" spans="1:30" ht="15" x14ac:dyDescent="0.25">
      <c r="B4" s="11"/>
      <c r="C4" s="30"/>
      <c r="D4" s="30"/>
    </row>
    <row r="5" spans="1:30" ht="15" x14ac:dyDescent="0.25">
      <c r="B5" s="36" t="s">
        <v>559</v>
      </c>
      <c r="C5" s="72" t="s">
        <v>559</v>
      </c>
      <c r="D5" s="72"/>
    </row>
    <row r="6" spans="1:30" ht="15" x14ac:dyDescent="0.25">
      <c r="B6" s="11"/>
      <c r="C6" s="30"/>
      <c r="D6" s="30"/>
    </row>
    <row r="7" spans="1:30" ht="15" x14ac:dyDescent="0.25">
      <c r="B7" s="36" t="s">
        <v>559</v>
      </c>
      <c r="C7" s="72" t="s">
        <v>559</v>
      </c>
      <c r="D7" s="72"/>
    </row>
    <row r="8" spans="1:30" ht="15" x14ac:dyDescent="0.25">
      <c r="B8" s="11"/>
      <c r="C8" s="30"/>
      <c r="D8" s="30"/>
    </row>
    <row r="9" spans="1:30" ht="15" x14ac:dyDescent="0.25">
      <c r="C9" s="30" t="s">
        <v>560</v>
      </c>
      <c r="D9" s="11"/>
    </row>
    <row r="10" spans="1:30" ht="14.25" x14ac:dyDescent="0.2">
      <c r="A10" s="11"/>
      <c r="B10" s="11"/>
      <c r="C10" s="11"/>
      <c r="D10" s="11"/>
      <c r="E10" s="11"/>
    </row>
    <row r="11" spans="1:30" ht="15.75" x14ac:dyDescent="0.25">
      <c r="A11" s="87" t="str">
        <f>CONCATENATE("Дефектный акт ", IF(Source!AN15&lt;&gt;"", Source!AN15," "))</f>
        <v xml:space="preserve">Дефектный акт  </v>
      </c>
      <c r="B11" s="87"/>
      <c r="C11" s="87"/>
      <c r="D11" s="87"/>
      <c r="E11" s="11"/>
    </row>
    <row r="12" spans="1:30" ht="30" x14ac:dyDescent="0.25">
      <c r="A12" s="88" t="str">
        <f>CONCATENATE("На капитальный ремонт ", Source!F12, " ", Source!G12)</f>
        <v>На капитальный ремонт  ГБОУ Школа № 1788 г. Москва, пос. Внуковское, ул. Летчика Грицевца, д. 5, к. 1_(Рем)</v>
      </c>
      <c r="B12" s="88"/>
      <c r="C12" s="88"/>
      <c r="D12" s="88"/>
      <c r="E12" s="11"/>
      <c r="AD12" s="39" t="str">
        <f>CONCATENATE("На капитальный ремонт ", Source!F12, " ", Source!G12)</f>
        <v>На капитальный ремонт  ГБОУ Школа № 1788 г. Москва, пос. Внуковское, ул. Летчика Грицевца, д. 5, к. 1_(Рем)</v>
      </c>
    </row>
    <row r="13" spans="1:30" ht="14.25" x14ac:dyDescent="0.2">
      <c r="A13" s="11"/>
      <c r="B13" s="11"/>
      <c r="C13" s="11"/>
      <c r="D13" s="11"/>
      <c r="E13" s="11"/>
    </row>
    <row r="14" spans="1:30" ht="15" x14ac:dyDescent="0.2">
      <c r="A14" s="11"/>
      <c r="B14" s="37" t="s">
        <v>561</v>
      </c>
      <c r="C14" s="11"/>
      <c r="D14" s="11"/>
      <c r="E14" s="11"/>
    </row>
    <row r="15" spans="1:30" ht="15" x14ac:dyDescent="0.2">
      <c r="A15" s="11"/>
      <c r="B15" s="37" t="s">
        <v>562</v>
      </c>
      <c r="C15" s="11"/>
      <c r="D15" s="11"/>
      <c r="E15" s="11"/>
    </row>
    <row r="16" spans="1:30" ht="15" x14ac:dyDescent="0.2">
      <c r="A16" s="11"/>
      <c r="B16" s="37" t="s">
        <v>563</v>
      </c>
      <c r="C16" s="11"/>
      <c r="D16" s="11"/>
      <c r="E16" s="11"/>
    </row>
    <row r="17" spans="1:31" ht="28.5" x14ac:dyDescent="0.2">
      <c r="A17" s="18" t="s">
        <v>564</v>
      </c>
      <c r="B17" s="18" t="s">
        <v>529</v>
      </c>
      <c r="C17" s="18" t="s">
        <v>530</v>
      </c>
      <c r="D17" s="18" t="s">
        <v>565</v>
      </c>
      <c r="E17" s="38" t="s">
        <v>566</v>
      </c>
    </row>
    <row r="18" spans="1:31" ht="14.25" x14ac:dyDescent="0.2">
      <c r="A18" s="41">
        <v>1</v>
      </c>
      <c r="B18" s="41">
        <v>2</v>
      </c>
      <c r="C18" s="41">
        <v>3</v>
      </c>
      <c r="D18" s="41">
        <v>4</v>
      </c>
      <c r="E18" s="41">
        <v>5</v>
      </c>
    </row>
    <row r="19" spans="1:31" ht="33" x14ac:dyDescent="0.25">
      <c r="A19" s="86" t="str">
        <f>CONCATENATE("Локальная смета: ", Source!G20)</f>
        <v>Локальная смета: Благоустройство территории, прилегающей к ГБОУ Школа № 1788 по адресу: г. Москва, пос. Внуковское, ул. Летчика Грицевца, д. 5, к. 1</v>
      </c>
      <c r="B19" s="86"/>
      <c r="C19" s="86"/>
      <c r="D19" s="86"/>
      <c r="E19" s="86"/>
      <c r="AE19" s="40" t="str">
        <f>CONCATENATE("Локальная смета: ", Source!G20)</f>
        <v>Локальная смета: Благоустройство территории, прилегающей к ГБОУ Школа № 1788 по адресу: г. Москва, пос. Внуковское, ул. Летчика Грицевца, д. 5, к. 1</v>
      </c>
    </row>
    <row r="20" spans="1:31" ht="16.5" x14ac:dyDescent="0.25">
      <c r="A20" s="86" t="str">
        <f>CONCATENATE("Раздел: ", Source!G24)</f>
        <v>Раздел: Ремонт асфальтобетонного покрытия тротуаров (155,5 м2)</v>
      </c>
      <c r="B20" s="86"/>
      <c r="C20" s="86"/>
      <c r="D20" s="86"/>
      <c r="E20" s="86"/>
    </row>
    <row r="21" spans="1:31" ht="28.5" x14ac:dyDescent="0.2">
      <c r="A21" s="46">
        <v>1</v>
      </c>
      <c r="B21" s="47" t="str">
        <f>Source!G28</f>
        <v>Исправление профиля щебеночных оснований с добавлением нового материала</v>
      </c>
      <c r="C21" s="48" t="str">
        <f>Source!H28</f>
        <v>1000 м2</v>
      </c>
      <c r="D21" s="49">
        <f>Source!I28</f>
        <v>4.6649999999999997E-2</v>
      </c>
      <c r="E21" s="47"/>
    </row>
    <row r="22" spans="1:31" ht="28.5" x14ac:dyDescent="0.2">
      <c r="A22" s="46">
        <v>1.1000000000000001</v>
      </c>
      <c r="B22" s="47" t="str">
        <f>Source!G29</f>
        <v>Щебень из естественного камня для строительных работ, марка 1200-800, фракция 10-20 мм</v>
      </c>
      <c r="C22" s="48" t="str">
        <f>Source!H29</f>
        <v>м3</v>
      </c>
      <c r="D22" s="49">
        <f>Source!I29</f>
        <v>-0.53647499999999992</v>
      </c>
      <c r="E22" s="47"/>
    </row>
    <row r="23" spans="1:31" ht="28.5" x14ac:dyDescent="0.2">
      <c r="A23" s="46">
        <v>1.2</v>
      </c>
      <c r="B23" s="47" t="str">
        <f>Source!G30</f>
        <v>Щебень из естественного камня для строительных работ, марка 1200-800, фракция 20-40 мм</v>
      </c>
      <c r="C23" s="48" t="str">
        <f>Source!H30</f>
        <v>м3</v>
      </c>
      <c r="D23" s="49">
        <f>Source!I30</f>
        <v>-2.56575</v>
      </c>
      <c r="E23" s="47"/>
    </row>
    <row r="24" spans="1:31" ht="28.5" x14ac:dyDescent="0.2">
      <c r="A24" s="46">
        <v>1.3</v>
      </c>
      <c r="B24" s="47" t="str">
        <f>Source!G31</f>
        <v>Щебень из естественного камня для строительных работ, марка 600-400, фракция 5-10 мм</v>
      </c>
      <c r="C24" s="48" t="str">
        <f>Source!H31</f>
        <v>м3</v>
      </c>
      <c r="D24" s="49">
        <f>Source!I31</f>
        <v>3.1022249999999998</v>
      </c>
      <c r="E24" s="47"/>
    </row>
    <row r="25" spans="1:31" ht="28.5" x14ac:dyDescent="0.2">
      <c r="A25" s="46">
        <v>2</v>
      </c>
      <c r="B25" s="47" t="str">
        <f>Source!G32</f>
        <v>Устройство покрытий из асфальтобетонных смесей вручную, толщина 4 см (5 см)</v>
      </c>
      <c r="C25" s="48" t="str">
        <f>Source!H32</f>
        <v>100 м2</v>
      </c>
      <c r="D25" s="49">
        <f>Source!I32</f>
        <v>1.5549999999999999</v>
      </c>
      <c r="E25" s="47"/>
    </row>
    <row r="26" spans="1:31" ht="28.5" x14ac:dyDescent="0.2">
      <c r="A26" s="46">
        <v>2.1</v>
      </c>
      <c r="B26" s="47" t="str">
        <f>Source!G33</f>
        <v>Смеси асфальтобетонные дорожные горячие мелкозернистые, марка I, тип Б</v>
      </c>
      <c r="C26" s="48" t="str">
        <f>Source!H33</f>
        <v>т</v>
      </c>
      <c r="D26" s="49">
        <f>Source!I33</f>
        <v>-14.896899999999999</v>
      </c>
      <c r="E26" s="47"/>
    </row>
    <row r="27" spans="1:31" ht="14.25" x14ac:dyDescent="0.2">
      <c r="A27" s="46">
        <v>2.2000000000000002</v>
      </c>
      <c r="B27" s="47" t="str">
        <f>Source!G34</f>
        <v>Смеси асфальтобетонные дорожные горячие песчаные, тип Д, марка III</v>
      </c>
      <c r="C27" s="48" t="str">
        <f>Source!H34</f>
        <v>т</v>
      </c>
      <c r="D27" s="49">
        <f>Source!I34</f>
        <v>18.146850000000001</v>
      </c>
      <c r="E27" s="47"/>
    </row>
    <row r="28" spans="1:31" ht="16.5" x14ac:dyDescent="0.25">
      <c r="A28" s="86" t="str">
        <f>CONCATENATE("Раздел: ", Source!G66)</f>
        <v>Раздел: Ремонт асфальтобетонного покрытия площадок (392 м2)</v>
      </c>
      <c r="B28" s="86"/>
      <c r="C28" s="86"/>
      <c r="D28" s="86"/>
      <c r="E28" s="86"/>
    </row>
    <row r="29" spans="1:31" ht="28.5" x14ac:dyDescent="0.2">
      <c r="A29" s="46">
        <v>3</v>
      </c>
      <c r="B29" s="47" t="str">
        <f>Source!G70</f>
        <v>Исправление профиля щебеночных оснований с добавлением нового материала</v>
      </c>
      <c r="C29" s="48" t="str">
        <f>Source!H70</f>
        <v>1000 м2</v>
      </c>
      <c r="D29" s="49">
        <f>Source!I70</f>
        <v>0.1176</v>
      </c>
      <c r="E29" s="47"/>
    </row>
    <row r="30" spans="1:31" ht="28.5" x14ac:dyDescent="0.2">
      <c r="A30" s="46">
        <v>3.1</v>
      </c>
      <c r="B30" s="47" t="str">
        <f>Source!G71</f>
        <v>Щебень из естественного камня для строительных работ, марка 1200-800, фракция 10-20 мм</v>
      </c>
      <c r="C30" s="48" t="str">
        <f>Source!H71</f>
        <v>м3</v>
      </c>
      <c r="D30" s="49">
        <f>Source!I71</f>
        <v>-1.3524</v>
      </c>
      <c r="E30" s="47"/>
    </row>
    <row r="31" spans="1:31" ht="28.5" x14ac:dyDescent="0.2">
      <c r="A31" s="46">
        <v>3.2</v>
      </c>
      <c r="B31" s="47" t="str">
        <f>Source!G72</f>
        <v>Щебень из естественного камня для строительных работ, марка 1200-800, фракция 20-40 мм</v>
      </c>
      <c r="C31" s="48" t="str">
        <f>Source!H72</f>
        <v>м3</v>
      </c>
      <c r="D31" s="49">
        <f>Source!I72</f>
        <v>-6.468</v>
      </c>
      <c r="E31" s="47"/>
    </row>
    <row r="32" spans="1:31" ht="28.5" x14ac:dyDescent="0.2">
      <c r="A32" s="46">
        <v>3.3</v>
      </c>
      <c r="B32" s="47" t="str">
        <f>Source!G73</f>
        <v>Щебень из естественного камня для строительных работ, марка 600-400, фракция 5-10 мм</v>
      </c>
      <c r="C32" s="48" t="str">
        <f>Source!H73</f>
        <v>м3</v>
      </c>
      <c r="D32" s="49">
        <f>Source!I73</f>
        <v>7.8203999999999994</v>
      </c>
      <c r="E32" s="47"/>
    </row>
    <row r="33" spans="1:5" ht="28.5" x14ac:dyDescent="0.2">
      <c r="A33" s="46">
        <v>4</v>
      </c>
      <c r="B33" s="47" t="str">
        <f>Source!G74</f>
        <v>Устройство покрытий из асфальтобетонных смесей вручную, толщина 4 см (5 см)</v>
      </c>
      <c r="C33" s="48" t="str">
        <f>Source!H74</f>
        <v>100 м2</v>
      </c>
      <c r="D33" s="49">
        <f>Source!I74</f>
        <v>3.92</v>
      </c>
      <c r="E33" s="47"/>
    </row>
    <row r="34" spans="1:5" ht="28.5" x14ac:dyDescent="0.2">
      <c r="A34" s="46">
        <v>4.0999999999999996</v>
      </c>
      <c r="B34" s="47" t="str">
        <f>Source!G75</f>
        <v>Смеси асфальтобетонные дорожные горячие мелкозернистые, марка I, тип Б</v>
      </c>
      <c r="C34" s="48" t="str">
        <f>Source!H75</f>
        <v>т</v>
      </c>
      <c r="D34" s="49">
        <f>Source!I75</f>
        <v>-37.553600000000003</v>
      </c>
      <c r="E34" s="47"/>
    </row>
    <row r="35" spans="1:5" ht="14.25" x14ac:dyDescent="0.2">
      <c r="A35" s="46">
        <v>4.2</v>
      </c>
      <c r="B35" s="47" t="str">
        <f>Source!G76</f>
        <v>Смеси асфальтобетонные дорожные горячие песчаные, тип Д, марка III</v>
      </c>
      <c r="C35" s="48" t="str">
        <f>Source!H76</f>
        <v>т</v>
      </c>
      <c r="D35" s="49">
        <f>Source!I76</f>
        <v>45.746400000000001</v>
      </c>
      <c r="E35" s="47"/>
    </row>
    <row r="36" spans="1:5" ht="16.5" x14ac:dyDescent="0.25">
      <c r="A36" s="86" t="str">
        <f>CONCATENATE("Раздел: ", Source!G108)</f>
        <v>Раздел: Ремонт веранд (280 м2)</v>
      </c>
      <c r="B36" s="86"/>
      <c r="C36" s="86"/>
      <c r="D36" s="86"/>
      <c r="E36" s="86"/>
    </row>
    <row r="37" spans="1:5" ht="14.25" x14ac:dyDescent="0.2">
      <c r="A37" s="46">
        <v>5</v>
      </c>
      <c r="B37" s="47" t="str">
        <f>Source!G112</f>
        <v>Разборка дощатых покрытий</v>
      </c>
      <c r="C37" s="48" t="str">
        <f>Source!H112</f>
        <v>100 м2</v>
      </c>
      <c r="D37" s="49">
        <f>Source!I112</f>
        <v>2.8</v>
      </c>
      <c r="E37" s="47"/>
    </row>
    <row r="38" spans="1:5" ht="14.25" x14ac:dyDescent="0.2">
      <c r="A38" s="46">
        <v>5.0999999999999996</v>
      </c>
      <c r="B38" s="47" t="str">
        <f>Source!G113</f>
        <v>Масса мусора</v>
      </c>
      <c r="C38" s="48" t="str">
        <f>Source!H113</f>
        <v>т</v>
      </c>
      <c r="D38" s="49">
        <f>Source!I113</f>
        <v>-2.2400000000000002</v>
      </c>
      <c r="E38" s="47"/>
    </row>
    <row r="39" spans="1:5" ht="28.5" x14ac:dyDescent="0.2">
      <c r="A39" s="46">
        <v>6</v>
      </c>
      <c r="B39" s="47" t="str">
        <f>Source!G114</f>
        <v>Механизированная погрузка строительного мусора в автомобили-самосвалы</v>
      </c>
      <c r="C39" s="48" t="str">
        <f>Source!H114</f>
        <v>т</v>
      </c>
      <c r="D39" s="49">
        <f>Source!I114</f>
        <v>2.016</v>
      </c>
      <c r="E39" s="47"/>
    </row>
    <row r="40" spans="1:5" ht="14.25" x14ac:dyDescent="0.2">
      <c r="A40" s="46">
        <v>7</v>
      </c>
      <c r="B40" s="47" t="str">
        <f>Source!G115</f>
        <v>Погрузка вручную строительного мусора в самосвал</v>
      </c>
      <c r="C40" s="48" t="str">
        <f>Source!H115</f>
        <v>т</v>
      </c>
      <c r="D40" s="49">
        <f>Source!I115</f>
        <v>0.224</v>
      </c>
      <c r="E40" s="47"/>
    </row>
    <row r="41" spans="1:5" ht="28.5" x14ac:dyDescent="0.2">
      <c r="A41" s="46">
        <v>8</v>
      </c>
      <c r="B41" s="47" t="str">
        <f>Source!G116</f>
        <v>Перевозка строительного мусора автосамосвалами грузоподъемностью до 10 т на расстояние 1 км - при механизированной погрузке</v>
      </c>
      <c r="C41" s="48" t="str">
        <f>Source!H116</f>
        <v>т</v>
      </c>
      <c r="D41" s="49">
        <f>Source!I116</f>
        <v>2.016</v>
      </c>
      <c r="E41" s="47"/>
    </row>
    <row r="42" spans="1:5" ht="28.5" x14ac:dyDescent="0.2">
      <c r="A42" s="46">
        <v>9</v>
      </c>
      <c r="B42" s="47" t="str">
        <f>Source!G117</f>
        <v>Перевозка строительного мусора автосамосвалами грузоподъемностью до 10 т на расстояние 1 км - при погрузке вручную</v>
      </c>
      <c r="C42" s="48" t="str">
        <f>Source!H117</f>
        <v>т</v>
      </c>
      <c r="D42" s="49">
        <f>Source!I117</f>
        <v>0.224</v>
      </c>
      <c r="E42" s="47"/>
    </row>
    <row r="43" spans="1:5" ht="28.5" x14ac:dyDescent="0.2">
      <c r="A43" s="46">
        <v>10</v>
      </c>
      <c r="B43" s="47" t="str">
        <f>Source!G118</f>
        <v>Перевозка строительного мусора автосамосвалами грузоподъемностью до 10 т - добавляется на каждый последующий 1 км до 100 км</v>
      </c>
      <c r="C43" s="48" t="str">
        <f>Source!H118</f>
        <v>т</v>
      </c>
      <c r="D43" s="49">
        <f>Source!I118</f>
        <v>2.2400000000000002</v>
      </c>
      <c r="E43" s="47"/>
    </row>
    <row r="44" spans="1:5" s="64" customFormat="1" ht="14.25" x14ac:dyDescent="0.2">
      <c r="A44" s="46">
        <v>11</v>
      </c>
      <c r="B44" s="47" t="str">
        <f>Source!G119</f>
        <v>Содержание свалки отходов строительства и сноса</v>
      </c>
      <c r="C44" s="48" t="str">
        <f>Source!H119</f>
        <v>т</v>
      </c>
      <c r="D44" s="49">
        <f>Source!I119</f>
        <v>2.2400000000000002</v>
      </c>
      <c r="E44" s="47"/>
    </row>
    <row r="45" spans="1:5" ht="14.25" x14ac:dyDescent="0.2">
      <c r="A45" s="46">
        <v>12</v>
      </c>
      <c r="B45" s="47" t="str">
        <f>Source!G120</f>
        <v>Устройство покрытий дощатых толщиной, мм 28</v>
      </c>
      <c r="C45" s="48" t="str">
        <f>Source!H120</f>
        <v>100 м2</v>
      </c>
      <c r="D45" s="49">
        <f>Source!I120</f>
        <v>2.8</v>
      </c>
      <c r="E45" s="47"/>
    </row>
    <row r="46" spans="1:5" ht="28.5" x14ac:dyDescent="0.2">
      <c r="A46" s="65">
        <v>12.1</v>
      </c>
      <c r="B46" s="47" t="str">
        <f>Source!G121</f>
        <v>Доски хвойных пород для покрытия пола, со шпунтом и гребнем, антисептированные, толщина 27 мм</v>
      </c>
      <c r="C46" s="48" t="str">
        <f>Source!H121</f>
        <v>м3</v>
      </c>
      <c r="D46" s="49">
        <f>Source!I121</f>
        <v>-8.0640000000000001</v>
      </c>
      <c r="E46" s="47"/>
    </row>
    <row r="47" spans="1:5" ht="14.25" x14ac:dyDescent="0.2">
      <c r="A47" s="65">
        <v>12.2</v>
      </c>
      <c r="B47" s="47" t="str">
        <f>Source!G122</f>
        <v>Доска террасная ДПК, размер 28х140х4000 мм.</v>
      </c>
      <c r="C47" s="48" t="str">
        <f>Source!H122</f>
        <v>м2</v>
      </c>
      <c r="D47" s="49">
        <f>Source!I122</f>
        <v>280</v>
      </c>
      <c r="E47" s="47"/>
    </row>
    <row r="48" spans="1:5" ht="14.25" x14ac:dyDescent="0.2">
      <c r="A48" s="65">
        <v>12.3</v>
      </c>
      <c r="B48" s="47" t="str">
        <f>Source!G123</f>
        <v>Гвозди строительные</v>
      </c>
      <c r="C48" s="48" t="str">
        <f>Source!H123</f>
        <v>т</v>
      </c>
      <c r="D48" s="49">
        <f>Source!I123</f>
        <v>-3.4439999999999998E-2</v>
      </c>
      <c r="E48" s="47"/>
    </row>
    <row r="49" spans="1:5" ht="14.25" x14ac:dyDescent="0.2">
      <c r="A49" s="65">
        <v>12.4</v>
      </c>
      <c r="B49" s="47" t="str">
        <f>Source!G124</f>
        <v>Клипса монтажная стартовая 8мм</v>
      </c>
      <c r="C49" s="48" t="str">
        <f>Source!H124</f>
        <v>шт.</v>
      </c>
      <c r="D49" s="49">
        <f>Source!I124</f>
        <v>1080</v>
      </c>
      <c r="E49" s="47"/>
    </row>
    <row r="50" spans="1:5" ht="14.25" x14ac:dyDescent="0.2">
      <c r="A50" s="65">
        <v>12.5</v>
      </c>
      <c r="B50" s="47" t="str">
        <f>Source!G125</f>
        <v>Клипса монтажная 3Д 7мм</v>
      </c>
      <c r="C50" s="48" t="str">
        <f>Source!H125</f>
        <v>шт.</v>
      </c>
      <c r="D50" s="49">
        <f>Source!I125</f>
        <v>4492</v>
      </c>
      <c r="E50" s="47"/>
    </row>
    <row r="51" spans="1:5" ht="16.5" x14ac:dyDescent="0.25">
      <c r="A51" s="86" t="str">
        <f>CONCATENATE("Раздел: ", Source!G157)</f>
        <v>Раздел: Ремонт металлического ограждения (330 мп)</v>
      </c>
      <c r="B51" s="86"/>
      <c r="C51" s="86"/>
      <c r="D51" s="86"/>
      <c r="E51" s="86"/>
    </row>
    <row r="52" spans="1:5" ht="14.25" x14ac:dyDescent="0.2">
      <c r="A52" s="46">
        <v>13</v>
      </c>
      <c r="B52" s="47" t="str">
        <f>Source!G161</f>
        <v>Расчистка поверхностей от старых покрасок (шпателем, щетками и т.д.)</v>
      </c>
      <c r="C52" s="48" t="str">
        <f>Source!H161</f>
        <v>м2</v>
      </c>
      <c r="D52" s="49">
        <f>Source!I161</f>
        <v>396</v>
      </c>
      <c r="E52" s="47"/>
    </row>
    <row r="53" spans="1:5" ht="28.5" x14ac:dyDescent="0.2">
      <c r="A53" s="46">
        <v>14</v>
      </c>
      <c r="B53" s="47" t="str">
        <f>Source!G162</f>
        <v>Окраска масляными составами за два раза металлических поверхностей решеток и оград</v>
      </c>
      <c r="C53" s="48" t="str">
        <f>Source!H162</f>
        <v>100 м2</v>
      </c>
      <c r="D53" s="49">
        <f>Source!I162</f>
        <v>6.6</v>
      </c>
      <c r="E53" s="47"/>
    </row>
    <row r="54" spans="1:5" ht="16.5" x14ac:dyDescent="0.25">
      <c r="A54" s="86" t="str">
        <f>CONCATENATE("Раздел: ", Source!G194)</f>
        <v>Раздел: Ремонт покрытия из брусчатки (1484 м2)</v>
      </c>
      <c r="B54" s="86"/>
      <c r="C54" s="86"/>
      <c r="D54" s="86"/>
      <c r="E54" s="86"/>
    </row>
    <row r="55" spans="1:5" ht="28.5" x14ac:dyDescent="0.2">
      <c r="A55" s="46">
        <v>15</v>
      </c>
      <c r="B55" s="47" t="str">
        <f>Source!G198</f>
        <v>Исправление профиля щебеночных оснований с добавлением нового материала</v>
      </c>
      <c r="C55" s="48" t="str">
        <f>Source!H198</f>
        <v>1000 м2</v>
      </c>
      <c r="D55" s="49">
        <f>Source!I198</f>
        <v>0.44519999999999998</v>
      </c>
      <c r="E55" s="47"/>
    </row>
    <row r="56" spans="1:5" ht="28.5" x14ac:dyDescent="0.2">
      <c r="A56" s="46">
        <v>15.1</v>
      </c>
      <c r="B56" s="47" t="str">
        <f>Source!G199</f>
        <v>Щебень из естественного камня для строительных работ, марка 1200-800, фракция 10-20 мм</v>
      </c>
      <c r="C56" s="48" t="str">
        <f>Source!H199</f>
        <v>м3</v>
      </c>
      <c r="D56" s="49">
        <f>Source!I199</f>
        <v>-5.1197999999999997</v>
      </c>
      <c r="E56" s="47"/>
    </row>
    <row r="57" spans="1:5" ht="28.5" x14ac:dyDescent="0.2">
      <c r="A57" s="46">
        <v>15.2</v>
      </c>
      <c r="B57" s="47" t="str">
        <f>Source!G200</f>
        <v>Щебень из естественного камня для строительных работ, марка 1200-800, фракция 20-40 мм</v>
      </c>
      <c r="C57" s="48" t="str">
        <f>Source!H200</f>
        <v>м3</v>
      </c>
      <c r="D57" s="49">
        <f>Source!I200</f>
        <v>-24.486000000000001</v>
      </c>
      <c r="E57" s="47"/>
    </row>
    <row r="58" spans="1:5" ht="28.5" x14ac:dyDescent="0.2">
      <c r="A58" s="46">
        <v>15.3</v>
      </c>
      <c r="B58" s="47" t="str">
        <f>Source!G201</f>
        <v>Щебень из естественного камня для строительных работ, марка 600-400, фракция 5-10 мм</v>
      </c>
      <c r="C58" s="48" t="str">
        <f>Source!H201</f>
        <v>м3</v>
      </c>
      <c r="D58" s="49">
        <f>Source!I201</f>
        <v>29.605799999999999</v>
      </c>
      <c r="E58" s="47"/>
    </row>
    <row r="59" spans="1:5" ht="28.5" x14ac:dyDescent="0.2">
      <c r="A59" s="46">
        <v>16</v>
      </c>
      <c r="B59" s="47" t="str">
        <f>Source!G202</f>
        <v>Устройство покрытий тротуаров из бетонной плитки типа "Брусчатка" рядовым или паркетным мощением</v>
      </c>
      <c r="C59" s="48" t="str">
        <f>Source!H202</f>
        <v>100 м2</v>
      </c>
      <c r="D59" s="49">
        <f>Source!I202</f>
        <v>14.84</v>
      </c>
      <c r="E59" s="47"/>
    </row>
    <row r="60" spans="1:5" ht="28.5" x14ac:dyDescent="0.2">
      <c r="A60" s="46">
        <v>16.100000000000001</v>
      </c>
      <c r="B60" s="47" t="str">
        <f>Source!G203</f>
        <v>Плиты бетонные тротуарные, толщина 70 мм, цвет: разного цвета (Брусчатка Бр 20.10.7, цветная)</v>
      </c>
      <c r="C60" s="48" t="str">
        <f>Source!H203</f>
        <v>м2</v>
      </c>
      <c r="D60" s="49">
        <f>Source!I203</f>
        <v>1558.2</v>
      </c>
      <c r="E60" s="47"/>
    </row>
    <row r="61" spans="1:5" ht="16.5" x14ac:dyDescent="0.25">
      <c r="A61" s="86" t="str">
        <f>CONCATENATE("Раздел: ", Source!G235)</f>
        <v>Раздел: Ремонт покрытия из резиновой крошки (392 м2)</v>
      </c>
      <c r="B61" s="86"/>
      <c r="C61" s="86"/>
      <c r="D61" s="86"/>
      <c r="E61" s="86"/>
    </row>
    <row r="62" spans="1:5" ht="28.5" x14ac:dyDescent="0.2">
      <c r="A62" s="46">
        <v>17</v>
      </c>
      <c r="B62" s="47" t="str">
        <f>Source!G239</f>
        <v>Устройство наливного полиуретанового покрытия спортивных площадок и беговых дорожек толщиной 10 мм</v>
      </c>
      <c r="C62" s="48" t="str">
        <f>Source!H239</f>
        <v>100 м2</v>
      </c>
      <c r="D62" s="49">
        <f>Source!I239</f>
        <v>3.92</v>
      </c>
      <c r="E62" s="47"/>
    </row>
    <row r="63" spans="1:5" ht="14.25" x14ac:dyDescent="0.2">
      <c r="A63" s="46">
        <v>17.100000000000001</v>
      </c>
      <c r="B63" s="47" t="str">
        <f>Source!G240</f>
        <v>Пигменты сухие для красок, кислотный желтый</v>
      </c>
      <c r="C63" s="48" t="str">
        <f>Source!H240</f>
        <v>т</v>
      </c>
      <c r="D63" s="49">
        <f>Source!I240</f>
        <v>-0.20580000000000001</v>
      </c>
      <c r="E63" s="47"/>
    </row>
    <row r="64" spans="1:5" ht="28.5" x14ac:dyDescent="0.2">
      <c r="A64" s="46">
        <v>18</v>
      </c>
      <c r="B64" s="47" t="str">
        <f>Source!G241</f>
        <v>Устройство наливного полиуретанового покрытия спортивных площадок и беговых дорожек, добавляется на 2 мм толщины покрытия</v>
      </c>
      <c r="C64" s="48" t="str">
        <f>Source!H241</f>
        <v>100 м2</v>
      </c>
      <c r="D64" s="49">
        <f>Source!I241</f>
        <v>3.92</v>
      </c>
      <c r="E64" s="47"/>
    </row>
    <row r="65" spans="1:5" ht="14.25" x14ac:dyDescent="0.2">
      <c r="A65" s="46">
        <v>18.100000000000001</v>
      </c>
      <c r="B65" s="47" t="str">
        <f>Source!G242</f>
        <v>Пигменты сухие для красок, кислотный желтый</v>
      </c>
      <c r="C65" s="48" t="str">
        <f>Source!H242</f>
        <v>т</v>
      </c>
      <c r="D65" s="49">
        <f>Source!I242</f>
        <v>-0.20580000000000001</v>
      </c>
      <c r="E65" s="47"/>
    </row>
    <row r="66" spans="1:5" ht="14.25" x14ac:dyDescent="0.2">
      <c r="A66" s="46">
        <v>18.2</v>
      </c>
      <c r="B66" s="47" t="str">
        <f>Source!G243</f>
        <v>Пигменты сухие красного цвета, железоокисные</v>
      </c>
      <c r="C66" s="48" t="str">
        <f>Source!H243</f>
        <v>кг</v>
      </c>
      <c r="D66" s="49">
        <f>Source!I243</f>
        <v>205.8</v>
      </c>
      <c r="E66" s="47"/>
    </row>
    <row r="67" spans="1:5" ht="16.5" x14ac:dyDescent="0.25">
      <c r="A67" s="86" t="str">
        <f>CONCATENATE("Раздел: ", Source!G275)</f>
        <v>Раздел: Замена бортовых камней бетонных Бр 100.20.8 (538,5 мп)</v>
      </c>
      <c r="B67" s="86"/>
      <c r="C67" s="86"/>
      <c r="D67" s="86"/>
      <c r="E67" s="86"/>
    </row>
    <row r="68" spans="1:5" ht="14.25" x14ac:dyDescent="0.2">
      <c r="A68" s="46">
        <v>19</v>
      </c>
      <c r="B68" s="47" t="str">
        <f>Source!G283</f>
        <v>Разборка бортовых камней на бетонном основании</v>
      </c>
      <c r="C68" s="48" t="str">
        <f>Source!H283</f>
        <v>100 м</v>
      </c>
      <c r="D68" s="49">
        <f>Source!I283</f>
        <v>5.3849999999999998</v>
      </c>
      <c r="E68" s="47"/>
    </row>
    <row r="69" spans="1:5" ht="28.5" x14ac:dyDescent="0.2">
      <c r="A69" s="46">
        <v>19.100000000000001</v>
      </c>
      <c r="B69" s="47" t="str">
        <f>Source!G284</f>
        <v>Масса мусора (бетонные изделия 5,92 м3 на 100 м, * 2,4 т = 14,208 т на 100 м)</v>
      </c>
      <c r="C69" s="48" t="str">
        <f>Source!H284</f>
        <v>т</v>
      </c>
      <c r="D69" s="49">
        <f>Source!I284</f>
        <v>76.510080000000002</v>
      </c>
      <c r="E69" s="47"/>
    </row>
    <row r="70" spans="1:5" ht="28.5" x14ac:dyDescent="0.2">
      <c r="A70" s="46">
        <v>20</v>
      </c>
      <c r="B70" s="47" t="str">
        <f>Source!G285</f>
        <v>Установка бортовых камней бетонных газонных и садовых при цементобетонных покрытиях</v>
      </c>
      <c r="C70" s="48" t="str">
        <f>Source!H285</f>
        <v>100 м</v>
      </c>
      <c r="D70" s="49">
        <f>Source!I285</f>
        <v>5.3849999999999998</v>
      </c>
      <c r="E70" s="47"/>
    </row>
    <row r="71" spans="1:5" ht="28.5" x14ac:dyDescent="0.2">
      <c r="A71" s="46">
        <v>21</v>
      </c>
      <c r="B71" s="47" t="str">
        <f>Source!G286</f>
        <v>Перевозка строительного мусора автосамосвалами грузоподъемностью до 10 т на расстояние 1 км - при механизированной погрузке</v>
      </c>
      <c r="C71" s="48" t="str">
        <f>Source!H286</f>
        <v>т</v>
      </c>
      <c r="D71" s="49">
        <f>Source!I286</f>
        <v>68.859071999999998</v>
      </c>
      <c r="E71" s="47"/>
    </row>
    <row r="72" spans="1:5" ht="28.5" x14ac:dyDescent="0.2">
      <c r="A72" s="46">
        <v>22</v>
      </c>
      <c r="B72" s="47" t="str">
        <f>Source!G287</f>
        <v>Перевозка строительного мусора автосамосвалами грузоподъемностью до 10 т на расстояние 1 км - при погрузке вручную</v>
      </c>
      <c r="C72" s="48" t="str">
        <f>Source!H287</f>
        <v>т</v>
      </c>
      <c r="D72" s="49">
        <f>Source!I287</f>
        <v>7.651008</v>
      </c>
      <c r="E72" s="47"/>
    </row>
    <row r="73" spans="1:5" ht="28.5" x14ac:dyDescent="0.2">
      <c r="A73" s="46">
        <v>23</v>
      </c>
      <c r="B73" s="47" t="str">
        <f>Source!G288</f>
        <v>Перевозка строительного мусора автосамосвалами грузоподъемностью до 10 т - добавляется на каждый последующий 1 км до 100 км</v>
      </c>
      <c r="C73" s="48" t="str">
        <f>Source!H288</f>
        <v>т</v>
      </c>
      <c r="D73" s="49">
        <f>Source!I288</f>
        <v>76.510080000000002</v>
      </c>
      <c r="E73" s="47"/>
    </row>
    <row r="74" spans="1:5" s="64" customFormat="1" ht="57" x14ac:dyDescent="0.2">
      <c r="A74" s="46">
        <v>24</v>
      </c>
      <c r="B74" s="47" t="str">
        <f>Source!G289</f>
        <v>Стоимость приемки отходов строительства и сноса (боя кирпичной кладки, бетонных и железобетонных изделий, отходов бетона и железобетона, асфальтобетона в кусковой форме) для переработки дробильными комплексами</v>
      </c>
      <c r="C74" s="48" t="str">
        <f>Source!H289</f>
        <v>т</v>
      </c>
      <c r="D74" s="49">
        <f>Source!I289</f>
        <v>76.510080000000002</v>
      </c>
      <c r="E74" s="47"/>
    </row>
    <row r="75" spans="1:5" ht="16.5" x14ac:dyDescent="0.25">
      <c r="A75" s="86" t="str">
        <f>CONCATENATE("Раздел: ", Source!G321)</f>
        <v>Раздел: Замена бортовых камней бетонных Бр 100.30.15 (265 мп)</v>
      </c>
      <c r="B75" s="86"/>
      <c r="C75" s="86"/>
      <c r="D75" s="86"/>
      <c r="E75" s="86"/>
    </row>
    <row r="76" spans="1:5" ht="14.25" x14ac:dyDescent="0.2">
      <c r="A76" s="46">
        <v>25</v>
      </c>
      <c r="B76" s="47" t="str">
        <f>Source!G329</f>
        <v>Замена бортового камня бетонного во дворовых территориях</v>
      </c>
      <c r="C76" s="48" t="str">
        <f>Source!H329</f>
        <v>м</v>
      </c>
      <c r="D76" s="49">
        <f>Source!I329</f>
        <v>265</v>
      </c>
      <c r="E76" s="47"/>
    </row>
    <row r="77" spans="1:5" ht="14.25" x14ac:dyDescent="0.2">
      <c r="A77" s="46">
        <v>25.1</v>
      </c>
      <c r="B77" s="47" t="str">
        <f>Source!G330</f>
        <v>Масса мусора</v>
      </c>
      <c r="C77" s="48" t="str">
        <f>Source!H330</f>
        <v>т</v>
      </c>
      <c r="D77" s="49">
        <f>Source!I330</f>
        <v>-65.19</v>
      </c>
      <c r="E77" s="47"/>
    </row>
    <row r="78" spans="1:5" ht="28.5" x14ac:dyDescent="0.2">
      <c r="A78" s="46">
        <v>26</v>
      </c>
      <c r="B78" s="47" t="str">
        <f>Source!G331</f>
        <v>Перевозка строительного мусора автосамосвалами грузоподъемностью до 10 т на расстояние 1 км - при механизированной погрузке</v>
      </c>
      <c r="C78" s="48" t="str">
        <f>Source!H331</f>
        <v>т</v>
      </c>
      <c r="D78" s="49">
        <f>Source!I331</f>
        <v>58.670999999999999</v>
      </c>
      <c r="E78" s="47"/>
    </row>
    <row r="79" spans="1:5" ht="28.5" x14ac:dyDescent="0.2">
      <c r="A79" s="46">
        <v>27</v>
      </c>
      <c r="B79" s="47" t="str">
        <f>Source!G332</f>
        <v>Перевозка строительного мусора автосамосвалами грузоподъемностью до 10 т на расстояние 1 км - при погрузке вручную</v>
      </c>
      <c r="C79" s="48" t="str">
        <f>Source!H332</f>
        <v>т</v>
      </c>
      <c r="D79" s="49">
        <f>Source!I332</f>
        <v>6.5190000000000001</v>
      </c>
      <c r="E79" s="47"/>
    </row>
    <row r="80" spans="1:5" ht="28.5" x14ac:dyDescent="0.2">
      <c r="A80" s="46">
        <v>28</v>
      </c>
      <c r="B80" s="47" t="str">
        <f>Source!G333</f>
        <v>Перевозка строительного мусора автосамосвалами грузоподъемностью до 10 т - добавляется на каждый последующий 1 км до 100 км</v>
      </c>
      <c r="C80" s="48" t="str">
        <f>Source!H333</f>
        <v>т</v>
      </c>
      <c r="D80" s="49">
        <f>Source!I333</f>
        <v>65.19</v>
      </c>
      <c r="E80" s="47"/>
    </row>
    <row r="81" spans="1:5" s="64" customFormat="1" ht="57" x14ac:dyDescent="0.2">
      <c r="A81" s="46">
        <v>29</v>
      </c>
      <c r="B81" s="47" t="str">
        <f>Source!G334</f>
        <v>Стоимость приемки отходов строительства и сноса (боя кирпичной кладки, бетонных и железобетонных изделий, отходов бетона и железобетона, асфальтобетона в кусковой форме) для переработки дробильными комплексами</v>
      </c>
      <c r="C81" s="48" t="str">
        <f>Source!H334</f>
        <v>т</v>
      </c>
      <c r="D81" s="49">
        <f>Source!I334</f>
        <v>65.19</v>
      </c>
      <c r="E81" s="47"/>
    </row>
    <row r="82" spans="1:5" ht="16.5" x14ac:dyDescent="0.25">
      <c r="A82" s="86" t="str">
        <f>CONCATENATE("Раздел: ", Source!G367)</f>
        <v>Раздел: Устройство газона (1000 м2)</v>
      </c>
      <c r="B82" s="86"/>
      <c r="C82" s="86"/>
      <c r="D82" s="86"/>
      <c r="E82" s="86"/>
    </row>
    <row r="83" spans="1:5" ht="28.5" x14ac:dyDescent="0.2">
      <c r="A83" s="46">
        <v>30</v>
      </c>
      <c r="B83" s="47" t="str">
        <f>Source!G371</f>
        <v>Разработка грунта с погрузкой на автомобили-самосвалы экскаваторами с ковшом вместимостью 0,5 м3, группа грунтов 1-3</v>
      </c>
      <c r="C83" s="48" t="str">
        <f>Source!H371</f>
        <v>100 м3</v>
      </c>
      <c r="D83" s="49">
        <f>Source!I371</f>
        <v>0.75</v>
      </c>
      <c r="E83" s="47"/>
    </row>
    <row r="84" spans="1:5" ht="28.5" x14ac:dyDescent="0.2">
      <c r="A84" s="46">
        <v>31</v>
      </c>
      <c r="B84" s="47" t="str">
        <f>Source!G372</f>
        <v>Разработка грунта вручную в траншеях глубиной до 2 м без креплений с откосами группа грунтов 1-3</v>
      </c>
      <c r="C84" s="48" t="str">
        <f>Source!H372</f>
        <v>100 м3</v>
      </c>
      <c r="D84" s="49">
        <f>Source!I372</f>
        <v>0.25</v>
      </c>
      <c r="E84" s="47"/>
    </row>
    <row r="85" spans="1:5" ht="28.5" x14ac:dyDescent="0.2">
      <c r="A85" s="46">
        <v>32</v>
      </c>
      <c r="B85" s="47" t="str">
        <f>Source!G373</f>
        <v>Разработка грунта с погрузкой на автомобили-самосвалы экскаваторами с ковшом вместимостью 0,5 м3, группа грунтов 1-3</v>
      </c>
      <c r="C85" s="48" t="str">
        <f>Source!H373</f>
        <v>100 м3</v>
      </c>
      <c r="D85" s="49">
        <f>Source!I373</f>
        <v>0.22500000000000001</v>
      </c>
      <c r="E85" s="47"/>
    </row>
    <row r="86" spans="1:5" ht="14.25" x14ac:dyDescent="0.2">
      <c r="A86" s="46">
        <v>33</v>
      </c>
      <c r="B86" s="47" t="str">
        <f>Source!G374</f>
        <v>Погрузка грунта вручную в автомобили-самосвалы с выгрузкой</v>
      </c>
      <c r="C86" s="48" t="str">
        <f>Source!H374</f>
        <v>100 м3</v>
      </c>
      <c r="D86" s="49">
        <f>Source!I374</f>
        <v>2.5000000000000001E-2</v>
      </c>
      <c r="E86" s="47"/>
    </row>
    <row r="87" spans="1:5" ht="28.5" x14ac:dyDescent="0.2">
      <c r="A87" s="46">
        <v>34</v>
      </c>
      <c r="B87" s="47" t="str">
        <f>Source!G375</f>
        <v>Перевозка грунта автосамосвалами грузоподъемностью до 10 т на расстояние 1 км</v>
      </c>
      <c r="C87" s="48" t="str">
        <f>Source!H375</f>
        <v>м3</v>
      </c>
      <c r="D87" s="49">
        <f>Source!I375</f>
        <v>100</v>
      </c>
      <c r="E87" s="47"/>
    </row>
    <row r="88" spans="1:5" ht="28.5" x14ac:dyDescent="0.2">
      <c r="A88" s="46">
        <v>35</v>
      </c>
      <c r="B88" s="47" t="str">
        <f>Source!G376</f>
        <v>Перевозка грунта автосамосвалами грузоподъемностью до 10 т - добавляется на каждый последующий 1 км до 100 км (к поз. 49-3401-1-1)</v>
      </c>
      <c r="C88" s="48" t="str">
        <f>Source!H376</f>
        <v>м3</v>
      </c>
      <c r="D88" s="49">
        <f>Source!I376</f>
        <v>100</v>
      </c>
      <c r="E88" s="47"/>
    </row>
    <row r="89" spans="1:5" s="64" customFormat="1" ht="42.75" x14ac:dyDescent="0.2">
      <c r="A89" s="46">
        <v>36</v>
      </c>
      <c r="B89" s="47" t="str">
        <f>Source!G377</f>
        <v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v>
      </c>
      <c r="C89" s="48" t="str">
        <f>Source!H377</f>
        <v>т</v>
      </c>
      <c r="D89" s="49">
        <f>Source!I377</f>
        <v>140</v>
      </c>
      <c r="E89" s="47"/>
    </row>
    <row r="90" spans="1:5" ht="42.75" x14ac:dyDescent="0.2">
      <c r="A90" s="46">
        <v>37</v>
      </c>
      <c r="B90" s="47" t="str">
        <f>Source!G378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C90" s="48" t="str">
        <f>Source!H378</f>
        <v>100 м2</v>
      </c>
      <c r="D90" s="49">
        <f>Source!I378</f>
        <v>7.5</v>
      </c>
      <c r="E90" s="47"/>
    </row>
    <row r="91" spans="1:5" ht="28.5" x14ac:dyDescent="0.2">
      <c r="A91" s="46">
        <v>38</v>
      </c>
      <c r="B91" s="47" t="str">
        <f>Source!G379</f>
        <v>Подготовка почвы для устройства партерного и обыкновенного газонов с внесением растительной земли слоем 15 см вручную</v>
      </c>
      <c r="C91" s="48" t="str">
        <f>Source!H379</f>
        <v>100 м2</v>
      </c>
      <c r="D91" s="49">
        <f>Source!I379</f>
        <v>2.5</v>
      </c>
      <c r="E91" s="47"/>
    </row>
    <row r="92" spans="1:5" ht="28.5" x14ac:dyDescent="0.2">
      <c r="A92" s="46">
        <v>39</v>
      </c>
      <c r="B92" s="47" t="str">
        <f>Source!G380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C92" s="48" t="str">
        <f>Source!H380</f>
        <v>100 м2</v>
      </c>
      <c r="D92" s="49">
        <f>Source!I380</f>
        <v>10</v>
      </c>
      <c r="E92" s="47"/>
    </row>
    <row r="93" spans="1:5" ht="28.5" x14ac:dyDescent="0.2">
      <c r="A93" s="46">
        <v>40</v>
      </c>
      <c r="B93" s="47" t="str">
        <f>Source!G381</f>
        <v>Сплошная укладка готового газона в рулонах на горизонтальных поверхностях или откосах с уклоном на круче 1:2</v>
      </c>
      <c r="C93" s="48" t="str">
        <f>Source!H381</f>
        <v>100 м2</v>
      </c>
      <c r="D93" s="49">
        <f>Source!I381</f>
        <v>10</v>
      </c>
      <c r="E93" s="47"/>
    </row>
    <row r="94" spans="1:5" ht="16.5" x14ac:dyDescent="0.25">
      <c r="A94" s="86" t="str">
        <f>CONCATENATE("Раздел: ", Source!G413)</f>
        <v>Раздел: Устройство асфальтобетонного покрытия площадок (828 м2)</v>
      </c>
      <c r="B94" s="86"/>
      <c r="C94" s="86"/>
      <c r="D94" s="86"/>
      <c r="E94" s="86"/>
    </row>
    <row r="95" spans="1:5" ht="14.25" x14ac:dyDescent="0.2">
      <c r="A95" s="46">
        <v>41</v>
      </c>
      <c r="B95" s="47" t="str">
        <f>Source!G419</f>
        <v>Устройство подстилающих и выравнивающих слоев оснований из песка</v>
      </c>
      <c r="C95" s="48" t="str">
        <f>Source!H419</f>
        <v>100 м3</v>
      </c>
      <c r="D95" s="49">
        <f>Source!I419</f>
        <v>1.242</v>
      </c>
      <c r="E95" s="47"/>
    </row>
    <row r="96" spans="1:5" ht="14.25" x14ac:dyDescent="0.2">
      <c r="A96" s="46">
        <v>42</v>
      </c>
      <c r="B96" s="47" t="str">
        <f>Source!G420</f>
        <v>Устройство подстилающих и выравнивающих слоев оснований из щебня</v>
      </c>
      <c r="C96" s="48" t="str">
        <f>Source!H420</f>
        <v>100 м3</v>
      </c>
      <c r="D96" s="49">
        <f>Source!I420</f>
        <v>0.82799999999999996</v>
      </c>
      <c r="E96" s="47"/>
    </row>
    <row r="97" spans="1:5" ht="28.5" x14ac:dyDescent="0.2">
      <c r="A97" s="46">
        <v>42.1</v>
      </c>
      <c r="B97" s="47" t="str">
        <f>Source!G421</f>
        <v>Щебень из естественного камня для строительных работ, марка 1200-800, фракция 20-40 мм</v>
      </c>
      <c r="C97" s="48" t="str">
        <f>Source!H421</f>
        <v>м3</v>
      </c>
      <c r="D97" s="49">
        <f>Source!I421</f>
        <v>-104.328</v>
      </c>
      <c r="E97" s="47"/>
    </row>
    <row r="98" spans="1:5" ht="28.5" x14ac:dyDescent="0.2">
      <c r="A98" s="46">
        <v>42.2</v>
      </c>
      <c r="B98" s="47" t="str">
        <f>Source!G422</f>
        <v>Щебень из естественного камня для строительных работ, марка 600-400, фракция 20-40 мм</v>
      </c>
      <c r="C98" s="48" t="str">
        <f>Source!H422</f>
        <v>м3</v>
      </c>
      <c r="D98" s="49">
        <f>Source!I422</f>
        <v>104.328</v>
      </c>
      <c r="E98" s="47"/>
    </row>
    <row r="99" spans="1:5" ht="14.25" x14ac:dyDescent="0.2">
      <c r="A99" s="46">
        <v>43</v>
      </c>
      <c r="B99" s="47" t="str">
        <f>Source!G423</f>
        <v>Устройство подстилающих и выравнивающих слоев оснований из щебня</v>
      </c>
      <c r="C99" s="48" t="str">
        <f>Source!H423</f>
        <v>100 м3</v>
      </c>
      <c r="D99" s="49">
        <f>Source!I423</f>
        <v>0.24840000000000001</v>
      </c>
      <c r="E99" s="47"/>
    </row>
    <row r="100" spans="1:5" ht="28.5" x14ac:dyDescent="0.2">
      <c r="A100" s="46">
        <v>43.1</v>
      </c>
      <c r="B100" s="47" t="str">
        <f>Source!G424</f>
        <v>Щебень из естественного камня для строительных работ, марка 1200-800, фракция 20-40 мм</v>
      </c>
      <c r="C100" s="48" t="str">
        <f>Source!H424</f>
        <v>м3</v>
      </c>
      <c r="D100" s="49">
        <f>Source!I424</f>
        <v>-31.298400000000001</v>
      </c>
      <c r="E100" s="47"/>
    </row>
    <row r="101" spans="1:5" ht="28.5" x14ac:dyDescent="0.2">
      <c r="A101" s="46">
        <v>43.2</v>
      </c>
      <c r="B101" s="47" t="str">
        <f>Source!G425</f>
        <v>Щебень из естественного камня для строительных работ, марка 600-400, фракция 5-10 мм</v>
      </c>
      <c r="C101" s="48" t="str">
        <f>Source!H425</f>
        <v>м3</v>
      </c>
      <c r="D101" s="49">
        <f>Source!I425</f>
        <v>31.298400000000001</v>
      </c>
      <c r="E101" s="47"/>
    </row>
    <row r="102" spans="1:5" ht="28.5" x14ac:dyDescent="0.2">
      <c r="A102" s="46">
        <v>44</v>
      </c>
      <c r="B102" s="47" t="str">
        <f>Source!G426</f>
        <v>Устройство покрытий из асфальтобетонных смесей вручную, толщина 4 см (5 см)</v>
      </c>
      <c r="C102" s="48" t="str">
        <f>Source!H426</f>
        <v>100 м2</v>
      </c>
      <c r="D102" s="49">
        <f>Source!I426</f>
        <v>8.2799999999999994</v>
      </c>
      <c r="E102" s="47"/>
    </row>
    <row r="103" spans="1:5" ht="28.5" x14ac:dyDescent="0.2">
      <c r="A103" s="46">
        <v>44.1</v>
      </c>
      <c r="B103" s="47" t="str">
        <f>Source!G427</f>
        <v>Смеси асфальтобетонные дорожные горячие мелкозернистые, марка I, тип Б</v>
      </c>
      <c r="C103" s="48" t="str">
        <f>Source!H427</f>
        <v>т</v>
      </c>
      <c r="D103" s="49">
        <f>Source!I427</f>
        <v>-79.322399999999988</v>
      </c>
      <c r="E103" s="47"/>
    </row>
    <row r="104" spans="1:5" ht="14.25" x14ac:dyDescent="0.2">
      <c r="A104" s="46">
        <v>44.2</v>
      </c>
      <c r="B104" s="47" t="str">
        <f>Source!G428</f>
        <v>Смеси асфальтобетонные дорожные горячие песчаные, тип Д, марка III</v>
      </c>
      <c r="C104" s="48" t="str">
        <f>Source!H428</f>
        <v>т</v>
      </c>
      <c r="D104" s="49">
        <f>Source!I428</f>
        <v>96.627600000000001</v>
      </c>
      <c r="E104" s="47"/>
    </row>
    <row r="105" spans="1:5" ht="16.5" x14ac:dyDescent="0.25">
      <c r="A105" s="86" t="str">
        <f>CONCATENATE("Раздел: ", Source!G460)</f>
        <v>Раздел: Устройство покрытия из резиновой крошки (828 м2)</v>
      </c>
      <c r="B105" s="86"/>
      <c r="C105" s="86"/>
      <c r="D105" s="86"/>
      <c r="E105" s="86"/>
    </row>
    <row r="106" spans="1:5" ht="28.5" x14ac:dyDescent="0.2">
      <c r="A106" s="46">
        <v>45</v>
      </c>
      <c r="B106" s="47" t="str">
        <f>Source!G464</f>
        <v>Устройство наливного полиуретанового покрытия спортивных площадок и беговых дорожек толщиной 10 мм</v>
      </c>
      <c r="C106" s="48" t="str">
        <f>Source!H464</f>
        <v>100 м2</v>
      </c>
      <c r="D106" s="49">
        <f>Source!I464</f>
        <v>8.2799999999999994</v>
      </c>
      <c r="E106" s="47"/>
    </row>
    <row r="107" spans="1:5" ht="14.25" x14ac:dyDescent="0.2">
      <c r="A107" s="46">
        <v>45.1</v>
      </c>
      <c r="B107" s="47" t="str">
        <f>Source!G465</f>
        <v>Пигменты сухие для красок, кислотный желтый</v>
      </c>
      <c r="C107" s="48" t="str">
        <f>Source!H465</f>
        <v>т</v>
      </c>
      <c r="D107" s="49">
        <f>Source!I465</f>
        <v>-0.43469999999999998</v>
      </c>
      <c r="E107" s="47"/>
    </row>
    <row r="108" spans="1:5" ht="28.5" x14ac:dyDescent="0.2">
      <c r="A108" s="46">
        <v>46</v>
      </c>
      <c r="B108" s="47" t="str">
        <f>Source!G466</f>
        <v>Устройство наливного полиуретанового покрытия спортивных площадок и беговых дорожек, добавляется на 2 мм толщины покрытия</v>
      </c>
      <c r="C108" s="48" t="str">
        <f>Source!H466</f>
        <v>100 м2</v>
      </c>
      <c r="D108" s="49">
        <f>Source!I466</f>
        <v>8.2799999999999994</v>
      </c>
      <c r="E108" s="47"/>
    </row>
    <row r="109" spans="1:5" ht="14.25" x14ac:dyDescent="0.2">
      <c r="A109" s="46">
        <v>46.1</v>
      </c>
      <c r="B109" s="47" t="str">
        <f>Source!G467</f>
        <v>Пигменты сухие для красок, кислотный желтый</v>
      </c>
      <c r="C109" s="48" t="str">
        <f>Source!H467</f>
        <v>т</v>
      </c>
      <c r="D109" s="49">
        <f>Source!I467</f>
        <v>-0.43469999999999998</v>
      </c>
      <c r="E109" s="47"/>
    </row>
    <row r="110" spans="1:5" ht="14.25" x14ac:dyDescent="0.2">
      <c r="A110" s="42">
        <v>46.2</v>
      </c>
      <c r="B110" s="43" t="str">
        <f>Source!G468</f>
        <v>Пигменты сухие красного цвета, железоокисные</v>
      </c>
      <c r="C110" s="44" t="str">
        <f>Source!H468</f>
        <v>кг</v>
      </c>
      <c r="D110" s="45">
        <f>Source!I468</f>
        <v>434.7</v>
      </c>
      <c r="E110" s="43"/>
    </row>
    <row r="113" spans="1:5" ht="15" x14ac:dyDescent="0.25">
      <c r="A113" s="33" t="s">
        <v>630</v>
      </c>
      <c r="B113" s="33"/>
      <c r="C113" s="33" t="s">
        <v>631</v>
      </c>
      <c r="D113" s="33"/>
      <c r="E113" s="33"/>
    </row>
  </sheetData>
  <mergeCells count="16">
    <mergeCell ref="A20:E20"/>
    <mergeCell ref="C5:D5"/>
    <mergeCell ref="C7:D7"/>
    <mergeCell ref="A11:D11"/>
    <mergeCell ref="A12:D12"/>
    <mergeCell ref="A19:E19"/>
    <mergeCell ref="A75:E75"/>
    <mergeCell ref="A82:E82"/>
    <mergeCell ref="A94:E94"/>
    <mergeCell ref="A105:E105"/>
    <mergeCell ref="A28:E28"/>
    <mergeCell ref="A36:E36"/>
    <mergeCell ref="A51:E51"/>
    <mergeCell ref="A54:E54"/>
    <mergeCell ref="A61:E61"/>
    <mergeCell ref="A67:E67"/>
  </mergeCells>
  <pageMargins left="0.4" right="0.2" top="0.2" bottom="0.4" header="0.2" footer="0.2"/>
  <pageSetup paperSize="9" scale="77" fitToHeight="0" orientation="portrait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3A61-D55B-4E87-AF19-148F5DC2B2DB}">
  <dimension ref="A1:X230"/>
  <sheetViews>
    <sheetView workbookViewId="0"/>
  </sheetViews>
  <sheetFormatPr defaultRowHeight="12.75" x14ac:dyDescent="0.2"/>
  <sheetData>
    <row r="1" spans="1:24" x14ac:dyDescent="0.2">
      <c r="A1" t="s">
        <v>591</v>
      </c>
      <c r="B1" t="s">
        <v>592</v>
      </c>
      <c r="C1" t="s">
        <v>593</v>
      </c>
      <c r="D1" t="s">
        <v>594</v>
      </c>
      <c r="E1" t="s">
        <v>595</v>
      </c>
      <c r="F1" t="s">
        <v>596</v>
      </c>
      <c r="G1" t="s">
        <v>597</v>
      </c>
      <c r="H1" t="s">
        <v>598</v>
      </c>
      <c r="I1" t="s">
        <v>599</v>
      </c>
      <c r="J1" t="s">
        <v>600</v>
      </c>
      <c r="K1" t="s">
        <v>601</v>
      </c>
      <c r="L1" t="s">
        <v>602</v>
      </c>
    </row>
    <row r="2" spans="1:24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56440881</v>
      </c>
    </row>
    <row r="4" spans="1:24" x14ac:dyDescent="0.2">
      <c r="A4" t="s">
        <v>567</v>
      </c>
      <c r="B4" t="s">
        <v>568</v>
      </c>
      <c r="C4" t="s">
        <v>569</v>
      </c>
      <c r="D4" t="s">
        <v>570</v>
      </c>
      <c r="E4" t="s">
        <v>571</v>
      </c>
      <c r="F4" t="s">
        <v>572</v>
      </c>
      <c r="G4" t="s">
        <v>573</v>
      </c>
      <c r="H4" t="s">
        <v>574</v>
      </c>
      <c r="I4" t="s">
        <v>575</v>
      </c>
      <c r="J4" t="s">
        <v>576</v>
      </c>
      <c r="K4" t="s">
        <v>577</v>
      </c>
      <c r="L4" t="s">
        <v>578</v>
      </c>
      <c r="M4" t="s">
        <v>579</v>
      </c>
      <c r="N4" t="s">
        <v>580</v>
      </c>
      <c r="O4" t="s">
        <v>581</v>
      </c>
      <c r="P4" t="s">
        <v>582</v>
      </c>
      <c r="Q4" t="s">
        <v>583</v>
      </c>
      <c r="R4" t="s">
        <v>584</v>
      </c>
      <c r="S4" t="s">
        <v>585</v>
      </c>
      <c r="T4" t="s">
        <v>586</v>
      </c>
      <c r="U4" t="s">
        <v>587</v>
      </c>
      <c r="V4" t="s">
        <v>588</v>
      </c>
      <c r="W4" t="s">
        <v>589</v>
      </c>
      <c r="X4" t="s">
        <v>590</v>
      </c>
    </row>
    <row r="6" spans="1:24" x14ac:dyDescent="0.2">
      <c r="A6">
        <f>Source!A20</f>
        <v>3</v>
      </c>
      <c r="B6">
        <v>20</v>
      </c>
      <c r="G6" t="str">
        <f>Source!G20</f>
        <v>Благоустройство территории, прилегающей к ГБОУ Школа № 1788 по адресу: г. Москва, пос. Внуковское, ул. Летчика Грицевца, д. 5, к. 1</v>
      </c>
    </row>
    <row r="7" spans="1:24" x14ac:dyDescent="0.2">
      <c r="A7">
        <f>Source!A24</f>
        <v>4</v>
      </c>
      <c r="B7">
        <v>24</v>
      </c>
      <c r="G7" t="str">
        <f>Source!G24</f>
        <v>Ремонт асфальтобетонного покрытия тротуаров (155,5 м2)</v>
      </c>
    </row>
    <row r="8" spans="1:24" x14ac:dyDescent="0.2">
      <c r="A8">
        <v>20</v>
      </c>
      <c r="B8">
        <v>10</v>
      </c>
      <c r="C8">
        <v>3</v>
      </c>
      <c r="D8">
        <v>0</v>
      </c>
      <c r="E8">
        <f>SmtRes!AV10</f>
        <v>0</v>
      </c>
      <c r="F8" t="str">
        <f>SmtRes!I10</f>
        <v>21.1-25-13</v>
      </c>
      <c r="G8" t="str">
        <f>SmtRes!K10</f>
        <v>Вода</v>
      </c>
      <c r="H8" t="str">
        <f>SmtRes!O10</f>
        <v>м3</v>
      </c>
      <c r="I8">
        <f>SmtRes!Y10*Source!I28</f>
        <v>1.16625</v>
      </c>
      <c r="J8">
        <f>SmtRes!AO10</f>
        <v>1</v>
      </c>
      <c r="K8">
        <f>SmtRes!AE10</f>
        <v>33.729999999999997</v>
      </c>
      <c r="L8">
        <f>SmtRes!DB10</f>
        <v>843.25</v>
      </c>
      <c r="M8">
        <f>ROUND(ROUND(L8*Source!I28, 2)*1, 2)</f>
        <v>39.340000000000003</v>
      </c>
      <c r="N8">
        <f>SmtRes!AA10</f>
        <v>33.729999999999997</v>
      </c>
      <c r="O8">
        <f>ROUND(ROUND(L8*Source!I28, 2)*SmtRes!DA10, 2)</f>
        <v>39.340000000000003</v>
      </c>
      <c r="P8">
        <f>SmtRes!AG10</f>
        <v>0</v>
      </c>
      <c r="Q8">
        <f>SmtRes!DC10</f>
        <v>0</v>
      </c>
      <c r="R8">
        <f>ROUND(ROUND(Q8*Source!I28, 2)*1, 2)</f>
        <v>0</v>
      </c>
      <c r="S8">
        <f>SmtRes!AC10</f>
        <v>0</v>
      </c>
      <c r="T8">
        <f>ROUND(ROUND(Q8*Source!I28, 2)*SmtRes!AK10, 2)</f>
        <v>0</v>
      </c>
      <c r="U8">
        <f>SmtRes!X10</f>
        <v>1964795396</v>
      </c>
      <c r="V8">
        <v>711765246</v>
      </c>
      <c r="W8">
        <v>711765246</v>
      </c>
      <c r="X8">
        <v>3</v>
      </c>
    </row>
    <row r="9" spans="1:24" x14ac:dyDescent="0.2">
      <c r="A9">
        <v>20</v>
      </c>
      <c r="B9">
        <v>6</v>
      </c>
      <c r="C9">
        <v>2</v>
      </c>
      <c r="D9">
        <v>0</v>
      </c>
      <c r="E9">
        <f>SmtRes!AV6</f>
        <v>0</v>
      </c>
      <c r="F9" t="str">
        <f>SmtRes!I6</f>
        <v>22.1-5-47</v>
      </c>
      <c r="G9" t="str">
        <f>SmtRes!K6</f>
        <v>Автогрейдеры, мощность 66-88 кВт (90-120 л.с.)</v>
      </c>
      <c r="H9" t="str">
        <f>SmtRes!O6</f>
        <v>маш.-ч</v>
      </c>
      <c r="I9">
        <f>SmtRes!Y6*Source!I28</f>
        <v>0.27103649999999996</v>
      </c>
      <c r="J9">
        <f>SmtRes!AO6</f>
        <v>1</v>
      </c>
      <c r="K9">
        <f>SmtRes!AF6</f>
        <v>1467.62</v>
      </c>
      <c r="L9">
        <f>SmtRes!DB6</f>
        <v>8526.8700000000008</v>
      </c>
      <c r="M9">
        <f>ROUND(ROUND(L9*Source!I28, 2)*1, 2)</f>
        <v>397.78</v>
      </c>
      <c r="N9">
        <f>SmtRes!AB6</f>
        <v>1467.62</v>
      </c>
      <c r="O9">
        <f>ROUND(ROUND(L9*Source!I28, 2)*SmtRes!DA6, 2)</f>
        <v>397.78</v>
      </c>
      <c r="P9">
        <f>SmtRes!AG6</f>
        <v>682.01</v>
      </c>
      <c r="Q9">
        <f>SmtRes!DC6</f>
        <v>3962.48</v>
      </c>
      <c r="R9">
        <f>ROUND(ROUND(Q9*Source!I28, 2)*1, 2)</f>
        <v>184.85</v>
      </c>
      <c r="S9">
        <f>SmtRes!AC6</f>
        <v>682.01</v>
      </c>
      <c r="T9">
        <f>ROUND(ROUND(Q9*Source!I28, 2)*SmtRes!AK6, 2)</f>
        <v>184.85</v>
      </c>
      <c r="U9">
        <f>SmtRes!X6</f>
        <v>-1613012731</v>
      </c>
      <c r="V9">
        <v>1473812673</v>
      </c>
      <c r="W9">
        <v>1473812673</v>
      </c>
      <c r="X9">
        <v>2</v>
      </c>
    </row>
    <row r="10" spans="1:24" x14ac:dyDescent="0.2">
      <c r="A10">
        <v>20</v>
      </c>
      <c r="B10">
        <v>5</v>
      </c>
      <c r="C10">
        <v>2</v>
      </c>
      <c r="D10">
        <v>0</v>
      </c>
      <c r="E10">
        <f>SmtRes!AV5</f>
        <v>0</v>
      </c>
      <c r="F10" t="str">
        <f>SmtRes!I5</f>
        <v>22.1-5-3</v>
      </c>
      <c r="G10" t="str">
        <f>SmtRes!K5</f>
        <v>Катки самоходные вибрационные, масса более 8 т</v>
      </c>
      <c r="H10" t="str">
        <f>SmtRes!O5</f>
        <v>маш.-ч</v>
      </c>
      <c r="I10">
        <f>SmtRes!Y5*Source!I28</f>
        <v>1.5016634999999998</v>
      </c>
      <c r="J10">
        <f>SmtRes!AO5</f>
        <v>1</v>
      </c>
      <c r="K10">
        <f>SmtRes!AF5</f>
        <v>1741.23</v>
      </c>
      <c r="L10">
        <f>SmtRes!DB5</f>
        <v>56050.19</v>
      </c>
      <c r="M10">
        <f>ROUND(ROUND(L10*Source!I28, 2)*1, 2)</f>
        <v>2614.7399999999998</v>
      </c>
      <c r="N10">
        <f>SmtRes!AB5</f>
        <v>1741.23</v>
      </c>
      <c r="O10">
        <f>ROUND(ROUND(L10*Source!I28, 2)*SmtRes!DA5, 2)</f>
        <v>2614.7399999999998</v>
      </c>
      <c r="P10">
        <f>SmtRes!AG5</f>
        <v>685.71</v>
      </c>
      <c r="Q10">
        <f>SmtRes!DC5</f>
        <v>22073</v>
      </c>
      <c r="R10">
        <f>ROUND(ROUND(Q10*Source!I28, 2)*1, 2)</f>
        <v>1029.71</v>
      </c>
      <c r="S10">
        <f>SmtRes!AC5</f>
        <v>685.71</v>
      </c>
      <c r="T10">
        <f>ROUND(ROUND(Q10*Source!I28, 2)*SmtRes!AK5, 2)</f>
        <v>1029.71</v>
      </c>
      <c r="U10">
        <f>SmtRes!X5</f>
        <v>-1845376792</v>
      </c>
      <c r="V10">
        <v>745564748</v>
      </c>
      <c r="W10">
        <v>745564748</v>
      </c>
      <c r="X10">
        <v>2</v>
      </c>
    </row>
    <row r="11" spans="1:24" x14ac:dyDescent="0.2">
      <c r="A11">
        <v>20</v>
      </c>
      <c r="B11">
        <v>4</v>
      </c>
      <c r="C11">
        <v>2</v>
      </c>
      <c r="D11">
        <v>0</v>
      </c>
      <c r="E11">
        <f>SmtRes!AV4</f>
        <v>0</v>
      </c>
      <c r="F11" t="str">
        <f>SmtRes!I4</f>
        <v>22.1-5-2</v>
      </c>
      <c r="G11" t="str">
        <f>SmtRes!K4</f>
        <v>Катки самоходные вибрационные, масса до 8 т</v>
      </c>
      <c r="H11" t="str">
        <f>SmtRes!O4</f>
        <v>маш.-ч</v>
      </c>
      <c r="I11">
        <f>SmtRes!Y4*Source!I28</f>
        <v>0.52527899999999994</v>
      </c>
      <c r="J11">
        <f>SmtRes!AO4</f>
        <v>1</v>
      </c>
      <c r="K11">
        <f>SmtRes!AF4</f>
        <v>1207.81</v>
      </c>
      <c r="L11">
        <f>SmtRes!DB4</f>
        <v>13599.94</v>
      </c>
      <c r="M11">
        <f>ROUND(ROUND(L11*Source!I28, 2)*1, 2)</f>
        <v>634.44000000000005</v>
      </c>
      <c r="N11">
        <f>SmtRes!AB4</f>
        <v>1207.81</v>
      </c>
      <c r="O11">
        <f>ROUND(ROUND(L11*Source!I28, 2)*SmtRes!DA4, 2)</f>
        <v>634.44000000000005</v>
      </c>
      <c r="P11">
        <f>SmtRes!AG4</f>
        <v>504.4</v>
      </c>
      <c r="Q11">
        <f>SmtRes!DC4</f>
        <v>5679.54</v>
      </c>
      <c r="R11">
        <f>ROUND(ROUND(Q11*Source!I28, 2)*1, 2)</f>
        <v>264.95</v>
      </c>
      <c r="S11">
        <f>SmtRes!AC4</f>
        <v>504.4</v>
      </c>
      <c r="T11">
        <f>ROUND(ROUND(Q11*Source!I28, 2)*SmtRes!AK4, 2)</f>
        <v>264.95</v>
      </c>
      <c r="U11">
        <f>SmtRes!X4</f>
        <v>-2094009474</v>
      </c>
      <c r="V11">
        <v>-1868528678</v>
      </c>
      <c r="W11">
        <v>-1868528678</v>
      </c>
      <c r="X11">
        <v>2</v>
      </c>
    </row>
    <row r="12" spans="1:24" x14ac:dyDescent="0.2">
      <c r="A12">
        <v>20</v>
      </c>
      <c r="B12">
        <v>3</v>
      </c>
      <c r="C12">
        <v>2</v>
      </c>
      <c r="D12">
        <v>0</v>
      </c>
      <c r="E12">
        <f>SmtRes!AV3</f>
        <v>0</v>
      </c>
      <c r="F12" t="str">
        <f>SmtRes!I3</f>
        <v>22.1-5-17</v>
      </c>
      <c r="G12" t="str">
        <f>SmtRes!K3</f>
        <v>Поливомоечные машины, емкость цистерны до 5000 л</v>
      </c>
      <c r="H12" t="str">
        <f>SmtRes!O3</f>
        <v>маш.-ч</v>
      </c>
      <c r="I12">
        <f>SmtRes!Y3*Source!I28</f>
        <v>0.2402475</v>
      </c>
      <c r="J12">
        <f>SmtRes!AO3</f>
        <v>1</v>
      </c>
      <c r="K12">
        <f>SmtRes!AF3</f>
        <v>1236.3</v>
      </c>
      <c r="L12">
        <f>SmtRes!DB3</f>
        <v>6366.95</v>
      </c>
      <c r="M12">
        <f>ROUND(ROUND(L12*Source!I28, 2)*1, 2)</f>
        <v>297.02</v>
      </c>
      <c r="N12">
        <f>SmtRes!AB3</f>
        <v>1236.3</v>
      </c>
      <c r="O12">
        <f>ROUND(ROUND(L12*Source!I28, 2)*SmtRes!DA3, 2)</f>
        <v>297.02</v>
      </c>
      <c r="P12">
        <f>SmtRes!AG3</f>
        <v>469.98</v>
      </c>
      <c r="Q12">
        <f>SmtRes!DC3</f>
        <v>2420.4</v>
      </c>
      <c r="R12">
        <f>ROUND(ROUND(Q12*Source!I28, 2)*1, 2)</f>
        <v>112.91</v>
      </c>
      <c r="S12">
        <f>SmtRes!AC3</f>
        <v>469.98</v>
      </c>
      <c r="T12">
        <f>ROUND(ROUND(Q12*Source!I28, 2)*SmtRes!AK3, 2)</f>
        <v>112.91</v>
      </c>
      <c r="U12">
        <f>SmtRes!X3</f>
        <v>829773688</v>
      </c>
      <c r="V12">
        <v>956994253</v>
      </c>
      <c r="W12">
        <v>956994253</v>
      </c>
      <c r="X12">
        <v>2</v>
      </c>
    </row>
    <row r="13" spans="1:24" x14ac:dyDescent="0.2">
      <c r="A13">
        <v>20</v>
      </c>
      <c r="B13">
        <v>2</v>
      </c>
      <c r="C13">
        <v>2</v>
      </c>
      <c r="D13">
        <v>0</v>
      </c>
      <c r="E13">
        <f>SmtRes!AV2</f>
        <v>0</v>
      </c>
      <c r="F13" t="str">
        <f>SmtRes!I2</f>
        <v>22.1-2-1</v>
      </c>
      <c r="G13" t="str">
        <f>SmtRes!K2</f>
        <v>Тракторы на гусеничном ходу, мощность до 60 (81) кВт (л.с.)</v>
      </c>
      <c r="H13" t="str">
        <f>SmtRes!O2</f>
        <v>маш.-ч</v>
      </c>
      <c r="I13">
        <f>SmtRes!Y2*Source!I28</f>
        <v>7.4173500000000003E-2</v>
      </c>
      <c r="J13">
        <f>SmtRes!AO2</f>
        <v>1</v>
      </c>
      <c r="K13">
        <f>SmtRes!AF2</f>
        <v>1159.46</v>
      </c>
      <c r="L13">
        <f>SmtRes!DB2</f>
        <v>1843.54</v>
      </c>
      <c r="M13">
        <f>ROUND(ROUND(L13*Source!I28, 2)*1, 2)</f>
        <v>86</v>
      </c>
      <c r="N13">
        <f>SmtRes!AB2</f>
        <v>1159.46</v>
      </c>
      <c r="O13">
        <f>ROUND(ROUND(L13*Source!I28, 2)*SmtRes!DA2, 2)</f>
        <v>86</v>
      </c>
      <c r="P13">
        <f>SmtRes!AG2</f>
        <v>525.74</v>
      </c>
      <c r="Q13">
        <f>SmtRes!DC2</f>
        <v>835.93</v>
      </c>
      <c r="R13">
        <f>ROUND(ROUND(Q13*Source!I28, 2)*1, 2)</f>
        <v>39</v>
      </c>
      <c r="S13">
        <f>SmtRes!AC2</f>
        <v>525.74</v>
      </c>
      <c r="T13">
        <f>ROUND(ROUND(Q13*Source!I28, 2)*SmtRes!AK2, 2)</f>
        <v>39</v>
      </c>
      <c r="U13">
        <f>SmtRes!X2</f>
        <v>1062203425</v>
      </c>
      <c r="V13">
        <v>1356816858</v>
      </c>
      <c r="W13">
        <v>1356816858</v>
      </c>
      <c r="X13">
        <v>2</v>
      </c>
    </row>
    <row r="14" spans="1:24" x14ac:dyDescent="0.2">
      <c r="A14">
        <v>20</v>
      </c>
      <c r="B14">
        <v>1</v>
      </c>
      <c r="C14">
        <v>1</v>
      </c>
      <c r="D14">
        <v>0</v>
      </c>
      <c r="E14">
        <f>SmtRes!AV1</f>
        <v>1</v>
      </c>
      <c r="F14" t="str">
        <f>SmtRes!I1</f>
        <v>9999990008</v>
      </c>
      <c r="G14" t="str">
        <f>SmtRes!K1</f>
        <v>Трудозатраты рабочих</v>
      </c>
      <c r="H14" t="str">
        <f>SmtRes!O1</f>
        <v>чел.-ч.</v>
      </c>
      <c r="I14">
        <f>SmtRes!Y1*Source!I28</f>
        <v>4.0720784999999999</v>
      </c>
      <c r="J14">
        <f>SmtRes!AO1</f>
        <v>1</v>
      </c>
      <c r="K14">
        <f>SmtRes!AH1</f>
        <v>0</v>
      </c>
      <c r="L14">
        <f>SmtRes!DB1</f>
        <v>0</v>
      </c>
      <c r="M14">
        <f>ROUND(ROUND(L14*Source!I28, 2)*1, 2)</f>
        <v>0</v>
      </c>
      <c r="N14">
        <f>SmtRes!AD1</f>
        <v>0</v>
      </c>
      <c r="O14">
        <f>ROUND(ROUND(L14*Source!I28, 2)*SmtRes!DA1, 2)</f>
        <v>0</v>
      </c>
      <c r="P14">
        <f>SmtRes!AG1</f>
        <v>0</v>
      </c>
      <c r="Q14">
        <f>SmtRes!DC1</f>
        <v>0</v>
      </c>
      <c r="R14">
        <f>ROUND(ROUND(Q14*Source!I28, 2)*1, 2)</f>
        <v>0</v>
      </c>
      <c r="S14">
        <f>SmtRes!AC1</f>
        <v>0</v>
      </c>
      <c r="T14">
        <f>ROUND(ROUND(Q14*Source!I28, 2)*SmtRes!AK1, 2)</f>
        <v>0</v>
      </c>
      <c r="U14">
        <f>SmtRes!X1</f>
        <v>476480486</v>
      </c>
      <c r="V14">
        <v>1286141856</v>
      </c>
      <c r="W14">
        <v>1286141856</v>
      </c>
      <c r="X14">
        <v>1</v>
      </c>
    </row>
    <row r="15" spans="1:24" x14ac:dyDescent="0.2">
      <c r="A15">
        <f>Source!A31</f>
        <v>18</v>
      </c>
      <c r="B15">
        <v>31</v>
      </c>
      <c r="C15">
        <v>3</v>
      </c>
      <c r="D15">
        <f>Source!BI31</f>
        <v>4</v>
      </c>
      <c r="E15">
        <f>Source!FS31</f>
        <v>0</v>
      </c>
      <c r="F15" t="str">
        <f>Source!F31</f>
        <v>21.1-12-29</v>
      </c>
      <c r="G15" t="str">
        <f>Source!G31</f>
        <v>Щебень из естественного камня для строительных работ, марка 600-400, фракция 5-10 мм</v>
      </c>
      <c r="H15" t="str">
        <f>Source!H31</f>
        <v>м3</v>
      </c>
      <c r="I15">
        <f>Source!I31</f>
        <v>3.1022249999999998</v>
      </c>
      <c r="J15">
        <v>1</v>
      </c>
      <c r="K15">
        <f>Source!AC31</f>
        <v>1487.52</v>
      </c>
      <c r="M15">
        <f>ROUND(K15*I15, 2)</f>
        <v>4614.62</v>
      </c>
      <c r="N15">
        <f>Source!AC31*IF(Source!BC31&lt;&gt; 0, Source!BC31, 1)</f>
        <v>1487.52</v>
      </c>
      <c r="O15">
        <f>ROUND(N15*I15, 2)</f>
        <v>4614.62</v>
      </c>
      <c r="P15">
        <f>Source!AE31</f>
        <v>0</v>
      </c>
      <c r="R15">
        <f>ROUND(P15*I15, 2)</f>
        <v>0</v>
      </c>
      <c r="S15">
        <f>Source!AE31*IF(Source!BS31&lt;&gt; 0, Source!BS31, 1)</f>
        <v>0</v>
      </c>
      <c r="T15">
        <f>ROUND(S15*I15, 2)</f>
        <v>0</v>
      </c>
      <c r="U15">
        <f>Source!GF31</f>
        <v>2025333854</v>
      </c>
      <c r="V15">
        <v>1255796807</v>
      </c>
      <c r="W15">
        <v>1255796807</v>
      </c>
      <c r="X15">
        <v>3</v>
      </c>
    </row>
    <row r="16" spans="1:24" x14ac:dyDescent="0.2">
      <c r="A16">
        <v>20</v>
      </c>
      <c r="B16">
        <v>13</v>
      </c>
      <c r="C16">
        <v>2</v>
      </c>
      <c r="D16">
        <v>0</v>
      </c>
      <c r="E16">
        <f>SmtRes!AV13</f>
        <v>0</v>
      </c>
      <c r="F16" t="str">
        <f>SmtRes!I13</f>
        <v>22.1-5-5</v>
      </c>
      <c r="G16" t="str">
        <f>SmtRes!K13</f>
        <v>Катки дорожные самоходные статические, масса до 10 т</v>
      </c>
      <c r="H16" t="str">
        <f>SmtRes!O13</f>
        <v>маш.-ч</v>
      </c>
      <c r="I16">
        <f>SmtRes!Y13*Source!I32</f>
        <v>2.1614499999999999</v>
      </c>
      <c r="J16">
        <f>SmtRes!AO13</f>
        <v>1</v>
      </c>
      <c r="K16">
        <f>SmtRes!AF13</f>
        <v>845.77</v>
      </c>
      <c r="L16">
        <f>SmtRes!DB13</f>
        <v>1175.6199999999999</v>
      </c>
      <c r="M16">
        <f>ROUND(ROUND(L16*Source!I32, 2)*1, 2)</f>
        <v>1828.09</v>
      </c>
      <c r="N16">
        <f>SmtRes!AB13</f>
        <v>845.77</v>
      </c>
      <c r="O16">
        <f>ROUND(ROUND(L16*Source!I32, 2)*SmtRes!DA13, 2)</f>
        <v>1828.09</v>
      </c>
      <c r="P16">
        <f>SmtRes!AG13</f>
        <v>508.2</v>
      </c>
      <c r="Q16">
        <f>SmtRes!DC13</f>
        <v>706.4</v>
      </c>
      <c r="R16">
        <f>ROUND(ROUND(Q16*Source!I32, 2)*1, 2)</f>
        <v>1098.45</v>
      </c>
      <c r="S16">
        <f>SmtRes!AC13</f>
        <v>508.2</v>
      </c>
      <c r="T16">
        <f>ROUND(ROUND(Q16*Source!I32, 2)*SmtRes!AK13, 2)</f>
        <v>1098.45</v>
      </c>
      <c r="U16">
        <f>SmtRes!X13</f>
        <v>-984364401</v>
      </c>
      <c r="V16">
        <v>-598600838</v>
      </c>
      <c r="W16">
        <v>-598600838</v>
      </c>
      <c r="X16">
        <v>2</v>
      </c>
    </row>
    <row r="17" spans="1:24" x14ac:dyDescent="0.2">
      <c r="A17">
        <v>20</v>
      </c>
      <c r="B17">
        <v>12</v>
      </c>
      <c r="C17">
        <v>2</v>
      </c>
      <c r="D17">
        <v>0</v>
      </c>
      <c r="E17">
        <f>SmtRes!AV12</f>
        <v>0</v>
      </c>
      <c r="F17" t="str">
        <f>SmtRes!I12</f>
        <v>22.1-5-4</v>
      </c>
      <c r="G17" t="str">
        <f>SmtRes!K12</f>
        <v>Катки дорожные самоходные статические, масса до 5 т</v>
      </c>
      <c r="H17" t="str">
        <f>SmtRes!O12</f>
        <v>маш.-ч</v>
      </c>
      <c r="I17">
        <f>SmtRes!Y12*Source!I32</f>
        <v>0.71530000000000005</v>
      </c>
      <c r="J17">
        <f>SmtRes!AO12</f>
        <v>1</v>
      </c>
      <c r="K17">
        <f>SmtRes!AF12</f>
        <v>790.63</v>
      </c>
      <c r="L17">
        <f>SmtRes!DB12</f>
        <v>363.69</v>
      </c>
      <c r="M17">
        <f>ROUND(ROUND(L17*Source!I32, 2)*1, 2)</f>
        <v>565.54</v>
      </c>
      <c r="N17">
        <f>SmtRes!AB12</f>
        <v>790.63</v>
      </c>
      <c r="O17">
        <f>ROUND(ROUND(L17*Source!I32, 2)*SmtRes!DA12, 2)</f>
        <v>565.54</v>
      </c>
      <c r="P17">
        <f>SmtRes!AG12</f>
        <v>491.94</v>
      </c>
      <c r="Q17">
        <f>SmtRes!DC12</f>
        <v>226.29</v>
      </c>
      <c r="R17">
        <f>ROUND(ROUND(Q17*Source!I32, 2)*1, 2)</f>
        <v>351.88</v>
      </c>
      <c r="S17">
        <f>SmtRes!AC12</f>
        <v>491.94</v>
      </c>
      <c r="T17">
        <f>ROUND(ROUND(Q17*Source!I32, 2)*SmtRes!AK12, 2)</f>
        <v>351.88</v>
      </c>
      <c r="U17">
        <f>SmtRes!X12</f>
        <v>-444400480</v>
      </c>
      <c r="V17">
        <v>-810897477</v>
      </c>
      <c r="W17">
        <v>-810897477</v>
      </c>
      <c r="X17">
        <v>2</v>
      </c>
    </row>
    <row r="18" spans="1:24" x14ac:dyDescent="0.2">
      <c r="A18">
        <v>20</v>
      </c>
      <c r="B18">
        <v>11</v>
      </c>
      <c r="C18">
        <v>1</v>
      </c>
      <c r="D18">
        <v>0</v>
      </c>
      <c r="E18">
        <f>SmtRes!AV11</f>
        <v>1</v>
      </c>
      <c r="F18" t="str">
        <f>SmtRes!I11</f>
        <v>9999990008</v>
      </c>
      <c r="G18" t="str">
        <f>SmtRes!K11</f>
        <v>Трудозатраты рабочих</v>
      </c>
      <c r="H18" t="str">
        <f>SmtRes!O11</f>
        <v>чел.-ч.</v>
      </c>
      <c r="I18">
        <f>SmtRes!Y11*Source!I32</f>
        <v>21.10135</v>
      </c>
      <c r="J18">
        <f>SmtRes!AO11</f>
        <v>1</v>
      </c>
      <c r="K18">
        <f>SmtRes!AH11</f>
        <v>0</v>
      </c>
      <c r="L18">
        <f>SmtRes!DB11</f>
        <v>0</v>
      </c>
      <c r="M18">
        <f>ROUND(ROUND(L18*Source!I32, 2)*1, 2)</f>
        <v>0</v>
      </c>
      <c r="N18">
        <f>SmtRes!AD11</f>
        <v>0</v>
      </c>
      <c r="O18">
        <f>ROUND(ROUND(L18*Source!I32, 2)*SmtRes!DA11, 2)</f>
        <v>0</v>
      </c>
      <c r="P18">
        <f>SmtRes!AG11</f>
        <v>0</v>
      </c>
      <c r="Q18">
        <f>SmtRes!DC11</f>
        <v>0</v>
      </c>
      <c r="R18">
        <f>ROUND(ROUND(Q18*Source!I32, 2)*1, 2)</f>
        <v>0</v>
      </c>
      <c r="S18">
        <f>SmtRes!AC11</f>
        <v>0</v>
      </c>
      <c r="T18">
        <f>ROUND(ROUND(Q18*Source!I32, 2)*SmtRes!AK11, 2)</f>
        <v>0</v>
      </c>
      <c r="U18">
        <f>SmtRes!X11</f>
        <v>476480486</v>
      </c>
      <c r="V18">
        <v>1286141856</v>
      </c>
      <c r="W18">
        <v>1286141856</v>
      </c>
      <c r="X18">
        <v>1</v>
      </c>
    </row>
    <row r="19" spans="1:24" x14ac:dyDescent="0.2">
      <c r="A19">
        <f>Source!A34</f>
        <v>18</v>
      </c>
      <c r="B19">
        <v>34</v>
      </c>
      <c r="C19">
        <v>3</v>
      </c>
      <c r="D19">
        <f>Source!BI34</f>
        <v>4</v>
      </c>
      <c r="E19">
        <f>Source!FS34</f>
        <v>0</v>
      </c>
      <c r="F19" t="str">
        <f>Source!F34</f>
        <v>21.3-3-34</v>
      </c>
      <c r="G19" t="str">
        <f>Source!G34</f>
        <v>Смеси асфальтобетонные дорожные горячие песчаные, тип Д, марка III</v>
      </c>
      <c r="H19" t="str">
        <f>Source!H34</f>
        <v>т</v>
      </c>
      <c r="I19">
        <f>Source!I34</f>
        <v>18.146850000000001</v>
      </c>
      <c r="J19">
        <v>1</v>
      </c>
      <c r="K19">
        <f>Source!AC34</f>
        <v>2628.2</v>
      </c>
      <c r="M19">
        <f>ROUND(K19*I19, 2)</f>
        <v>47693.55</v>
      </c>
      <c r="N19">
        <f>Source!AC34*IF(Source!BC34&lt;&gt; 0, Source!BC34, 1)</f>
        <v>2628.2</v>
      </c>
      <c r="O19">
        <f>ROUND(N19*I19, 2)</f>
        <v>47693.55</v>
      </c>
      <c r="P19">
        <f>Source!AE34</f>
        <v>0</v>
      </c>
      <c r="R19">
        <f>ROUND(P19*I19, 2)</f>
        <v>0</v>
      </c>
      <c r="S19">
        <f>Source!AE34*IF(Source!BS34&lt;&gt; 0, Source!BS34, 1)</f>
        <v>0</v>
      </c>
      <c r="T19">
        <f>ROUND(S19*I19, 2)</f>
        <v>0</v>
      </c>
      <c r="U19">
        <f>Source!GF34</f>
        <v>2011161814</v>
      </c>
      <c r="V19">
        <v>1111470581</v>
      </c>
      <c r="W19">
        <v>1111470581</v>
      </c>
      <c r="X19">
        <v>3</v>
      </c>
    </row>
    <row r="20" spans="1:24" x14ac:dyDescent="0.2">
      <c r="A20">
        <f>Source!A66</f>
        <v>4</v>
      </c>
      <c r="B20">
        <v>66</v>
      </c>
      <c r="G20" t="str">
        <f>Source!G66</f>
        <v>Ремонт асфальтобетонного покрытия площадок (392 м2)</v>
      </c>
    </row>
    <row r="21" spans="1:24" x14ac:dyDescent="0.2">
      <c r="A21">
        <v>20</v>
      </c>
      <c r="B21">
        <v>25</v>
      </c>
      <c r="C21">
        <v>3</v>
      </c>
      <c r="D21">
        <v>0</v>
      </c>
      <c r="E21">
        <f>SmtRes!AV25</f>
        <v>0</v>
      </c>
      <c r="F21" t="str">
        <f>SmtRes!I25</f>
        <v>21.1-25-13</v>
      </c>
      <c r="G21" t="str">
        <f>SmtRes!K25</f>
        <v>Вода</v>
      </c>
      <c r="H21" t="str">
        <f>SmtRes!O25</f>
        <v>м3</v>
      </c>
      <c r="I21">
        <f>SmtRes!Y25*Source!I70</f>
        <v>2.94</v>
      </c>
      <c r="J21">
        <f>SmtRes!AO25</f>
        <v>1</v>
      </c>
      <c r="K21">
        <f>SmtRes!AE25</f>
        <v>33.729999999999997</v>
      </c>
      <c r="L21">
        <f>SmtRes!DB25</f>
        <v>843.25</v>
      </c>
      <c r="M21">
        <f>ROUND(ROUND(L21*Source!I70, 2)*1, 2)</f>
        <v>99.17</v>
      </c>
      <c r="N21">
        <f>SmtRes!AA25</f>
        <v>33.729999999999997</v>
      </c>
      <c r="O21">
        <f>ROUND(ROUND(L21*Source!I70, 2)*SmtRes!DA25, 2)</f>
        <v>99.17</v>
      </c>
      <c r="P21">
        <f>SmtRes!AG25</f>
        <v>0</v>
      </c>
      <c r="Q21">
        <f>SmtRes!DC25</f>
        <v>0</v>
      </c>
      <c r="R21">
        <f>ROUND(ROUND(Q21*Source!I70, 2)*1, 2)</f>
        <v>0</v>
      </c>
      <c r="S21">
        <f>SmtRes!AC25</f>
        <v>0</v>
      </c>
      <c r="T21">
        <f>ROUND(ROUND(Q21*Source!I70, 2)*SmtRes!AK25, 2)</f>
        <v>0</v>
      </c>
      <c r="U21">
        <f>SmtRes!X25</f>
        <v>1964795396</v>
      </c>
      <c r="V21">
        <v>711765246</v>
      </c>
      <c r="W21">
        <v>711765246</v>
      </c>
      <c r="X21">
        <v>3</v>
      </c>
    </row>
    <row r="22" spans="1:24" x14ac:dyDescent="0.2">
      <c r="A22">
        <v>20</v>
      </c>
      <c r="B22">
        <v>21</v>
      </c>
      <c r="C22">
        <v>2</v>
      </c>
      <c r="D22">
        <v>0</v>
      </c>
      <c r="E22">
        <f>SmtRes!AV21</f>
        <v>0</v>
      </c>
      <c r="F22" t="str">
        <f>SmtRes!I21</f>
        <v>22.1-5-47</v>
      </c>
      <c r="G22" t="str">
        <f>SmtRes!K21</f>
        <v>Автогрейдеры, мощность 66-88 кВт (90-120 л.с.)</v>
      </c>
      <c r="H22" t="str">
        <f>SmtRes!O21</f>
        <v>маш.-ч</v>
      </c>
      <c r="I22">
        <f>SmtRes!Y21*Source!I70</f>
        <v>0.68325599999999997</v>
      </c>
      <c r="J22">
        <f>SmtRes!AO21</f>
        <v>1</v>
      </c>
      <c r="K22">
        <f>SmtRes!AF21</f>
        <v>1467.62</v>
      </c>
      <c r="L22">
        <f>SmtRes!DB21</f>
        <v>8526.8700000000008</v>
      </c>
      <c r="M22">
        <f>ROUND(ROUND(L22*Source!I70, 2)*1, 2)</f>
        <v>1002.76</v>
      </c>
      <c r="N22">
        <f>SmtRes!AB21</f>
        <v>1467.62</v>
      </c>
      <c r="O22">
        <f>ROUND(ROUND(L22*Source!I70, 2)*SmtRes!DA21, 2)</f>
        <v>1002.76</v>
      </c>
      <c r="P22">
        <f>SmtRes!AG21</f>
        <v>682.01</v>
      </c>
      <c r="Q22">
        <f>SmtRes!DC21</f>
        <v>3962.48</v>
      </c>
      <c r="R22">
        <f>ROUND(ROUND(Q22*Source!I70, 2)*1, 2)</f>
        <v>465.99</v>
      </c>
      <c r="S22">
        <f>SmtRes!AC21</f>
        <v>682.01</v>
      </c>
      <c r="T22">
        <f>ROUND(ROUND(Q22*Source!I70, 2)*SmtRes!AK21, 2)</f>
        <v>465.99</v>
      </c>
      <c r="U22">
        <f>SmtRes!X21</f>
        <v>-1613012731</v>
      </c>
      <c r="V22">
        <v>1473812673</v>
      </c>
      <c r="W22">
        <v>1473812673</v>
      </c>
      <c r="X22">
        <v>2</v>
      </c>
    </row>
    <row r="23" spans="1:24" x14ac:dyDescent="0.2">
      <c r="A23">
        <v>20</v>
      </c>
      <c r="B23">
        <v>20</v>
      </c>
      <c r="C23">
        <v>2</v>
      </c>
      <c r="D23">
        <v>0</v>
      </c>
      <c r="E23">
        <f>SmtRes!AV20</f>
        <v>0</v>
      </c>
      <c r="F23" t="str">
        <f>SmtRes!I20</f>
        <v>22.1-5-3</v>
      </c>
      <c r="G23" t="str">
        <f>SmtRes!K20</f>
        <v>Катки самоходные вибрационные, масса более 8 т</v>
      </c>
      <c r="H23" t="str">
        <f>SmtRes!O20</f>
        <v>маш.-ч</v>
      </c>
      <c r="I23">
        <f>SmtRes!Y20*Source!I70</f>
        <v>3.7855439999999998</v>
      </c>
      <c r="J23">
        <f>SmtRes!AO20</f>
        <v>1</v>
      </c>
      <c r="K23">
        <f>SmtRes!AF20</f>
        <v>1741.23</v>
      </c>
      <c r="L23">
        <f>SmtRes!DB20</f>
        <v>56050.19</v>
      </c>
      <c r="M23">
        <f>ROUND(ROUND(L23*Source!I70, 2)*1, 2)</f>
        <v>6591.5</v>
      </c>
      <c r="N23">
        <f>SmtRes!AB20</f>
        <v>1741.23</v>
      </c>
      <c r="O23">
        <f>ROUND(ROUND(L23*Source!I70, 2)*SmtRes!DA20, 2)</f>
        <v>6591.5</v>
      </c>
      <c r="P23">
        <f>SmtRes!AG20</f>
        <v>685.71</v>
      </c>
      <c r="Q23">
        <f>SmtRes!DC20</f>
        <v>22073</v>
      </c>
      <c r="R23">
        <f>ROUND(ROUND(Q23*Source!I70, 2)*1, 2)</f>
        <v>2595.7800000000002</v>
      </c>
      <c r="S23">
        <f>SmtRes!AC20</f>
        <v>685.71</v>
      </c>
      <c r="T23">
        <f>ROUND(ROUND(Q23*Source!I70, 2)*SmtRes!AK20, 2)</f>
        <v>2595.7800000000002</v>
      </c>
      <c r="U23">
        <f>SmtRes!X20</f>
        <v>-1845376792</v>
      </c>
      <c r="V23">
        <v>745564748</v>
      </c>
      <c r="W23">
        <v>745564748</v>
      </c>
      <c r="X23">
        <v>2</v>
      </c>
    </row>
    <row r="24" spans="1:24" x14ac:dyDescent="0.2">
      <c r="A24">
        <v>20</v>
      </c>
      <c r="B24">
        <v>19</v>
      </c>
      <c r="C24">
        <v>2</v>
      </c>
      <c r="D24">
        <v>0</v>
      </c>
      <c r="E24">
        <f>SmtRes!AV19</f>
        <v>0</v>
      </c>
      <c r="F24" t="str">
        <f>SmtRes!I19</f>
        <v>22.1-5-2</v>
      </c>
      <c r="G24" t="str">
        <f>SmtRes!K19</f>
        <v>Катки самоходные вибрационные, масса до 8 т</v>
      </c>
      <c r="H24" t="str">
        <f>SmtRes!O19</f>
        <v>маш.-ч</v>
      </c>
      <c r="I24">
        <f>SmtRes!Y19*Source!I70</f>
        <v>1.324176</v>
      </c>
      <c r="J24">
        <f>SmtRes!AO19</f>
        <v>1</v>
      </c>
      <c r="K24">
        <f>SmtRes!AF19</f>
        <v>1207.81</v>
      </c>
      <c r="L24">
        <f>SmtRes!DB19</f>
        <v>13599.94</v>
      </c>
      <c r="M24">
        <f>ROUND(ROUND(L24*Source!I70, 2)*1, 2)</f>
        <v>1599.35</v>
      </c>
      <c r="N24">
        <f>SmtRes!AB19</f>
        <v>1207.81</v>
      </c>
      <c r="O24">
        <f>ROUND(ROUND(L24*Source!I70, 2)*SmtRes!DA19, 2)</f>
        <v>1599.35</v>
      </c>
      <c r="P24">
        <f>SmtRes!AG19</f>
        <v>504.4</v>
      </c>
      <c r="Q24">
        <f>SmtRes!DC19</f>
        <v>5679.54</v>
      </c>
      <c r="R24">
        <f>ROUND(ROUND(Q24*Source!I70, 2)*1, 2)</f>
        <v>667.91</v>
      </c>
      <c r="S24">
        <f>SmtRes!AC19</f>
        <v>504.4</v>
      </c>
      <c r="T24">
        <f>ROUND(ROUND(Q24*Source!I70, 2)*SmtRes!AK19, 2)</f>
        <v>667.91</v>
      </c>
      <c r="U24">
        <f>SmtRes!X19</f>
        <v>-2094009474</v>
      </c>
      <c r="V24">
        <v>-1868528678</v>
      </c>
      <c r="W24">
        <v>-1868528678</v>
      </c>
      <c r="X24">
        <v>2</v>
      </c>
    </row>
    <row r="25" spans="1:24" x14ac:dyDescent="0.2">
      <c r="A25">
        <v>20</v>
      </c>
      <c r="B25">
        <v>18</v>
      </c>
      <c r="C25">
        <v>2</v>
      </c>
      <c r="D25">
        <v>0</v>
      </c>
      <c r="E25">
        <f>SmtRes!AV18</f>
        <v>0</v>
      </c>
      <c r="F25" t="str">
        <f>SmtRes!I18</f>
        <v>22.1-5-17</v>
      </c>
      <c r="G25" t="str">
        <f>SmtRes!K18</f>
        <v>Поливомоечные машины, емкость цистерны до 5000 л</v>
      </c>
      <c r="H25" t="str">
        <f>SmtRes!O18</f>
        <v>маш.-ч</v>
      </c>
      <c r="I25">
        <f>SmtRes!Y18*Source!I70</f>
        <v>0.60564000000000007</v>
      </c>
      <c r="J25">
        <f>SmtRes!AO18</f>
        <v>1</v>
      </c>
      <c r="K25">
        <f>SmtRes!AF18</f>
        <v>1236.3</v>
      </c>
      <c r="L25">
        <f>SmtRes!DB18</f>
        <v>6366.95</v>
      </c>
      <c r="M25">
        <f>ROUND(ROUND(L25*Source!I70, 2)*1, 2)</f>
        <v>748.75</v>
      </c>
      <c r="N25">
        <f>SmtRes!AB18</f>
        <v>1236.3</v>
      </c>
      <c r="O25">
        <f>ROUND(ROUND(L25*Source!I70, 2)*SmtRes!DA18, 2)</f>
        <v>748.75</v>
      </c>
      <c r="P25">
        <f>SmtRes!AG18</f>
        <v>469.98</v>
      </c>
      <c r="Q25">
        <f>SmtRes!DC18</f>
        <v>2420.4</v>
      </c>
      <c r="R25">
        <f>ROUND(ROUND(Q25*Source!I70, 2)*1, 2)</f>
        <v>284.64</v>
      </c>
      <c r="S25">
        <f>SmtRes!AC18</f>
        <v>469.98</v>
      </c>
      <c r="T25">
        <f>ROUND(ROUND(Q25*Source!I70, 2)*SmtRes!AK18, 2)</f>
        <v>284.64</v>
      </c>
      <c r="U25">
        <f>SmtRes!X18</f>
        <v>829773688</v>
      </c>
      <c r="V25">
        <v>956994253</v>
      </c>
      <c r="W25">
        <v>956994253</v>
      </c>
      <c r="X25">
        <v>2</v>
      </c>
    </row>
    <row r="26" spans="1:24" x14ac:dyDescent="0.2">
      <c r="A26">
        <v>20</v>
      </c>
      <c r="B26">
        <v>17</v>
      </c>
      <c r="C26">
        <v>2</v>
      </c>
      <c r="D26">
        <v>0</v>
      </c>
      <c r="E26">
        <f>SmtRes!AV17</f>
        <v>0</v>
      </c>
      <c r="F26" t="str">
        <f>SmtRes!I17</f>
        <v>22.1-2-1</v>
      </c>
      <c r="G26" t="str">
        <f>SmtRes!K17</f>
        <v>Тракторы на гусеничном ходу, мощность до 60 (81) кВт (л.с.)</v>
      </c>
      <c r="H26" t="str">
        <f>SmtRes!O17</f>
        <v>маш.-ч</v>
      </c>
      <c r="I26">
        <f>SmtRes!Y17*Source!I70</f>
        <v>0.18698400000000001</v>
      </c>
      <c r="J26">
        <f>SmtRes!AO17</f>
        <v>1</v>
      </c>
      <c r="K26">
        <f>SmtRes!AF17</f>
        <v>1159.46</v>
      </c>
      <c r="L26">
        <f>SmtRes!DB17</f>
        <v>1843.54</v>
      </c>
      <c r="M26">
        <f>ROUND(ROUND(L26*Source!I70, 2)*1, 2)</f>
        <v>216.8</v>
      </c>
      <c r="N26">
        <f>SmtRes!AB17</f>
        <v>1159.46</v>
      </c>
      <c r="O26">
        <f>ROUND(ROUND(L26*Source!I70, 2)*SmtRes!DA17, 2)</f>
        <v>216.8</v>
      </c>
      <c r="P26">
        <f>SmtRes!AG17</f>
        <v>525.74</v>
      </c>
      <c r="Q26">
        <f>SmtRes!DC17</f>
        <v>835.93</v>
      </c>
      <c r="R26">
        <f>ROUND(ROUND(Q26*Source!I70, 2)*1, 2)</f>
        <v>98.31</v>
      </c>
      <c r="S26">
        <f>SmtRes!AC17</f>
        <v>525.74</v>
      </c>
      <c r="T26">
        <f>ROUND(ROUND(Q26*Source!I70, 2)*SmtRes!AK17, 2)</f>
        <v>98.31</v>
      </c>
      <c r="U26">
        <f>SmtRes!X17</f>
        <v>1062203425</v>
      </c>
      <c r="V26">
        <v>1356816858</v>
      </c>
      <c r="W26">
        <v>1356816858</v>
      </c>
      <c r="X26">
        <v>2</v>
      </c>
    </row>
    <row r="27" spans="1:24" x14ac:dyDescent="0.2">
      <c r="A27">
        <v>20</v>
      </c>
      <c r="B27">
        <v>16</v>
      </c>
      <c r="C27">
        <v>1</v>
      </c>
      <c r="D27">
        <v>0</v>
      </c>
      <c r="E27">
        <f>SmtRes!AV16</f>
        <v>1</v>
      </c>
      <c r="F27" t="str">
        <f>SmtRes!I16</f>
        <v>9999990008</v>
      </c>
      <c r="G27" t="str">
        <f>SmtRes!K16</f>
        <v>Трудозатраты рабочих</v>
      </c>
      <c r="H27" t="str">
        <f>SmtRes!O16</f>
        <v>чел.-ч.</v>
      </c>
      <c r="I27">
        <f>SmtRes!Y16*Source!I70</f>
        <v>10.265304</v>
      </c>
      <c r="J27">
        <f>SmtRes!AO16</f>
        <v>1</v>
      </c>
      <c r="K27">
        <f>SmtRes!AH16</f>
        <v>0</v>
      </c>
      <c r="L27">
        <f>SmtRes!DB16</f>
        <v>0</v>
      </c>
      <c r="M27">
        <f>ROUND(ROUND(L27*Source!I70, 2)*1, 2)</f>
        <v>0</v>
      </c>
      <c r="N27">
        <f>SmtRes!AD16</f>
        <v>0</v>
      </c>
      <c r="O27">
        <f>ROUND(ROUND(L27*Source!I70, 2)*SmtRes!DA16, 2)</f>
        <v>0</v>
      </c>
      <c r="P27">
        <f>SmtRes!AG16</f>
        <v>0</v>
      </c>
      <c r="Q27">
        <f>SmtRes!DC16</f>
        <v>0</v>
      </c>
      <c r="R27">
        <f>ROUND(ROUND(Q27*Source!I70, 2)*1, 2)</f>
        <v>0</v>
      </c>
      <c r="S27">
        <f>SmtRes!AC16</f>
        <v>0</v>
      </c>
      <c r="T27">
        <f>ROUND(ROUND(Q27*Source!I70, 2)*SmtRes!AK16, 2)</f>
        <v>0</v>
      </c>
      <c r="U27">
        <f>SmtRes!X16</f>
        <v>476480486</v>
      </c>
      <c r="V27">
        <v>1286141856</v>
      </c>
      <c r="W27">
        <v>1286141856</v>
      </c>
      <c r="X27">
        <v>1</v>
      </c>
    </row>
    <row r="28" spans="1:24" x14ac:dyDescent="0.2">
      <c r="A28">
        <f>Source!A73</f>
        <v>18</v>
      </c>
      <c r="B28">
        <v>73</v>
      </c>
      <c r="C28">
        <v>3</v>
      </c>
      <c r="D28">
        <f>Source!BI73</f>
        <v>4</v>
      </c>
      <c r="E28">
        <f>Source!FS73</f>
        <v>0</v>
      </c>
      <c r="F28" t="str">
        <f>Source!F73</f>
        <v>21.1-12-29</v>
      </c>
      <c r="G28" t="str">
        <f>Source!G73</f>
        <v>Щебень из естественного камня для строительных работ, марка 600-400, фракция 5-10 мм</v>
      </c>
      <c r="H28" t="str">
        <f>Source!H73</f>
        <v>м3</v>
      </c>
      <c r="I28">
        <f>Source!I73</f>
        <v>7.8203999999999994</v>
      </c>
      <c r="J28">
        <v>1</v>
      </c>
      <c r="K28">
        <f>Source!AC73</f>
        <v>1487.52</v>
      </c>
      <c r="M28">
        <f>ROUND(K28*I28, 2)</f>
        <v>11633</v>
      </c>
      <c r="N28">
        <f>Source!AC73*IF(Source!BC73&lt;&gt; 0, Source!BC73, 1)</f>
        <v>1487.52</v>
      </c>
      <c r="O28">
        <f>ROUND(N28*I28, 2)</f>
        <v>11633</v>
      </c>
      <c r="P28">
        <f>Source!AE73</f>
        <v>0</v>
      </c>
      <c r="R28">
        <f>ROUND(P28*I28, 2)</f>
        <v>0</v>
      </c>
      <c r="S28">
        <f>Source!AE73*IF(Source!BS73&lt;&gt; 0, Source!BS73, 1)</f>
        <v>0</v>
      </c>
      <c r="T28">
        <f>ROUND(S28*I28, 2)</f>
        <v>0</v>
      </c>
      <c r="U28">
        <f>Source!GF73</f>
        <v>2025333854</v>
      </c>
      <c r="V28">
        <v>1255796807</v>
      </c>
      <c r="W28">
        <v>1255796807</v>
      </c>
      <c r="X28">
        <v>3</v>
      </c>
    </row>
    <row r="29" spans="1:24" x14ac:dyDescent="0.2">
      <c r="A29">
        <v>20</v>
      </c>
      <c r="B29">
        <v>28</v>
      </c>
      <c r="C29">
        <v>2</v>
      </c>
      <c r="D29">
        <v>0</v>
      </c>
      <c r="E29">
        <f>SmtRes!AV28</f>
        <v>0</v>
      </c>
      <c r="F29" t="str">
        <f>SmtRes!I28</f>
        <v>22.1-5-5</v>
      </c>
      <c r="G29" t="str">
        <f>SmtRes!K28</f>
        <v>Катки дорожные самоходные статические, масса до 10 т</v>
      </c>
      <c r="H29" t="str">
        <f>SmtRes!O28</f>
        <v>маш.-ч</v>
      </c>
      <c r="I29">
        <f>SmtRes!Y28*Source!I74</f>
        <v>5.4487999999999994</v>
      </c>
      <c r="J29">
        <f>SmtRes!AO28</f>
        <v>1</v>
      </c>
      <c r="K29">
        <f>SmtRes!AF28</f>
        <v>845.77</v>
      </c>
      <c r="L29">
        <f>SmtRes!DB28</f>
        <v>1175.6199999999999</v>
      </c>
      <c r="M29">
        <f>ROUND(ROUND(L29*Source!I74, 2)*1, 2)</f>
        <v>4608.43</v>
      </c>
      <c r="N29">
        <f>SmtRes!AB28</f>
        <v>845.77</v>
      </c>
      <c r="O29">
        <f>ROUND(ROUND(L29*Source!I74, 2)*SmtRes!DA28, 2)</f>
        <v>4608.43</v>
      </c>
      <c r="P29">
        <f>SmtRes!AG28</f>
        <v>508.2</v>
      </c>
      <c r="Q29">
        <f>SmtRes!DC28</f>
        <v>706.4</v>
      </c>
      <c r="R29">
        <f>ROUND(ROUND(Q29*Source!I74, 2)*1, 2)</f>
        <v>2769.09</v>
      </c>
      <c r="S29">
        <f>SmtRes!AC28</f>
        <v>508.2</v>
      </c>
      <c r="T29">
        <f>ROUND(ROUND(Q29*Source!I74, 2)*SmtRes!AK28, 2)</f>
        <v>2769.09</v>
      </c>
      <c r="U29">
        <f>SmtRes!X28</f>
        <v>-984364401</v>
      </c>
      <c r="V29">
        <v>-598600838</v>
      </c>
      <c r="W29">
        <v>-598600838</v>
      </c>
      <c r="X29">
        <v>2</v>
      </c>
    </row>
    <row r="30" spans="1:24" x14ac:dyDescent="0.2">
      <c r="A30">
        <v>20</v>
      </c>
      <c r="B30">
        <v>27</v>
      </c>
      <c r="C30">
        <v>2</v>
      </c>
      <c r="D30">
        <v>0</v>
      </c>
      <c r="E30">
        <f>SmtRes!AV27</f>
        <v>0</v>
      </c>
      <c r="F30" t="str">
        <f>SmtRes!I27</f>
        <v>22.1-5-4</v>
      </c>
      <c r="G30" t="str">
        <f>SmtRes!K27</f>
        <v>Катки дорожные самоходные статические, масса до 5 т</v>
      </c>
      <c r="H30" t="str">
        <f>SmtRes!O27</f>
        <v>маш.-ч</v>
      </c>
      <c r="I30">
        <f>SmtRes!Y27*Source!I74</f>
        <v>1.8032000000000001</v>
      </c>
      <c r="J30">
        <f>SmtRes!AO27</f>
        <v>1</v>
      </c>
      <c r="K30">
        <f>SmtRes!AF27</f>
        <v>790.63</v>
      </c>
      <c r="L30">
        <f>SmtRes!DB27</f>
        <v>363.69</v>
      </c>
      <c r="M30">
        <f>ROUND(ROUND(L30*Source!I74, 2)*1, 2)</f>
        <v>1425.66</v>
      </c>
      <c r="N30">
        <f>SmtRes!AB27</f>
        <v>790.63</v>
      </c>
      <c r="O30">
        <f>ROUND(ROUND(L30*Source!I74, 2)*SmtRes!DA27, 2)</f>
        <v>1425.66</v>
      </c>
      <c r="P30">
        <f>SmtRes!AG27</f>
        <v>491.94</v>
      </c>
      <c r="Q30">
        <f>SmtRes!DC27</f>
        <v>226.29</v>
      </c>
      <c r="R30">
        <f>ROUND(ROUND(Q30*Source!I74, 2)*1, 2)</f>
        <v>887.06</v>
      </c>
      <c r="S30">
        <f>SmtRes!AC27</f>
        <v>491.94</v>
      </c>
      <c r="T30">
        <f>ROUND(ROUND(Q30*Source!I74, 2)*SmtRes!AK27, 2)</f>
        <v>887.06</v>
      </c>
      <c r="U30">
        <f>SmtRes!X27</f>
        <v>-444400480</v>
      </c>
      <c r="V30">
        <v>-810897477</v>
      </c>
      <c r="W30">
        <v>-810897477</v>
      </c>
      <c r="X30">
        <v>2</v>
      </c>
    </row>
    <row r="31" spans="1:24" x14ac:dyDescent="0.2">
      <c r="A31">
        <v>20</v>
      </c>
      <c r="B31">
        <v>26</v>
      </c>
      <c r="C31">
        <v>1</v>
      </c>
      <c r="D31">
        <v>0</v>
      </c>
      <c r="E31">
        <f>SmtRes!AV26</f>
        <v>1</v>
      </c>
      <c r="F31" t="str">
        <f>SmtRes!I26</f>
        <v>9999990008</v>
      </c>
      <c r="G31" t="str">
        <f>SmtRes!K26</f>
        <v>Трудозатраты рабочих</v>
      </c>
      <c r="H31" t="str">
        <f>SmtRes!O26</f>
        <v>чел.-ч.</v>
      </c>
      <c r="I31">
        <f>SmtRes!Y26*Source!I74</f>
        <v>53.194400000000002</v>
      </c>
      <c r="J31">
        <f>SmtRes!AO26</f>
        <v>1</v>
      </c>
      <c r="K31">
        <f>SmtRes!AH26</f>
        <v>0</v>
      </c>
      <c r="L31">
        <f>SmtRes!DB26</f>
        <v>0</v>
      </c>
      <c r="M31">
        <f>ROUND(ROUND(L31*Source!I74, 2)*1, 2)</f>
        <v>0</v>
      </c>
      <c r="N31">
        <f>SmtRes!AD26</f>
        <v>0</v>
      </c>
      <c r="O31">
        <f>ROUND(ROUND(L31*Source!I74, 2)*SmtRes!DA26, 2)</f>
        <v>0</v>
      </c>
      <c r="P31">
        <f>SmtRes!AG26</f>
        <v>0</v>
      </c>
      <c r="Q31">
        <f>SmtRes!DC26</f>
        <v>0</v>
      </c>
      <c r="R31">
        <f>ROUND(ROUND(Q31*Source!I74, 2)*1, 2)</f>
        <v>0</v>
      </c>
      <c r="S31">
        <f>SmtRes!AC26</f>
        <v>0</v>
      </c>
      <c r="T31">
        <f>ROUND(ROUND(Q31*Source!I74, 2)*SmtRes!AK26, 2)</f>
        <v>0</v>
      </c>
      <c r="U31">
        <f>SmtRes!X26</f>
        <v>476480486</v>
      </c>
      <c r="V31">
        <v>1286141856</v>
      </c>
      <c r="W31">
        <v>1286141856</v>
      </c>
      <c r="X31">
        <v>1</v>
      </c>
    </row>
    <row r="32" spans="1:24" x14ac:dyDescent="0.2">
      <c r="A32">
        <f>Source!A76</f>
        <v>18</v>
      </c>
      <c r="B32">
        <v>76</v>
      </c>
      <c r="C32">
        <v>3</v>
      </c>
      <c r="D32">
        <f>Source!BI76</f>
        <v>4</v>
      </c>
      <c r="E32">
        <f>Source!FS76</f>
        <v>0</v>
      </c>
      <c r="F32" t="str">
        <f>Source!F76</f>
        <v>21.3-3-34</v>
      </c>
      <c r="G32" t="str">
        <f>Source!G76</f>
        <v>Смеси асфальтобетонные дорожные горячие песчаные, тип Д, марка III</v>
      </c>
      <c r="H32" t="str">
        <f>Source!H76</f>
        <v>т</v>
      </c>
      <c r="I32">
        <f>Source!I76</f>
        <v>45.746400000000001</v>
      </c>
      <c r="J32">
        <v>1</v>
      </c>
      <c r="K32">
        <f>Source!AC76</f>
        <v>2628.2</v>
      </c>
      <c r="M32">
        <f>ROUND(K32*I32, 2)</f>
        <v>120230.69</v>
      </c>
      <c r="N32">
        <f>Source!AC76*IF(Source!BC76&lt;&gt; 0, Source!BC76, 1)</f>
        <v>2628.2</v>
      </c>
      <c r="O32">
        <f>ROUND(N32*I32, 2)</f>
        <v>120230.69</v>
      </c>
      <c r="P32">
        <f>Source!AE76</f>
        <v>0</v>
      </c>
      <c r="R32">
        <f>ROUND(P32*I32, 2)</f>
        <v>0</v>
      </c>
      <c r="S32">
        <f>Source!AE76*IF(Source!BS76&lt;&gt; 0, Source!BS76, 1)</f>
        <v>0</v>
      </c>
      <c r="T32">
        <f>ROUND(S32*I32, 2)</f>
        <v>0</v>
      </c>
      <c r="U32">
        <f>Source!GF76</f>
        <v>2011161814</v>
      </c>
      <c r="V32">
        <v>1111470581</v>
      </c>
      <c r="W32">
        <v>1111470581</v>
      </c>
      <c r="X32">
        <v>3</v>
      </c>
    </row>
    <row r="33" spans="1:24" x14ac:dyDescent="0.2">
      <c r="A33">
        <f>Source!A108</f>
        <v>4</v>
      </c>
      <c r="B33">
        <v>108</v>
      </c>
      <c r="G33" t="str">
        <f>Source!G108</f>
        <v>Ремонт веранд (280 м2)</v>
      </c>
    </row>
    <row r="34" spans="1:24" x14ac:dyDescent="0.2">
      <c r="A34">
        <v>20</v>
      </c>
      <c r="B34">
        <v>31</v>
      </c>
      <c r="C34">
        <v>1</v>
      </c>
      <c r="D34">
        <v>0</v>
      </c>
      <c r="E34">
        <f>SmtRes!AV31</f>
        <v>1</v>
      </c>
      <c r="F34" t="str">
        <f>SmtRes!I31</f>
        <v>9999990008</v>
      </c>
      <c r="G34" t="str">
        <f>SmtRes!K31</f>
        <v>Трудозатраты рабочих</v>
      </c>
      <c r="H34" t="str">
        <f>SmtRes!O31</f>
        <v>чел.-ч.</v>
      </c>
      <c r="I34">
        <f>SmtRes!Y31*Source!I112</f>
        <v>94.08</v>
      </c>
      <c r="J34">
        <f>SmtRes!AO31</f>
        <v>1</v>
      </c>
      <c r="K34">
        <f>SmtRes!AH31</f>
        <v>0</v>
      </c>
      <c r="L34">
        <f>SmtRes!DB31</f>
        <v>0</v>
      </c>
      <c r="M34">
        <f>ROUND(ROUND(L34*Source!I112, 2)*1, 2)</f>
        <v>0</v>
      </c>
      <c r="N34">
        <f>SmtRes!AD31</f>
        <v>0</v>
      </c>
      <c r="O34">
        <f>ROUND(ROUND(L34*Source!I112, 2)*SmtRes!DA31, 2)</f>
        <v>0</v>
      </c>
      <c r="P34">
        <f>SmtRes!AG31</f>
        <v>0</v>
      </c>
      <c r="Q34">
        <f>SmtRes!DC31</f>
        <v>0</v>
      </c>
      <c r="R34">
        <f>ROUND(ROUND(Q34*Source!I112, 2)*1, 2)</f>
        <v>0</v>
      </c>
      <c r="S34">
        <f>SmtRes!AC31</f>
        <v>0</v>
      </c>
      <c r="T34">
        <f>ROUND(ROUND(Q34*Source!I112, 2)*SmtRes!AK31, 2)</f>
        <v>0</v>
      </c>
      <c r="U34">
        <f>SmtRes!X31</f>
        <v>476480486</v>
      </c>
      <c r="V34">
        <v>1286141856</v>
      </c>
      <c r="W34">
        <v>1286141856</v>
      </c>
      <c r="X34">
        <v>1</v>
      </c>
    </row>
    <row r="35" spans="1:24" x14ac:dyDescent="0.2">
      <c r="A35">
        <v>20</v>
      </c>
      <c r="B35">
        <v>33</v>
      </c>
      <c r="C35">
        <v>2</v>
      </c>
      <c r="D35">
        <v>0</v>
      </c>
      <c r="E35">
        <f>SmtRes!AV33</f>
        <v>0</v>
      </c>
      <c r="F35" t="str">
        <f>SmtRes!I33</f>
        <v>22.1-1-5</v>
      </c>
      <c r="G35" t="str">
        <f>SmtRes!K33</f>
        <v>Экскаваторы на гусеничном ходу гидравлические, объем ковша до 0,65 м3</v>
      </c>
      <c r="H35" t="str">
        <f>SmtRes!O33</f>
        <v>маш.-ч</v>
      </c>
      <c r="I35">
        <f>SmtRes!Y33*Source!I114</f>
        <v>0.1082592</v>
      </c>
      <c r="J35">
        <f>SmtRes!AO33</f>
        <v>1</v>
      </c>
      <c r="K35">
        <f>SmtRes!AF33</f>
        <v>1451.71</v>
      </c>
      <c r="L35">
        <f>SmtRes!DB33</f>
        <v>77.959999999999994</v>
      </c>
      <c r="M35">
        <f>ROUND(ROUND(L35*Source!I114, 2)*1, 2)</f>
        <v>157.16999999999999</v>
      </c>
      <c r="N35">
        <f>SmtRes!AB33</f>
        <v>1451.71</v>
      </c>
      <c r="O35">
        <f>ROUND(ROUND(L35*Source!I114, 2)*SmtRes!DA33, 2)</f>
        <v>157.16999999999999</v>
      </c>
      <c r="P35">
        <f>SmtRes!AG33</f>
        <v>457.95</v>
      </c>
      <c r="Q35">
        <f>SmtRes!DC33</f>
        <v>24.59</v>
      </c>
      <c r="R35">
        <f>ROUND(ROUND(Q35*Source!I114, 2)*1, 2)</f>
        <v>49.57</v>
      </c>
      <c r="S35">
        <f>SmtRes!AC33</f>
        <v>457.95</v>
      </c>
      <c r="T35">
        <f>ROUND(ROUND(Q35*Source!I114, 2)*SmtRes!AK33, 2)</f>
        <v>49.57</v>
      </c>
      <c r="U35">
        <f>SmtRes!X33</f>
        <v>-1214097566</v>
      </c>
      <c r="V35">
        <v>962085286</v>
      </c>
      <c r="W35">
        <v>962085286</v>
      </c>
      <c r="X35">
        <v>2</v>
      </c>
    </row>
    <row r="36" spans="1:24" x14ac:dyDescent="0.2">
      <c r="A36">
        <v>20</v>
      </c>
      <c r="B36">
        <v>35</v>
      </c>
      <c r="C36">
        <v>2</v>
      </c>
      <c r="D36">
        <v>0</v>
      </c>
      <c r="E36">
        <f>SmtRes!AV35</f>
        <v>0</v>
      </c>
      <c r="F36" t="str">
        <f>SmtRes!I35</f>
        <v>22.1-17-76</v>
      </c>
      <c r="G36" t="str">
        <f>SmtRes!K35</f>
        <v>Спецфургон типа ДКТ</v>
      </c>
      <c r="H36" t="str">
        <f>SmtRes!O35</f>
        <v>маш.-ч</v>
      </c>
      <c r="I36">
        <f>SmtRes!Y35*Source!I115</f>
        <v>8.5120000000000001E-2</v>
      </c>
      <c r="J36">
        <f>SmtRes!AO35</f>
        <v>1</v>
      </c>
      <c r="K36">
        <f>SmtRes!AF35</f>
        <v>1350.45</v>
      </c>
      <c r="L36">
        <f>SmtRes!DB35</f>
        <v>513.16999999999996</v>
      </c>
      <c r="M36">
        <f>ROUND(ROUND(L36*Source!I115, 2)*1, 2)</f>
        <v>114.95</v>
      </c>
      <c r="N36">
        <f>SmtRes!AB35</f>
        <v>1350.45</v>
      </c>
      <c r="O36">
        <f>ROUND(ROUND(L36*Source!I115, 2)*SmtRes!DA35, 2)</f>
        <v>114.95</v>
      </c>
      <c r="P36">
        <f>SmtRes!AG35</f>
        <v>448.79</v>
      </c>
      <c r="Q36">
        <f>SmtRes!DC35</f>
        <v>170.54</v>
      </c>
      <c r="R36">
        <f>ROUND(ROUND(Q36*Source!I115, 2)*1, 2)</f>
        <v>38.200000000000003</v>
      </c>
      <c r="S36">
        <f>SmtRes!AC35</f>
        <v>448.79</v>
      </c>
      <c r="T36">
        <f>ROUND(ROUND(Q36*Source!I115, 2)*SmtRes!AK35, 2)</f>
        <v>38.200000000000003</v>
      </c>
      <c r="U36">
        <f>SmtRes!X35</f>
        <v>-1228347216</v>
      </c>
      <c r="V36">
        <v>724742449</v>
      </c>
      <c r="W36">
        <v>724742449</v>
      </c>
      <c r="X36">
        <v>2</v>
      </c>
    </row>
    <row r="37" spans="1:24" x14ac:dyDescent="0.2">
      <c r="A37">
        <v>20</v>
      </c>
      <c r="B37">
        <v>34</v>
      </c>
      <c r="C37">
        <v>1</v>
      </c>
      <c r="D37">
        <v>0</v>
      </c>
      <c r="E37">
        <f>SmtRes!AV34</f>
        <v>1</v>
      </c>
      <c r="F37" t="str">
        <f>SmtRes!I34</f>
        <v>9999990008</v>
      </c>
      <c r="G37" t="str">
        <f>SmtRes!K34</f>
        <v>Трудозатраты рабочих</v>
      </c>
      <c r="H37" t="str">
        <f>SmtRes!O34</f>
        <v>чел.-ч.</v>
      </c>
      <c r="I37">
        <f>SmtRes!Y34*Source!I115</f>
        <v>0.25088000000000005</v>
      </c>
      <c r="J37">
        <f>SmtRes!AO34</f>
        <v>1</v>
      </c>
      <c r="K37">
        <f>SmtRes!AH34</f>
        <v>0</v>
      </c>
      <c r="L37">
        <f>SmtRes!DB34</f>
        <v>0</v>
      </c>
      <c r="M37">
        <f>ROUND(ROUND(L37*Source!I115, 2)*1, 2)</f>
        <v>0</v>
      </c>
      <c r="N37">
        <f>SmtRes!AD34</f>
        <v>0</v>
      </c>
      <c r="O37">
        <f>ROUND(ROUND(L37*Source!I115, 2)*SmtRes!DA34, 2)</f>
        <v>0</v>
      </c>
      <c r="P37">
        <f>SmtRes!AG34</f>
        <v>0</v>
      </c>
      <c r="Q37">
        <f>SmtRes!DC34</f>
        <v>0</v>
      </c>
      <c r="R37">
        <f>ROUND(ROUND(Q37*Source!I115, 2)*1, 2)</f>
        <v>0</v>
      </c>
      <c r="S37">
        <f>SmtRes!AC34</f>
        <v>0</v>
      </c>
      <c r="T37">
        <f>ROUND(ROUND(Q37*Source!I115, 2)*SmtRes!AK34, 2)</f>
        <v>0</v>
      </c>
      <c r="U37">
        <f>SmtRes!X34</f>
        <v>476480486</v>
      </c>
      <c r="V37">
        <v>1286141856</v>
      </c>
      <c r="W37">
        <v>1286141856</v>
      </c>
      <c r="X37">
        <v>1</v>
      </c>
    </row>
    <row r="38" spans="1:24" x14ac:dyDescent="0.2">
      <c r="A38">
        <v>20</v>
      </c>
      <c r="B38">
        <v>37</v>
      </c>
      <c r="C38">
        <v>2</v>
      </c>
      <c r="D38">
        <v>0</v>
      </c>
      <c r="E38">
        <f>SmtRes!AV37</f>
        <v>0</v>
      </c>
      <c r="F38" t="str">
        <f>SmtRes!I37</f>
        <v>22.1-18-13</v>
      </c>
      <c r="G38" t="str">
        <f>SmtRes!K37</f>
        <v>Автомобили-самосвалы, грузоподъемность до 10 т</v>
      </c>
      <c r="H38" t="str">
        <f>SmtRes!O37</f>
        <v>маш.-ч</v>
      </c>
      <c r="I38">
        <f>SmtRes!Y37*Source!I116</f>
        <v>3.6288000000000001E-2</v>
      </c>
      <c r="J38">
        <f>SmtRes!AO37</f>
        <v>1</v>
      </c>
      <c r="K38">
        <f>SmtRes!AF37</f>
        <v>993.6</v>
      </c>
      <c r="L38">
        <f>SmtRes!DB37</f>
        <v>17.88</v>
      </c>
      <c r="M38">
        <f>ROUND(ROUND(L38*Source!I116, 2)*1, 2)</f>
        <v>36.049999999999997</v>
      </c>
      <c r="N38">
        <f>SmtRes!AB37</f>
        <v>993.6</v>
      </c>
      <c r="O38">
        <f>ROUND(ROUND(L38*Source!I116, 2)*SmtRes!DA37, 2)</f>
        <v>36.049999999999997</v>
      </c>
      <c r="P38">
        <f>SmtRes!AG37</f>
        <v>301.8</v>
      </c>
      <c r="Q38">
        <f>SmtRes!DC37</f>
        <v>5.43</v>
      </c>
      <c r="R38">
        <f>ROUND(ROUND(Q38*Source!I116, 2)*1, 2)</f>
        <v>10.95</v>
      </c>
      <c r="S38">
        <f>SmtRes!AC37</f>
        <v>301.8</v>
      </c>
      <c r="T38">
        <f>ROUND(ROUND(Q38*Source!I116, 2)*SmtRes!AK37, 2)</f>
        <v>10.95</v>
      </c>
      <c r="U38">
        <f>SmtRes!X37</f>
        <v>2034648272</v>
      </c>
      <c r="V38">
        <v>-1862155798</v>
      </c>
      <c r="W38">
        <v>-1862155798</v>
      </c>
      <c r="X38">
        <v>2</v>
      </c>
    </row>
    <row r="39" spans="1:24" x14ac:dyDescent="0.2">
      <c r="A39">
        <v>20</v>
      </c>
      <c r="B39">
        <v>36</v>
      </c>
      <c r="C39">
        <v>2</v>
      </c>
      <c r="D39">
        <v>0</v>
      </c>
      <c r="E39">
        <f>SmtRes!AV36</f>
        <v>0</v>
      </c>
      <c r="F39" t="str">
        <f>SmtRes!I36</f>
        <v>22.1-18-12</v>
      </c>
      <c r="G39" t="str">
        <f>SmtRes!K36</f>
        <v>Автомобили-самосвалы, грузоподъемность до 7 т</v>
      </c>
      <c r="H39" t="str">
        <f>SmtRes!O36</f>
        <v>маш.-ч</v>
      </c>
      <c r="I39">
        <f>SmtRes!Y36*Source!I116</f>
        <v>4.0320000000000002E-2</v>
      </c>
      <c r="J39">
        <f>SmtRes!AO36</f>
        <v>1</v>
      </c>
      <c r="K39">
        <f>SmtRes!AF36</f>
        <v>952.49</v>
      </c>
      <c r="L39">
        <f>SmtRes!DB36</f>
        <v>19.05</v>
      </c>
      <c r="M39">
        <f>ROUND(ROUND(L39*Source!I116, 2)*1, 2)</f>
        <v>38.4</v>
      </c>
      <c r="N39">
        <f>SmtRes!AB36</f>
        <v>952.49</v>
      </c>
      <c r="O39">
        <f>ROUND(ROUND(L39*Source!I116, 2)*SmtRes!DA36, 2)</f>
        <v>38.4</v>
      </c>
      <c r="P39">
        <f>SmtRes!AG36</f>
        <v>301.5</v>
      </c>
      <c r="Q39">
        <f>SmtRes!DC36</f>
        <v>6.03</v>
      </c>
      <c r="R39">
        <f>ROUND(ROUND(Q39*Source!I116, 2)*1, 2)</f>
        <v>12.16</v>
      </c>
      <c r="S39">
        <f>SmtRes!AC36</f>
        <v>301.5</v>
      </c>
      <c r="T39">
        <f>ROUND(ROUND(Q39*Source!I116, 2)*SmtRes!AK36, 2)</f>
        <v>12.16</v>
      </c>
      <c r="U39">
        <f>SmtRes!X36</f>
        <v>-1048706440</v>
      </c>
      <c r="V39">
        <v>-1712225594</v>
      </c>
      <c r="W39">
        <v>-1712225594</v>
      </c>
      <c r="X39">
        <v>2</v>
      </c>
    </row>
    <row r="40" spans="1:24" x14ac:dyDescent="0.2">
      <c r="A40">
        <v>20</v>
      </c>
      <c r="B40">
        <v>39</v>
      </c>
      <c r="C40">
        <v>2</v>
      </c>
      <c r="D40">
        <v>0</v>
      </c>
      <c r="E40">
        <f>SmtRes!AV39</f>
        <v>0</v>
      </c>
      <c r="F40" t="str">
        <f>SmtRes!I39</f>
        <v>22.1-18-13</v>
      </c>
      <c r="G40" t="str">
        <f>SmtRes!K39</f>
        <v>Автомобили-самосвалы, грузоподъемность до 10 т</v>
      </c>
      <c r="H40" t="str">
        <f>SmtRes!O39</f>
        <v>маш.-ч</v>
      </c>
      <c r="I40">
        <f>SmtRes!Y39*Source!I117</f>
        <v>1.2320000000000001E-2</v>
      </c>
      <c r="J40">
        <f>SmtRes!AO39</f>
        <v>1</v>
      </c>
      <c r="K40">
        <f>SmtRes!AF39</f>
        <v>993.6</v>
      </c>
      <c r="L40">
        <f>SmtRes!DB39</f>
        <v>54.65</v>
      </c>
      <c r="M40">
        <f>ROUND(ROUND(L40*Source!I117, 2)*1, 2)</f>
        <v>12.24</v>
      </c>
      <c r="N40">
        <f>SmtRes!AB39</f>
        <v>993.6</v>
      </c>
      <c r="O40">
        <f>ROUND(ROUND(L40*Source!I117, 2)*SmtRes!DA39, 2)</f>
        <v>12.24</v>
      </c>
      <c r="P40">
        <f>SmtRes!AG39</f>
        <v>301.8</v>
      </c>
      <c r="Q40">
        <f>SmtRes!DC39</f>
        <v>16.600000000000001</v>
      </c>
      <c r="R40">
        <f>ROUND(ROUND(Q40*Source!I117, 2)*1, 2)</f>
        <v>3.72</v>
      </c>
      <c r="S40">
        <f>SmtRes!AC39</f>
        <v>301.8</v>
      </c>
      <c r="T40">
        <f>ROUND(ROUND(Q40*Source!I117, 2)*SmtRes!AK39, 2)</f>
        <v>3.72</v>
      </c>
      <c r="U40">
        <f>SmtRes!X39</f>
        <v>2034648272</v>
      </c>
      <c r="V40">
        <v>-1862155798</v>
      </c>
      <c r="W40">
        <v>-1862155798</v>
      </c>
      <c r="X40">
        <v>2</v>
      </c>
    </row>
    <row r="41" spans="1:24" x14ac:dyDescent="0.2">
      <c r="A41">
        <v>20</v>
      </c>
      <c r="B41">
        <v>38</v>
      </c>
      <c r="C41">
        <v>2</v>
      </c>
      <c r="D41">
        <v>0</v>
      </c>
      <c r="E41">
        <f>SmtRes!AV38</f>
        <v>0</v>
      </c>
      <c r="F41" t="str">
        <f>SmtRes!I38</f>
        <v>22.1-18-12</v>
      </c>
      <c r="G41" t="str">
        <f>SmtRes!K38</f>
        <v>Автомобили-самосвалы, грузоподъемность до 7 т</v>
      </c>
      <c r="H41" t="str">
        <f>SmtRes!O38</f>
        <v>маш.-ч</v>
      </c>
      <c r="I41">
        <f>SmtRes!Y38*Source!I117</f>
        <v>1.2096000000000001E-2</v>
      </c>
      <c r="J41">
        <f>SmtRes!AO38</f>
        <v>1</v>
      </c>
      <c r="K41">
        <f>SmtRes!AF38</f>
        <v>952.49</v>
      </c>
      <c r="L41">
        <f>SmtRes!DB38</f>
        <v>51.43</v>
      </c>
      <c r="M41">
        <f>ROUND(ROUND(L41*Source!I117, 2)*1, 2)</f>
        <v>11.52</v>
      </c>
      <c r="N41">
        <f>SmtRes!AB38</f>
        <v>952.49</v>
      </c>
      <c r="O41">
        <f>ROUND(ROUND(L41*Source!I117, 2)*SmtRes!DA38, 2)</f>
        <v>11.52</v>
      </c>
      <c r="P41">
        <f>SmtRes!AG38</f>
        <v>301.5</v>
      </c>
      <c r="Q41">
        <f>SmtRes!DC38</f>
        <v>16.28</v>
      </c>
      <c r="R41">
        <f>ROUND(ROUND(Q41*Source!I117, 2)*1, 2)</f>
        <v>3.65</v>
      </c>
      <c r="S41">
        <f>SmtRes!AC38</f>
        <v>301.5</v>
      </c>
      <c r="T41">
        <f>ROUND(ROUND(Q41*Source!I117, 2)*SmtRes!AK38, 2)</f>
        <v>3.65</v>
      </c>
      <c r="U41">
        <f>SmtRes!X38</f>
        <v>-1048706440</v>
      </c>
      <c r="V41">
        <v>-1712225594</v>
      </c>
      <c r="W41">
        <v>-1712225594</v>
      </c>
      <c r="X41">
        <v>2</v>
      </c>
    </row>
    <row r="42" spans="1:24" x14ac:dyDescent="0.2">
      <c r="A42">
        <v>20</v>
      </c>
      <c r="B42">
        <v>41</v>
      </c>
      <c r="C42">
        <v>2</v>
      </c>
      <c r="D42">
        <v>0</v>
      </c>
      <c r="E42">
        <f>SmtRes!AV41</f>
        <v>0</v>
      </c>
      <c r="F42" t="str">
        <f>SmtRes!I41</f>
        <v>22.1-18-13</v>
      </c>
      <c r="G42" t="str">
        <f>SmtRes!K41</f>
        <v>Автомобили-самосвалы, грузоподъемность до 10 т</v>
      </c>
      <c r="H42" t="str">
        <f>SmtRes!O41</f>
        <v>маш.-ч</v>
      </c>
      <c r="I42">
        <f>SmtRes!Y41*Source!I118</f>
        <v>0.91392000000000018</v>
      </c>
      <c r="J42">
        <f>SmtRes!AO41</f>
        <v>1</v>
      </c>
      <c r="K42">
        <f>SmtRes!AF41</f>
        <v>993.6</v>
      </c>
      <c r="L42">
        <f>SmtRes!DB41</f>
        <v>405.45</v>
      </c>
      <c r="M42">
        <f>ROUND(ROUND(L42*Source!I118, 2)*1, 2)</f>
        <v>908.21</v>
      </c>
      <c r="N42">
        <f>SmtRes!AB41</f>
        <v>993.6</v>
      </c>
      <c r="O42">
        <f>ROUND(ROUND(L42*Source!I118, 2)*SmtRes!DA41, 2)</f>
        <v>908.21</v>
      </c>
      <c r="P42">
        <f>SmtRes!AG41</f>
        <v>301.8</v>
      </c>
      <c r="Q42">
        <f>SmtRes!DC41</f>
        <v>122.91</v>
      </c>
      <c r="R42">
        <f>ROUND(ROUND(Q42*Source!I118, 2)*1, 2)</f>
        <v>275.32</v>
      </c>
      <c r="S42">
        <f>SmtRes!AC41</f>
        <v>301.8</v>
      </c>
      <c r="T42">
        <f>ROUND(ROUND(Q42*Source!I118, 2)*SmtRes!AK41, 2)</f>
        <v>275.32</v>
      </c>
      <c r="U42">
        <f>SmtRes!X41</f>
        <v>2034648272</v>
      </c>
      <c r="V42">
        <v>-1862155798</v>
      </c>
      <c r="W42">
        <v>-1862155798</v>
      </c>
      <c r="X42">
        <v>2</v>
      </c>
    </row>
    <row r="43" spans="1:24" x14ac:dyDescent="0.2">
      <c r="A43">
        <v>20</v>
      </c>
      <c r="B43">
        <v>40</v>
      </c>
      <c r="C43">
        <v>2</v>
      </c>
      <c r="D43">
        <v>0</v>
      </c>
      <c r="E43">
        <f>SmtRes!AV40</f>
        <v>0</v>
      </c>
      <c r="F43" t="str">
        <f>SmtRes!I40</f>
        <v>22.1-18-12</v>
      </c>
      <c r="G43" t="str">
        <f>SmtRes!K40</f>
        <v>Автомобили-самосвалы, грузоподъемность до 7 т</v>
      </c>
      <c r="H43" t="str">
        <f>SmtRes!O40</f>
        <v>маш.-ч</v>
      </c>
      <c r="I43">
        <f>SmtRes!Y40*Source!I118</f>
        <v>1.1424000000000001</v>
      </c>
      <c r="J43">
        <f>SmtRes!AO40</f>
        <v>1</v>
      </c>
      <c r="K43">
        <f>SmtRes!AF40</f>
        <v>952.49</v>
      </c>
      <c r="L43">
        <f>SmtRes!DB40</f>
        <v>485.52</v>
      </c>
      <c r="M43">
        <f>ROUND(ROUND(L43*Source!I118, 2)*1, 2)</f>
        <v>1087.56</v>
      </c>
      <c r="N43">
        <f>SmtRes!AB40</f>
        <v>952.49</v>
      </c>
      <c r="O43">
        <f>ROUND(ROUND(L43*Source!I118, 2)*SmtRes!DA40, 2)</f>
        <v>1087.56</v>
      </c>
      <c r="P43">
        <f>SmtRes!AG40</f>
        <v>301.5</v>
      </c>
      <c r="Q43">
        <f>SmtRes!DC40</f>
        <v>154.02000000000001</v>
      </c>
      <c r="R43">
        <f>ROUND(ROUND(Q43*Source!I118, 2)*1, 2)</f>
        <v>345</v>
      </c>
      <c r="S43">
        <f>SmtRes!AC40</f>
        <v>301.5</v>
      </c>
      <c r="T43">
        <f>ROUND(ROUND(Q43*Source!I118, 2)*SmtRes!AK40, 2)</f>
        <v>345</v>
      </c>
      <c r="U43">
        <f>SmtRes!X40</f>
        <v>-1048706440</v>
      </c>
      <c r="V43">
        <v>-1712225594</v>
      </c>
      <c r="W43">
        <v>-1712225594</v>
      </c>
      <c r="X43">
        <v>2</v>
      </c>
    </row>
    <row r="44" spans="1:24" x14ac:dyDescent="0.2">
      <c r="A44">
        <f>Source!A119</f>
        <v>17</v>
      </c>
      <c r="B44">
        <v>119</v>
      </c>
      <c r="C44">
        <v>3</v>
      </c>
      <c r="D44">
        <f>Source!BI119</f>
        <v>4</v>
      </c>
      <c r="E44">
        <f>Source!FS119</f>
        <v>0</v>
      </c>
      <c r="F44" t="str">
        <f>Source!F119</f>
        <v>21.25-0-1</v>
      </c>
      <c r="G44" t="str">
        <f>Source!G119</f>
        <v>Содержание свалки отходов строительства и сноса</v>
      </c>
      <c r="H44" t="str">
        <f>Source!H119</f>
        <v>т</v>
      </c>
      <c r="I44">
        <f>Source!I119</f>
        <v>2.2400000000000002</v>
      </c>
      <c r="J44">
        <v>1</v>
      </c>
      <c r="K44">
        <f>Source!AC119</f>
        <v>197.96</v>
      </c>
      <c r="M44">
        <f>ROUND(K44*I44, 2)</f>
        <v>443.43</v>
      </c>
      <c r="N44">
        <f>Source!AC119*IF(Source!BC119&lt;&gt; 0, Source!BC119, 1)</f>
        <v>197.96</v>
      </c>
      <c r="O44">
        <f>ROUND(N44*I44, 2)</f>
        <v>443.43</v>
      </c>
      <c r="P44">
        <f>Source!AE119</f>
        <v>0</v>
      </c>
      <c r="R44">
        <f>ROUND(P44*I44, 2)</f>
        <v>0</v>
      </c>
      <c r="S44">
        <f>Source!AE119*IF(Source!BS119&lt;&gt; 0, Source!BS119, 1)</f>
        <v>0</v>
      </c>
      <c r="T44">
        <f>ROUND(S44*I44, 2)</f>
        <v>0</v>
      </c>
      <c r="U44">
        <f>Source!GF119</f>
        <v>-1432574997</v>
      </c>
      <c r="V44">
        <v>1346821691</v>
      </c>
      <c r="W44">
        <v>1346821691</v>
      </c>
      <c r="X44">
        <v>3</v>
      </c>
    </row>
    <row r="45" spans="1:24" x14ac:dyDescent="0.2">
      <c r="A45">
        <v>20</v>
      </c>
      <c r="B45">
        <v>43</v>
      </c>
      <c r="C45">
        <v>2</v>
      </c>
      <c r="D45">
        <v>0</v>
      </c>
      <c r="E45">
        <f>SmtRes!AV43</f>
        <v>0</v>
      </c>
      <c r="F45" t="str">
        <f>SmtRes!I43</f>
        <v>22.1-30-30</v>
      </c>
      <c r="G45" t="str">
        <f>SmtRes!K43</f>
        <v>Рубанки ручные электрические</v>
      </c>
      <c r="H45" t="str">
        <f>SmtRes!O43</f>
        <v>маш.-ч</v>
      </c>
      <c r="I45">
        <f>SmtRes!Y43*Source!I120</f>
        <v>12.067999999999998</v>
      </c>
      <c r="J45">
        <f>SmtRes!AO43</f>
        <v>1</v>
      </c>
      <c r="K45">
        <f>SmtRes!AF43</f>
        <v>6.28</v>
      </c>
      <c r="L45">
        <f>SmtRes!DB43</f>
        <v>27.07</v>
      </c>
      <c r="M45">
        <f>ROUND(ROUND(L45*Source!I120, 2)*1, 2)</f>
        <v>75.8</v>
      </c>
      <c r="N45">
        <f>SmtRes!AB43</f>
        <v>6.28</v>
      </c>
      <c r="O45">
        <f>ROUND(ROUND(L45*Source!I120, 2)*SmtRes!DA43, 2)</f>
        <v>75.8</v>
      </c>
      <c r="P45">
        <f>SmtRes!AG43</f>
        <v>0.01</v>
      </c>
      <c r="Q45">
        <f>SmtRes!DC43</f>
        <v>0.04</v>
      </c>
      <c r="R45">
        <f>ROUND(ROUND(Q45*Source!I120, 2)*1, 2)</f>
        <v>0.11</v>
      </c>
      <c r="S45">
        <f>SmtRes!AC43</f>
        <v>0.01</v>
      </c>
      <c r="T45">
        <f>ROUND(ROUND(Q45*Source!I120, 2)*SmtRes!AK43, 2)</f>
        <v>0.11</v>
      </c>
      <c r="U45">
        <f>SmtRes!X43</f>
        <v>-17333852</v>
      </c>
      <c r="V45">
        <v>1236211575</v>
      </c>
      <c r="W45">
        <v>1236211575</v>
      </c>
      <c r="X45">
        <v>2</v>
      </c>
    </row>
    <row r="46" spans="1:24" x14ac:dyDescent="0.2">
      <c r="A46">
        <v>20</v>
      </c>
      <c r="B46">
        <v>42</v>
      </c>
      <c r="C46">
        <v>1</v>
      </c>
      <c r="D46">
        <v>0</v>
      </c>
      <c r="E46">
        <f>SmtRes!AV42</f>
        <v>1</v>
      </c>
      <c r="F46" t="str">
        <f>SmtRes!I42</f>
        <v>9999990008</v>
      </c>
      <c r="G46" t="str">
        <f>SmtRes!K42</f>
        <v>Трудозатраты рабочих</v>
      </c>
      <c r="H46" t="str">
        <f>SmtRes!O42</f>
        <v>чел.-ч.</v>
      </c>
      <c r="I46">
        <f>SmtRes!Y42*Source!I120</f>
        <v>176.11999999999998</v>
      </c>
      <c r="J46">
        <f>SmtRes!AO42</f>
        <v>1</v>
      </c>
      <c r="K46">
        <f>SmtRes!AH42</f>
        <v>0</v>
      </c>
      <c r="L46">
        <f>SmtRes!DB42</f>
        <v>0</v>
      </c>
      <c r="M46">
        <f>ROUND(ROUND(L46*Source!I120, 2)*1, 2)</f>
        <v>0</v>
      </c>
      <c r="N46">
        <f>SmtRes!AD42</f>
        <v>0</v>
      </c>
      <c r="O46">
        <f>ROUND(ROUND(L46*Source!I120, 2)*SmtRes!DA42, 2)</f>
        <v>0</v>
      </c>
      <c r="P46">
        <f>SmtRes!AG42</f>
        <v>0</v>
      </c>
      <c r="Q46">
        <f>SmtRes!DC42</f>
        <v>0</v>
      </c>
      <c r="R46">
        <f>ROUND(ROUND(Q46*Source!I120, 2)*1, 2)</f>
        <v>0</v>
      </c>
      <c r="S46">
        <f>SmtRes!AC42</f>
        <v>0</v>
      </c>
      <c r="T46">
        <f>ROUND(ROUND(Q46*Source!I120, 2)*SmtRes!AK42, 2)</f>
        <v>0</v>
      </c>
      <c r="U46">
        <f>SmtRes!X42</f>
        <v>476480486</v>
      </c>
      <c r="V46">
        <v>1286141856</v>
      </c>
      <c r="W46">
        <v>1286141856</v>
      </c>
      <c r="X46">
        <v>1</v>
      </c>
    </row>
    <row r="47" spans="1:24" x14ac:dyDescent="0.2">
      <c r="A47">
        <f>Source!A122</f>
        <v>18</v>
      </c>
      <c r="B47">
        <v>122</v>
      </c>
      <c r="C47">
        <v>3</v>
      </c>
      <c r="D47">
        <f>Source!BI122</f>
        <v>1</v>
      </c>
      <c r="E47">
        <f>Source!FS122</f>
        <v>0</v>
      </c>
      <c r="F47" t="str">
        <f>Source!F122</f>
        <v>КА п. 1</v>
      </c>
      <c r="G47" t="str">
        <f>Source!G122</f>
        <v>Доска террасная ДПК, размер 28х140х4000 мм.</v>
      </c>
      <c r="H47" t="str">
        <f>Source!H122</f>
        <v>м2</v>
      </c>
      <c r="I47">
        <f>Source!I122</f>
        <v>280</v>
      </c>
      <c r="J47">
        <v>1</v>
      </c>
      <c r="K47">
        <f>Source!AC122</f>
        <v>875</v>
      </c>
      <c r="M47">
        <f>ROUND(K47*I47, 2)</f>
        <v>245000</v>
      </c>
      <c r="N47">
        <f>Source!AC122*IF(Source!BC122&lt;&gt; 0, Source!BC122, 1)</f>
        <v>875</v>
      </c>
      <c r="O47">
        <f>ROUND(N47*I47, 2)</f>
        <v>245000</v>
      </c>
      <c r="P47">
        <f>Source!AE122</f>
        <v>0</v>
      </c>
      <c r="R47">
        <f>ROUND(P47*I47, 2)</f>
        <v>0</v>
      </c>
      <c r="S47">
        <f>Source!AE122*IF(Source!BS122&lt;&gt; 0, Source!BS122, 1)</f>
        <v>0</v>
      </c>
      <c r="T47">
        <f>ROUND(S47*I47, 2)</f>
        <v>0</v>
      </c>
      <c r="U47">
        <f>Source!GF122</f>
        <v>-1422212954</v>
      </c>
      <c r="V47">
        <v>-1069363996</v>
      </c>
      <c r="W47">
        <v>-1069363996</v>
      </c>
      <c r="X47">
        <v>3</v>
      </c>
    </row>
    <row r="48" spans="1:24" x14ac:dyDescent="0.2">
      <c r="A48">
        <f>Source!A124</f>
        <v>18</v>
      </c>
      <c r="B48">
        <v>124</v>
      </c>
      <c r="C48">
        <v>3</v>
      </c>
      <c r="D48">
        <f>Source!BI124</f>
        <v>4</v>
      </c>
      <c r="E48">
        <f>Source!FS124</f>
        <v>0</v>
      </c>
      <c r="F48" t="str">
        <f>Source!F124</f>
        <v>КА п. 2</v>
      </c>
      <c r="G48" t="str">
        <f>Source!G124</f>
        <v>Клипса монтажная стартовая 8мм</v>
      </c>
      <c r="H48" t="str">
        <f>Source!H124</f>
        <v>шт.</v>
      </c>
      <c r="I48">
        <f>Source!I124</f>
        <v>1080</v>
      </c>
      <c r="J48">
        <v>1</v>
      </c>
      <c r="K48">
        <f>Source!AC124</f>
        <v>7.5</v>
      </c>
      <c r="M48">
        <f>ROUND(K48*I48, 2)</f>
        <v>8100</v>
      </c>
      <c r="N48">
        <f>Source!AC124*IF(Source!BC124&lt;&gt; 0, Source!BC124, 1)</f>
        <v>7.5</v>
      </c>
      <c r="O48">
        <f>ROUND(N48*I48, 2)</f>
        <v>8100</v>
      </c>
      <c r="P48">
        <f>Source!AE124</f>
        <v>0</v>
      </c>
      <c r="R48">
        <f>ROUND(P48*I48, 2)</f>
        <v>0</v>
      </c>
      <c r="S48">
        <f>Source!AE124*IF(Source!BS124&lt;&gt; 0, Source!BS124, 1)</f>
        <v>0</v>
      </c>
      <c r="T48">
        <f>ROUND(S48*I48, 2)</f>
        <v>0</v>
      </c>
      <c r="U48">
        <f>Source!GF124</f>
        <v>-2122191956</v>
      </c>
      <c r="V48">
        <v>581170935</v>
      </c>
      <c r="W48">
        <v>581170935</v>
      </c>
      <c r="X48">
        <v>3</v>
      </c>
    </row>
    <row r="49" spans="1:24" x14ac:dyDescent="0.2">
      <c r="A49">
        <f>Source!A125</f>
        <v>18</v>
      </c>
      <c r="B49">
        <v>125</v>
      </c>
      <c r="C49">
        <v>3</v>
      </c>
      <c r="D49">
        <f>Source!BI125</f>
        <v>4</v>
      </c>
      <c r="E49">
        <f>Source!FS125</f>
        <v>0</v>
      </c>
      <c r="F49" t="str">
        <f>Source!F125</f>
        <v>КА п. 3</v>
      </c>
      <c r="G49" t="str">
        <f>Source!G125</f>
        <v>Клипса монтажная 3Д 7мм</v>
      </c>
      <c r="H49" t="str">
        <f>Source!H125</f>
        <v>шт.</v>
      </c>
      <c r="I49">
        <f>Source!I125</f>
        <v>4492</v>
      </c>
      <c r="J49">
        <v>1</v>
      </c>
      <c r="K49">
        <f>Source!AC125</f>
        <v>7.5</v>
      </c>
      <c r="M49">
        <f>ROUND(K49*I49, 2)</f>
        <v>33690</v>
      </c>
      <c r="N49">
        <f>Source!AC125*IF(Source!BC125&lt;&gt; 0, Source!BC125, 1)</f>
        <v>7.5</v>
      </c>
      <c r="O49">
        <f>ROUND(N49*I49, 2)</f>
        <v>33690</v>
      </c>
      <c r="P49">
        <f>Source!AE125</f>
        <v>0</v>
      </c>
      <c r="R49">
        <f>ROUND(P49*I49, 2)</f>
        <v>0</v>
      </c>
      <c r="S49">
        <f>Source!AE125*IF(Source!BS125&lt;&gt; 0, Source!BS125, 1)</f>
        <v>0</v>
      </c>
      <c r="T49">
        <f>ROUND(S49*I49, 2)</f>
        <v>0</v>
      </c>
      <c r="U49">
        <f>Source!GF125</f>
        <v>-1557709343</v>
      </c>
      <c r="V49">
        <v>-1180167857</v>
      </c>
      <c r="W49">
        <v>-1180167857</v>
      </c>
      <c r="X49">
        <v>3</v>
      </c>
    </row>
    <row r="50" spans="1:24" x14ac:dyDescent="0.2">
      <c r="A50">
        <f>Source!A157</f>
        <v>4</v>
      </c>
      <c r="B50">
        <v>157</v>
      </c>
      <c r="G50" t="str">
        <f>Source!G157</f>
        <v>Ремонт металлического ограждения (330 мп)</v>
      </c>
    </row>
    <row r="51" spans="1:24" x14ac:dyDescent="0.2">
      <c r="A51">
        <v>20</v>
      </c>
      <c r="B51">
        <v>49</v>
      </c>
      <c r="C51">
        <v>1</v>
      </c>
      <c r="D51">
        <v>0</v>
      </c>
      <c r="E51">
        <f>SmtRes!AV49</f>
        <v>1</v>
      </c>
      <c r="F51" t="str">
        <f>SmtRes!I49</f>
        <v>9999990008</v>
      </c>
      <c r="G51" t="str">
        <f>SmtRes!K49</f>
        <v>Трудозатраты рабочих</v>
      </c>
      <c r="H51" t="str">
        <f>SmtRes!O49</f>
        <v>чел.-ч.</v>
      </c>
      <c r="I51">
        <f>SmtRes!Y49*Source!I161</f>
        <v>237.6</v>
      </c>
      <c r="J51">
        <f>SmtRes!AO49</f>
        <v>1</v>
      </c>
      <c r="K51">
        <f>SmtRes!AH49</f>
        <v>0</v>
      </c>
      <c r="L51">
        <f>SmtRes!DB49</f>
        <v>0</v>
      </c>
      <c r="M51">
        <f>ROUND(ROUND(L51*Source!I161, 2)*1, 2)</f>
        <v>0</v>
      </c>
      <c r="N51">
        <f>SmtRes!AD49</f>
        <v>0</v>
      </c>
      <c r="O51">
        <f>ROUND(ROUND(L51*Source!I161, 2)*SmtRes!DA49, 2)</f>
        <v>0</v>
      </c>
      <c r="P51">
        <f>SmtRes!AG49</f>
        <v>0</v>
      </c>
      <c r="Q51">
        <f>SmtRes!DC49</f>
        <v>0</v>
      </c>
      <c r="R51">
        <f>ROUND(ROUND(Q51*Source!I161, 2)*1, 2)</f>
        <v>0</v>
      </c>
      <c r="S51">
        <f>SmtRes!AC49</f>
        <v>0</v>
      </c>
      <c r="T51">
        <f>ROUND(ROUND(Q51*Source!I161, 2)*SmtRes!AK49, 2)</f>
        <v>0</v>
      </c>
      <c r="U51">
        <f>SmtRes!X49</f>
        <v>476480486</v>
      </c>
      <c r="V51">
        <v>1286141856</v>
      </c>
      <c r="W51">
        <v>1286141856</v>
      </c>
      <c r="X51">
        <v>1</v>
      </c>
    </row>
    <row r="52" spans="1:24" x14ac:dyDescent="0.2">
      <c r="A52">
        <v>20</v>
      </c>
      <c r="B52">
        <v>52</v>
      </c>
      <c r="C52">
        <v>3</v>
      </c>
      <c r="D52">
        <v>0</v>
      </c>
      <c r="E52">
        <f>SmtRes!AV52</f>
        <v>0</v>
      </c>
      <c r="F52" t="str">
        <f>SmtRes!I52</f>
        <v>21.1-6-90</v>
      </c>
      <c r="G52" t="str">
        <f>SmtRes!K52</f>
        <v>Олифа для окраски комбинированная "Оксоль"</v>
      </c>
      <c r="H52" t="str">
        <f>SmtRes!O52</f>
        <v>кг</v>
      </c>
      <c r="I52">
        <f>SmtRes!Y52*Source!I162</f>
        <v>44.879999999999995</v>
      </c>
      <c r="J52">
        <f>SmtRes!AO52</f>
        <v>1</v>
      </c>
      <c r="K52">
        <f>SmtRes!AE52</f>
        <v>80.150000000000006</v>
      </c>
      <c r="L52">
        <f>SmtRes!DB52</f>
        <v>545.02</v>
      </c>
      <c r="M52">
        <f>ROUND(ROUND(L52*Source!I162, 2)*1, 2)</f>
        <v>3597.13</v>
      </c>
      <c r="N52">
        <f>SmtRes!AA52</f>
        <v>80.150000000000006</v>
      </c>
      <c r="O52">
        <f>ROUND(ROUND(L52*Source!I162, 2)*SmtRes!DA52, 2)</f>
        <v>3597.13</v>
      </c>
      <c r="P52">
        <f>SmtRes!AG52</f>
        <v>0</v>
      </c>
      <c r="Q52">
        <f>SmtRes!DC52</f>
        <v>0</v>
      </c>
      <c r="R52">
        <f>ROUND(ROUND(Q52*Source!I162, 2)*1, 2)</f>
        <v>0</v>
      </c>
      <c r="S52">
        <f>SmtRes!AC52</f>
        <v>0</v>
      </c>
      <c r="T52">
        <f>ROUND(ROUND(Q52*Source!I162, 2)*SmtRes!AK52, 2)</f>
        <v>0</v>
      </c>
      <c r="U52">
        <f>SmtRes!X52</f>
        <v>317910493</v>
      </c>
      <c r="V52">
        <v>-1118963088</v>
      </c>
      <c r="W52">
        <v>-1118963088</v>
      </c>
      <c r="X52">
        <v>3</v>
      </c>
    </row>
    <row r="53" spans="1:24" x14ac:dyDescent="0.2">
      <c r="A53">
        <v>20</v>
      </c>
      <c r="B53">
        <v>51</v>
      </c>
      <c r="C53">
        <v>3</v>
      </c>
      <c r="D53">
        <v>0</v>
      </c>
      <c r="E53">
        <f>SmtRes!AV51</f>
        <v>0</v>
      </c>
      <c r="F53" t="str">
        <f>SmtRes!I51</f>
        <v>21.1-6-44</v>
      </c>
      <c r="G53" t="str">
        <f>SmtRes!K51</f>
        <v>Краски масляные жидкотертые цветные (готовые к употреблению) для наружных и внутренних работ, марка МА-15</v>
      </c>
      <c r="H53" t="str">
        <f>SmtRes!O51</f>
        <v>т</v>
      </c>
      <c r="I53">
        <f>SmtRes!Y51*Source!I162</f>
        <v>7.4579999999999994E-2</v>
      </c>
      <c r="J53">
        <f>SmtRes!AO51</f>
        <v>1</v>
      </c>
      <c r="K53">
        <f>SmtRes!AE51</f>
        <v>74598.09</v>
      </c>
      <c r="L53">
        <f>SmtRes!DB51</f>
        <v>842.96</v>
      </c>
      <c r="M53">
        <f>ROUND(ROUND(L53*Source!I162, 2)*1, 2)</f>
        <v>5563.54</v>
      </c>
      <c r="N53">
        <f>SmtRes!AA51</f>
        <v>74598.09</v>
      </c>
      <c r="O53">
        <f>ROUND(ROUND(L53*Source!I162, 2)*SmtRes!DA51, 2)</f>
        <v>5563.54</v>
      </c>
      <c r="P53">
        <f>SmtRes!AG51</f>
        <v>0</v>
      </c>
      <c r="Q53">
        <f>SmtRes!DC51</f>
        <v>0</v>
      </c>
      <c r="R53">
        <f>ROUND(ROUND(Q53*Source!I162, 2)*1, 2)</f>
        <v>0</v>
      </c>
      <c r="S53">
        <f>SmtRes!AC51</f>
        <v>0</v>
      </c>
      <c r="T53">
        <f>ROUND(ROUND(Q53*Source!I162, 2)*SmtRes!AK51, 2)</f>
        <v>0</v>
      </c>
      <c r="U53">
        <f>SmtRes!X51</f>
        <v>-18067997</v>
      </c>
      <c r="V53">
        <v>774807755</v>
      </c>
      <c r="W53">
        <v>774807755</v>
      </c>
      <c r="X53">
        <v>3</v>
      </c>
    </row>
    <row r="54" spans="1:24" x14ac:dyDescent="0.2">
      <c r="A54">
        <v>20</v>
      </c>
      <c r="B54">
        <v>50</v>
      </c>
      <c r="C54">
        <v>1</v>
      </c>
      <c r="D54">
        <v>0</v>
      </c>
      <c r="E54">
        <f>SmtRes!AV50</f>
        <v>1</v>
      </c>
      <c r="F54" t="str">
        <f>SmtRes!I50</f>
        <v>9999990008</v>
      </c>
      <c r="G54" t="str">
        <f>SmtRes!K50</f>
        <v>Трудозатраты рабочих</v>
      </c>
      <c r="H54" t="str">
        <f>SmtRes!O50</f>
        <v>чел.-ч.</v>
      </c>
      <c r="I54">
        <f>SmtRes!Y50*Source!I162</f>
        <v>487.07999999999993</v>
      </c>
      <c r="J54">
        <f>SmtRes!AO50</f>
        <v>1</v>
      </c>
      <c r="K54">
        <f>SmtRes!AH50</f>
        <v>0</v>
      </c>
      <c r="L54">
        <f>SmtRes!DB50</f>
        <v>0</v>
      </c>
      <c r="M54">
        <f>ROUND(ROUND(L54*Source!I162, 2)*1, 2)</f>
        <v>0</v>
      </c>
      <c r="N54">
        <f>SmtRes!AD50</f>
        <v>0</v>
      </c>
      <c r="O54">
        <f>ROUND(ROUND(L54*Source!I162, 2)*SmtRes!DA50, 2)</f>
        <v>0</v>
      </c>
      <c r="P54">
        <f>SmtRes!AG50</f>
        <v>0</v>
      </c>
      <c r="Q54">
        <f>SmtRes!DC50</f>
        <v>0</v>
      </c>
      <c r="R54">
        <f>ROUND(ROUND(Q54*Source!I162, 2)*1, 2)</f>
        <v>0</v>
      </c>
      <c r="S54">
        <f>SmtRes!AC50</f>
        <v>0</v>
      </c>
      <c r="T54">
        <f>ROUND(ROUND(Q54*Source!I162, 2)*SmtRes!AK50, 2)</f>
        <v>0</v>
      </c>
      <c r="U54">
        <f>SmtRes!X50</f>
        <v>476480486</v>
      </c>
      <c r="V54">
        <v>1286141856</v>
      </c>
      <c r="W54">
        <v>1286141856</v>
      </c>
      <c r="X54">
        <v>1</v>
      </c>
    </row>
    <row r="55" spans="1:24" x14ac:dyDescent="0.2">
      <c r="A55">
        <f>Source!A194</f>
        <v>4</v>
      </c>
      <c r="B55">
        <v>194</v>
      </c>
      <c r="G55" t="str">
        <f>Source!G194</f>
        <v>Ремонт покрытия из брусчатки (1484 м2)</v>
      </c>
    </row>
    <row r="56" spans="1:24" x14ac:dyDescent="0.2">
      <c r="A56">
        <v>20</v>
      </c>
      <c r="B56">
        <v>62</v>
      </c>
      <c r="C56">
        <v>3</v>
      </c>
      <c r="D56">
        <v>0</v>
      </c>
      <c r="E56">
        <f>SmtRes!AV62</f>
        <v>0</v>
      </c>
      <c r="F56" t="str">
        <f>SmtRes!I62</f>
        <v>21.1-25-13</v>
      </c>
      <c r="G56" t="str">
        <f>SmtRes!K62</f>
        <v>Вода</v>
      </c>
      <c r="H56" t="str">
        <f>SmtRes!O62</f>
        <v>м3</v>
      </c>
      <c r="I56">
        <f>SmtRes!Y62*Source!I198</f>
        <v>11.129999999999999</v>
      </c>
      <c r="J56">
        <f>SmtRes!AO62</f>
        <v>1</v>
      </c>
      <c r="K56">
        <f>SmtRes!AE62</f>
        <v>33.729999999999997</v>
      </c>
      <c r="L56">
        <f>SmtRes!DB62</f>
        <v>843.25</v>
      </c>
      <c r="M56">
        <f>ROUND(ROUND(L56*Source!I198, 2)*1, 2)</f>
        <v>375.41</v>
      </c>
      <c r="N56">
        <f>SmtRes!AA62</f>
        <v>33.729999999999997</v>
      </c>
      <c r="O56">
        <f>ROUND(ROUND(L56*Source!I198, 2)*SmtRes!DA62, 2)</f>
        <v>375.41</v>
      </c>
      <c r="P56">
        <f>SmtRes!AG62</f>
        <v>0</v>
      </c>
      <c r="Q56">
        <f>SmtRes!DC62</f>
        <v>0</v>
      </c>
      <c r="R56">
        <f>ROUND(ROUND(Q56*Source!I198, 2)*1, 2)</f>
        <v>0</v>
      </c>
      <c r="S56">
        <f>SmtRes!AC62</f>
        <v>0</v>
      </c>
      <c r="T56">
        <f>ROUND(ROUND(Q56*Source!I198, 2)*SmtRes!AK62, 2)</f>
        <v>0</v>
      </c>
      <c r="U56">
        <f>SmtRes!X62</f>
        <v>1964795396</v>
      </c>
      <c r="V56">
        <v>711765246</v>
      </c>
      <c r="W56">
        <v>711765246</v>
      </c>
      <c r="X56">
        <v>3</v>
      </c>
    </row>
    <row r="57" spans="1:24" x14ac:dyDescent="0.2">
      <c r="A57">
        <v>20</v>
      </c>
      <c r="B57">
        <v>58</v>
      </c>
      <c r="C57">
        <v>2</v>
      </c>
      <c r="D57">
        <v>0</v>
      </c>
      <c r="E57">
        <f>SmtRes!AV58</f>
        <v>0</v>
      </c>
      <c r="F57" t="str">
        <f>SmtRes!I58</f>
        <v>22.1-5-47</v>
      </c>
      <c r="G57" t="str">
        <f>SmtRes!K58</f>
        <v>Автогрейдеры, мощность 66-88 кВт (90-120 л.с.)</v>
      </c>
      <c r="H57" t="str">
        <f>SmtRes!O58</f>
        <v>маш.-ч</v>
      </c>
      <c r="I57">
        <f>SmtRes!Y58*Source!I198</f>
        <v>2.5866119999999997</v>
      </c>
      <c r="J57">
        <f>SmtRes!AO58</f>
        <v>1</v>
      </c>
      <c r="K57">
        <f>SmtRes!AF58</f>
        <v>1467.62</v>
      </c>
      <c r="L57">
        <f>SmtRes!DB58</f>
        <v>8526.8700000000008</v>
      </c>
      <c r="M57">
        <f>ROUND(ROUND(L57*Source!I198, 2)*1, 2)</f>
        <v>3796.16</v>
      </c>
      <c r="N57">
        <f>SmtRes!AB58</f>
        <v>1467.62</v>
      </c>
      <c r="O57">
        <f>ROUND(ROUND(L57*Source!I198, 2)*SmtRes!DA58, 2)</f>
        <v>3796.16</v>
      </c>
      <c r="P57">
        <f>SmtRes!AG58</f>
        <v>682.01</v>
      </c>
      <c r="Q57">
        <f>SmtRes!DC58</f>
        <v>3962.48</v>
      </c>
      <c r="R57">
        <f>ROUND(ROUND(Q57*Source!I198, 2)*1, 2)</f>
        <v>1764.1</v>
      </c>
      <c r="S57">
        <f>SmtRes!AC58</f>
        <v>682.01</v>
      </c>
      <c r="T57">
        <f>ROUND(ROUND(Q57*Source!I198, 2)*SmtRes!AK58, 2)</f>
        <v>1764.1</v>
      </c>
      <c r="U57">
        <f>SmtRes!X58</f>
        <v>-1613012731</v>
      </c>
      <c r="V57">
        <v>1473812673</v>
      </c>
      <c r="W57">
        <v>1473812673</v>
      </c>
      <c r="X57">
        <v>2</v>
      </c>
    </row>
    <row r="58" spans="1:24" x14ac:dyDescent="0.2">
      <c r="A58">
        <v>20</v>
      </c>
      <c r="B58">
        <v>57</v>
      </c>
      <c r="C58">
        <v>2</v>
      </c>
      <c r="D58">
        <v>0</v>
      </c>
      <c r="E58">
        <f>SmtRes!AV57</f>
        <v>0</v>
      </c>
      <c r="F58" t="str">
        <f>SmtRes!I57</f>
        <v>22.1-5-3</v>
      </c>
      <c r="G58" t="str">
        <f>SmtRes!K57</f>
        <v>Катки самоходные вибрационные, масса более 8 т</v>
      </c>
      <c r="H58" t="str">
        <f>SmtRes!O57</f>
        <v>маш.-ч</v>
      </c>
      <c r="I58">
        <f>SmtRes!Y57*Source!I198</f>
        <v>14.330987999999998</v>
      </c>
      <c r="J58">
        <f>SmtRes!AO57</f>
        <v>1</v>
      </c>
      <c r="K58">
        <f>SmtRes!AF57</f>
        <v>1741.23</v>
      </c>
      <c r="L58">
        <f>SmtRes!DB57</f>
        <v>56050.19</v>
      </c>
      <c r="M58">
        <f>ROUND(ROUND(L58*Source!I198, 2)*1, 2)</f>
        <v>24953.54</v>
      </c>
      <c r="N58">
        <f>SmtRes!AB57</f>
        <v>1741.23</v>
      </c>
      <c r="O58">
        <f>ROUND(ROUND(L58*Source!I198, 2)*SmtRes!DA57, 2)</f>
        <v>24953.54</v>
      </c>
      <c r="P58">
        <f>SmtRes!AG57</f>
        <v>685.71</v>
      </c>
      <c r="Q58">
        <f>SmtRes!DC57</f>
        <v>22073</v>
      </c>
      <c r="R58">
        <f>ROUND(ROUND(Q58*Source!I198, 2)*1, 2)</f>
        <v>9826.9</v>
      </c>
      <c r="S58">
        <f>SmtRes!AC57</f>
        <v>685.71</v>
      </c>
      <c r="T58">
        <f>ROUND(ROUND(Q58*Source!I198, 2)*SmtRes!AK57, 2)</f>
        <v>9826.9</v>
      </c>
      <c r="U58">
        <f>SmtRes!X57</f>
        <v>-1845376792</v>
      </c>
      <c r="V58">
        <v>745564748</v>
      </c>
      <c r="W58">
        <v>745564748</v>
      </c>
      <c r="X58">
        <v>2</v>
      </c>
    </row>
    <row r="59" spans="1:24" x14ac:dyDescent="0.2">
      <c r="A59">
        <v>20</v>
      </c>
      <c r="B59">
        <v>56</v>
      </c>
      <c r="C59">
        <v>2</v>
      </c>
      <c r="D59">
        <v>0</v>
      </c>
      <c r="E59">
        <f>SmtRes!AV56</f>
        <v>0</v>
      </c>
      <c r="F59" t="str">
        <f>SmtRes!I56</f>
        <v>22.1-5-2</v>
      </c>
      <c r="G59" t="str">
        <f>SmtRes!K56</f>
        <v>Катки самоходные вибрационные, масса до 8 т</v>
      </c>
      <c r="H59" t="str">
        <f>SmtRes!O56</f>
        <v>маш.-ч</v>
      </c>
      <c r="I59">
        <f>SmtRes!Y56*Source!I198</f>
        <v>5.0129519999999994</v>
      </c>
      <c r="J59">
        <f>SmtRes!AO56</f>
        <v>1</v>
      </c>
      <c r="K59">
        <f>SmtRes!AF56</f>
        <v>1207.81</v>
      </c>
      <c r="L59">
        <f>SmtRes!DB56</f>
        <v>13599.94</v>
      </c>
      <c r="M59">
        <f>ROUND(ROUND(L59*Source!I198, 2)*1, 2)</f>
        <v>6054.69</v>
      </c>
      <c r="N59">
        <f>SmtRes!AB56</f>
        <v>1207.81</v>
      </c>
      <c r="O59">
        <f>ROUND(ROUND(L59*Source!I198, 2)*SmtRes!DA56, 2)</f>
        <v>6054.69</v>
      </c>
      <c r="P59">
        <f>SmtRes!AG56</f>
        <v>504.4</v>
      </c>
      <c r="Q59">
        <f>SmtRes!DC56</f>
        <v>5679.54</v>
      </c>
      <c r="R59">
        <f>ROUND(ROUND(Q59*Source!I198, 2)*1, 2)</f>
        <v>2528.5300000000002</v>
      </c>
      <c r="S59">
        <f>SmtRes!AC56</f>
        <v>504.4</v>
      </c>
      <c r="T59">
        <f>ROUND(ROUND(Q59*Source!I198, 2)*SmtRes!AK56, 2)</f>
        <v>2528.5300000000002</v>
      </c>
      <c r="U59">
        <f>SmtRes!X56</f>
        <v>-2094009474</v>
      </c>
      <c r="V59">
        <v>-1868528678</v>
      </c>
      <c r="W59">
        <v>-1868528678</v>
      </c>
      <c r="X59">
        <v>2</v>
      </c>
    </row>
    <row r="60" spans="1:24" x14ac:dyDescent="0.2">
      <c r="A60">
        <v>20</v>
      </c>
      <c r="B60">
        <v>55</v>
      </c>
      <c r="C60">
        <v>2</v>
      </c>
      <c r="D60">
        <v>0</v>
      </c>
      <c r="E60">
        <f>SmtRes!AV55</f>
        <v>0</v>
      </c>
      <c r="F60" t="str">
        <f>SmtRes!I55</f>
        <v>22.1-5-17</v>
      </c>
      <c r="G60" t="str">
        <f>SmtRes!K55</f>
        <v>Поливомоечные машины, емкость цистерны до 5000 л</v>
      </c>
      <c r="H60" t="str">
        <f>SmtRes!O55</f>
        <v>маш.-ч</v>
      </c>
      <c r="I60">
        <f>SmtRes!Y55*Source!I198</f>
        <v>2.29278</v>
      </c>
      <c r="J60">
        <f>SmtRes!AO55</f>
        <v>1</v>
      </c>
      <c r="K60">
        <f>SmtRes!AF55</f>
        <v>1236.3</v>
      </c>
      <c r="L60">
        <f>SmtRes!DB55</f>
        <v>6366.95</v>
      </c>
      <c r="M60">
        <f>ROUND(ROUND(L60*Source!I198, 2)*1, 2)</f>
        <v>2834.57</v>
      </c>
      <c r="N60">
        <f>SmtRes!AB55</f>
        <v>1236.3</v>
      </c>
      <c r="O60">
        <f>ROUND(ROUND(L60*Source!I198, 2)*SmtRes!DA55, 2)</f>
        <v>2834.57</v>
      </c>
      <c r="P60">
        <f>SmtRes!AG55</f>
        <v>469.98</v>
      </c>
      <c r="Q60">
        <f>SmtRes!DC55</f>
        <v>2420.4</v>
      </c>
      <c r="R60">
        <f>ROUND(ROUND(Q60*Source!I198, 2)*1, 2)</f>
        <v>1077.56</v>
      </c>
      <c r="S60">
        <f>SmtRes!AC55</f>
        <v>469.98</v>
      </c>
      <c r="T60">
        <f>ROUND(ROUND(Q60*Source!I198, 2)*SmtRes!AK55, 2)</f>
        <v>1077.56</v>
      </c>
      <c r="U60">
        <f>SmtRes!X55</f>
        <v>829773688</v>
      </c>
      <c r="V60">
        <v>956994253</v>
      </c>
      <c r="W60">
        <v>956994253</v>
      </c>
      <c r="X60">
        <v>2</v>
      </c>
    </row>
    <row r="61" spans="1:24" x14ac:dyDescent="0.2">
      <c r="A61">
        <v>20</v>
      </c>
      <c r="B61">
        <v>54</v>
      </c>
      <c r="C61">
        <v>2</v>
      </c>
      <c r="D61">
        <v>0</v>
      </c>
      <c r="E61">
        <f>SmtRes!AV54</f>
        <v>0</v>
      </c>
      <c r="F61" t="str">
        <f>SmtRes!I54</f>
        <v>22.1-2-1</v>
      </c>
      <c r="G61" t="str">
        <f>SmtRes!K54</f>
        <v>Тракторы на гусеничном ходу, мощность до 60 (81) кВт (л.с.)</v>
      </c>
      <c r="H61" t="str">
        <f>SmtRes!O54</f>
        <v>маш.-ч</v>
      </c>
      <c r="I61">
        <f>SmtRes!Y54*Source!I198</f>
        <v>0.70786800000000005</v>
      </c>
      <c r="J61">
        <f>SmtRes!AO54</f>
        <v>1</v>
      </c>
      <c r="K61">
        <f>SmtRes!AF54</f>
        <v>1159.46</v>
      </c>
      <c r="L61">
        <f>SmtRes!DB54</f>
        <v>1843.54</v>
      </c>
      <c r="M61">
        <f>ROUND(ROUND(L61*Source!I198, 2)*1, 2)</f>
        <v>820.74</v>
      </c>
      <c r="N61">
        <f>SmtRes!AB54</f>
        <v>1159.46</v>
      </c>
      <c r="O61">
        <f>ROUND(ROUND(L61*Source!I198, 2)*SmtRes!DA54, 2)</f>
        <v>820.74</v>
      </c>
      <c r="P61">
        <f>SmtRes!AG54</f>
        <v>525.74</v>
      </c>
      <c r="Q61">
        <f>SmtRes!DC54</f>
        <v>835.93</v>
      </c>
      <c r="R61">
        <f>ROUND(ROUND(Q61*Source!I198, 2)*1, 2)</f>
        <v>372.16</v>
      </c>
      <c r="S61">
        <f>SmtRes!AC54</f>
        <v>525.74</v>
      </c>
      <c r="T61">
        <f>ROUND(ROUND(Q61*Source!I198, 2)*SmtRes!AK54, 2)</f>
        <v>372.16</v>
      </c>
      <c r="U61">
        <f>SmtRes!X54</f>
        <v>1062203425</v>
      </c>
      <c r="V61">
        <v>1356816858</v>
      </c>
      <c r="W61">
        <v>1356816858</v>
      </c>
      <c r="X61">
        <v>2</v>
      </c>
    </row>
    <row r="62" spans="1:24" x14ac:dyDescent="0.2">
      <c r="A62">
        <v>20</v>
      </c>
      <c r="B62">
        <v>53</v>
      </c>
      <c r="C62">
        <v>1</v>
      </c>
      <c r="D62">
        <v>0</v>
      </c>
      <c r="E62">
        <f>SmtRes!AV53</f>
        <v>1</v>
      </c>
      <c r="F62" t="str">
        <f>SmtRes!I53</f>
        <v>9999990008</v>
      </c>
      <c r="G62" t="str">
        <f>SmtRes!K53</f>
        <v>Трудозатраты рабочих</v>
      </c>
      <c r="H62" t="str">
        <f>SmtRes!O53</f>
        <v>чел.-ч.</v>
      </c>
      <c r="I62">
        <f>SmtRes!Y53*Source!I198</f>
        <v>38.861508000000001</v>
      </c>
      <c r="J62">
        <f>SmtRes!AO53</f>
        <v>1</v>
      </c>
      <c r="K62">
        <f>SmtRes!AH53</f>
        <v>0</v>
      </c>
      <c r="L62">
        <f>SmtRes!DB53</f>
        <v>0</v>
      </c>
      <c r="M62">
        <f>ROUND(ROUND(L62*Source!I198, 2)*1, 2)</f>
        <v>0</v>
      </c>
      <c r="N62">
        <f>SmtRes!AD53</f>
        <v>0</v>
      </c>
      <c r="O62">
        <f>ROUND(ROUND(L62*Source!I198, 2)*SmtRes!DA53, 2)</f>
        <v>0</v>
      </c>
      <c r="P62">
        <f>SmtRes!AG53</f>
        <v>0</v>
      </c>
      <c r="Q62">
        <f>SmtRes!DC53</f>
        <v>0</v>
      </c>
      <c r="R62">
        <f>ROUND(ROUND(Q62*Source!I198, 2)*1, 2)</f>
        <v>0</v>
      </c>
      <c r="S62">
        <f>SmtRes!AC53</f>
        <v>0</v>
      </c>
      <c r="T62">
        <f>ROUND(ROUND(Q62*Source!I198, 2)*SmtRes!AK53, 2)</f>
        <v>0</v>
      </c>
      <c r="U62">
        <f>SmtRes!X53</f>
        <v>476480486</v>
      </c>
      <c r="V62">
        <v>1286141856</v>
      </c>
      <c r="W62">
        <v>1286141856</v>
      </c>
      <c r="X62">
        <v>1</v>
      </c>
    </row>
    <row r="63" spans="1:24" x14ac:dyDescent="0.2">
      <c r="A63">
        <f>Source!A201</f>
        <v>18</v>
      </c>
      <c r="B63">
        <v>201</v>
      </c>
      <c r="C63">
        <v>3</v>
      </c>
      <c r="D63">
        <f>Source!BI201</f>
        <v>4</v>
      </c>
      <c r="E63">
        <f>Source!FS201</f>
        <v>0</v>
      </c>
      <c r="F63" t="str">
        <f>Source!F201</f>
        <v>21.1-12-29</v>
      </c>
      <c r="G63" t="str">
        <f>Source!G201</f>
        <v>Щебень из естественного камня для строительных работ, марка 600-400, фракция 5-10 мм</v>
      </c>
      <c r="H63" t="str">
        <f>Source!H201</f>
        <v>м3</v>
      </c>
      <c r="I63">
        <f>Source!I201</f>
        <v>29.605799999999999</v>
      </c>
      <c r="J63">
        <v>1</v>
      </c>
      <c r="K63">
        <f>Source!AC201</f>
        <v>1487.52</v>
      </c>
      <c r="M63">
        <f>ROUND(K63*I63, 2)</f>
        <v>44039.22</v>
      </c>
      <c r="N63">
        <f>Source!AC201*IF(Source!BC201&lt;&gt; 0, Source!BC201, 1)</f>
        <v>1487.52</v>
      </c>
      <c r="O63">
        <f>ROUND(N63*I63, 2)</f>
        <v>44039.22</v>
      </c>
      <c r="P63">
        <f>Source!AE201</f>
        <v>0</v>
      </c>
      <c r="R63">
        <f>ROUND(P63*I63, 2)</f>
        <v>0</v>
      </c>
      <c r="S63">
        <f>Source!AE201*IF(Source!BS201&lt;&gt; 0, Source!BS201, 1)</f>
        <v>0</v>
      </c>
      <c r="T63">
        <f>ROUND(S63*I63, 2)</f>
        <v>0</v>
      </c>
      <c r="U63">
        <f>Source!GF201</f>
        <v>2025333854</v>
      </c>
      <c r="V63">
        <v>1255796807</v>
      </c>
      <c r="W63">
        <v>1255796807</v>
      </c>
      <c r="X63">
        <v>3</v>
      </c>
    </row>
    <row r="64" spans="1:24" x14ac:dyDescent="0.2">
      <c r="A64">
        <v>20</v>
      </c>
      <c r="B64">
        <v>69</v>
      </c>
      <c r="C64">
        <v>3</v>
      </c>
      <c r="D64">
        <v>0</v>
      </c>
      <c r="E64">
        <f>SmtRes!AV69</f>
        <v>0</v>
      </c>
      <c r="F64" t="str">
        <f>SmtRes!I69</f>
        <v>21.7-3-11</v>
      </c>
      <c r="G64" t="str">
        <f>SmtRes!K69</f>
        <v>Диск отрезной с алмазным покрытием DC-D C1, диаметр 230 мм</v>
      </c>
      <c r="H64" t="str">
        <f>SmtRes!O69</f>
        <v>шт.</v>
      </c>
      <c r="I64">
        <f>SmtRes!Y69*Source!I202</f>
        <v>22.259999999999998</v>
      </c>
      <c r="J64">
        <f>SmtRes!AO69</f>
        <v>1</v>
      </c>
      <c r="K64">
        <f>SmtRes!AE69</f>
        <v>4170.97</v>
      </c>
      <c r="L64">
        <f>SmtRes!DB69</f>
        <v>6256.46</v>
      </c>
      <c r="M64">
        <f>ROUND(ROUND(L64*Source!I202, 2)*1, 2)</f>
        <v>92845.87</v>
      </c>
      <c r="N64">
        <f>SmtRes!AA69</f>
        <v>4170.97</v>
      </c>
      <c r="O64">
        <f>ROUND(ROUND(L64*Source!I202, 2)*SmtRes!DA69, 2)</f>
        <v>92845.87</v>
      </c>
      <c r="P64">
        <f>SmtRes!AG69</f>
        <v>0</v>
      </c>
      <c r="Q64">
        <f>SmtRes!DC69</f>
        <v>0</v>
      </c>
      <c r="R64">
        <f>ROUND(ROUND(Q64*Source!I202, 2)*1, 2)</f>
        <v>0</v>
      </c>
      <c r="S64">
        <f>SmtRes!AC69</f>
        <v>0</v>
      </c>
      <c r="T64">
        <f>ROUND(ROUND(Q64*Source!I202, 2)*SmtRes!AK69, 2)</f>
        <v>0</v>
      </c>
      <c r="U64">
        <f>SmtRes!X69</f>
        <v>365582997</v>
      </c>
      <c r="V64">
        <v>-1199737582</v>
      </c>
      <c r="W64">
        <v>-1199737582</v>
      </c>
      <c r="X64">
        <v>3</v>
      </c>
    </row>
    <row r="65" spans="1:24" x14ac:dyDescent="0.2">
      <c r="A65">
        <v>20</v>
      </c>
      <c r="B65">
        <v>67</v>
      </c>
      <c r="C65">
        <v>3</v>
      </c>
      <c r="D65">
        <v>0</v>
      </c>
      <c r="E65">
        <f>SmtRes!AV67</f>
        <v>0</v>
      </c>
      <c r="F65" t="str">
        <f>SmtRes!I67</f>
        <v>21.3-2-52</v>
      </c>
      <c r="G65" t="str">
        <f>SmtRes!K67</f>
        <v>Смеси сухие монтажно-кладочные цементно-песчаные: В12,5 (М150), F100, крупность заполнителя не более 3,5 мм</v>
      </c>
      <c r="H65" t="str">
        <f>SmtRes!O67</f>
        <v>т</v>
      </c>
      <c r="I65">
        <f>SmtRes!Y67*Source!I202</f>
        <v>126.58519999999999</v>
      </c>
      <c r="J65">
        <f>SmtRes!AO67</f>
        <v>1</v>
      </c>
      <c r="K65">
        <f>SmtRes!AE67</f>
        <v>3130.47</v>
      </c>
      <c r="L65">
        <f>SmtRes!DB67</f>
        <v>26702.91</v>
      </c>
      <c r="M65">
        <f>ROUND(ROUND(L65*Source!I202, 2)*1, 2)</f>
        <v>396271.18</v>
      </c>
      <c r="N65">
        <f>SmtRes!AA67</f>
        <v>3130.47</v>
      </c>
      <c r="O65">
        <f>ROUND(ROUND(L65*Source!I202, 2)*SmtRes!DA67, 2)</f>
        <v>396271.18</v>
      </c>
      <c r="P65">
        <f>SmtRes!AG67</f>
        <v>0</v>
      </c>
      <c r="Q65">
        <f>SmtRes!DC67</f>
        <v>0</v>
      </c>
      <c r="R65">
        <f>ROUND(ROUND(Q65*Source!I202, 2)*1, 2)</f>
        <v>0</v>
      </c>
      <c r="S65">
        <f>SmtRes!AC67</f>
        <v>0</v>
      </c>
      <c r="T65">
        <f>ROUND(ROUND(Q65*Source!I202, 2)*SmtRes!AK67, 2)</f>
        <v>0</v>
      </c>
      <c r="U65">
        <f>SmtRes!X67</f>
        <v>1327936400</v>
      </c>
      <c r="V65">
        <v>962882035</v>
      </c>
      <c r="W65">
        <v>962882035</v>
      </c>
      <c r="X65">
        <v>3</v>
      </c>
    </row>
    <row r="66" spans="1:24" x14ac:dyDescent="0.2">
      <c r="A66">
        <v>20</v>
      </c>
      <c r="B66">
        <v>66</v>
      </c>
      <c r="C66">
        <v>3</v>
      </c>
      <c r="D66">
        <v>0</v>
      </c>
      <c r="E66">
        <f>SmtRes!AV66</f>
        <v>0</v>
      </c>
      <c r="F66" t="str">
        <f>SmtRes!I66</f>
        <v>21.1-12-11</v>
      </c>
      <c r="G66" t="str">
        <f>SmtRes!K66</f>
        <v>Песок для строительных работ, рядовой</v>
      </c>
      <c r="H66" t="str">
        <f>SmtRes!O66</f>
        <v>м3</v>
      </c>
      <c r="I66">
        <f>SmtRes!Y66*Source!I202</f>
        <v>3.1164000000000001</v>
      </c>
      <c r="J66">
        <f>SmtRes!AO66</f>
        <v>1</v>
      </c>
      <c r="K66">
        <f>SmtRes!AE66</f>
        <v>590.78</v>
      </c>
      <c r="L66">
        <f>SmtRes!DB66</f>
        <v>124.06</v>
      </c>
      <c r="M66">
        <f>ROUND(ROUND(L66*Source!I202, 2)*1, 2)</f>
        <v>1841.05</v>
      </c>
      <c r="N66">
        <f>SmtRes!AA66</f>
        <v>590.78</v>
      </c>
      <c r="O66">
        <f>ROUND(ROUND(L66*Source!I202, 2)*SmtRes!DA66, 2)</f>
        <v>1841.05</v>
      </c>
      <c r="P66">
        <f>SmtRes!AG66</f>
        <v>0</v>
      </c>
      <c r="Q66">
        <f>SmtRes!DC66</f>
        <v>0</v>
      </c>
      <c r="R66">
        <f>ROUND(ROUND(Q66*Source!I202, 2)*1, 2)</f>
        <v>0</v>
      </c>
      <c r="S66">
        <f>SmtRes!AC66</f>
        <v>0</v>
      </c>
      <c r="T66">
        <f>ROUND(ROUND(Q66*Source!I202, 2)*SmtRes!AK66, 2)</f>
        <v>0</v>
      </c>
      <c r="U66">
        <f>SmtRes!X66</f>
        <v>-1554032928</v>
      </c>
      <c r="V66">
        <v>-2004412193</v>
      </c>
      <c r="W66">
        <v>-2004412193</v>
      </c>
      <c r="X66">
        <v>3</v>
      </c>
    </row>
    <row r="67" spans="1:24" x14ac:dyDescent="0.2">
      <c r="A67">
        <v>20</v>
      </c>
      <c r="B67">
        <v>65</v>
      </c>
      <c r="C67">
        <v>2</v>
      </c>
      <c r="D67">
        <v>0</v>
      </c>
      <c r="E67">
        <f>SmtRes!AV65</f>
        <v>0</v>
      </c>
      <c r="F67" t="str">
        <f>SmtRes!I65</f>
        <v>22.1-30-27</v>
      </c>
      <c r="G67" t="str">
        <f>SmtRes!K65</f>
        <v>Пилы дисковые электрические для резки пиломатериалов</v>
      </c>
      <c r="H67" t="str">
        <f>SmtRes!O65</f>
        <v>маш.-ч</v>
      </c>
      <c r="I67">
        <f>SmtRes!Y65*Source!I202</f>
        <v>32.351199999999999</v>
      </c>
      <c r="J67">
        <f>SmtRes!AO65</f>
        <v>1</v>
      </c>
      <c r="K67">
        <f>SmtRes!AF65</f>
        <v>3.96</v>
      </c>
      <c r="L67">
        <f>SmtRes!DB65</f>
        <v>8.6300000000000008</v>
      </c>
      <c r="M67">
        <f>ROUND(ROUND(L67*Source!I202, 2)*1, 2)</f>
        <v>128.07</v>
      </c>
      <c r="N67">
        <f>SmtRes!AB65</f>
        <v>3.96</v>
      </c>
      <c r="O67">
        <f>ROUND(ROUND(L67*Source!I202, 2)*SmtRes!DA65, 2)</f>
        <v>128.07</v>
      </c>
      <c r="P67">
        <f>SmtRes!AG65</f>
        <v>0.01</v>
      </c>
      <c r="Q67">
        <f>SmtRes!DC65</f>
        <v>0.02</v>
      </c>
      <c r="R67">
        <f>ROUND(ROUND(Q67*Source!I202, 2)*1, 2)</f>
        <v>0.3</v>
      </c>
      <c r="S67">
        <f>SmtRes!AC65</f>
        <v>0.01</v>
      </c>
      <c r="T67">
        <f>ROUND(ROUND(Q67*Source!I202, 2)*SmtRes!AK65, 2)</f>
        <v>0.3</v>
      </c>
      <c r="U67">
        <f>SmtRes!X65</f>
        <v>-114073091</v>
      </c>
      <c r="V67">
        <v>-622644077</v>
      </c>
      <c r="W67">
        <v>-622644077</v>
      </c>
      <c r="X67">
        <v>2</v>
      </c>
    </row>
    <row r="68" spans="1:24" x14ac:dyDescent="0.2">
      <c r="A68">
        <v>20</v>
      </c>
      <c r="B68">
        <v>64</v>
      </c>
      <c r="C68">
        <v>2</v>
      </c>
      <c r="D68">
        <v>0</v>
      </c>
      <c r="E68">
        <f>SmtRes!AV64</f>
        <v>0</v>
      </c>
      <c r="F68" t="str">
        <f>SmtRes!I64</f>
        <v>22.1-17-82</v>
      </c>
      <c r="G68" t="str">
        <f>SmtRes!K64</f>
        <v>Виброплиты для уплотнения песка, гравия и бетона</v>
      </c>
      <c r="H68" t="str">
        <f>SmtRes!O64</f>
        <v>маш.-ч</v>
      </c>
      <c r="I68">
        <f>SmtRes!Y64*Source!I202</f>
        <v>60.843999999999994</v>
      </c>
      <c r="J68">
        <f>SmtRes!AO64</f>
        <v>1</v>
      </c>
      <c r="K68">
        <f>SmtRes!AF64</f>
        <v>88.33</v>
      </c>
      <c r="L68">
        <f>SmtRes!DB64</f>
        <v>362.15</v>
      </c>
      <c r="M68">
        <f>ROUND(ROUND(L68*Source!I202, 2)*1, 2)</f>
        <v>5374.31</v>
      </c>
      <c r="N68">
        <f>SmtRes!AB64</f>
        <v>88.33</v>
      </c>
      <c r="O68">
        <f>ROUND(ROUND(L68*Source!I202, 2)*SmtRes!DA64, 2)</f>
        <v>5374.31</v>
      </c>
      <c r="P68">
        <f>SmtRes!AG64</f>
        <v>4.1399999999999997</v>
      </c>
      <c r="Q68">
        <f>SmtRes!DC64</f>
        <v>16.97</v>
      </c>
      <c r="R68">
        <f>ROUND(ROUND(Q68*Source!I202, 2)*1, 2)</f>
        <v>251.83</v>
      </c>
      <c r="S68">
        <f>SmtRes!AC64</f>
        <v>4.1399999999999997</v>
      </c>
      <c r="T68">
        <f>ROUND(ROUND(Q68*Source!I202, 2)*SmtRes!AK64, 2)</f>
        <v>251.83</v>
      </c>
      <c r="U68">
        <f>SmtRes!X64</f>
        <v>1138224411</v>
      </c>
      <c r="V68">
        <v>2004559549</v>
      </c>
      <c r="W68">
        <v>2004559549</v>
      </c>
      <c r="X68">
        <v>2</v>
      </c>
    </row>
    <row r="69" spans="1:24" x14ac:dyDescent="0.2">
      <c r="A69">
        <v>20</v>
      </c>
      <c r="B69">
        <v>63</v>
      </c>
      <c r="C69">
        <v>1</v>
      </c>
      <c r="D69">
        <v>0</v>
      </c>
      <c r="E69">
        <f>SmtRes!AV63</f>
        <v>1</v>
      </c>
      <c r="F69" t="str">
        <f>SmtRes!I63</f>
        <v>9999990008</v>
      </c>
      <c r="G69" t="str">
        <f>SmtRes!K63</f>
        <v>Трудозатраты рабочих</v>
      </c>
      <c r="H69" t="str">
        <f>SmtRes!O63</f>
        <v>чел.-ч.</v>
      </c>
      <c r="I69">
        <f>SmtRes!Y63*Source!I202</f>
        <v>1989.7472000000002</v>
      </c>
      <c r="J69">
        <f>SmtRes!AO63</f>
        <v>1</v>
      </c>
      <c r="K69">
        <f>SmtRes!AH63</f>
        <v>0</v>
      </c>
      <c r="L69">
        <f>SmtRes!DB63</f>
        <v>0</v>
      </c>
      <c r="M69">
        <f>ROUND(ROUND(L69*Source!I202, 2)*1, 2)</f>
        <v>0</v>
      </c>
      <c r="N69">
        <f>SmtRes!AD63</f>
        <v>0</v>
      </c>
      <c r="O69">
        <f>ROUND(ROUND(L69*Source!I202, 2)*SmtRes!DA63, 2)</f>
        <v>0</v>
      </c>
      <c r="P69">
        <f>SmtRes!AG63</f>
        <v>0</v>
      </c>
      <c r="Q69">
        <f>SmtRes!DC63</f>
        <v>0</v>
      </c>
      <c r="R69">
        <f>ROUND(ROUND(Q69*Source!I202, 2)*1, 2)</f>
        <v>0</v>
      </c>
      <c r="S69">
        <f>SmtRes!AC63</f>
        <v>0</v>
      </c>
      <c r="T69">
        <f>ROUND(ROUND(Q69*Source!I202, 2)*SmtRes!AK63, 2)</f>
        <v>0</v>
      </c>
      <c r="U69">
        <f>SmtRes!X63</f>
        <v>476480486</v>
      </c>
      <c r="V69">
        <v>1286141856</v>
      </c>
      <c r="W69">
        <v>1286141856</v>
      </c>
      <c r="X69">
        <v>1</v>
      </c>
    </row>
    <row r="70" spans="1:24" x14ac:dyDescent="0.2">
      <c r="A70">
        <f>Source!A203</f>
        <v>18</v>
      </c>
      <c r="B70">
        <v>203</v>
      </c>
      <c r="C70">
        <v>3</v>
      </c>
      <c r="D70">
        <f>Source!BI203</f>
        <v>4</v>
      </c>
      <c r="E70">
        <f>Source!FS203</f>
        <v>0</v>
      </c>
      <c r="F70" t="str">
        <f>Source!F203</f>
        <v>21.5-3-76</v>
      </c>
      <c r="G70" t="str">
        <f>Source!G203</f>
        <v>Плиты бетонные тротуарные, толщина 70 мм, цвет: разного цвета (Брусчатка Бр 20.10.7, цветная)</v>
      </c>
      <c r="H70" t="str">
        <f>Source!H203</f>
        <v>м2</v>
      </c>
      <c r="I70">
        <f>Source!I203</f>
        <v>1558.2</v>
      </c>
      <c r="J70">
        <v>1</v>
      </c>
      <c r="K70">
        <f>Source!AC203</f>
        <v>820.08</v>
      </c>
      <c r="M70">
        <f>ROUND(K70*I70, 2)</f>
        <v>1277848.6599999999</v>
      </c>
      <c r="N70">
        <f>Source!AC203*IF(Source!BC203&lt;&gt; 0, Source!BC203, 1)</f>
        <v>820.08</v>
      </c>
      <c r="O70">
        <f>ROUND(N70*I70, 2)</f>
        <v>1277848.6599999999</v>
      </c>
      <c r="P70">
        <f>Source!AE203</f>
        <v>0</v>
      </c>
      <c r="R70">
        <f>ROUND(P70*I70, 2)</f>
        <v>0</v>
      </c>
      <c r="S70">
        <f>Source!AE203*IF(Source!BS203&lt;&gt; 0, Source!BS203, 1)</f>
        <v>0</v>
      </c>
      <c r="T70">
        <f>ROUND(S70*I70, 2)</f>
        <v>0</v>
      </c>
      <c r="U70">
        <f>Source!GF203</f>
        <v>1563995597</v>
      </c>
      <c r="V70">
        <v>-1902752853</v>
      </c>
      <c r="W70">
        <v>-1902752853</v>
      </c>
      <c r="X70">
        <v>3</v>
      </c>
    </row>
    <row r="71" spans="1:24" x14ac:dyDescent="0.2">
      <c r="A71">
        <f>Source!A235</f>
        <v>4</v>
      </c>
      <c r="B71">
        <v>235</v>
      </c>
      <c r="G71" t="str">
        <f>Source!G235</f>
        <v>Ремонт покрытия из резиновой крошки (392 м2)</v>
      </c>
    </row>
    <row r="72" spans="1:24" x14ac:dyDescent="0.2">
      <c r="A72">
        <v>20</v>
      </c>
      <c r="B72">
        <v>78</v>
      </c>
      <c r="C72">
        <v>3</v>
      </c>
      <c r="D72">
        <v>0</v>
      </c>
      <c r="E72">
        <f>SmtRes!AV78</f>
        <v>0</v>
      </c>
      <c r="F72" t="str">
        <f>SmtRes!I78</f>
        <v>21.1-25-776</v>
      </c>
      <c r="G72" t="str">
        <f>SmtRes!K78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72" t="str">
        <f>SmtRes!O78</f>
        <v>кг</v>
      </c>
      <c r="I72">
        <f>SmtRes!Y78*Source!I239</f>
        <v>946.68</v>
      </c>
      <c r="J72">
        <f>SmtRes!AO78</f>
        <v>1</v>
      </c>
      <c r="K72">
        <f>SmtRes!AE78</f>
        <v>189.61</v>
      </c>
      <c r="L72">
        <f>SmtRes!DB78</f>
        <v>45790.82</v>
      </c>
      <c r="M72">
        <f>ROUND(ROUND(L72*Source!I239, 2)*1, 2)</f>
        <v>179500.01</v>
      </c>
      <c r="N72">
        <f>SmtRes!AA78</f>
        <v>189.61</v>
      </c>
      <c r="O72">
        <f>ROUND(ROUND(L72*Source!I239, 2)*SmtRes!DA78, 2)</f>
        <v>179500.01</v>
      </c>
      <c r="P72">
        <f>SmtRes!AG78</f>
        <v>0</v>
      </c>
      <c r="Q72">
        <f>SmtRes!DC78</f>
        <v>0</v>
      </c>
      <c r="R72">
        <f>ROUND(ROUND(Q72*Source!I239, 2)*1, 2)</f>
        <v>0</v>
      </c>
      <c r="S72">
        <f>SmtRes!AC78</f>
        <v>0</v>
      </c>
      <c r="T72">
        <f>ROUND(ROUND(Q72*Source!I239, 2)*SmtRes!AK78, 2)</f>
        <v>0</v>
      </c>
      <c r="U72">
        <f>SmtRes!X78</f>
        <v>-1257349577</v>
      </c>
      <c r="V72">
        <v>1501073610</v>
      </c>
      <c r="W72">
        <v>1501073610</v>
      </c>
      <c r="X72">
        <v>3</v>
      </c>
    </row>
    <row r="73" spans="1:24" x14ac:dyDescent="0.2">
      <c r="A73">
        <v>20</v>
      </c>
      <c r="B73">
        <v>77</v>
      </c>
      <c r="C73">
        <v>3</v>
      </c>
      <c r="D73">
        <v>0</v>
      </c>
      <c r="E73">
        <f>SmtRes!AV77</f>
        <v>0</v>
      </c>
      <c r="F73" t="str">
        <f>SmtRes!I77</f>
        <v>21.1-25-769</v>
      </c>
      <c r="G73" t="str">
        <f>SmtRes!K77</f>
        <v>Крошка резиновая гранулированная, фракция 2-3 мм</v>
      </c>
      <c r="H73" t="str">
        <f>SmtRes!O77</f>
        <v>кг</v>
      </c>
      <c r="I73">
        <f>SmtRes!Y77*Source!I239</f>
        <v>2881.2</v>
      </c>
      <c r="J73">
        <f>SmtRes!AO77</f>
        <v>1</v>
      </c>
      <c r="K73">
        <f>SmtRes!AE77</f>
        <v>18.399999999999999</v>
      </c>
      <c r="L73">
        <f>SmtRes!DB77</f>
        <v>13524</v>
      </c>
      <c r="M73">
        <f>ROUND(ROUND(L73*Source!I239, 2)*1, 2)</f>
        <v>53014.080000000002</v>
      </c>
      <c r="N73">
        <f>SmtRes!AA77</f>
        <v>18.399999999999999</v>
      </c>
      <c r="O73">
        <f>ROUND(ROUND(L73*Source!I239, 2)*SmtRes!DA77, 2)</f>
        <v>53014.080000000002</v>
      </c>
      <c r="P73">
        <f>SmtRes!AG77</f>
        <v>0</v>
      </c>
      <c r="Q73">
        <f>SmtRes!DC77</f>
        <v>0</v>
      </c>
      <c r="R73">
        <f>ROUND(ROUND(Q73*Source!I239, 2)*1, 2)</f>
        <v>0</v>
      </c>
      <c r="S73">
        <f>SmtRes!AC77</f>
        <v>0</v>
      </c>
      <c r="T73">
        <f>ROUND(ROUND(Q73*Source!I239, 2)*SmtRes!AK77, 2)</f>
        <v>0</v>
      </c>
      <c r="U73">
        <f>SmtRes!X77</f>
        <v>752941587</v>
      </c>
      <c r="V73">
        <v>1753636474</v>
      </c>
      <c r="W73">
        <v>1753636474</v>
      </c>
      <c r="X73">
        <v>3</v>
      </c>
    </row>
    <row r="74" spans="1:24" x14ac:dyDescent="0.2">
      <c r="A74">
        <v>20</v>
      </c>
      <c r="B74">
        <v>76</v>
      </c>
      <c r="C74">
        <v>3</v>
      </c>
      <c r="D74">
        <v>0</v>
      </c>
      <c r="E74">
        <f>SmtRes!AV76</f>
        <v>0</v>
      </c>
      <c r="F74" t="str">
        <f>SmtRes!I76</f>
        <v>21.1-25-343</v>
      </c>
      <c r="G74" t="str">
        <f>SmtRes!K76</f>
        <v>Скипидар живичный</v>
      </c>
      <c r="H74" t="str">
        <f>SmtRes!O76</f>
        <v>т</v>
      </c>
      <c r="I74">
        <f>SmtRes!Y76*Source!I239</f>
        <v>1.2348E-2</v>
      </c>
      <c r="J74">
        <f>SmtRes!AO76</f>
        <v>1</v>
      </c>
      <c r="K74">
        <f>SmtRes!AE76</f>
        <v>349768.5</v>
      </c>
      <c r="L74">
        <f>SmtRes!DB76</f>
        <v>1101.77</v>
      </c>
      <c r="M74">
        <f>ROUND(ROUND(L74*Source!I239, 2)*1, 2)</f>
        <v>4318.9399999999996</v>
      </c>
      <c r="N74">
        <f>SmtRes!AA76</f>
        <v>349768.5</v>
      </c>
      <c r="O74">
        <f>ROUND(ROUND(L74*Source!I239, 2)*SmtRes!DA76, 2)</f>
        <v>4318.9399999999996</v>
      </c>
      <c r="P74">
        <f>SmtRes!AG76</f>
        <v>0</v>
      </c>
      <c r="Q74">
        <f>SmtRes!DC76</f>
        <v>0</v>
      </c>
      <c r="R74">
        <f>ROUND(ROUND(Q74*Source!I239, 2)*1, 2)</f>
        <v>0</v>
      </c>
      <c r="S74">
        <f>SmtRes!AC76</f>
        <v>0</v>
      </c>
      <c r="T74">
        <f>ROUND(ROUND(Q74*Source!I239, 2)*SmtRes!AK76, 2)</f>
        <v>0</v>
      </c>
      <c r="U74">
        <f>SmtRes!X76</f>
        <v>92064028</v>
      </c>
      <c r="V74">
        <v>1463289917</v>
      </c>
      <c r="W74">
        <v>1463289917</v>
      </c>
      <c r="X74">
        <v>3</v>
      </c>
    </row>
    <row r="75" spans="1:24" x14ac:dyDescent="0.2">
      <c r="A75">
        <v>20</v>
      </c>
      <c r="B75">
        <v>75</v>
      </c>
      <c r="C75">
        <v>3</v>
      </c>
      <c r="D75">
        <v>0</v>
      </c>
      <c r="E75">
        <f>SmtRes!AV75</f>
        <v>0</v>
      </c>
      <c r="F75" t="str">
        <f>SmtRes!I75</f>
        <v>21.1-25-255</v>
      </c>
      <c r="G75" t="str">
        <f>SmtRes!K75</f>
        <v>Пленка полиэтиленовая, толщина 0,12 - 0,15 мм</v>
      </c>
      <c r="H75" t="str">
        <f>SmtRes!O75</f>
        <v>м2</v>
      </c>
      <c r="I75">
        <f>SmtRes!Y75*Source!I239</f>
        <v>21.951999999999998</v>
      </c>
      <c r="J75">
        <f>SmtRes!AO75</f>
        <v>1</v>
      </c>
      <c r="K75">
        <f>SmtRes!AE75</f>
        <v>12.76</v>
      </c>
      <c r="L75">
        <f>SmtRes!DB75</f>
        <v>71.459999999999994</v>
      </c>
      <c r="M75">
        <f>ROUND(ROUND(L75*Source!I239, 2)*1, 2)</f>
        <v>280.12</v>
      </c>
      <c r="N75">
        <f>SmtRes!AA75</f>
        <v>12.76</v>
      </c>
      <c r="O75">
        <f>ROUND(ROUND(L75*Source!I239, 2)*SmtRes!DA75, 2)</f>
        <v>280.12</v>
      </c>
      <c r="P75">
        <f>SmtRes!AG75</f>
        <v>0</v>
      </c>
      <c r="Q75">
        <f>SmtRes!DC75</f>
        <v>0</v>
      </c>
      <c r="R75">
        <f>ROUND(ROUND(Q75*Source!I239, 2)*1, 2)</f>
        <v>0</v>
      </c>
      <c r="S75">
        <f>SmtRes!AC75</f>
        <v>0</v>
      </c>
      <c r="T75">
        <f>ROUND(ROUND(Q75*Source!I239, 2)*SmtRes!AK75, 2)</f>
        <v>0</v>
      </c>
      <c r="U75">
        <f>SmtRes!X75</f>
        <v>-526069612</v>
      </c>
      <c r="V75">
        <v>-1282204870</v>
      </c>
      <c r="W75">
        <v>-1282204870</v>
      </c>
      <c r="X75">
        <v>3</v>
      </c>
    </row>
    <row r="76" spans="1:24" x14ac:dyDescent="0.2">
      <c r="A76">
        <v>20</v>
      </c>
      <c r="B76">
        <v>74</v>
      </c>
      <c r="C76">
        <v>2</v>
      </c>
      <c r="D76">
        <v>0</v>
      </c>
      <c r="E76">
        <f>SmtRes!AV74</f>
        <v>0</v>
      </c>
      <c r="F76" t="str">
        <f>SmtRes!I74</f>
        <v>22.1-6-68</v>
      </c>
      <c r="G76" t="str">
        <f>SmtRes!K74</f>
        <v>Растворосмесители стационарные, емкость до 250 л</v>
      </c>
      <c r="H76" t="str">
        <f>SmtRes!O74</f>
        <v>маш.-ч</v>
      </c>
      <c r="I76">
        <f>SmtRes!Y74*Source!I239</f>
        <v>10.348800000000001</v>
      </c>
      <c r="J76">
        <f>SmtRes!AO74</f>
        <v>1</v>
      </c>
      <c r="K76">
        <f>SmtRes!AF74</f>
        <v>434.82</v>
      </c>
      <c r="L76">
        <f>SmtRes!DB74</f>
        <v>1147.92</v>
      </c>
      <c r="M76">
        <f>ROUND(ROUND(L76*Source!I239, 2)*1, 2)</f>
        <v>4499.8500000000004</v>
      </c>
      <c r="N76">
        <f>SmtRes!AB74</f>
        <v>434.82</v>
      </c>
      <c r="O76">
        <f>ROUND(ROUND(L76*Source!I239, 2)*SmtRes!DA74, 2)</f>
        <v>4499.8500000000004</v>
      </c>
      <c r="P76">
        <f>SmtRes!AG74</f>
        <v>386.07</v>
      </c>
      <c r="Q76">
        <f>SmtRes!DC74</f>
        <v>1019.22</v>
      </c>
      <c r="R76">
        <f>ROUND(ROUND(Q76*Source!I239, 2)*1, 2)</f>
        <v>3995.34</v>
      </c>
      <c r="S76">
        <f>SmtRes!AC74</f>
        <v>386.07</v>
      </c>
      <c r="T76">
        <f>ROUND(ROUND(Q76*Source!I239, 2)*SmtRes!AK74, 2)</f>
        <v>3995.34</v>
      </c>
      <c r="U76">
        <f>SmtRes!X74</f>
        <v>1978348804</v>
      </c>
      <c r="V76">
        <v>-1027426882</v>
      </c>
      <c r="W76">
        <v>-1027426882</v>
      </c>
      <c r="X76">
        <v>2</v>
      </c>
    </row>
    <row r="77" spans="1:24" x14ac:dyDescent="0.2">
      <c r="A77">
        <v>20</v>
      </c>
      <c r="B77">
        <v>73</v>
      </c>
      <c r="C77">
        <v>2</v>
      </c>
      <c r="D77">
        <v>0</v>
      </c>
      <c r="E77">
        <f>SmtRes!AV73</f>
        <v>0</v>
      </c>
      <c r="F77" t="str">
        <f>SmtRes!I73</f>
        <v>22.1-4-8</v>
      </c>
      <c r="G77" t="str">
        <f>SmtRes!K73</f>
        <v>Погрузчики на автомобильном ходу, грузоподъемность до 1 т</v>
      </c>
      <c r="H77" t="str">
        <f>SmtRes!O73</f>
        <v>маш.-ч</v>
      </c>
      <c r="I77">
        <f>SmtRes!Y73*Source!I239</f>
        <v>3.9199999999999999E-2</v>
      </c>
      <c r="J77">
        <f>SmtRes!AO73</f>
        <v>1</v>
      </c>
      <c r="K77">
        <f>SmtRes!AF73</f>
        <v>593.01</v>
      </c>
      <c r="L77">
        <f>SmtRes!DB73</f>
        <v>5.93</v>
      </c>
      <c r="M77">
        <f>ROUND(ROUND(L77*Source!I239, 2)*1, 2)</f>
        <v>23.25</v>
      </c>
      <c r="N77">
        <f>SmtRes!AB73</f>
        <v>593.01</v>
      </c>
      <c r="O77">
        <f>ROUND(ROUND(L77*Source!I239, 2)*SmtRes!DA73, 2)</f>
        <v>23.25</v>
      </c>
      <c r="P77">
        <f>SmtRes!AG73</f>
        <v>486.57</v>
      </c>
      <c r="Q77">
        <f>SmtRes!DC73</f>
        <v>4.87</v>
      </c>
      <c r="R77">
        <f>ROUND(ROUND(Q77*Source!I239, 2)*1, 2)</f>
        <v>19.09</v>
      </c>
      <c r="S77">
        <f>SmtRes!AC73</f>
        <v>486.57</v>
      </c>
      <c r="T77">
        <f>ROUND(ROUND(Q77*Source!I239, 2)*SmtRes!AK73, 2)</f>
        <v>19.09</v>
      </c>
      <c r="U77">
        <f>SmtRes!X73</f>
        <v>-951517440</v>
      </c>
      <c r="V77">
        <v>1511781752</v>
      </c>
      <c r="W77">
        <v>1511781752</v>
      </c>
      <c r="X77">
        <v>2</v>
      </c>
    </row>
    <row r="78" spans="1:24" x14ac:dyDescent="0.2">
      <c r="A78">
        <v>20</v>
      </c>
      <c r="B78">
        <v>72</v>
      </c>
      <c r="C78">
        <v>2</v>
      </c>
      <c r="D78">
        <v>0</v>
      </c>
      <c r="E78">
        <f>SmtRes!AV72</f>
        <v>0</v>
      </c>
      <c r="F78" t="str">
        <f>SmtRes!I72</f>
        <v>22.1-30-102</v>
      </c>
      <c r="G78" t="str">
        <f>SmtRes!K72</f>
        <v>Дрели электрические, двухскоростные, мощностью 600 Вт</v>
      </c>
      <c r="H78" t="str">
        <f>SmtRes!O72</f>
        <v>маш.-ч</v>
      </c>
      <c r="I78">
        <f>SmtRes!Y72*Source!I239</f>
        <v>4.6255999999999995</v>
      </c>
      <c r="J78">
        <f>SmtRes!AO72</f>
        <v>1</v>
      </c>
      <c r="K78">
        <f>SmtRes!AF72</f>
        <v>7.67</v>
      </c>
      <c r="L78">
        <f>SmtRes!DB72</f>
        <v>9.0500000000000007</v>
      </c>
      <c r="M78">
        <f>ROUND(ROUND(L78*Source!I239, 2)*1, 2)</f>
        <v>35.479999999999997</v>
      </c>
      <c r="N78">
        <f>SmtRes!AB72</f>
        <v>7.67</v>
      </c>
      <c r="O78">
        <f>ROUND(ROUND(L78*Source!I239, 2)*SmtRes!DA72, 2)</f>
        <v>35.479999999999997</v>
      </c>
      <c r="P78">
        <f>SmtRes!AG72</f>
        <v>0.93</v>
      </c>
      <c r="Q78">
        <f>SmtRes!DC72</f>
        <v>1.1000000000000001</v>
      </c>
      <c r="R78">
        <f>ROUND(ROUND(Q78*Source!I239, 2)*1, 2)</f>
        <v>4.3099999999999996</v>
      </c>
      <c r="S78">
        <f>SmtRes!AC72</f>
        <v>0.93</v>
      </c>
      <c r="T78">
        <f>ROUND(ROUND(Q78*Source!I239, 2)*SmtRes!AK72, 2)</f>
        <v>4.3099999999999996</v>
      </c>
      <c r="U78">
        <f>SmtRes!X72</f>
        <v>1096362259</v>
      </c>
      <c r="V78">
        <v>832558450</v>
      </c>
      <c r="W78">
        <v>832558450</v>
      </c>
      <c r="X78">
        <v>2</v>
      </c>
    </row>
    <row r="79" spans="1:24" x14ac:dyDescent="0.2">
      <c r="A79">
        <v>20</v>
      </c>
      <c r="B79">
        <v>71</v>
      </c>
      <c r="C79">
        <v>2</v>
      </c>
      <c r="D79">
        <v>0</v>
      </c>
      <c r="E79">
        <f>SmtRes!AV71</f>
        <v>0</v>
      </c>
      <c r="F79" t="str">
        <f>SmtRes!I71</f>
        <v>22.1-17-168</v>
      </c>
      <c r="G79" t="str">
        <f>SmtRes!K71</f>
        <v>Укладчики полимерных покрытий на игровых и спортивных площадках, производительность 10-50 м2/ч</v>
      </c>
      <c r="H79" t="str">
        <f>SmtRes!O71</f>
        <v>маш.-ч</v>
      </c>
      <c r="I79">
        <f>SmtRes!Y71*Source!I239</f>
        <v>10.348800000000001</v>
      </c>
      <c r="J79">
        <f>SmtRes!AO71</f>
        <v>1</v>
      </c>
      <c r="K79">
        <f>SmtRes!AF71</f>
        <v>508.57</v>
      </c>
      <c r="L79">
        <f>SmtRes!DB71</f>
        <v>1342.62</v>
      </c>
      <c r="M79">
        <f>ROUND(ROUND(L79*Source!I239, 2)*1, 2)</f>
        <v>5263.07</v>
      </c>
      <c r="N79">
        <f>SmtRes!AB71</f>
        <v>508.57</v>
      </c>
      <c r="O79">
        <f>ROUND(ROUND(L79*Source!I239, 2)*SmtRes!DA71, 2)</f>
        <v>5263.07</v>
      </c>
      <c r="P79">
        <f>SmtRes!AG71</f>
        <v>355.5</v>
      </c>
      <c r="Q79">
        <f>SmtRes!DC71</f>
        <v>938.52</v>
      </c>
      <c r="R79">
        <f>ROUND(ROUND(Q79*Source!I239, 2)*1, 2)</f>
        <v>3679</v>
      </c>
      <c r="S79">
        <f>SmtRes!AC71</f>
        <v>355.5</v>
      </c>
      <c r="T79">
        <f>ROUND(ROUND(Q79*Source!I239, 2)*SmtRes!AK71, 2)</f>
        <v>3679</v>
      </c>
      <c r="U79">
        <f>SmtRes!X71</f>
        <v>1717121030</v>
      </c>
      <c r="V79">
        <v>-1732709371</v>
      </c>
      <c r="W79">
        <v>-1732709371</v>
      </c>
      <c r="X79">
        <v>2</v>
      </c>
    </row>
    <row r="80" spans="1:24" x14ac:dyDescent="0.2">
      <c r="A80">
        <v>20</v>
      </c>
      <c r="B80">
        <v>70</v>
      </c>
      <c r="C80">
        <v>1</v>
      </c>
      <c r="D80">
        <v>0</v>
      </c>
      <c r="E80">
        <f>SmtRes!AV70</f>
        <v>1</v>
      </c>
      <c r="F80" t="str">
        <f>SmtRes!I70</f>
        <v>9999990008</v>
      </c>
      <c r="G80" t="str">
        <f>SmtRes!K70</f>
        <v>Трудозатраты рабочих</v>
      </c>
      <c r="H80" t="str">
        <f>SmtRes!O70</f>
        <v>чел.-ч.</v>
      </c>
      <c r="I80">
        <f>SmtRes!Y70*Source!I239</f>
        <v>72.284800000000004</v>
      </c>
      <c r="J80">
        <f>SmtRes!AO70</f>
        <v>1</v>
      </c>
      <c r="K80">
        <f>SmtRes!AH70</f>
        <v>0</v>
      </c>
      <c r="L80">
        <f>SmtRes!DB70</f>
        <v>0</v>
      </c>
      <c r="M80">
        <f>ROUND(ROUND(L80*Source!I239, 2)*1, 2)</f>
        <v>0</v>
      </c>
      <c r="N80">
        <f>SmtRes!AD70</f>
        <v>0</v>
      </c>
      <c r="O80">
        <f>ROUND(ROUND(L80*Source!I239, 2)*SmtRes!DA70, 2)</f>
        <v>0</v>
      </c>
      <c r="P80">
        <f>SmtRes!AG70</f>
        <v>0</v>
      </c>
      <c r="Q80">
        <f>SmtRes!DC70</f>
        <v>0</v>
      </c>
      <c r="R80">
        <f>ROUND(ROUND(Q80*Source!I239, 2)*1, 2)</f>
        <v>0</v>
      </c>
      <c r="S80">
        <f>SmtRes!AC70</f>
        <v>0</v>
      </c>
      <c r="T80">
        <f>ROUND(ROUND(Q80*Source!I239, 2)*SmtRes!AK70, 2)</f>
        <v>0</v>
      </c>
      <c r="U80">
        <f>SmtRes!X70</f>
        <v>476480486</v>
      </c>
      <c r="V80">
        <v>1286141856</v>
      </c>
      <c r="W80">
        <v>1286141856</v>
      </c>
      <c r="X80">
        <v>1</v>
      </c>
    </row>
    <row r="81" spans="1:24" x14ac:dyDescent="0.2">
      <c r="A81">
        <v>20</v>
      </c>
      <c r="B81">
        <v>84</v>
      </c>
      <c r="C81">
        <v>3</v>
      </c>
      <c r="D81">
        <v>0</v>
      </c>
      <c r="E81">
        <f>SmtRes!AV84</f>
        <v>0</v>
      </c>
      <c r="F81" t="str">
        <f>SmtRes!I84</f>
        <v>21.1-25-776</v>
      </c>
      <c r="G81" t="str">
        <f>SmtRes!K84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81" t="str">
        <f>SmtRes!O84</f>
        <v>кг</v>
      </c>
      <c r="I81">
        <f>SmtRes!Y84*Source!I241</f>
        <v>823.19999999999993</v>
      </c>
      <c r="J81">
        <f>SmtRes!AO84</f>
        <v>1</v>
      </c>
      <c r="K81">
        <f>SmtRes!AE84</f>
        <v>189.61</v>
      </c>
      <c r="L81">
        <f>SmtRes!DB84</f>
        <v>39818.1</v>
      </c>
      <c r="M81">
        <f>ROUND(ROUND(L81*Source!I241, 2)*1, 2)</f>
        <v>156086.95000000001</v>
      </c>
      <c r="N81">
        <f>SmtRes!AA84</f>
        <v>189.61</v>
      </c>
      <c r="O81">
        <f>ROUND(ROUND(L81*Source!I241, 2)*SmtRes!DA84, 2)</f>
        <v>156086.95000000001</v>
      </c>
      <c r="P81">
        <f>SmtRes!AG84</f>
        <v>0</v>
      </c>
      <c r="Q81">
        <f>SmtRes!DC84</f>
        <v>0</v>
      </c>
      <c r="R81">
        <f>ROUND(ROUND(Q81*Source!I241, 2)*1, 2)</f>
        <v>0</v>
      </c>
      <c r="S81">
        <f>SmtRes!AC84</f>
        <v>0</v>
      </c>
      <c r="T81">
        <f>ROUND(ROUND(Q81*Source!I241, 2)*SmtRes!AK84, 2)</f>
        <v>0</v>
      </c>
      <c r="U81">
        <f>SmtRes!X84</f>
        <v>-1257349577</v>
      </c>
      <c r="V81">
        <v>1501073610</v>
      </c>
      <c r="W81">
        <v>1501073610</v>
      </c>
      <c r="X81">
        <v>3</v>
      </c>
    </row>
    <row r="82" spans="1:24" x14ac:dyDescent="0.2">
      <c r="A82">
        <v>20</v>
      </c>
      <c r="B82">
        <v>83</v>
      </c>
      <c r="C82">
        <v>3</v>
      </c>
      <c r="D82">
        <v>0</v>
      </c>
      <c r="E82">
        <f>SmtRes!AV83</f>
        <v>0</v>
      </c>
      <c r="F82" t="str">
        <f>SmtRes!I83</f>
        <v>21.1-25-769</v>
      </c>
      <c r="G82" t="str">
        <f>SmtRes!K83</f>
        <v>Крошка резиновая гранулированная, фракция 2-3 мм</v>
      </c>
      <c r="H82" t="str">
        <f>SmtRes!O83</f>
        <v>кг</v>
      </c>
      <c r="I82">
        <f>SmtRes!Y83*Source!I241</f>
        <v>2881.2</v>
      </c>
      <c r="J82">
        <f>SmtRes!AO83</f>
        <v>1</v>
      </c>
      <c r="K82">
        <f>SmtRes!AE83</f>
        <v>18.399999999999999</v>
      </c>
      <c r="L82">
        <f>SmtRes!DB83</f>
        <v>13524</v>
      </c>
      <c r="M82">
        <f>ROUND(ROUND(L82*Source!I241, 2)*1, 2)</f>
        <v>53014.080000000002</v>
      </c>
      <c r="N82">
        <f>SmtRes!AA83</f>
        <v>18.399999999999999</v>
      </c>
      <c r="O82">
        <f>ROUND(ROUND(L82*Source!I241, 2)*SmtRes!DA83, 2)</f>
        <v>53014.080000000002</v>
      </c>
      <c r="P82">
        <f>SmtRes!AG83</f>
        <v>0</v>
      </c>
      <c r="Q82">
        <f>SmtRes!DC83</f>
        <v>0</v>
      </c>
      <c r="R82">
        <f>ROUND(ROUND(Q82*Source!I241, 2)*1, 2)</f>
        <v>0</v>
      </c>
      <c r="S82">
        <f>SmtRes!AC83</f>
        <v>0</v>
      </c>
      <c r="T82">
        <f>ROUND(ROUND(Q82*Source!I241, 2)*SmtRes!AK83, 2)</f>
        <v>0</v>
      </c>
      <c r="U82">
        <f>SmtRes!X83</f>
        <v>752941587</v>
      </c>
      <c r="V82">
        <v>1753636474</v>
      </c>
      <c r="W82">
        <v>1753636474</v>
      </c>
      <c r="X82">
        <v>3</v>
      </c>
    </row>
    <row r="83" spans="1:24" x14ac:dyDescent="0.2">
      <c r="A83">
        <v>20</v>
      </c>
      <c r="B83">
        <v>82</v>
      </c>
      <c r="C83">
        <v>2</v>
      </c>
      <c r="D83">
        <v>0</v>
      </c>
      <c r="E83">
        <f>SmtRes!AV82</f>
        <v>0</v>
      </c>
      <c r="F83" t="str">
        <f>SmtRes!I82</f>
        <v>22.1-6-68</v>
      </c>
      <c r="G83" t="str">
        <f>SmtRes!K82</f>
        <v>Растворосмесители стационарные, емкость до 250 л</v>
      </c>
      <c r="H83" t="str">
        <f>SmtRes!O82</f>
        <v>маш.-ч</v>
      </c>
      <c r="I83">
        <f>SmtRes!Y82*Source!I241</f>
        <v>9.8000000000000007</v>
      </c>
      <c r="J83">
        <f>SmtRes!AO82</f>
        <v>1</v>
      </c>
      <c r="K83">
        <f>SmtRes!AF82</f>
        <v>434.82</v>
      </c>
      <c r="L83">
        <f>SmtRes!DB82</f>
        <v>1087.05</v>
      </c>
      <c r="M83">
        <f>ROUND(ROUND(L83*Source!I241, 2)*1, 2)</f>
        <v>4261.24</v>
      </c>
      <c r="N83">
        <f>SmtRes!AB82</f>
        <v>434.82</v>
      </c>
      <c r="O83">
        <f>ROUND(ROUND(L83*Source!I241, 2)*SmtRes!DA82, 2)</f>
        <v>4261.24</v>
      </c>
      <c r="P83">
        <f>SmtRes!AG82</f>
        <v>386.07</v>
      </c>
      <c r="Q83">
        <f>SmtRes!DC82</f>
        <v>965.2</v>
      </c>
      <c r="R83">
        <f>ROUND(ROUND(Q83*Source!I241, 2)*1, 2)</f>
        <v>3783.58</v>
      </c>
      <c r="S83">
        <f>SmtRes!AC82</f>
        <v>386.07</v>
      </c>
      <c r="T83">
        <f>ROUND(ROUND(Q83*Source!I241, 2)*SmtRes!AK82, 2)</f>
        <v>3783.58</v>
      </c>
      <c r="U83">
        <f>SmtRes!X82</f>
        <v>1978348804</v>
      </c>
      <c r="V83">
        <v>-1027426882</v>
      </c>
      <c r="W83">
        <v>-1027426882</v>
      </c>
      <c r="X83">
        <v>2</v>
      </c>
    </row>
    <row r="84" spans="1:24" x14ac:dyDescent="0.2">
      <c r="A84">
        <v>20</v>
      </c>
      <c r="B84">
        <v>81</v>
      </c>
      <c r="C84">
        <v>2</v>
      </c>
      <c r="D84">
        <v>0</v>
      </c>
      <c r="E84">
        <f>SmtRes!AV81</f>
        <v>0</v>
      </c>
      <c r="F84" t="str">
        <f>SmtRes!I81</f>
        <v>22.1-17-168</v>
      </c>
      <c r="G84" t="str">
        <f>SmtRes!K81</f>
        <v>Укладчики полимерных покрытий на игровых и спортивных площадках, производительность 10-50 м2/ч</v>
      </c>
      <c r="H84" t="str">
        <f>SmtRes!O81</f>
        <v>маш.-ч</v>
      </c>
      <c r="I84">
        <f>SmtRes!Y81*Source!I241</f>
        <v>9.8000000000000007</v>
      </c>
      <c r="J84">
        <f>SmtRes!AO81</f>
        <v>1</v>
      </c>
      <c r="K84">
        <f>SmtRes!AF81</f>
        <v>508.57</v>
      </c>
      <c r="L84">
        <f>SmtRes!DB81</f>
        <v>1271.45</v>
      </c>
      <c r="M84">
        <f>ROUND(ROUND(L84*Source!I241, 2)*1, 2)</f>
        <v>4984.08</v>
      </c>
      <c r="N84">
        <f>SmtRes!AB81</f>
        <v>508.57</v>
      </c>
      <c r="O84">
        <f>ROUND(ROUND(L84*Source!I241, 2)*SmtRes!DA81, 2)</f>
        <v>4984.08</v>
      </c>
      <c r="P84">
        <f>SmtRes!AG81</f>
        <v>355.5</v>
      </c>
      <c r="Q84">
        <f>SmtRes!DC81</f>
        <v>888.75</v>
      </c>
      <c r="R84">
        <f>ROUND(ROUND(Q84*Source!I241, 2)*1, 2)</f>
        <v>3483.9</v>
      </c>
      <c r="S84">
        <f>SmtRes!AC81</f>
        <v>355.5</v>
      </c>
      <c r="T84">
        <f>ROUND(ROUND(Q84*Source!I241, 2)*SmtRes!AK81, 2)</f>
        <v>3483.9</v>
      </c>
      <c r="U84">
        <f>SmtRes!X81</f>
        <v>1717121030</v>
      </c>
      <c r="V84">
        <v>-1732709371</v>
      </c>
      <c r="W84">
        <v>-1732709371</v>
      </c>
      <c r="X84">
        <v>2</v>
      </c>
    </row>
    <row r="85" spans="1:24" x14ac:dyDescent="0.2">
      <c r="A85">
        <v>20</v>
      </c>
      <c r="B85">
        <v>80</v>
      </c>
      <c r="C85">
        <v>1</v>
      </c>
      <c r="D85">
        <v>0</v>
      </c>
      <c r="E85">
        <f>SmtRes!AV80</f>
        <v>1</v>
      </c>
      <c r="F85" t="str">
        <f>SmtRes!I80</f>
        <v>9999990008</v>
      </c>
      <c r="G85" t="str">
        <f>SmtRes!K80</f>
        <v>Трудозатраты рабочих</v>
      </c>
      <c r="H85" t="str">
        <f>SmtRes!O80</f>
        <v>чел.-ч.</v>
      </c>
      <c r="I85">
        <f>SmtRes!Y80*Source!I241</f>
        <v>51.94</v>
      </c>
      <c r="J85">
        <f>SmtRes!AO80</f>
        <v>1</v>
      </c>
      <c r="K85">
        <f>SmtRes!AH80</f>
        <v>0</v>
      </c>
      <c r="L85">
        <f>SmtRes!DB80</f>
        <v>0</v>
      </c>
      <c r="M85">
        <f>ROUND(ROUND(L85*Source!I241, 2)*1, 2)</f>
        <v>0</v>
      </c>
      <c r="N85">
        <f>SmtRes!AD80</f>
        <v>0</v>
      </c>
      <c r="O85">
        <f>ROUND(ROUND(L85*Source!I241, 2)*SmtRes!DA80, 2)</f>
        <v>0</v>
      </c>
      <c r="P85">
        <f>SmtRes!AG80</f>
        <v>0</v>
      </c>
      <c r="Q85">
        <f>SmtRes!DC80</f>
        <v>0</v>
      </c>
      <c r="R85">
        <f>ROUND(ROUND(Q85*Source!I241, 2)*1, 2)</f>
        <v>0</v>
      </c>
      <c r="S85">
        <f>SmtRes!AC80</f>
        <v>0</v>
      </c>
      <c r="T85">
        <f>ROUND(ROUND(Q85*Source!I241, 2)*SmtRes!AK80, 2)</f>
        <v>0</v>
      </c>
      <c r="U85">
        <f>SmtRes!X80</f>
        <v>476480486</v>
      </c>
      <c r="V85">
        <v>1286141856</v>
      </c>
      <c r="W85">
        <v>1286141856</v>
      </c>
      <c r="X85">
        <v>1</v>
      </c>
    </row>
    <row r="86" spans="1:24" x14ac:dyDescent="0.2">
      <c r="A86">
        <f>Source!A243</f>
        <v>18</v>
      </c>
      <c r="B86">
        <v>243</v>
      </c>
      <c r="C86">
        <v>3</v>
      </c>
      <c r="D86">
        <f>Source!BI243</f>
        <v>4</v>
      </c>
      <c r="E86">
        <f>Source!FS243</f>
        <v>0</v>
      </c>
      <c r="F86" t="str">
        <f>Source!F243</f>
        <v>21.1-6-156</v>
      </c>
      <c r="G86" t="str">
        <f>Source!G243</f>
        <v>Пигменты сухие красного цвета, железоокисные</v>
      </c>
      <c r="H86" t="str">
        <f>Source!H243</f>
        <v>кг</v>
      </c>
      <c r="I86">
        <f>Source!I243</f>
        <v>205.8</v>
      </c>
      <c r="J86">
        <v>1</v>
      </c>
      <c r="K86">
        <f>Source!AC243</f>
        <v>124.48</v>
      </c>
      <c r="M86">
        <f>ROUND(K86*I86, 2)</f>
        <v>25617.98</v>
      </c>
      <c r="N86">
        <f>Source!AC243*IF(Source!BC243&lt;&gt; 0, Source!BC243, 1)</f>
        <v>124.48</v>
      </c>
      <c r="O86">
        <f>ROUND(N86*I86, 2)</f>
        <v>25617.98</v>
      </c>
      <c r="P86">
        <f>Source!AE243</f>
        <v>0</v>
      </c>
      <c r="R86">
        <f>ROUND(P86*I86, 2)</f>
        <v>0</v>
      </c>
      <c r="S86">
        <f>Source!AE243*IF(Source!BS243&lt;&gt; 0, Source!BS243, 1)</f>
        <v>0</v>
      </c>
      <c r="T86">
        <f>ROUND(S86*I86, 2)</f>
        <v>0</v>
      </c>
      <c r="U86">
        <f>Source!GF243</f>
        <v>-1858947663</v>
      </c>
      <c r="V86">
        <v>1856330051</v>
      </c>
      <c r="W86">
        <v>1856330051</v>
      </c>
      <c r="X86">
        <v>3</v>
      </c>
    </row>
    <row r="87" spans="1:24" x14ac:dyDescent="0.2">
      <c r="A87">
        <f>Source!A275</f>
        <v>4</v>
      </c>
      <c r="B87">
        <v>275</v>
      </c>
      <c r="G87" t="str">
        <f>Source!G275</f>
        <v>Замена бортовых камней бетонных Бр 100.20.8 (538,5 мп)</v>
      </c>
    </row>
    <row r="88" spans="1:24" x14ac:dyDescent="0.2">
      <c r="A88">
        <v>20</v>
      </c>
      <c r="B88">
        <v>94</v>
      </c>
      <c r="C88">
        <v>3</v>
      </c>
      <c r="D88">
        <v>0</v>
      </c>
      <c r="E88">
        <f>SmtRes!AV94</f>
        <v>0</v>
      </c>
      <c r="F88" t="str">
        <f>SmtRes!I94</f>
        <v>21.1-25-13</v>
      </c>
      <c r="G88" t="str">
        <f>SmtRes!K94</f>
        <v>Вода</v>
      </c>
      <c r="H88" t="str">
        <f>SmtRes!O94</f>
        <v>м3</v>
      </c>
      <c r="I88">
        <f>SmtRes!Y94*Source!I279</f>
        <v>0</v>
      </c>
      <c r="J88">
        <f>SmtRes!AO94</f>
        <v>1</v>
      </c>
      <c r="K88">
        <f>SmtRes!AE94</f>
        <v>33.729999999999997</v>
      </c>
      <c r="L88">
        <f>SmtRes!DB94</f>
        <v>168.65</v>
      </c>
      <c r="M88">
        <f>ROUND(ROUND(L88*Source!I279, 2)*1, 2)</f>
        <v>0</v>
      </c>
      <c r="N88">
        <f>SmtRes!AA94</f>
        <v>33.729999999999997</v>
      </c>
      <c r="O88">
        <f>ROUND(ROUND(L88*Source!I279, 2)*SmtRes!DA94, 2)</f>
        <v>0</v>
      </c>
      <c r="P88">
        <f>SmtRes!AG94</f>
        <v>0</v>
      </c>
      <c r="Q88">
        <f>SmtRes!DC94</f>
        <v>0</v>
      </c>
      <c r="R88">
        <f>ROUND(ROUND(Q88*Source!I279, 2)*1, 2)</f>
        <v>0</v>
      </c>
      <c r="S88">
        <f>SmtRes!AC94</f>
        <v>0</v>
      </c>
      <c r="T88">
        <f>ROUND(ROUND(Q88*Source!I279, 2)*SmtRes!AK94, 2)</f>
        <v>0</v>
      </c>
      <c r="U88">
        <f>SmtRes!X94</f>
        <v>1964795396</v>
      </c>
      <c r="V88">
        <v>711765246</v>
      </c>
      <c r="W88">
        <v>711765246</v>
      </c>
      <c r="X88">
        <v>3</v>
      </c>
    </row>
    <row r="89" spans="1:24" x14ac:dyDescent="0.2">
      <c r="A89">
        <v>20</v>
      </c>
      <c r="B89">
        <v>93</v>
      </c>
      <c r="C89">
        <v>3</v>
      </c>
      <c r="D89">
        <v>0</v>
      </c>
      <c r="E89">
        <f>SmtRes!AV93</f>
        <v>0</v>
      </c>
      <c r="F89" t="str">
        <f>SmtRes!I93</f>
        <v>21.1-12-10</v>
      </c>
      <c r="G89" t="str">
        <f>SmtRes!K93</f>
        <v>Песок для дорожных работ, рядовой</v>
      </c>
      <c r="H89" t="str">
        <f>SmtRes!O93</f>
        <v>м3</v>
      </c>
      <c r="I89">
        <f>SmtRes!Y93*Source!I279</f>
        <v>0</v>
      </c>
      <c r="J89">
        <f>SmtRes!AO93</f>
        <v>1</v>
      </c>
      <c r="K89">
        <f>SmtRes!AE93</f>
        <v>590.78</v>
      </c>
      <c r="L89">
        <f>SmtRes!DB93</f>
        <v>64985.8</v>
      </c>
      <c r="M89">
        <f>ROUND(ROUND(L89*Source!I279, 2)*1, 2)</f>
        <v>0</v>
      </c>
      <c r="N89">
        <f>SmtRes!AA93</f>
        <v>590.78</v>
      </c>
      <c r="O89">
        <f>ROUND(ROUND(L89*Source!I279, 2)*SmtRes!DA93, 2)</f>
        <v>0</v>
      </c>
      <c r="P89">
        <f>SmtRes!AG93</f>
        <v>0</v>
      </c>
      <c r="Q89">
        <f>SmtRes!DC93</f>
        <v>0</v>
      </c>
      <c r="R89">
        <f>ROUND(ROUND(Q89*Source!I279, 2)*1, 2)</f>
        <v>0</v>
      </c>
      <c r="S89">
        <f>SmtRes!AC93</f>
        <v>0</v>
      </c>
      <c r="T89">
        <f>ROUND(ROUND(Q89*Source!I279, 2)*SmtRes!AK93, 2)</f>
        <v>0</v>
      </c>
      <c r="U89">
        <f>SmtRes!X93</f>
        <v>-774262015</v>
      </c>
      <c r="V89">
        <v>-48580621</v>
      </c>
      <c r="W89">
        <v>-48580621</v>
      </c>
      <c r="X89">
        <v>3</v>
      </c>
    </row>
    <row r="90" spans="1:24" x14ac:dyDescent="0.2">
      <c r="A90">
        <v>20</v>
      </c>
      <c r="B90">
        <v>92</v>
      </c>
      <c r="C90">
        <v>2</v>
      </c>
      <c r="D90">
        <v>0</v>
      </c>
      <c r="E90">
        <f>SmtRes!AV92</f>
        <v>0</v>
      </c>
      <c r="F90" t="str">
        <f>SmtRes!I92</f>
        <v>22.1-5-7</v>
      </c>
      <c r="G90" t="str">
        <f>SmtRes!K92</f>
        <v>Катки дорожные самоходные на пневмоколесном ходу, масса до 16 т</v>
      </c>
      <c r="H90" t="str">
        <f>SmtRes!O92</f>
        <v>маш.-ч</v>
      </c>
      <c r="I90">
        <f>SmtRes!Y92*Source!I279</f>
        <v>0</v>
      </c>
      <c r="J90">
        <f>SmtRes!AO92</f>
        <v>1</v>
      </c>
      <c r="K90">
        <f>SmtRes!AF92</f>
        <v>1179.56</v>
      </c>
      <c r="L90">
        <f>SmtRes!DB92</f>
        <v>766.71</v>
      </c>
      <c r="M90">
        <f>ROUND(ROUND(L90*Source!I279, 2)*1, 2)</f>
        <v>0</v>
      </c>
      <c r="N90">
        <f>SmtRes!AB92</f>
        <v>1179.56</v>
      </c>
      <c r="O90">
        <f>ROUND(ROUND(L90*Source!I279, 2)*SmtRes!DA92, 2)</f>
        <v>0</v>
      </c>
      <c r="P90">
        <f>SmtRes!AG92</f>
        <v>439.28</v>
      </c>
      <c r="Q90">
        <f>SmtRes!DC92</f>
        <v>285.52999999999997</v>
      </c>
      <c r="R90">
        <f>ROUND(ROUND(Q90*Source!I279, 2)*1, 2)</f>
        <v>0</v>
      </c>
      <c r="S90">
        <f>SmtRes!AC92</f>
        <v>439.28</v>
      </c>
      <c r="T90">
        <f>ROUND(ROUND(Q90*Source!I279, 2)*SmtRes!AK92, 2)</f>
        <v>0</v>
      </c>
      <c r="U90">
        <f>SmtRes!X92</f>
        <v>-421159572</v>
      </c>
      <c r="V90">
        <v>-1264291469</v>
      </c>
      <c r="W90">
        <v>-1264291469</v>
      </c>
      <c r="X90">
        <v>2</v>
      </c>
    </row>
    <row r="91" spans="1:24" x14ac:dyDescent="0.2">
      <c r="A91">
        <v>20</v>
      </c>
      <c r="B91">
        <v>91</v>
      </c>
      <c r="C91">
        <v>2</v>
      </c>
      <c r="D91">
        <v>0</v>
      </c>
      <c r="E91">
        <f>SmtRes!AV91</f>
        <v>0</v>
      </c>
      <c r="F91" t="str">
        <f>SmtRes!I91</f>
        <v>22.1-5-48</v>
      </c>
      <c r="G91" t="str">
        <f>SmtRes!K91</f>
        <v>Автогрейдеры, мощность 99-147 кВт (130-200 л.с.)</v>
      </c>
      <c r="H91" t="str">
        <f>SmtRes!O91</f>
        <v>маш.-ч</v>
      </c>
      <c r="I91">
        <f>SmtRes!Y91*Source!I279</f>
        <v>0</v>
      </c>
      <c r="J91">
        <f>SmtRes!AO91</f>
        <v>1</v>
      </c>
      <c r="K91">
        <f>SmtRes!AF91</f>
        <v>1364.77</v>
      </c>
      <c r="L91">
        <f>SmtRes!DB91</f>
        <v>2647.65</v>
      </c>
      <c r="M91">
        <f>ROUND(ROUND(L91*Source!I279, 2)*1, 2)</f>
        <v>0</v>
      </c>
      <c r="N91">
        <f>SmtRes!AB91</f>
        <v>1364.77</v>
      </c>
      <c r="O91">
        <f>ROUND(ROUND(L91*Source!I279, 2)*SmtRes!DA91, 2)</f>
        <v>0</v>
      </c>
      <c r="P91">
        <f>SmtRes!AG91</f>
        <v>610.30999999999995</v>
      </c>
      <c r="Q91">
        <f>SmtRes!DC91</f>
        <v>1184</v>
      </c>
      <c r="R91">
        <f>ROUND(ROUND(Q91*Source!I279, 2)*1, 2)</f>
        <v>0</v>
      </c>
      <c r="S91">
        <f>SmtRes!AC91</f>
        <v>610.30999999999995</v>
      </c>
      <c r="T91">
        <f>ROUND(ROUND(Q91*Source!I279, 2)*SmtRes!AK91, 2)</f>
        <v>0</v>
      </c>
      <c r="U91">
        <f>SmtRes!X91</f>
        <v>1761872854</v>
      </c>
      <c r="V91">
        <v>-1400970004</v>
      </c>
      <c r="W91">
        <v>-1400970004</v>
      </c>
      <c r="X91">
        <v>2</v>
      </c>
    </row>
    <row r="92" spans="1:24" x14ac:dyDescent="0.2">
      <c r="A92">
        <v>20</v>
      </c>
      <c r="B92">
        <v>90</v>
      </c>
      <c r="C92">
        <v>2</v>
      </c>
      <c r="D92">
        <v>0</v>
      </c>
      <c r="E92">
        <f>SmtRes!AV90</f>
        <v>0</v>
      </c>
      <c r="F92" t="str">
        <f>SmtRes!I90</f>
        <v>22.1-5-18</v>
      </c>
      <c r="G92" t="str">
        <f>SmtRes!K90</f>
        <v>Поливомоечные машины, емкость цистерны более 5000 л</v>
      </c>
      <c r="H92" t="str">
        <f>SmtRes!O90</f>
        <v>маш.-ч</v>
      </c>
      <c r="I92">
        <f>SmtRes!Y90*Source!I279</f>
        <v>0</v>
      </c>
      <c r="J92">
        <f>SmtRes!AO90</f>
        <v>1</v>
      </c>
      <c r="K92">
        <f>SmtRes!AF90</f>
        <v>1942.21</v>
      </c>
      <c r="L92">
        <f>SmtRes!DB90</f>
        <v>1573.19</v>
      </c>
      <c r="M92">
        <f>ROUND(ROUND(L92*Source!I279, 2)*1, 2)</f>
        <v>0</v>
      </c>
      <c r="N92">
        <f>SmtRes!AB90</f>
        <v>1942.21</v>
      </c>
      <c r="O92">
        <f>ROUND(ROUND(L92*Source!I279, 2)*SmtRes!DA90, 2)</f>
        <v>0</v>
      </c>
      <c r="P92">
        <f>SmtRes!AG90</f>
        <v>436.39</v>
      </c>
      <c r="Q92">
        <f>SmtRes!DC90</f>
        <v>353.48</v>
      </c>
      <c r="R92">
        <f>ROUND(ROUND(Q92*Source!I279, 2)*1, 2)</f>
        <v>0</v>
      </c>
      <c r="S92">
        <f>SmtRes!AC90</f>
        <v>436.39</v>
      </c>
      <c r="T92">
        <f>ROUND(ROUND(Q92*Source!I279, 2)*SmtRes!AK90, 2)</f>
        <v>0</v>
      </c>
      <c r="U92">
        <f>SmtRes!X90</f>
        <v>1308944103</v>
      </c>
      <c r="V92">
        <v>-139364087</v>
      </c>
      <c r="W92">
        <v>-139364087</v>
      </c>
      <c r="X92">
        <v>2</v>
      </c>
    </row>
    <row r="93" spans="1:24" x14ac:dyDescent="0.2">
      <c r="A93">
        <v>20</v>
      </c>
      <c r="B93">
        <v>89</v>
      </c>
      <c r="C93">
        <v>2</v>
      </c>
      <c r="D93">
        <v>0</v>
      </c>
      <c r="E93">
        <f>SmtRes!AV89</f>
        <v>0</v>
      </c>
      <c r="F93" t="str">
        <f>SmtRes!I89</f>
        <v>22.1-5-15</v>
      </c>
      <c r="G93" t="str">
        <f>SmtRes!K89</f>
        <v>Катки прицепные пневмоколесные, масса до 50 т</v>
      </c>
      <c r="H93" t="str">
        <f>SmtRes!O89</f>
        <v>маш.-ч</v>
      </c>
      <c r="I93">
        <f>SmtRes!Y89*Source!I279</f>
        <v>0</v>
      </c>
      <c r="J93">
        <f>SmtRes!AO89</f>
        <v>1</v>
      </c>
      <c r="K93">
        <f>SmtRes!AF89</f>
        <v>416.25</v>
      </c>
      <c r="L93">
        <f>SmtRes!DB89</f>
        <v>865.8</v>
      </c>
      <c r="M93">
        <f>ROUND(ROUND(L93*Source!I279, 2)*1, 2)</f>
        <v>0</v>
      </c>
      <c r="N93">
        <f>SmtRes!AB89</f>
        <v>416.25</v>
      </c>
      <c r="O93">
        <f>ROUND(ROUND(L93*Source!I279, 2)*SmtRes!DA89, 2)</f>
        <v>0</v>
      </c>
      <c r="P93">
        <f>SmtRes!AG89</f>
        <v>204.9</v>
      </c>
      <c r="Q93">
        <f>SmtRes!DC89</f>
        <v>426.19</v>
      </c>
      <c r="R93">
        <f>ROUND(ROUND(Q93*Source!I279, 2)*1, 2)</f>
        <v>0</v>
      </c>
      <c r="S93">
        <f>SmtRes!AC89</f>
        <v>204.9</v>
      </c>
      <c r="T93">
        <f>ROUND(ROUND(Q93*Source!I279, 2)*SmtRes!AK89, 2)</f>
        <v>0</v>
      </c>
      <c r="U93">
        <f>SmtRes!X89</f>
        <v>-1158250883</v>
      </c>
      <c r="V93">
        <v>-1552611586</v>
      </c>
      <c r="W93">
        <v>-1552611586</v>
      </c>
      <c r="X93">
        <v>2</v>
      </c>
    </row>
    <row r="94" spans="1:24" x14ac:dyDescent="0.2">
      <c r="A94">
        <v>20</v>
      </c>
      <c r="B94">
        <v>88</v>
      </c>
      <c r="C94">
        <v>2</v>
      </c>
      <c r="D94">
        <v>0</v>
      </c>
      <c r="E94">
        <f>SmtRes!AV88</f>
        <v>0</v>
      </c>
      <c r="F94" t="str">
        <f>SmtRes!I88</f>
        <v>22.1-2-1</v>
      </c>
      <c r="G94" t="str">
        <f>SmtRes!K88</f>
        <v>Тракторы на гусеничном ходу, мощность до 60 (81) кВт (л.с.)</v>
      </c>
      <c r="H94" t="str">
        <f>SmtRes!O88</f>
        <v>маш.-ч</v>
      </c>
      <c r="I94">
        <f>SmtRes!Y88*Source!I279</f>
        <v>0</v>
      </c>
      <c r="J94">
        <f>SmtRes!AO88</f>
        <v>1</v>
      </c>
      <c r="K94">
        <f>SmtRes!AF88</f>
        <v>1159.46</v>
      </c>
      <c r="L94">
        <f>SmtRes!DB88</f>
        <v>2411.6799999999998</v>
      </c>
      <c r="M94">
        <f>ROUND(ROUND(L94*Source!I279, 2)*1, 2)</f>
        <v>0</v>
      </c>
      <c r="N94">
        <f>SmtRes!AB88</f>
        <v>1159.46</v>
      </c>
      <c r="O94">
        <f>ROUND(ROUND(L94*Source!I279, 2)*SmtRes!DA88, 2)</f>
        <v>0</v>
      </c>
      <c r="P94">
        <f>SmtRes!AG88</f>
        <v>525.74</v>
      </c>
      <c r="Q94">
        <f>SmtRes!DC88</f>
        <v>1093.54</v>
      </c>
      <c r="R94">
        <f>ROUND(ROUND(Q94*Source!I279, 2)*1, 2)</f>
        <v>0</v>
      </c>
      <c r="S94">
        <f>SmtRes!AC88</f>
        <v>525.74</v>
      </c>
      <c r="T94">
        <f>ROUND(ROUND(Q94*Source!I279, 2)*SmtRes!AK88, 2)</f>
        <v>0</v>
      </c>
      <c r="U94">
        <f>SmtRes!X88</f>
        <v>1062203425</v>
      </c>
      <c r="V94">
        <v>1356816858</v>
      </c>
      <c r="W94">
        <v>1356816858</v>
      </c>
      <c r="X94">
        <v>2</v>
      </c>
    </row>
    <row r="95" spans="1:24" x14ac:dyDescent="0.2">
      <c r="A95">
        <v>20</v>
      </c>
      <c r="B95">
        <v>87</v>
      </c>
      <c r="C95">
        <v>1</v>
      </c>
      <c r="D95">
        <v>0</v>
      </c>
      <c r="E95">
        <f>SmtRes!AV87</f>
        <v>1</v>
      </c>
      <c r="F95" t="str">
        <f>SmtRes!I87</f>
        <v>9999990008</v>
      </c>
      <c r="G95" t="str">
        <f>SmtRes!K87</f>
        <v>Трудозатраты рабочих</v>
      </c>
      <c r="H95" t="str">
        <f>SmtRes!O87</f>
        <v>чел.-ч.</v>
      </c>
      <c r="I95">
        <f>SmtRes!Y87*Source!I279</f>
        <v>0</v>
      </c>
      <c r="J95">
        <f>SmtRes!AO87</f>
        <v>1</v>
      </c>
      <c r="K95">
        <f>SmtRes!AH87</f>
        <v>0</v>
      </c>
      <c r="L95">
        <f>SmtRes!DB87</f>
        <v>0</v>
      </c>
      <c r="M95">
        <f>ROUND(ROUND(L95*Source!I279, 2)*1, 2)</f>
        <v>0</v>
      </c>
      <c r="N95">
        <f>SmtRes!AD87</f>
        <v>0</v>
      </c>
      <c r="O95">
        <f>ROUND(ROUND(L95*Source!I279, 2)*SmtRes!DA87, 2)</f>
        <v>0</v>
      </c>
      <c r="P95">
        <f>SmtRes!AG87</f>
        <v>0</v>
      </c>
      <c r="Q95">
        <f>SmtRes!DC87</f>
        <v>0</v>
      </c>
      <c r="R95">
        <f>ROUND(ROUND(Q95*Source!I279, 2)*1, 2)</f>
        <v>0</v>
      </c>
      <c r="S95">
        <f>SmtRes!AC87</f>
        <v>0</v>
      </c>
      <c r="T95">
        <f>ROUND(ROUND(Q95*Source!I279, 2)*SmtRes!AK87, 2)</f>
        <v>0</v>
      </c>
      <c r="U95">
        <f>SmtRes!X87</f>
        <v>476480486</v>
      </c>
      <c r="V95">
        <v>1286141856</v>
      </c>
      <c r="W95">
        <v>1286141856</v>
      </c>
      <c r="X95">
        <v>1</v>
      </c>
    </row>
    <row r="96" spans="1:24" x14ac:dyDescent="0.2">
      <c r="A96">
        <v>20</v>
      </c>
      <c r="B96">
        <v>104</v>
      </c>
      <c r="C96">
        <v>3</v>
      </c>
      <c r="D96">
        <v>0</v>
      </c>
      <c r="E96">
        <f>SmtRes!AV104</f>
        <v>0</v>
      </c>
      <c r="F96" t="str">
        <f>SmtRes!I104</f>
        <v>21.1-25-13</v>
      </c>
      <c r="G96" t="str">
        <f>SmtRes!K104</f>
        <v>Вода</v>
      </c>
      <c r="H96" t="str">
        <f>SmtRes!O104</f>
        <v>м3</v>
      </c>
      <c r="I96">
        <f>SmtRes!Y104*Source!I280</f>
        <v>0</v>
      </c>
      <c r="J96">
        <f>SmtRes!AO104</f>
        <v>1</v>
      </c>
      <c r="K96">
        <f>SmtRes!AE104</f>
        <v>33.729999999999997</v>
      </c>
      <c r="L96">
        <f>SmtRes!DB104</f>
        <v>236.11</v>
      </c>
      <c r="M96">
        <f>ROUND(ROUND(L96*Source!I280, 2)*1, 2)</f>
        <v>0</v>
      </c>
      <c r="N96">
        <f>SmtRes!AA104</f>
        <v>33.729999999999997</v>
      </c>
      <c r="O96">
        <f>ROUND(ROUND(L96*Source!I280, 2)*SmtRes!DA104, 2)</f>
        <v>0</v>
      </c>
      <c r="P96">
        <f>SmtRes!AG104</f>
        <v>0</v>
      </c>
      <c r="Q96">
        <f>SmtRes!DC104</f>
        <v>0</v>
      </c>
      <c r="R96">
        <f>ROUND(ROUND(Q96*Source!I280, 2)*1, 2)</f>
        <v>0</v>
      </c>
      <c r="S96">
        <f>SmtRes!AC104</f>
        <v>0</v>
      </c>
      <c r="T96">
        <f>ROUND(ROUND(Q96*Source!I280, 2)*SmtRes!AK104, 2)</f>
        <v>0</v>
      </c>
      <c r="U96">
        <f>SmtRes!X104</f>
        <v>1964795396</v>
      </c>
      <c r="V96">
        <v>711765246</v>
      </c>
      <c r="W96">
        <v>711765246</v>
      </c>
      <c r="X96">
        <v>3</v>
      </c>
    </row>
    <row r="97" spans="1:24" x14ac:dyDescent="0.2">
      <c r="A97">
        <v>20</v>
      </c>
      <c r="B97">
        <v>101</v>
      </c>
      <c r="C97">
        <v>2</v>
      </c>
      <c r="D97">
        <v>0</v>
      </c>
      <c r="E97">
        <f>SmtRes!AV101</f>
        <v>0</v>
      </c>
      <c r="F97" t="str">
        <f>SmtRes!I101</f>
        <v>22.1-5-7</v>
      </c>
      <c r="G97" t="str">
        <f>SmtRes!K101</f>
        <v>Катки дорожные самоходные на пневмоколесном ходу, масса до 16 т</v>
      </c>
      <c r="H97" t="str">
        <f>SmtRes!O101</f>
        <v>маш.-ч</v>
      </c>
      <c r="I97">
        <f>SmtRes!Y101*Source!I280</f>
        <v>0</v>
      </c>
      <c r="J97">
        <f>SmtRes!AO101</f>
        <v>1</v>
      </c>
      <c r="K97">
        <f>SmtRes!AF101</f>
        <v>1179.56</v>
      </c>
      <c r="L97">
        <f>SmtRes!DB101</f>
        <v>766.71</v>
      </c>
      <c r="M97">
        <f>ROUND(ROUND(L97*Source!I280, 2)*1, 2)</f>
        <v>0</v>
      </c>
      <c r="N97">
        <f>SmtRes!AB101</f>
        <v>1179.56</v>
      </c>
      <c r="O97">
        <f>ROUND(ROUND(L97*Source!I280, 2)*SmtRes!DA101, 2)</f>
        <v>0</v>
      </c>
      <c r="P97">
        <f>SmtRes!AG101</f>
        <v>439.28</v>
      </c>
      <c r="Q97">
        <f>SmtRes!DC101</f>
        <v>285.52999999999997</v>
      </c>
      <c r="R97">
        <f>ROUND(ROUND(Q97*Source!I280, 2)*1, 2)</f>
        <v>0</v>
      </c>
      <c r="S97">
        <f>SmtRes!AC101</f>
        <v>439.28</v>
      </c>
      <c r="T97">
        <f>ROUND(ROUND(Q97*Source!I280, 2)*SmtRes!AK101, 2)</f>
        <v>0</v>
      </c>
      <c r="U97">
        <f>SmtRes!X101</f>
        <v>-421159572</v>
      </c>
      <c r="V97">
        <v>-1264291469</v>
      </c>
      <c r="W97">
        <v>-1264291469</v>
      </c>
      <c r="X97">
        <v>2</v>
      </c>
    </row>
    <row r="98" spans="1:24" x14ac:dyDescent="0.2">
      <c r="A98">
        <v>20</v>
      </c>
      <c r="B98">
        <v>100</v>
      </c>
      <c r="C98">
        <v>2</v>
      </c>
      <c r="D98">
        <v>0</v>
      </c>
      <c r="E98">
        <f>SmtRes!AV100</f>
        <v>0</v>
      </c>
      <c r="F98" t="str">
        <f>SmtRes!I100</f>
        <v>22.1-5-48</v>
      </c>
      <c r="G98" t="str">
        <f>SmtRes!K100</f>
        <v>Автогрейдеры, мощность 99-147 кВт (130-200 л.с.)</v>
      </c>
      <c r="H98" t="str">
        <f>SmtRes!O100</f>
        <v>маш.-ч</v>
      </c>
      <c r="I98">
        <f>SmtRes!Y100*Source!I280</f>
        <v>0</v>
      </c>
      <c r="J98">
        <f>SmtRes!AO100</f>
        <v>1</v>
      </c>
      <c r="K98">
        <f>SmtRes!AF100</f>
        <v>1364.77</v>
      </c>
      <c r="L98">
        <f>SmtRes!DB100</f>
        <v>3057.08</v>
      </c>
      <c r="M98">
        <f>ROUND(ROUND(L98*Source!I280, 2)*1, 2)</f>
        <v>0</v>
      </c>
      <c r="N98">
        <f>SmtRes!AB100</f>
        <v>1364.77</v>
      </c>
      <c r="O98">
        <f>ROUND(ROUND(L98*Source!I280, 2)*SmtRes!DA100, 2)</f>
        <v>0</v>
      </c>
      <c r="P98">
        <f>SmtRes!AG100</f>
        <v>610.30999999999995</v>
      </c>
      <c r="Q98">
        <f>SmtRes!DC100</f>
        <v>1367.09</v>
      </c>
      <c r="R98">
        <f>ROUND(ROUND(Q98*Source!I280, 2)*1, 2)</f>
        <v>0</v>
      </c>
      <c r="S98">
        <f>SmtRes!AC100</f>
        <v>610.30999999999995</v>
      </c>
      <c r="T98">
        <f>ROUND(ROUND(Q98*Source!I280, 2)*SmtRes!AK100, 2)</f>
        <v>0</v>
      </c>
      <c r="U98">
        <f>SmtRes!X100</f>
        <v>1761872854</v>
      </c>
      <c r="V98">
        <v>-1400970004</v>
      </c>
      <c r="W98">
        <v>-1400970004</v>
      </c>
      <c r="X98">
        <v>2</v>
      </c>
    </row>
    <row r="99" spans="1:24" x14ac:dyDescent="0.2">
      <c r="A99">
        <v>20</v>
      </c>
      <c r="B99">
        <v>99</v>
      </c>
      <c r="C99">
        <v>2</v>
      </c>
      <c r="D99">
        <v>0</v>
      </c>
      <c r="E99">
        <f>SmtRes!AV99</f>
        <v>0</v>
      </c>
      <c r="F99" t="str">
        <f>SmtRes!I99</f>
        <v>22.1-5-3</v>
      </c>
      <c r="G99" t="str">
        <f>SmtRes!K99</f>
        <v>Катки самоходные вибрационные, масса более 8 т</v>
      </c>
      <c r="H99" t="str">
        <f>SmtRes!O99</f>
        <v>маш.-ч</v>
      </c>
      <c r="I99">
        <f>SmtRes!Y99*Source!I280</f>
        <v>0</v>
      </c>
      <c r="J99">
        <f>SmtRes!AO99</f>
        <v>1</v>
      </c>
      <c r="K99">
        <f>SmtRes!AF99</f>
        <v>1741.23</v>
      </c>
      <c r="L99">
        <f>SmtRes!DB99</f>
        <v>31777.45</v>
      </c>
      <c r="M99">
        <f>ROUND(ROUND(L99*Source!I280, 2)*1, 2)</f>
        <v>0</v>
      </c>
      <c r="N99">
        <f>SmtRes!AB99</f>
        <v>1741.23</v>
      </c>
      <c r="O99">
        <f>ROUND(ROUND(L99*Source!I280, 2)*SmtRes!DA99, 2)</f>
        <v>0</v>
      </c>
      <c r="P99">
        <f>SmtRes!AG99</f>
        <v>685.71</v>
      </c>
      <c r="Q99">
        <f>SmtRes!DC99</f>
        <v>12514.21</v>
      </c>
      <c r="R99">
        <f>ROUND(ROUND(Q99*Source!I280, 2)*1, 2)</f>
        <v>0</v>
      </c>
      <c r="S99">
        <f>SmtRes!AC99</f>
        <v>685.71</v>
      </c>
      <c r="T99">
        <f>ROUND(ROUND(Q99*Source!I280, 2)*SmtRes!AK99, 2)</f>
        <v>0</v>
      </c>
      <c r="U99">
        <f>SmtRes!X99</f>
        <v>-1845376792</v>
      </c>
      <c r="V99">
        <v>745564748</v>
      </c>
      <c r="W99">
        <v>745564748</v>
      </c>
      <c r="X99">
        <v>2</v>
      </c>
    </row>
    <row r="100" spans="1:24" x14ac:dyDescent="0.2">
      <c r="A100">
        <v>20</v>
      </c>
      <c r="B100">
        <v>98</v>
      </c>
      <c r="C100">
        <v>2</v>
      </c>
      <c r="D100">
        <v>0</v>
      </c>
      <c r="E100">
        <f>SmtRes!AV98</f>
        <v>0</v>
      </c>
      <c r="F100" t="str">
        <f>SmtRes!I98</f>
        <v>22.1-5-2</v>
      </c>
      <c r="G100" t="str">
        <f>SmtRes!K98</f>
        <v>Катки самоходные вибрационные, масса до 8 т</v>
      </c>
      <c r="H100" t="str">
        <f>SmtRes!O98</f>
        <v>маш.-ч</v>
      </c>
      <c r="I100">
        <f>SmtRes!Y98*Source!I280</f>
        <v>0</v>
      </c>
      <c r="J100">
        <f>SmtRes!AO98</f>
        <v>1</v>
      </c>
      <c r="K100">
        <f>SmtRes!AF98</f>
        <v>1207.81</v>
      </c>
      <c r="L100">
        <f>SmtRes!DB98</f>
        <v>10821.98</v>
      </c>
      <c r="M100">
        <f>ROUND(ROUND(L100*Source!I280, 2)*1, 2)</f>
        <v>0</v>
      </c>
      <c r="N100">
        <f>SmtRes!AB98</f>
        <v>1207.81</v>
      </c>
      <c r="O100">
        <f>ROUND(ROUND(L100*Source!I280, 2)*SmtRes!DA98, 2)</f>
        <v>0</v>
      </c>
      <c r="P100">
        <f>SmtRes!AG98</f>
        <v>504.4</v>
      </c>
      <c r="Q100">
        <f>SmtRes!DC98</f>
        <v>4519.42</v>
      </c>
      <c r="R100">
        <f>ROUND(ROUND(Q100*Source!I280, 2)*1, 2)</f>
        <v>0</v>
      </c>
      <c r="S100">
        <f>SmtRes!AC98</f>
        <v>504.4</v>
      </c>
      <c r="T100">
        <f>ROUND(ROUND(Q100*Source!I280, 2)*SmtRes!AK98, 2)</f>
        <v>0</v>
      </c>
      <c r="U100">
        <f>SmtRes!X98</f>
        <v>-2094009474</v>
      </c>
      <c r="V100">
        <v>-1868528678</v>
      </c>
      <c r="W100">
        <v>-1868528678</v>
      </c>
      <c r="X100">
        <v>2</v>
      </c>
    </row>
    <row r="101" spans="1:24" x14ac:dyDescent="0.2">
      <c r="A101">
        <v>20</v>
      </c>
      <c r="B101">
        <v>97</v>
      </c>
      <c r="C101">
        <v>2</v>
      </c>
      <c r="D101">
        <v>0</v>
      </c>
      <c r="E101">
        <f>SmtRes!AV97</f>
        <v>0</v>
      </c>
      <c r="F101" t="str">
        <f>SmtRes!I97</f>
        <v>22.1-5-18</v>
      </c>
      <c r="G101" t="str">
        <f>SmtRes!K97</f>
        <v>Поливомоечные машины, емкость цистерны более 5000 л</v>
      </c>
      <c r="H101" t="str">
        <f>SmtRes!O97</f>
        <v>маш.-ч</v>
      </c>
      <c r="I101">
        <f>SmtRes!Y97*Source!I280</f>
        <v>0</v>
      </c>
      <c r="J101">
        <f>SmtRes!AO97</f>
        <v>1</v>
      </c>
      <c r="K101">
        <f>SmtRes!AF97</f>
        <v>1942.21</v>
      </c>
      <c r="L101">
        <f>SmtRes!DB97</f>
        <v>2214.12</v>
      </c>
      <c r="M101">
        <f>ROUND(ROUND(L101*Source!I280, 2)*1, 2)</f>
        <v>0</v>
      </c>
      <c r="N101">
        <f>SmtRes!AB97</f>
        <v>1942.21</v>
      </c>
      <c r="O101">
        <f>ROUND(ROUND(L101*Source!I280, 2)*SmtRes!DA97, 2)</f>
        <v>0</v>
      </c>
      <c r="P101">
        <f>SmtRes!AG97</f>
        <v>436.39</v>
      </c>
      <c r="Q101">
        <f>SmtRes!DC97</f>
        <v>497.48</v>
      </c>
      <c r="R101">
        <f>ROUND(ROUND(Q101*Source!I280, 2)*1, 2)</f>
        <v>0</v>
      </c>
      <c r="S101">
        <f>SmtRes!AC97</f>
        <v>436.39</v>
      </c>
      <c r="T101">
        <f>ROUND(ROUND(Q101*Source!I280, 2)*SmtRes!AK97, 2)</f>
        <v>0</v>
      </c>
      <c r="U101">
        <f>SmtRes!X97</f>
        <v>1308944103</v>
      </c>
      <c r="V101">
        <v>-139364087</v>
      </c>
      <c r="W101">
        <v>-139364087</v>
      </c>
      <c r="X101">
        <v>2</v>
      </c>
    </row>
    <row r="102" spans="1:24" x14ac:dyDescent="0.2">
      <c r="A102">
        <v>20</v>
      </c>
      <c r="B102">
        <v>96</v>
      </c>
      <c r="C102">
        <v>2</v>
      </c>
      <c r="D102">
        <v>0</v>
      </c>
      <c r="E102">
        <f>SmtRes!AV96</f>
        <v>0</v>
      </c>
      <c r="F102" t="str">
        <f>SmtRes!I96</f>
        <v>22.1-1-43</v>
      </c>
      <c r="G102" t="str">
        <f>SmtRes!K96</f>
        <v>Бульдозеры гусеничные, мощность до 59 кВт (80 л.с.)</v>
      </c>
      <c r="H102" t="str">
        <f>SmtRes!O96</f>
        <v>маш.-ч</v>
      </c>
      <c r="I102">
        <f>SmtRes!Y96*Source!I280</f>
        <v>0</v>
      </c>
      <c r="J102">
        <f>SmtRes!AO96</f>
        <v>1</v>
      </c>
      <c r="K102">
        <f>SmtRes!AF96</f>
        <v>923.83</v>
      </c>
      <c r="L102">
        <f>SmtRes!DB96</f>
        <v>2716.06</v>
      </c>
      <c r="M102">
        <f>ROUND(ROUND(L102*Source!I280, 2)*1, 2)</f>
        <v>0</v>
      </c>
      <c r="N102">
        <f>SmtRes!AB96</f>
        <v>923.83</v>
      </c>
      <c r="O102">
        <f>ROUND(ROUND(L102*Source!I280, 2)*SmtRes!DA96, 2)</f>
        <v>0</v>
      </c>
      <c r="P102">
        <f>SmtRes!AG96</f>
        <v>342.06</v>
      </c>
      <c r="Q102">
        <f>SmtRes!DC96</f>
        <v>1005.66</v>
      </c>
      <c r="R102">
        <f>ROUND(ROUND(Q102*Source!I280, 2)*1, 2)</f>
        <v>0</v>
      </c>
      <c r="S102">
        <f>SmtRes!AC96</f>
        <v>342.06</v>
      </c>
      <c r="T102">
        <f>ROUND(ROUND(Q102*Source!I280, 2)*SmtRes!AK96, 2)</f>
        <v>0</v>
      </c>
      <c r="U102">
        <f>SmtRes!X96</f>
        <v>445823220</v>
      </c>
      <c r="V102">
        <v>-50571805</v>
      </c>
      <c r="W102">
        <v>-50571805</v>
      </c>
      <c r="X102">
        <v>2</v>
      </c>
    </row>
    <row r="103" spans="1:24" x14ac:dyDescent="0.2">
      <c r="A103">
        <v>20</v>
      </c>
      <c r="B103">
        <v>95</v>
      </c>
      <c r="C103">
        <v>1</v>
      </c>
      <c r="D103">
        <v>0</v>
      </c>
      <c r="E103">
        <f>SmtRes!AV95</f>
        <v>1</v>
      </c>
      <c r="F103" t="str">
        <f>SmtRes!I95</f>
        <v>9999990008</v>
      </c>
      <c r="G103" t="str">
        <f>SmtRes!K95</f>
        <v>Трудозатраты рабочих</v>
      </c>
      <c r="H103" t="str">
        <f>SmtRes!O95</f>
        <v>чел.-ч.</v>
      </c>
      <c r="I103">
        <f>SmtRes!Y95*Source!I280</f>
        <v>0</v>
      </c>
      <c r="J103">
        <f>SmtRes!AO95</f>
        <v>1</v>
      </c>
      <c r="K103">
        <f>SmtRes!AH95</f>
        <v>0</v>
      </c>
      <c r="L103">
        <f>SmtRes!DB95</f>
        <v>0</v>
      </c>
      <c r="M103">
        <f>ROUND(ROUND(L103*Source!I280, 2)*1, 2)</f>
        <v>0</v>
      </c>
      <c r="N103">
        <f>SmtRes!AD95</f>
        <v>0</v>
      </c>
      <c r="O103">
        <f>ROUND(ROUND(L103*Source!I280, 2)*SmtRes!DA95, 2)</f>
        <v>0</v>
      </c>
      <c r="P103">
        <f>SmtRes!AG95</f>
        <v>0</v>
      </c>
      <c r="Q103">
        <f>SmtRes!DC95</f>
        <v>0</v>
      </c>
      <c r="R103">
        <f>ROUND(ROUND(Q103*Source!I280, 2)*1, 2)</f>
        <v>0</v>
      </c>
      <c r="S103">
        <f>SmtRes!AC95</f>
        <v>0</v>
      </c>
      <c r="T103">
        <f>ROUND(ROUND(Q103*Source!I280, 2)*SmtRes!AK95, 2)</f>
        <v>0</v>
      </c>
      <c r="U103">
        <f>SmtRes!X95</f>
        <v>476480486</v>
      </c>
      <c r="V103">
        <v>1286141856</v>
      </c>
      <c r="W103">
        <v>1286141856</v>
      </c>
      <c r="X103">
        <v>1</v>
      </c>
    </row>
    <row r="104" spans="1:24" x14ac:dyDescent="0.2">
      <c r="A104">
        <f>Source!A282</f>
        <v>18</v>
      </c>
      <c r="B104">
        <v>282</v>
      </c>
      <c r="C104">
        <v>3</v>
      </c>
      <c r="D104">
        <f>Source!BI282</f>
        <v>4</v>
      </c>
      <c r="E104">
        <f>Source!FS282</f>
        <v>0</v>
      </c>
      <c r="F104" t="str">
        <f>Source!F282</f>
        <v>21.1-12-31</v>
      </c>
      <c r="G104" t="str">
        <f>Source!G282</f>
        <v>Щебень из естественного камня для строительных работ, марка 600-400, фракция 20-40 мм</v>
      </c>
      <c r="H104" t="str">
        <f>Source!H282</f>
        <v>м3</v>
      </c>
      <c r="I104">
        <f>Source!I282</f>
        <v>0</v>
      </c>
      <c r="J104">
        <v>1</v>
      </c>
      <c r="K104">
        <f>Source!AC282</f>
        <v>1487.52</v>
      </c>
      <c r="M104">
        <f>ROUND(K104*I104, 2)</f>
        <v>0</v>
      </c>
      <c r="N104">
        <f>Source!AC282*IF(Source!BC282&lt;&gt; 0, Source!BC282, 1)</f>
        <v>1487.52</v>
      </c>
      <c r="O104">
        <f>ROUND(N104*I104, 2)</f>
        <v>0</v>
      </c>
      <c r="P104">
        <f>Source!AE282</f>
        <v>0</v>
      </c>
      <c r="R104">
        <f>ROUND(P104*I104, 2)</f>
        <v>0</v>
      </c>
      <c r="S104">
        <f>Source!AE282*IF(Source!BS282&lt;&gt; 0, Source!BS282, 1)</f>
        <v>0</v>
      </c>
      <c r="T104">
        <f>ROUND(S104*I104, 2)</f>
        <v>0</v>
      </c>
      <c r="U104">
        <f>Source!GF282</f>
        <v>-1266475872</v>
      </c>
      <c r="V104">
        <v>-1861057453</v>
      </c>
      <c r="W104">
        <v>-1861057453</v>
      </c>
      <c r="X104">
        <v>3</v>
      </c>
    </row>
    <row r="105" spans="1:24" x14ac:dyDescent="0.2">
      <c r="A105">
        <v>20</v>
      </c>
      <c r="B105">
        <v>105</v>
      </c>
      <c r="C105">
        <v>1</v>
      </c>
      <c r="D105">
        <v>0</v>
      </c>
      <c r="E105">
        <f>SmtRes!AV105</f>
        <v>1</v>
      </c>
      <c r="F105" t="str">
        <f>SmtRes!I105</f>
        <v>9999990008</v>
      </c>
      <c r="G105" t="str">
        <f>SmtRes!K105</f>
        <v>Трудозатраты рабочих</v>
      </c>
      <c r="H105" t="str">
        <f>SmtRes!O105</f>
        <v>чел.-ч.</v>
      </c>
      <c r="I105">
        <f>SmtRes!Y105*Source!I283</f>
        <v>413.02949999999998</v>
      </c>
      <c r="J105">
        <f>SmtRes!AO105</f>
        <v>1</v>
      </c>
      <c r="K105">
        <f>SmtRes!AH105</f>
        <v>0</v>
      </c>
      <c r="L105">
        <f>SmtRes!DB105</f>
        <v>0</v>
      </c>
      <c r="M105">
        <f>ROUND(ROUND(L105*Source!I283, 2)*1, 2)</f>
        <v>0</v>
      </c>
      <c r="N105">
        <f>SmtRes!AD105</f>
        <v>0</v>
      </c>
      <c r="O105">
        <f>ROUND(ROUND(L105*Source!I283, 2)*SmtRes!DA105, 2)</f>
        <v>0</v>
      </c>
      <c r="P105">
        <f>SmtRes!AG105</f>
        <v>0</v>
      </c>
      <c r="Q105">
        <f>SmtRes!DC105</f>
        <v>0</v>
      </c>
      <c r="R105">
        <f>ROUND(ROUND(Q105*Source!I283, 2)*1, 2)</f>
        <v>0</v>
      </c>
      <c r="S105">
        <f>SmtRes!AC105</f>
        <v>0</v>
      </c>
      <c r="T105">
        <f>ROUND(ROUND(Q105*Source!I283, 2)*SmtRes!AK105, 2)</f>
        <v>0</v>
      </c>
      <c r="U105">
        <f>SmtRes!X105</f>
        <v>476480486</v>
      </c>
      <c r="V105">
        <v>1286141856</v>
      </c>
      <c r="W105">
        <v>1286141856</v>
      </c>
      <c r="X105">
        <v>1</v>
      </c>
    </row>
    <row r="106" spans="1:24" x14ac:dyDescent="0.2">
      <c r="A106">
        <v>20</v>
      </c>
      <c r="B106">
        <v>111</v>
      </c>
      <c r="C106">
        <v>3</v>
      </c>
      <c r="D106">
        <v>0</v>
      </c>
      <c r="E106">
        <f>SmtRes!AV111</f>
        <v>0</v>
      </c>
      <c r="F106" t="str">
        <f>SmtRes!I111</f>
        <v>21.5-3-12</v>
      </c>
      <c r="G106" t="str">
        <f>SmtRes!K111</f>
        <v>Камни бетонные бортовые, марка БР60.20.8</v>
      </c>
      <c r="H106" t="str">
        <f>SmtRes!O111</f>
        <v>м3</v>
      </c>
      <c r="I106">
        <f>SmtRes!Y111*Source!I285</f>
        <v>8.6159999999999997</v>
      </c>
      <c r="J106">
        <f>SmtRes!AO111</f>
        <v>1</v>
      </c>
      <c r="K106">
        <f>SmtRes!AE111</f>
        <v>8977.86</v>
      </c>
      <c r="L106">
        <f>SmtRes!DB111</f>
        <v>14364.58</v>
      </c>
      <c r="M106">
        <f>ROUND(ROUND(L106*Source!I285, 2)*1, 2)</f>
        <v>77353.259999999995</v>
      </c>
      <c r="N106">
        <f>SmtRes!AA111</f>
        <v>8977.86</v>
      </c>
      <c r="O106">
        <f>ROUND(ROUND(L106*Source!I285, 2)*SmtRes!DA111, 2)</f>
        <v>77353.259999999995</v>
      </c>
      <c r="P106">
        <f>SmtRes!AG111</f>
        <v>0</v>
      </c>
      <c r="Q106">
        <f>SmtRes!DC111</f>
        <v>0</v>
      </c>
      <c r="R106">
        <f>ROUND(ROUND(Q106*Source!I285, 2)*1, 2)</f>
        <v>0</v>
      </c>
      <c r="S106">
        <f>SmtRes!AC111</f>
        <v>0</v>
      </c>
      <c r="T106">
        <f>ROUND(ROUND(Q106*Source!I285, 2)*SmtRes!AK111, 2)</f>
        <v>0</v>
      </c>
      <c r="U106">
        <f>SmtRes!X111</f>
        <v>-169397175</v>
      </c>
      <c r="V106">
        <v>-1377219448</v>
      </c>
      <c r="W106">
        <v>-1377219448</v>
      </c>
      <c r="X106">
        <v>3</v>
      </c>
    </row>
    <row r="107" spans="1:24" x14ac:dyDescent="0.2">
      <c r="A107">
        <v>20</v>
      </c>
      <c r="B107">
        <v>110</v>
      </c>
      <c r="C107">
        <v>3</v>
      </c>
      <c r="D107">
        <v>0</v>
      </c>
      <c r="E107">
        <f>SmtRes!AV110</f>
        <v>0</v>
      </c>
      <c r="F107" t="str">
        <f>SmtRes!I110</f>
        <v>21.3-2-15</v>
      </c>
      <c r="G107" t="str">
        <f>SmtRes!K110</f>
        <v>Растворы цементные, марка 100</v>
      </c>
      <c r="H107" t="str">
        <f>SmtRes!O110</f>
        <v>м3</v>
      </c>
      <c r="I107">
        <f>SmtRes!Y110*Source!I285</f>
        <v>0.1077</v>
      </c>
      <c r="J107">
        <f>SmtRes!AO110</f>
        <v>1</v>
      </c>
      <c r="K107">
        <f>SmtRes!AE110</f>
        <v>3003.56</v>
      </c>
      <c r="L107">
        <f>SmtRes!DB110</f>
        <v>60.07</v>
      </c>
      <c r="M107">
        <f>ROUND(ROUND(L107*Source!I285, 2)*1, 2)</f>
        <v>323.48</v>
      </c>
      <c r="N107">
        <f>SmtRes!AA110</f>
        <v>3003.56</v>
      </c>
      <c r="O107">
        <f>ROUND(ROUND(L107*Source!I285, 2)*SmtRes!DA110, 2)</f>
        <v>323.48</v>
      </c>
      <c r="P107">
        <f>SmtRes!AG110</f>
        <v>0</v>
      </c>
      <c r="Q107">
        <f>SmtRes!DC110</f>
        <v>0</v>
      </c>
      <c r="R107">
        <f>ROUND(ROUND(Q107*Source!I285, 2)*1, 2)</f>
        <v>0</v>
      </c>
      <c r="S107">
        <f>SmtRes!AC110</f>
        <v>0</v>
      </c>
      <c r="T107">
        <f>ROUND(ROUND(Q107*Source!I285, 2)*SmtRes!AK110, 2)</f>
        <v>0</v>
      </c>
      <c r="U107">
        <f>SmtRes!X110</f>
        <v>1955458886</v>
      </c>
      <c r="V107">
        <v>742324980</v>
      </c>
      <c r="W107">
        <v>742324980</v>
      </c>
      <c r="X107">
        <v>3</v>
      </c>
    </row>
    <row r="108" spans="1:24" x14ac:dyDescent="0.2">
      <c r="A108">
        <v>20</v>
      </c>
      <c r="B108">
        <v>109</v>
      </c>
      <c r="C108">
        <v>3</v>
      </c>
      <c r="D108">
        <v>0</v>
      </c>
      <c r="E108">
        <f>SmtRes!AV109</f>
        <v>0</v>
      </c>
      <c r="F108" t="str">
        <f>SmtRes!I109</f>
        <v>21.3-1-69</v>
      </c>
      <c r="G108" t="str">
        <f>SmtRes!K109</f>
        <v>Смеси бетонные, БСГ, тяжелого бетона на гранитном щебне, класс прочности: В15 (М200); П3, фракция 5-20, F50-100, W0-2</v>
      </c>
      <c r="H108" t="str">
        <f>SmtRes!O109</f>
        <v>м3</v>
      </c>
      <c r="I108">
        <f>SmtRes!Y109*Source!I285</f>
        <v>23.155499999999996</v>
      </c>
      <c r="J108">
        <f>SmtRes!AO109</f>
        <v>1</v>
      </c>
      <c r="K108">
        <f>SmtRes!AE109</f>
        <v>3869.68</v>
      </c>
      <c r="L108">
        <f>SmtRes!DB109</f>
        <v>16639.62</v>
      </c>
      <c r="M108">
        <f>ROUND(ROUND(L108*Source!I285, 2)*1, 2)</f>
        <v>89604.35</v>
      </c>
      <c r="N108">
        <f>SmtRes!AA109</f>
        <v>3869.68</v>
      </c>
      <c r="O108">
        <f>ROUND(ROUND(L108*Source!I285, 2)*SmtRes!DA109, 2)</f>
        <v>89604.35</v>
      </c>
      <c r="P108">
        <f>SmtRes!AG109</f>
        <v>0</v>
      </c>
      <c r="Q108">
        <f>SmtRes!DC109</f>
        <v>0</v>
      </c>
      <c r="R108">
        <f>ROUND(ROUND(Q108*Source!I285, 2)*1, 2)</f>
        <v>0</v>
      </c>
      <c r="S108">
        <f>SmtRes!AC109</f>
        <v>0</v>
      </c>
      <c r="T108">
        <f>ROUND(ROUND(Q108*Source!I285, 2)*SmtRes!AK109, 2)</f>
        <v>0</v>
      </c>
      <c r="U108">
        <f>SmtRes!X109</f>
        <v>339889499</v>
      </c>
      <c r="V108">
        <v>1337649485</v>
      </c>
      <c r="W108">
        <v>1337649485</v>
      </c>
      <c r="X108">
        <v>3</v>
      </c>
    </row>
    <row r="109" spans="1:24" x14ac:dyDescent="0.2">
      <c r="A109">
        <v>20</v>
      </c>
      <c r="B109">
        <v>108</v>
      </c>
      <c r="C109">
        <v>2</v>
      </c>
      <c r="D109">
        <v>0</v>
      </c>
      <c r="E109">
        <f>SmtRes!AV108</f>
        <v>0</v>
      </c>
      <c r="F109" t="str">
        <f>SmtRes!I108</f>
        <v>22.1-4-12</v>
      </c>
      <c r="G109" t="str">
        <f>SmtRes!K108</f>
        <v>Погрузчики на автомобильном ходу, грузоподъемность до 5 т</v>
      </c>
      <c r="H109" t="str">
        <f>SmtRes!O108</f>
        <v>маш.-ч</v>
      </c>
      <c r="I109">
        <f>SmtRes!Y108*Source!I285</f>
        <v>1.4000999999999999</v>
      </c>
      <c r="J109">
        <f>SmtRes!AO108</f>
        <v>1</v>
      </c>
      <c r="K109">
        <f>SmtRes!AF108</f>
        <v>662.01</v>
      </c>
      <c r="L109">
        <f>SmtRes!DB108</f>
        <v>172.12</v>
      </c>
      <c r="M109">
        <f>ROUND(ROUND(L109*Source!I285, 2)*1, 2)</f>
        <v>926.87</v>
      </c>
      <c r="N109">
        <f>SmtRes!AB108</f>
        <v>662.01</v>
      </c>
      <c r="O109">
        <f>ROUND(ROUND(L109*Source!I285, 2)*SmtRes!DA108, 2)</f>
        <v>926.87</v>
      </c>
      <c r="P109">
        <f>SmtRes!AG108</f>
        <v>353.32</v>
      </c>
      <c r="Q109">
        <f>SmtRes!DC108</f>
        <v>91.86</v>
      </c>
      <c r="R109">
        <f>ROUND(ROUND(Q109*Source!I285, 2)*1, 2)</f>
        <v>494.67</v>
      </c>
      <c r="S109">
        <f>SmtRes!AC108</f>
        <v>353.32</v>
      </c>
      <c r="T109">
        <f>ROUND(ROUND(Q109*Source!I285, 2)*SmtRes!AK108, 2)</f>
        <v>494.67</v>
      </c>
      <c r="U109">
        <f>SmtRes!X108</f>
        <v>-1372446843</v>
      </c>
      <c r="V109">
        <v>1847085485</v>
      </c>
      <c r="W109">
        <v>1847085485</v>
      </c>
      <c r="X109">
        <v>2</v>
      </c>
    </row>
    <row r="110" spans="1:24" x14ac:dyDescent="0.2">
      <c r="A110">
        <v>20</v>
      </c>
      <c r="B110">
        <v>107</v>
      </c>
      <c r="C110">
        <v>1</v>
      </c>
      <c r="D110">
        <v>0</v>
      </c>
      <c r="E110">
        <f>SmtRes!AV107</f>
        <v>1</v>
      </c>
      <c r="F110" t="str">
        <f>SmtRes!I107</f>
        <v>9999990008</v>
      </c>
      <c r="G110" t="str">
        <f>SmtRes!K107</f>
        <v>Трудозатраты рабочих</v>
      </c>
      <c r="H110" t="str">
        <f>SmtRes!O107</f>
        <v>чел.-ч.</v>
      </c>
      <c r="I110">
        <f>SmtRes!Y107*Source!I285</f>
        <v>392.83575000000002</v>
      </c>
      <c r="J110">
        <f>SmtRes!AO107</f>
        <v>1</v>
      </c>
      <c r="K110">
        <f>SmtRes!AH107</f>
        <v>0</v>
      </c>
      <c r="L110">
        <f>SmtRes!DB107</f>
        <v>0</v>
      </c>
      <c r="M110">
        <f>ROUND(ROUND(L110*Source!I285, 2)*1, 2)</f>
        <v>0</v>
      </c>
      <c r="N110">
        <f>SmtRes!AD107</f>
        <v>0</v>
      </c>
      <c r="O110">
        <f>ROUND(ROUND(L110*Source!I285, 2)*SmtRes!DA107, 2)</f>
        <v>0</v>
      </c>
      <c r="P110">
        <f>SmtRes!AG107</f>
        <v>0</v>
      </c>
      <c r="Q110">
        <f>SmtRes!DC107</f>
        <v>0</v>
      </c>
      <c r="R110">
        <f>ROUND(ROUND(Q110*Source!I285, 2)*1, 2)</f>
        <v>0</v>
      </c>
      <c r="S110">
        <f>SmtRes!AC107</f>
        <v>0</v>
      </c>
      <c r="T110">
        <f>ROUND(ROUND(Q110*Source!I285, 2)*SmtRes!AK107, 2)</f>
        <v>0</v>
      </c>
      <c r="U110">
        <f>SmtRes!X107</f>
        <v>476480486</v>
      </c>
      <c r="V110">
        <v>1286141856</v>
      </c>
      <c r="W110">
        <v>1286141856</v>
      </c>
      <c r="X110">
        <v>1</v>
      </c>
    </row>
    <row r="111" spans="1:24" x14ac:dyDescent="0.2">
      <c r="A111">
        <v>20</v>
      </c>
      <c r="B111">
        <v>113</v>
      </c>
      <c r="C111">
        <v>2</v>
      </c>
      <c r="D111">
        <v>0</v>
      </c>
      <c r="E111">
        <f>SmtRes!AV113</f>
        <v>0</v>
      </c>
      <c r="F111" t="str">
        <f>SmtRes!I113</f>
        <v>22.1-18-13</v>
      </c>
      <c r="G111" t="str">
        <f>SmtRes!K113</f>
        <v>Автомобили-самосвалы, грузоподъемность до 10 т</v>
      </c>
      <c r="H111" t="str">
        <f>SmtRes!O113</f>
        <v>маш.-ч</v>
      </c>
      <c r="I111">
        <f>SmtRes!Y113*Source!I286</f>
        <v>1.2394632959999998</v>
      </c>
      <c r="J111">
        <f>SmtRes!AO113</f>
        <v>1</v>
      </c>
      <c r="K111">
        <f>SmtRes!AF113</f>
        <v>993.6</v>
      </c>
      <c r="L111">
        <f>SmtRes!DB113</f>
        <v>17.88</v>
      </c>
      <c r="M111">
        <f>ROUND(ROUND(L111*Source!I286, 2)*1, 2)</f>
        <v>1231.2</v>
      </c>
      <c r="N111">
        <f>SmtRes!AB113</f>
        <v>993.6</v>
      </c>
      <c r="O111">
        <f>ROUND(ROUND(L111*Source!I286, 2)*SmtRes!DA113, 2)</f>
        <v>1231.2</v>
      </c>
      <c r="P111">
        <f>SmtRes!AG113</f>
        <v>301.8</v>
      </c>
      <c r="Q111">
        <f>SmtRes!DC113</f>
        <v>5.43</v>
      </c>
      <c r="R111">
        <f>ROUND(ROUND(Q111*Source!I286, 2)*1, 2)</f>
        <v>373.9</v>
      </c>
      <c r="S111">
        <f>SmtRes!AC113</f>
        <v>301.8</v>
      </c>
      <c r="T111">
        <f>ROUND(ROUND(Q111*Source!I286, 2)*SmtRes!AK113, 2)</f>
        <v>373.9</v>
      </c>
      <c r="U111">
        <f>SmtRes!X113</f>
        <v>2034648272</v>
      </c>
      <c r="V111">
        <v>-1862155798</v>
      </c>
      <c r="W111">
        <v>-1862155798</v>
      </c>
      <c r="X111">
        <v>2</v>
      </c>
    </row>
    <row r="112" spans="1:24" x14ac:dyDescent="0.2">
      <c r="A112">
        <v>20</v>
      </c>
      <c r="B112">
        <v>112</v>
      </c>
      <c r="C112">
        <v>2</v>
      </c>
      <c r="D112">
        <v>0</v>
      </c>
      <c r="E112">
        <f>SmtRes!AV112</f>
        <v>0</v>
      </c>
      <c r="F112" t="str">
        <f>SmtRes!I112</f>
        <v>22.1-18-12</v>
      </c>
      <c r="G112" t="str">
        <f>SmtRes!K112</f>
        <v>Автомобили-самосвалы, грузоподъемность до 7 т</v>
      </c>
      <c r="H112" t="str">
        <f>SmtRes!O112</f>
        <v>маш.-ч</v>
      </c>
      <c r="I112">
        <f>SmtRes!Y112*Source!I286</f>
        <v>1.37718144</v>
      </c>
      <c r="J112">
        <f>SmtRes!AO112</f>
        <v>1</v>
      </c>
      <c r="K112">
        <f>SmtRes!AF112</f>
        <v>952.49</v>
      </c>
      <c r="L112">
        <f>SmtRes!DB112</f>
        <v>19.05</v>
      </c>
      <c r="M112">
        <f>ROUND(ROUND(L112*Source!I286, 2)*1, 2)</f>
        <v>1311.77</v>
      </c>
      <c r="N112">
        <f>SmtRes!AB112</f>
        <v>952.49</v>
      </c>
      <c r="O112">
        <f>ROUND(ROUND(L112*Source!I286, 2)*SmtRes!DA112, 2)</f>
        <v>1311.77</v>
      </c>
      <c r="P112">
        <f>SmtRes!AG112</f>
        <v>301.5</v>
      </c>
      <c r="Q112">
        <f>SmtRes!DC112</f>
        <v>6.03</v>
      </c>
      <c r="R112">
        <f>ROUND(ROUND(Q112*Source!I286, 2)*1, 2)</f>
        <v>415.22</v>
      </c>
      <c r="S112">
        <f>SmtRes!AC112</f>
        <v>301.5</v>
      </c>
      <c r="T112">
        <f>ROUND(ROUND(Q112*Source!I286, 2)*SmtRes!AK112, 2)</f>
        <v>415.22</v>
      </c>
      <c r="U112">
        <f>SmtRes!X112</f>
        <v>-1048706440</v>
      </c>
      <c r="V112">
        <v>-1712225594</v>
      </c>
      <c r="W112">
        <v>-1712225594</v>
      </c>
      <c r="X112">
        <v>2</v>
      </c>
    </row>
    <row r="113" spans="1:24" x14ac:dyDescent="0.2">
      <c r="A113">
        <v>20</v>
      </c>
      <c r="B113">
        <v>115</v>
      </c>
      <c r="C113">
        <v>2</v>
      </c>
      <c r="D113">
        <v>0</v>
      </c>
      <c r="E113">
        <f>SmtRes!AV115</f>
        <v>0</v>
      </c>
      <c r="F113" t="str">
        <f>SmtRes!I115</f>
        <v>22.1-18-13</v>
      </c>
      <c r="G113" t="str">
        <f>SmtRes!K115</f>
        <v>Автомобили-самосвалы, грузоподъемность до 10 т</v>
      </c>
      <c r="H113" t="str">
        <f>SmtRes!O115</f>
        <v>маш.-ч</v>
      </c>
      <c r="I113">
        <f>SmtRes!Y115*Source!I287</f>
        <v>0.42080544000000003</v>
      </c>
      <c r="J113">
        <f>SmtRes!AO115</f>
        <v>1</v>
      </c>
      <c r="K113">
        <f>SmtRes!AF115</f>
        <v>993.6</v>
      </c>
      <c r="L113">
        <f>SmtRes!DB115</f>
        <v>54.65</v>
      </c>
      <c r="M113">
        <f>ROUND(ROUND(L113*Source!I287, 2)*1, 2)</f>
        <v>418.13</v>
      </c>
      <c r="N113">
        <f>SmtRes!AB115</f>
        <v>993.6</v>
      </c>
      <c r="O113">
        <f>ROUND(ROUND(L113*Source!I287, 2)*SmtRes!DA115, 2)</f>
        <v>418.13</v>
      </c>
      <c r="P113">
        <f>SmtRes!AG115</f>
        <v>301.8</v>
      </c>
      <c r="Q113">
        <f>SmtRes!DC115</f>
        <v>16.600000000000001</v>
      </c>
      <c r="R113">
        <f>ROUND(ROUND(Q113*Source!I287, 2)*1, 2)</f>
        <v>127.01</v>
      </c>
      <c r="S113">
        <f>SmtRes!AC115</f>
        <v>301.8</v>
      </c>
      <c r="T113">
        <f>ROUND(ROUND(Q113*Source!I287, 2)*SmtRes!AK115, 2)</f>
        <v>127.01</v>
      </c>
      <c r="U113">
        <f>SmtRes!X115</f>
        <v>2034648272</v>
      </c>
      <c r="V113">
        <v>-1862155798</v>
      </c>
      <c r="W113">
        <v>-1862155798</v>
      </c>
      <c r="X113">
        <v>2</v>
      </c>
    </row>
    <row r="114" spans="1:24" x14ac:dyDescent="0.2">
      <c r="A114">
        <v>20</v>
      </c>
      <c r="B114">
        <v>114</v>
      </c>
      <c r="C114">
        <v>2</v>
      </c>
      <c r="D114">
        <v>0</v>
      </c>
      <c r="E114">
        <f>SmtRes!AV114</f>
        <v>0</v>
      </c>
      <c r="F114" t="str">
        <f>SmtRes!I114</f>
        <v>22.1-18-12</v>
      </c>
      <c r="G114" t="str">
        <f>SmtRes!K114</f>
        <v>Автомобили-самосвалы, грузоподъемность до 7 т</v>
      </c>
      <c r="H114" t="str">
        <f>SmtRes!O114</f>
        <v>маш.-ч</v>
      </c>
      <c r="I114">
        <f>SmtRes!Y114*Source!I287</f>
        <v>0.41315443200000002</v>
      </c>
      <c r="J114">
        <f>SmtRes!AO114</f>
        <v>1</v>
      </c>
      <c r="K114">
        <f>SmtRes!AF114</f>
        <v>952.49</v>
      </c>
      <c r="L114">
        <f>SmtRes!DB114</f>
        <v>51.43</v>
      </c>
      <c r="M114">
        <f>ROUND(ROUND(L114*Source!I287, 2)*1, 2)</f>
        <v>393.49</v>
      </c>
      <c r="N114">
        <f>SmtRes!AB114</f>
        <v>952.49</v>
      </c>
      <c r="O114">
        <f>ROUND(ROUND(L114*Source!I287, 2)*SmtRes!DA114, 2)</f>
        <v>393.49</v>
      </c>
      <c r="P114">
        <f>SmtRes!AG114</f>
        <v>301.5</v>
      </c>
      <c r="Q114">
        <f>SmtRes!DC114</f>
        <v>16.28</v>
      </c>
      <c r="R114">
        <f>ROUND(ROUND(Q114*Source!I287, 2)*1, 2)</f>
        <v>124.56</v>
      </c>
      <c r="S114">
        <f>SmtRes!AC114</f>
        <v>301.5</v>
      </c>
      <c r="T114">
        <f>ROUND(ROUND(Q114*Source!I287, 2)*SmtRes!AK114, 2)</f>
        <v>124.56</v>
      </c>
      <c r="U114">
        <f>SmtRes!X114</f>
        <v>-1048706440</v>
      </c>
      <c r="V114">
        <v>-1712225594</v>
      </c>
      <c r="W114">
        <v>-1712225594</v>
      </c>
      <c r="X114">
        <v>2</v>
      </c>
    </row>
    <row r="115" spans="1:24" x14ac:dyDescent="0.2">
      <c r="A115">
        <v>20</v>
      </c>
      <c r="B115">
        <v>117</v>
      </c>
      <c r="C115">
        <v>2</v>
      </c>
      <c r="D115">
        <v>0</v>
      </c>
      <c r="E115">
        <f>SmtRes!AV117</f>
        <v>0</v>
      </c>
      <c r="F115" t="str">
        <f>SmtRes!I117</f>
        <v>22.1-18-13</v>
      </c>
      <c r="G115" t="str">
        <f>SmtRes!K117</f>
        <v>Автомобили-самосвалы, грузоподъемность до 10 т</v>
      </c>
      <c r="H115" t="str">
        <f>SmtRes!O117</f>
        <v>маш.-ч</v>
      </c>
      <c r="I115">
        <f>SmtRes!Y117*Source!I288</f>
        <v>31.216112640000002</v>
      </c>
      <c r="J115">
        <f>SmtRes!AO117</f>
        <v>1</v>
      </c>
      <c r="K115">
        <f>SmtRes!AF117</f>
        <v>993.6</v>
      </c>
      <c r="L115">
        <f>SmtRes!DB117</f>
        <v>405.45</v>
      </c>
      <c r="M115">
        <f>ROUND(ROUND(L115*Source!I288, 2)*1, 2)</f>
        <v>31021.01</v>
      </c>
      <c r="N115">
        <f>SmtRes!AB117</f>
        <v>993.6</v>
      </c>
      <c r="O115">
        <f>ROUND(ROUND(L115*Source!I288, 2)*SmtRes!DA117, 2)</f>
        <v>31021.01</v>
      </c>
      <c r="P115">
        <f>SmtRes!AG117</f>
        <v>301.8</v>
      </c>
      <c r="Q115">
        <f>SmtRes!DC117</f>
        <v>122.91</v>
      </c>
      <c r="R115">
        <f>ROUND(ROUND(Q115*Source!I288, 2)*1, 2)</f>
        <v>9403.85</v>
      </c>
      <c r="S115">
        <f>SmtRes!AC117</f>
        <v>301.8</v>
      </c>
      <c r="T115">
        <f>ROUND(ROUND(Q115*Source!I288, 2)*SmtRes!AK117, 2)</f>
        <v>9403.85</v>
      </c>
      <c r="U115">
        <f>SmtRes!X117</f>
        <v>2034648272</v>
      </c>
      <c r="V115">
        <v>-1862155798</v>
      </c>
      <c r="W115">
        <v>-1862155798</v>
      </c>
      <c r="X115">
        <v>2</v>
      </c>
    </row>
    <row r="116" spans="1:24" x14ac:dyDescent="0.2">
      <c r="A116">
        <v>20</v>
      </c>
      <c r="B116">
        <v>116</v>
      </c>
      <c r="C116">
        <v>2</v>
      </c>
      <c r="D116">
        <v>0</v>
      </c>
      <c r="E116">
        <f>SmtRes!AV116</f>
        <v>0</v>
      </c>
      <c r="F116" t="str">
        <f>SmtRes!I116</f>
        <v>22.1-18-12</v>
      </c>
      <c r="G116" t="str">
        <f>SmtRes!K116</f>
        <v>Автомобили-самосвалы, грузоподъемность до 7 т</v>
      </c>
      <c r="H116" t="str">
        <f>SmtRes!O116</f>
        <v>маш.-ч</v>
      </c>
      <c r="I116">
        <f>SmtRes!Y116*Source!I288</f>
        <v>39.0201408</v>
      </c>
      <c r="J116">
        <f>SmtRes!AO116</f>
        <v>1</v>
      </c>
      <c r="K116">
        <f>SmtRes!AF116</f>
        <v>952.49</v>
      </c>
      <c r="L116">
        <f>SmtRes!DB116</f>
        <v>485.52</v>
      </c>
      <c r="M116">
        <f>ROUND(ROUND(L116*Source!I288, 2)*1, 2)</f>
        <v>37147.17</v>
      </c>
      <c r="N116">
        <f>SmtRes!AB116</f>
        <v>952.49</v>
      </c>
      <c r="O116">
        <f>ROUND(ROUND(L116*Source!I288, 2)*SmtRes!DA116, 2)</f>
        <v>37147.17</v>
      </c>
      <c r="P116">
        <f>SmtRes!AG116</f>
        <v>301.5</v>
      </c>
      <c r="Q116">
        <f>SmtRes!DC116</f>
        <v>154.02000000000001</v>
      </c>
      <c r="R116">
        <f>ROUND(ROUND(Q116*Source!I288, 2)*1, 2)</f>
        <v>11784.08</v>
      </c>
      <c r="S116">
        <f>SmtRes!AC116</f>
        <v>301.5</v>
      </c>
      <c r="T116">
        <f>ROUND(ROUND(Q116*Source!I288, 2)*SmtRes!AK116, 2)</f>
        <v>11784.08</v>
      </c>
      <c r="U116">
        <f>SmtRes!X116</f>
        <v>-1048706440</v>
      </c>
      <c r="V116">
        <v>-1712225594</v>
      </c>
      <c r="W116">
        <v>-1712225594</v>
      </c>
      <c r="X116">
        <v>2</v>
      </c>
    </row>
    <row r="117" spans="1:24" x14ac:dyDescent="0.2">
      <c r="A117">
        <f>Source!A289</f>
        <v>17</v>
      </c>
      <c r="B117">
        <v>289</v>
      </c>
      <c r="C117">
        <v>3</v>
      </c>
      <c r="D117">
        <f>Source!BI289</f>
        <v>4</v>
      </c>
      <c r="E117">
        <f>Source!FS289</f>
        <v>0</v>
      </c>
      <c r="F117" t="str">
        <f>Source!F289</f>
        <v>21.25-0-5</v>
      </c>
      <c r="G117" t="str">
        <f>Source!G289</f>
        <v>Стоимость приемки отходов строительства и сноса (боя кирпичной кладки, бетонных и железобетонных изделий, отходов бетона и железобетона, асфальтобетона в кусковой форме) для переработки дробильными комплексами</v>
      </c>
      <c r="H117" t="str">
        <f>Source!H289</f>
        <v>т</v>
      </c>
      <c r="I117">
        <f>Source!I289</f>
        <v>76.510080000000002</v>
      </c>
      <c r="J117">
        <v>1</v>
      </c>
      <c r="K117">
        <f>Source!AC289</f>
        <v>150.61000000000001</v>
      </c>
      <c r="M117">
        <f>ROUND(K117*I117, 2)</f>
        <v>11523.18</v>
      </c>
      <c r="N117">
        <f>Source!AC289*IF(Source!BC289&lt;&gt; 0, Source!BC289, 1)</f>
        <v>150.61000000000001</v>
      </c>
      <c r="O117">
        <f>ROUND(N117*I117, 2)</f>
        <v>11523.18</v>
      </c>
      <c r="P117">
        <f>Source!AE289</f>
        <v>0</v>
      </c>
      <c r="R117">
        <f>ROUND(P117*I117, 2)</f>
        <v>0</v>
      </c>
      <c r="S117">
        <f>Source!AE289*IF(Source!BS289&lt;&gt; 0, Source!BS289, 1)</f>
        <v>0</v>
      </c>
      <c r="T117">
        <f>ROUND(S117*I117, 2)</f>
        <v>0</v>
      </c>
      <c r="U117">
        <f>Source!GF289</f>
        <v>1351015189</v>
      </c>
      <c r="V117">
        <v>579862893</v>
      </c>
      <c r="W117">
        <v>579862893</v>
      </c>
      <c r="X117">
        <v>3</v>
      </c>
    </row>
    <row r="118" spans="1:24" x14ac:dyDescent="0.2">
      <c r="A118">
        <f>Source!A321</f>
        <v>4</v>
      </c>
      <c r="B118">
        <v>321</v>
      </c>
      <c r="G118" t="str">
        <f>Source!G321</f>
        <v>Замена бортовых камней бетонных Бр 100.30.15 (265 мп)</v>
      </c>
    </row>
    <row r="119" spans="1:24" x14ac:dyDescent="0.2">
      <c r="A119">
        <v>20</v>
      </c>
      <c r="B119">
        <v>125</v>
      </c>
      <c r="C119">
        <v>3</v>
      </c>
      <c r="D119">
        <v>0</v>
      </c>
      <c r="E119">
        <f>SmtRes!AV125</f>
        <v>0</v>
      </c>
      <c r="F119" t="str">
        <f>SmtRes!I125</f>
        <v>21.1-25-13</v>
      </c>
      <c r="G119" t="str">
        <f>SmtRes!K125</f>
        <v>Вода</v>
      </c>
      <c r="H119" t="str">
        <f>SmtRes!O125</f>
        <v>м3</v>
      </c>
      <c r="I119">
        <f>SmtRes!Y125*Source!I325</f>
        <v>0</v>
      </c>
      <c r="J119">
        <f>SmtRes!AO125</f>
        <v>1</v>
      </c>
      <c r="K119">
        <f>SmtRes!AE125</f>
        <v>33.729999999999997</v>
      </c>
      <c r="L119">
        <f>SmtRes!DB125</f>
        <v>168.65</v>
      </c>
      <c r="M119">
        <f>ROUND(ROUND(L119*Source!I325, 2)*1, 2)</f>
        <v>0</v>
      </c>
      <c r="N119">
        <f>SmtRes!AA125</f>
        <v>33.729999999999997</v>
      </c>
      <c r="O119">
        <f>ROUND(ROUND(L119*Source!I325, 2)*SmtRes!DA125, 2)</f>
        <v>0</v>
      </c>
      <c r="P119">
        <f>SmtRes!AG125</f>
        <v>0</v>
      </c>
      <c r="Q119">
        <f>SmtRes!DC125</f>
        <v>0</v>
      </c>
      <c r="R119">
        <f>ROUND(ROUND(Q119*Source!I325, 2)*1, 2)</f>
        <v>0</v>
      </c>
      <c r="S119">
        <f>SmtRes!AC125</f>
        <v>0</v>
      </c>
      <c r="T119">
        <f>ROUND(ROUND(Q119*Source!I325, 2)*SmtRes!AK125, 2)</f>
        <v>0</v>
      </c>
      <c r="U119">
        <f>SmtRes!X125</f>
        <v>1964795396</v>
      </c>
      <c r="V119">
        <v>711765246</v>
      </c>
      <c r="W119">
        <v>711765246</v>
      </c>
      <c r="X119">
        <v>3</v>
      </c>
    </row>
    <row r="120" spans="1:24" x14ac:dyDescent="0.2">
      <c r="A120">
        <v>20</v>
      </c>
      <c r="B120">
        <v>124</v>
      </c>
      <c r="C120">
        <v>3</v>
      </c>
      <c r="D120">
        <v>0</v>
      </c>
      <c r="E120">
        <f>SmtRes!AV124</f>
        <v>0</v>
      </c>
      <c r="F120" t="str">
        <f>SmtRes!I124</f>
        <v>21.1-12-10</v>
      </c>
      <c r="G120" t="str">
        <f>SmtRes!K124</f>
        <v>Песок для дорожных работ, рядовой</v>
      </c>
      <c r="H120" t="str">
        <f>SmtRes!O124</f>
        <v>м3</v>
      </c>
      <c r="I120">
        <f>SmtRes!Y124*Source!I325</f>
        <v>0</v>
      </c>
      <c r="J120">
        <f>SmtRes!AO124</f>
        <v>1</v>
      </c>
      <c r="K120">
        <f>SmtRes!AE124</f>
        <v>590.78</v>
      </c>
      <c r="L120">
        <f>SmtRes!DB124</f>
        <v>64985.8</v>
      </c>
      <c r="M120">
        <f>ROUND(ROUND(L120*Source!I325, 2)*1, 2)</f>
        <v>0</v>
      </c>
      <c r="N120">
        <f>SmtRes!AA124</f>
        <v>590.78</v>
      </c>
      <c r="O120">
        <f>ROUND(ROUND(L120*Source!I325, 2)*SmtRes!DA124, 2)</f>
        <v>0</v>
      </c>
      <c r="P120">
        <f>SmtRes!AG124</f>
        <v>0</v>
      </c>
      <c r="Q120">
        <f>SmtRes!DC124</f>
        <v>0</v>
      </c>
      <c r="R120">
        <f>ROUND(ROUND(Q120*Source!I325, 2)*1, 2)</f>
        <v>0</v>
      </c>
      <c r="S120">
        <f>SmtRes!AC124</f>
        <v>0</v>
      </c>
      <c r="T120">
        <f>ROUND(ROUND(Q120*Source!I325, 2)*SmtRes!AK124, 2)</f>
        <v>0</v>
      </c>
      <c r="U120">
        <f>SmtRes!X124</f>
        <v>-774262015</v>
      </c>
      <c r="V120">
        <v>-48580621</v>
      </c>
      <c r="W120">
        <v>-48580621</v>
      </c>
      <c r="X120">
        <v>3</v>
      </c>
    </row>
    <row r="121" spans="1:24" x14ac:dyDescent="0.2">
      <c r="A121">
        <v>20</v>
      </c>
      <c r="B121">
        <v>123</v>
      </c>
      <c r="C121">
        <v>2</v>
      </c>
      <c r="D121">
        <v>0</v>
      </c>
      <c r="E121">
        <f>SmtRes!AV123</f>
        <v>0</v>
      </c>
      <c r="F121" t="str">
        <f>SmtRes!I123</f>
        <v>22.1-5-7</v>
      </c>
      <c r="G121" t="str">
        <f>SmtRes!K123</f>
        <v>Катки дорожные самоходные на пневмоколесном ходу, масса до 16 т</v>
      </c>
      <c r="H121" t="str">
        <f>SmtRes!O123</f>
        <v>маш.-ч</v>
      </c>
      <c r="I121">
        <f>SmtRes!Y123*Source!I325</f>
        <v>0</v>
      </c>
      <c r="J121">
        <f>SmtRes!AO123</f>
        <v>1</v>
      </c>
      <c r="K121">
        <f>SmtRes!AF123</f>
        <v>1179.56</v>
      </c>
      <c r="L121">
        <f>SmtRes!DB123</f>
        <v>766.71</v>
      </c>
      <c r="M121">
        <f>ROUND(ROUND(L121*Source!I325, 2)*1, 2)</f>
        <v>0</v>
      </c>
      <c r="N121">
        <f>SmtRes!AB123</f>
        <v>1179.56</v>
      </c>
      <c r="O121">
        <f>ROUND(ROUND(L121*Source!I325, 2)*SmtRes!DA123, 2)</f>
        <v>0</v>
      </c>
      <c r="P121">
        <f>SmtRes!AG123</f>
        <v>439.28</v>
      </c>
      <c r="Q121">
        <f>SmtRes!DC123</f>
        <v>285.52999999999997</v>
      </c>
      <c r="R121">
        <f>ROUND(ROUND(Q121*Source!I325, 2)*1, 2)</f>
        <v>0</v>
      </c>
      <c r="S121">
        <f>SmtRes!AC123</f>
        <v>439.28</v>
      </c>
      <c r="T121">
        <f>ROUND(ROUND(Q121*Source!I325, 2)*SmtRes!AK123, 2)</f>
        <v>0</v>
      </c>
      <c r="U121">
        <f>SmtRes!X123</f>
        <v>-421159572</v>
      </c>
      <c r="V121">
        <v>-1264291469</v>
      </c>
      <c r="W121">
        <v>-1264291469</v>
      </c>
      <c r="X121">
        <v>2</v>
      </c>
    </row>
    <row r="122" spans="1:24" x14ac:dyDescent="0.2">
      <c r="A122">
        <v>20</v>
      </c>
      <c r="B122">
        <v>122</v>
      </c>
      <c r="C122">
        <v>2</v>
      </c>
      <c r="D122">
        <v>0</v>
      </c>
      <c r="E122">
        <f>SmtRes!AV122</f>
        <v>0</v>
      </c>
      <c r="F122" t="str">
        <f>SmtRes!I122</f>
        <v>22.1-5-48</v>
      </c>
      <c r="G122" t="str">
        <f>SmtRes!K122</f>
        <v>Автогрейдеры, мощность 99-147 кВт (130-200 л.с.)</v>
      </c>
      <c r="H122" t="str">
        <f>SmtRes!O122</f>
        <v>маш.-ч</v>
      </c>
      <c r="I122">
        <f>SmtRes!Y122*Source!I325</f>
        <v>0</v>
      </c>
      <c r="J122">
        <f>SmtRes!AO122</f>
        <v>1</v>
      </c>
      <c r="K122">
        <f>SmtRes!AF122</f>
        <v>1364.77</v>
      </c>
      <c r="L122">
        <f>SmtRes!DB122</f>
        <v>2647.65</v>
      </c>
      <c r="M122">
        <f>ROUND(ROUND(L122*Source!I325, 2)*1, 2)</f>
        <v>0</v>
      </c>
      <c r="N122">
        <f>SmtRes!AB122</f>
        <v>1364.77</v>
      </c>
      <c r="O122">
        <f>ROUND(ROUND(L122*Source!I325, 2)*SmtRes!DA122, 2)</f>
        <v>0</v>
      </c>
      <c r="P122">
        <f>SmtRes!AG122</f>
        <v>610.30999999999995</v>
      </c>
      <c r="Q122">
        <f>SmtRes!DC122</f>
        <v>1184</v>
      </c>
      <c r="R122">
        <f>ROUND(ROUND(Q122*Source!I325, 2)*1, 2)</f>
        <v>0</v>
      </c>
      <c r="S122">
        <f>SmtRes!AC122</f>
        <v>610.30999999999995</v>
      </c>
      <c r="T122">
        <f>ROUND(ROUND(Q122*Source!I325, 2)*SmtRes!AK122, 2)</f>
        <v>0</v>
      </c>
      <c r="U122">
        <f>SmtRes!X122</f>
        <v>1761872854</v>
      </c>
      <c r="V122">
        <v>-1400970004</v>
      </c>
      <c r="W122">
        <v>-1400970004</v>
      </c>
      <c r="X122">
        <v>2</v>
      </c>
    </row>
    <row r="123" spans="1:24" x14ac:dyDescent="0.2">
      <c r="A123">
        <v>20</v>
      </c>
      <c r="B123">
        <v>121</v>
      </c>
      <c r="C123">
        <v>2</v>
      </c>
      <c r="D123">
        <v>0</v>
      </c>
      <c r="E123">
        <f>SmtRes!AV121</f>
        <v>0</v>
      </c>
      <c r="F123" t="str">
        <f>SmtRes!I121</f>
        <v>22.1-5-18</v>
      </c>
      <c r="G123" t="str">
        <f>SmtRes!K121</f>
        <v>Поливомоечные машины, емкость цистерны более 5000 л</v>
      </c>
      <c r="H123" t="str">
        <f>SmtRes!O121</f>
        <v>маш.-ч</v>
      </c>
      <c r="I123">
        <f>SmtRes!Y121*Source!I325</f>
        <v>0</v>
      </c>
      <c r="J123">
        <f>SmtRes!AO121</f>
        <v>1</v>
      </c>
      <c r="K123">
        <f>SmtRes!AF121</f>
        <v>1942.21</v>
      </c>
      <c r="L123">
        <f>SmtRes!DB121</f>
        <v>1573.19</v>
      </c>
      <c r="M123">
        <f>ROUND(ROUND(L123*Source!I325, 2)*1, 2)</f>
        <v>0</v>
      </c>
      <c r="N123">
        <f>SmtRes!AB121</f>
        <v>1942.21</v>
      </c>
      <c r="O123">
        <f>ROUND(ROUND(L123*Source!I325, 2)*SmtRes!DA121, 2)</f>
        <v>0</v>
      </c>
      <c r="P123">
        <f>SmtRes!AG121</f>
        <v>436.39</v>
      </c>
      <c r="Q123">
        <f>SmtRes!DC121</f>
        <v>353.48</v>
      </c>
      <c r="R123">
        <f>ROUND(ROUND(Q123*Source!I325, 2)*1, 2)</f>
        <v>0</v>
      </c>
      <c r="S123">
        <f>SmtRes!AC121</f>
        <v>436.39</v>
      </c>
      <c r="T123">
        <f>ROUND(ROUND(Q123*Source!I325, 2)*SmtRes!AK121, 2)</f>
        <v>0</v>
      </c>
      <c r="U123">
        <f>SmtRes!X121</f>
        <v>1308944103</v>
      </c>
      <c r="V123">
        <v>-139364087</v>
      </c>
      <c r="W123">
        <v>-139364087</v>
      </c>
      <c r="X123">
        <v>2</v>
      </c>
    </row>
    <row r="124" spans="1:24" x14ac:dyDescent="0.2">
      <c r="A124">
        <v>20</v>
      </c>
      <c r="B124">
        <v>120</v>
      </c>
      <c r="C124">
        <v>2</v>
      </c>
      <c r="D124">
        <v>0</v>
      </c>
      <c r="E124">
        <f>SmtRes!AV120</f>
        <v>0</v>
      </c>
      <c r="F124" t="str">
        <f>SmtRes!I120</f>
        <v>22.1-5-15</v>
      </c>
      <c r="G124" t="str">
        <f>SmtRes!K120</f>
        <v>Катки прицепные пневмоколесные, масса до 50 т</v>
      </c>
      <c r="H124" t="str">
        <f>SmtRes!O120</f>
        <v>маш.-ч</v>
      </c>
      <c r="I124">
        <f>SmtRes!Y120*Source!I325</f>
        <v>0</v>
      </c>
      <c r="J124">
        <f>SmtRes!AO120</f>
        <v>1</v>
      </c>
      <c r="K124">
        <f>SmtRes!AF120</f>
        <v>416.25</v>
      </c>
      <c r="L124">
        <f>SmtRes!DB120</f>
        <v>865.8</v>
      </c>
      <c r="M124">
        <f>ROUND(ROUND(L124*Source!I325, 2)*1, 2)</f>
        <v>0</v>
      </c>
      <c r="N124">
        <f>SmtRes!AB120</f>
        <v>416.25</v>
      </c>
      <c r="O124">
        <f>ROUND(ROUND(L124*Source!I325, 2)*SmtRes!DA120, 2)</f>
        <v>0</v>
      </c>
      <c r="P124">
        <f>SmtRes!AG120</f>
        <v>204.9</v>
      </c>
      <c r="Q124">
        <f>SmtRes!DC120</f>
        <v>426.19</v>
      </c>
      <c r="R124">
        <f>ROUND(ROUND(Q124*Source!I325, 2)*1, 2)</f>
        <v>0</v>
      </c>
      <c r="S124">
        <f>SmtRes!AC120</f>
        <v>204.9</v>
      </c>
      <c r="T124">
        <f>ROUND(ROUND(Q124*Source!I325, 2)*SmtRes!AK120, 2)</f>
        <v>0</v>
      </c>
      <c r="U124">
        <f>SmtRes!X120</f>
        <v>-1158250883</v>
      </c>
      <c r="V124">
        <v>-1552611586</v>
      </c>
      <c r="W124">
        <v>-1552611586</v>
      </c>
      <c r="X124">
        <v>2</v>
      </c>
    </row>
    <row r="125" spans="1:24" x14ac:dyDescent="0.2">
      <c r="A125">
        <v>20</v>
      </c>
      <c r="B125">
        <v>119</v>
      </c>
      <c r="C125">
        <v>2</v>
      </c>
      <c r="D125">
        <v>0</v>
      </c>
      <c r="E125">
        <f>SmtRes!AV119</f>
        <v>0</v>
      </c>
      <c r="F125" t="str">
        <f>SmtRes!I119</f>
        <v>22.1-2-1</v>
      </c>
      <c r="G125" t="str">
        <f>SmtRes!K119</f>
        <v>Тракторы на гусеничном ходу, мощность до 60 (81) кВт (л.с.)</v>
      </c>
      <c r="H125" t="str">
        <f>SmtRes!O119</f>
        <v>маш.-ч</v>
      </c>
      <c r="I125">
        <f>SmtRes!Y119*Source!I325</f>
        <v>0</v>
      </c>
      <c r="J125">
        <f>SmtRes!AO119</f>
        <v>1</v>
      </c>
      <c r="K125">
        <f>SmtRes!AF119</f>
        <v>1159.46</v>
      </c>
      <c r="L125">
        <f>SmtRes!DB119</f>
        <v>2411.6799999999998</v>
      </c>
      <c r="M125">
        <f>ROUND(ROUND(L125*Source!I325, 2)*1, 2)</f>
        <v>0</v>
      </c>
      <c r="N125">
        <f>SmtRes!AB119</f>
        <v>1159.46</v>
      </c>
      <c r="O125">
        <f>ROUND(ROUND(L125*Source!I325, 2)*SmtRes!DA119, 2)</f>
        <v>0</v>
      </c>
      <c r="P125">
        <f>SmtRes!AG119</f>
        <v>525.74</v>
      </c>
      <c r="Q125">
        <f>SmtRes!DC119</f>
        <v>1093.54</v>
      </c>
      <c r="R125">
        <f>ROUND(ROUND(Q125*Source!I325, 2)*1, 2)</f>
        <v>0</v>
      </c>
      <c r="S125">
        <f>SmtRes!AC119</f>
        <v>525.74</v>
      </c>
      <c r="T125">
        <f>ROUND(ROUND(Q125*Source!I325, 2)*SmtRes!AK119, 2)</f>
        <v>0</v>
      </c>
      <c r="U125">
        <f>SmtRes!X119</f>
        <v>1062203425</v>
      </c>
      <c r="V125">
        <v>1356816858</v>
      </c>
      <c r="W125">
        <v>1356816858</v>
      </c>
      <c r="X125">
        <v>2</v>
      </c>
    </row>
    <row r="126" spans="1:24" x14ac:dyDescent="0.2">
      <c r="A126">
        <v>20</v>
      </c>
      <c r="B126">
        <v>118</v>
      </c>
      <c r="C126">
        <v>1</v>
      </c>
      <c r="D126">
        <v>0</v>
      </c>
      <c r="E126">
        <f>SmtRes!AV118</f>
        <v>1</v>
      </c>
      <c r="F126" t="str">
        <f>SmtRes!I118</f>
        <v>9999990008</v>
      </c>
      <c r="G126" t="str">
        <f>SmtRes!K118</f>
        <v>Трудозатраты рабочих</v>
      </c>
      <c r="H126" t="str">
        <f>SmtRes!O118</f>
        <v>чел.-ч.</v>
      </c>
      <c r="I126">
        <f>SmtRes!Y118*Source!I325</f>
        <v>0</v>
      </c>
      <c r="J126">
        <f>SmtRes!AO118</f>
        <v>1</v>
      </c>
      <c r="K126">
        <f>SmtRes!AH118</f>
        <v>0</v>
      </c>
      <c r="L126">
        <f>SmtRes!DB118</f>
        <v>0</v>
      </c>
      <c r="M126">
        <f>ROUND(ROUND(L126*Source!I325, 2)*1, 2)</f>
        <v>0</v>
      </c>
      <c r="N126">
        <f>SmtRes!AD118</f>
        <v>0</v>
      </c>
      <c r="O126">
        <f>ROUND(ROUND(L126*Source!I325, 2)*SmtRes!DA118, 2)</f>
        <v>0</v>
      </c>
      <c r="P126">
        <f>SmtRes!AG118</f>
        <v>0</v>
      </c>
      <c r="Q126">
        <f>SmtRes!DC118</f>
        <v>0</v>
      </c>
      <c r="R126">
        <f>ROUND(ROUND(Q126*Source!I325, 2)*1, 2)</f>
        <v>0</v>
      </c>
      <c r="S126">
        <f>SmtRes!AC118</f>
        <v>0</v>
      </c>
      <c r="T126">
        <f>ROUND(ROUND(Q126*Source!I325, 2)*SmtRes!AK118, 2)</f>
        <v>0</v>
      </c>
      <c r="U126">
        <f>SmtRes!X118</f>
        <v>476480486</v>
      </c>
      <c r="V126">
        <v>1286141856</v>
      </c>
      <c r="W126">
        <v>1286141856</v>
      </c>
      <c r="X126">
        <v>1</v>
      </c>
    </row>
    <row r="127" spans="1:24" x14ac:dyDescent="0.2">
      <c r="A127">
        <v>20</v>
      </c>
      <c r="B127">
        <v>135</v>
      </c>
      <c r="C127">
        <v>3</v>
      </c>
      <c r="D127">
        <v>0</v>
      </c>
      <c r="E127">
        <f>SmtRes!AV135</f>
        <v>0</v>
      </c>
      <c r="F127" t="str">
        <f>SmtRes!I135</f>
        <v>21.1-25-13</v>
      </c>
      <c r="G127" t="str">
        <f>SmtRes!K135</f>
        <v>Вода</v>
      </c>
      <c r="H127" t="str">
        <f>SmtRes!O135</f>
        <v>м3</v>
      </c>
      <c r="I127">
        <f>SmtRes!Y135*Source!I326</f>
        <v>0</v>
      </c>
      <c r="J127">
        <f>SmtRes!AO135</f>
        <v>1</v>
      </c>
      <c r="K127">
        <f>SmtRes!AE135</f>
        <v>33.729999999999997</v>
      </c>
      <c r="L127">
        <f>SmtRes!DB135</f>
        <v>236.11</v>
      </c>
      <c r="M127">
        <f>ROUND(ROUND(L127*Source!I326, 2)*1, 2)</f>
        <v>0</v>
      </c>
      <c r="N127">
        <f>SmtRes!AA135</f>
        <v>33.729999999999997</v>
      </c>
      <c r="O127">
        <f>ROUND(ROUND(L127*Source!I326, 2)*SmtRes!DA135, 2)</f>
        <v>0</v>
      </c>
      <c r="P127">
        <f>SmtRes!AG135</f>
        <v>0</v>
      </c>
      <c r="Q127">
        <f>SmtRes!DC135</f>
        <v>0</v>
      </c>
      <c r="R127">
        <f>ROUND(ROUND(Q127*Source!I326, 2)*1, 2)</f>
        <v>0</v>
      </c>
      <c r="S127">
        <f>SmtRes!AC135</f>
        <v>0</v>
      </c>
      <c r="T127">
        <f>ROUND(ROUND(Q127*Source!I326, 2)*SmtRes!AK135, 2)</f>
        <v>0</v>
      </c>
      <c r="U127">
        <f>SmtRes!X135</f>
        <v>1964795396</v>
      </c>
      <c r="V127">
        <v>711765246</v>
      </c>
      <c r="W127">
        <v>711765246</v>
      </c>
      <c r="X127">
        <v>3</v>
      </c>
    </row>
    <row r="128" spans="1:24" x14ac:dyDescent="0.2">
      <c r="A128">
        <v>20</v>
      </c>
      <c r="B128">
        <v>132</v>
      </c>
      <c r="C128">
        <v>2</v>
      </c>
      <c r="D128">
        <v>0</v>
      </c>
      <c r="E128">
        <f>SmtRes!AV132</f>
        <v>0</v>
      </c>
      <c r="F128" t="str">
        <f>SmtRes!I132</f>
        <v>22.1-5-7</v>
      </c>
      <c r="G128" t="str">
        <f>SmtRes!K132</f>
        <v>Катки дорожные самоходные на пневмоколесном ходу, масса до 16 т</v>
      </c>
      <c r="H128" t="str">
        <f>SmtRes!O132</f>
        <v>маш.-ч</v>
      </c>
      <c r="I128">
        <f>SmtRes!Y132*Source!I326</f>
        <v>0</v>
      </c>
      <c r="J128">
        <f>SmtRes!AO132</f>
        <v>1</v>
      </c>
      <c r="K128">
        <f>SmtRes!AF132</f>
        <v>1179.56</v>
      </c>
      <c r="L128">
        <f>SmtRes!DB132</f>
        <v>766.71</v>
      </c>
      <c r="M128">
        <f>ROUND(ROUND(L128*Source!I326, 2)*1, 2)</f>
        <v>0</v>
      </c>
      <c r="N128">
        <f>SmtRes!AB132</f>
        <v>1179.56</v>
      </c>
      <c r="O128">
        <f>ROUND(ROUND(L128*Source!I326, 2)*SmtRes!DA132, 2)</f>
        <v>0</v>
      </c>
      <c r="P128">
        <f>SmtRes!AG132</f>
        <v>439.28</v>
      </c>
      <c r="Q128">
        <f>SmtRes!DC132</f>
        <v>285.52999999999997</v>
      </c>
      <c r="R128">
        <f>ROUND(ROUND(Q128*Source!I326, 2)*1, 2)</f>
        <v>0</v>
      </c>
      <c r="S128">
        <f>SmtRes!AC132</f>
        <v>439.28</v>
      </c>
      <c r="T128">
        <f>ROUND(ROUND(Q128*Source!I326, 2)*SmtRes!AK132, 2)</f>
        <v>0</v>
      </c>
      <c r="U128">
        <f>SmtRes!X132</f>
        <v>-421159572</v>
      </c>
      <c r="V128">
        <v>-1264291469</v>
      </c>
      <c r="W128">
        <v>-1264291469</v>
      </c>
      <c r="X128">
        <v>2</v>
      </c>
    </row>
    <row r="129" spans="1:24" x14ac:dyDescent="0.2">
      <c r="A129">
        <v>20</v>
      </c>
      <c r="B129">
        <v>131</v>
      </c>
      <c r="C129">
        <v>2</v>
      </c>
      <c r="D129">
        <v>0</v>
      </c>
      <c r="E129">
        <f>SmtRes!AV131</f>
        <v>0</v>
      </c>
      <c r="F129" t="str">
        <f>SmtRes!I131</f>
        <v>22.1-5-48</v>
      </c>
      <c r="G129" t="str">
        <f>SmtRes!K131</f>
        <v>Автогрейдеры, мощность 99-147 кВт (130-200 л.с.)</v>
      </c>
      <c r="H129" t="str">
        <f>SmtRes!O131</f>
        <v>маш.-ч</v>
      </c>
      <c r="I129">
        <f>SmtRes!Y131*Source!I326</f>
        <v>0</v>
      </c>
      <c r="J129">
        <f>SmtRes!AO131</f>
        <v>1</v>
      </c>
      <c r="K129">
        <f>SmtRes!AF131</f>
        <v>1364.77</v>
      </c>
      <c r="L129">
        <f>SmtRes!DB131</f>
        <v>3057.08</v>
      </c>
      <c r="M129">
        <f>ROUND(ROUND(L129*Source!I326, 2)*1, 2)</f>
        <v>0</v>
      </c>
      <c r="N129">
        <f>SmtRes!AB131</f>
        <v>1364.77</v>
      </c>
      <c r="O129">
        <f>ROUND(ROUND(L129*Source!I326, 2)*SmtRes!DA131, 2)</f>
        <v>0</v>
      </c>
      <c r="P129">
        <f>SmtRes!AG131</f>
        <v>610.30999999999995</v>
      </c>
      <c r="Q129">
        <f>SmtRes!DC131</f>
        <v>1367.09</v>
      </c>
      <c r="R129">
        <f>ROUND(ROUND(Q129*Source!I326, 2)*1, 2)</f>
        <v>0</v>
      </c>
      <c r="S129">
        <f>SmtRes!AC131</f>
        <v>610.30999999999995</v>
      </c>
      <c r="T129">
        <f>ROUND(ROUND(Q129*Source!I326, 2)*SmtRes!AK131, 2)</f>
        <v>0</v>
      </c>
      <c r="U129">
        <f>SmtRes!X131</f>
        <v>1761872854</v>
      </c>
      <c r="V129">
        <v>-1400970004</v>
      </c>
      <c r="W129">
        <v>-1400970004</v>
      </c>
      <c r="X129">
        <v>2</v>
      </c>
    </row>
    <row r="130" spans="1:24" x14ac:dyDescent="0.2">
      <c r="A130">
        <v>20</v>
      </c>
      <c r="B130">
        <v>130</v>
      </c>
      <c r="C130">
        <v>2</v>
      </c>
      <c r="D130">
        <v>0</v>
      </c>
      <c r="E130">
        <f>SmtRes!AV130</f>
        <v>0</v>
      </c>
      <c r="F130" t="str">
        <f>SmtRes!I130</f>
        <v>22.1-5-3</v>
      </c>
      <c r="G130" t="str">
        <f>SmtRes!K130</f>
        <v>Катки самоходные вибрационные, масса более 8 т</v>
      </c>
      <c r="H130" t="str">
        <f>SmtRes!O130</f>
        <v>маш.-ч</v>
      </c>
      <c r="I130">
        <f>SmtRes!Y130*Source!I326</f>
        <v>0</v>
      </c>
      <c r="J130">
        <f>SmtRes!AO130</f>
        <v>1</v>
      </c>
      <c r="K130">
        <f>SmtRes!AF130</f>
        <v>1741.23</v>
      </c>
      <c r="L130">
        <f>SmtRes!DB130</f>
        <v>31777.45</v>
      </c>
      <c r="M130">
        <f>ROUND(ROUND(L130*Source!I326, 2)*1, 2)</f>
        <v>0</v>
      </c>
      <c r="N130">
        <f>SmtRes!AB130</f>
        <v>1741.23</v>
      </c>
      <c r="O130">
        <f>ROUND(ROUND(L130*Source!I326, 2)*SmtRes!DA130, 2)</f>
        <v>0</v>
      </c>
      <c r="P130">
        <f>SmtRes!AG130</f>
        <v>685.71</v>
      </c>
      <c r="Q130">
        <f>SmtRes!DC130</f>
        <v>12514.21</v>
      </c>
      <c r="R130">
        <f>ROUND(ROUND(Q130*Source!I326, 2)*1, 2)</f>
        <v>0</v>
      </c>
      <c r="S130">
        <f>SmtRes!AC130</f>
        <v>685.71</v>
      </c>
      <c r="T130">
        <f>ROUND(ROUND(Q130*Source!I326, 2)*SmtRes!AK130, 2)</f>
        <v>0</v>
      </c>
      <c r="U130">
        <f>SmtRes!X130</f>
        <v>-1845376792</v>
      </c>
      <c r="V130">
        <v>745564748</v>
      </c>
      <c r="W130">
        <v>745564748</v>
      </c>
      <c r="X130">
        <v>2</v>
      </c>
    </row>
    <row r="131" spans="1:24" x14ac:dyDescent="0.2">
      <c r="A131">
        <v>20</v>
      </c>
      <c r="B131">
        <v>129</v>
      </c>
      <c r="C131">
        <v>2</v>
      </c>
      <c r="D131">
        <v>0</v>
      </c>
      <c r="E131">
        <f>SmtRes!AV129</f>
        <v>0</v>
      </c>
      <c r="F131" t="str">
        <f>SmtRes!I129</f>
        <v>22.1-5-2</v>
      </c>
      <c r="G131" t="str">
        <f>SmtRes!K129</f>
        <v>Катки самоходные вибрационные, масса до 8 т</v>
      </c>
      <c r="H131" t="str">
        <f>SmtRes!O129</f>
        <v>маш.-ч</v>
      </c>
      <c r="I131">
        <f>SmtRes!Y129*Source!I326</f>
        <v>0</v>
      </c>
      <c r="J131">
        <f>SmtRes!AO129</f>
        <v>1</v>
      </c>
      <c r="K131">
        <f>SmtRes!AF129</f>
        <v>1207.81</v>
      </c>
      <c r="L131">
        <f>SmtRes!DB129</f>
        <v>10821.98</v>
      </c>
      <c r="M131">
        <f>ROUND(ROUND(L131*Source!I326, 2)*1, 2)</f>
        <v>0</v>
      </c>
      <c r="N131">
        <f>SmtRes!AB129</f>
        <v>1207.81</v>
      </c>
      <c r="O131">
        <f>ROUND(ROUND(L131*Source!I326, 2)*SmtRes!DA129, 2)</f>
        <v>0</v>
      </c>
      <c r="P131">
        <f>SmtRes!AG129</f>
        <v>504.4</v>
      </c>
      <c r="Q131">
        <f>SmtRes!DC129</f>
        <v>4519.42</v>
      </c>
      <c r="R131">
        <f>ROUND(ROUND(Q131*Source!I326, 2)*1, 2)</f>
        <v>0</v>
      </c>
      <c r="S131">
        <f>SmtRes!AC129</f>
        <v>504.4</v>
      </c>
      <c r="T131">
        <f>ROUND(ROUND(Q131*Source!I326, 2)*SmtRes!AK129, 2)</f>
        <v>0</v>
      </c>
      <c r="U131">
        <f>SmtRes!X129</f>
        <v>-2094009474</v>
      </c>
      <c r="V131">
        <v>-1868528678</v>
      </c>
      <c r="W131">
        <v>-1868528678</v>
      </c>
      <c r="X131">
        <v>2</v>
      </c>
    </row>
    <row r="132" spans="1:24" x14ac:dyDescent="0.2">
      <c r="A132">
        <v>20</v>
      </c>
      <c r="B132">
        <v>128</v>
      </c>
      <c r="C132">
        <v>2</v>
      </c>
      <c r="D132">
        <v>0</v>
      </c>
      <c r="E132">
        <f>SmtRes!AV128</f>
        <v>0</v>
      </c>
      <c r="F132" t="str">
        <f>SmtRes!I128</f>
        <v>22.1-5-18</v>
      </c>
      <c r="G132" t="str">
        <f>SmtRes!K128</f>
        <v>Поливомоечные машины, емкость цистерны более 5000 л</v>
      </c>
      <c r="H132" t="str">
        <f>SmtRes!O128</f>
        <v>маш.-ч</v>
      </c>
      <c r="I132">
        <f>SmtRes!Y128*Source!I326</f>
        <v>0</v>
      </c>
      <c r="J132">
        <f>SmtRes!AO128</f>
        <v>1</v>
      </c>
      <c r="K132">
        <f>SmtRes!AF128</f>
        <v>1942.21</v>
      </c>
      <c r="L132">
        <f>SmtRes!DB128</f>
        <v>2214.12</v>
      </c>
      <c r="M132">
        <f>ROUND(ROUND(L132*Source!I326, 2)*1, 2)</f>
        <v>0</v>
      </c>
      <c r="N132">
        <f>SmtRes!AB128</f>
        <v>1942.21</v>
      </c>
      <c r="O132">
        <f>ROUND(ROUND(L132*Source!I326, 2)*SmtRes!DA128, 2)</f>
        <v>0</v>
      </c>
      <c r="P132">
        <f>SmtRes!AG128</f>
        <v>436.39</v>
      </c>
      <c r="Q132">
        <f>SmtRes!DC128</f>
        <v>497.48</v>
      </c>
      <c r="R132">
        <f>ROUND(ROUND(Q132*Source!I326, 2)*1, 2)</f>
        <v>0</v>
      </c>
      <c r="S132">
        <f>SmtRes!AC128</f>
        <v>436.39</v>
      </c>
      <c r="T132">
        <f>ROUND(ROUND(Q132*Source!I326, 2)*SmtRes!AK128, 2)</f>
        <v>0</v>
      </c>
      <c r="U132">
        <f>SmtRes!X128</f>
        <v>1308944103</v>
      </c>
      <c r="V132">
        <v>-139364087</v>
      </c>
      <c r="W132">
        <v>-139364087</v>
      </c>
      <c r="X132">
        <v>2</v>
      </c>
    </row>
    <row r="133" spans="1:24" x14ac:dyDescent="0.2">
      <c r="A133">
        <v>20</v>
      </c>
      <c r="B133">
        <v>127</v>
      </c>
      <c r="C133">
        <v>2</v>
      </c>
      <c r="D133">
        <v>0</v>
      </c>
      <c r="E133">
        <f>SmtRes!AV127</f>
        <v>0</v>
      </c>
      <c r="F133" t="str">
        <f>SmtRes!I127</f>
        <v>22.1-1-43</v>
      </c>
      <c r="G133" t="str">
        <f>SmtRes!K127</f>
        <v>Бульдозеры гусеничные, мощность до 59 кВт (80 л.с.)</v>
      </c>
      <c r="H133" t="str">
        <f>SmtRes!O127</f>
        <v>маш.-ч</v>
      </c>
      <c r="I133">
        <f>SmtRes!Y127*Source!I326</f>
        <v>0</v>
      </c>
      <c r="J133">
        <f>SmtRes!AO127</f>
        <v>1</v>
      </c>
      <c r="K133">
        <f>SmtRes!AF127</f>
        <v>923.83</v>
      </c>
      <c r="L133">
        <f>SmtRes!DB127</f>
        <v>2716.06</v>
      </c>
      <c r="M133">
        <f>ROUND(ROUND(L133*Source!I326, 2)*1, 2)</f>
        <v>0</v>
      </c>
      <c r="N133">
        <f>SmtRes!AB127</f>
        <v>923.83</v>
      </c>
      <c r="O133">
        <f>ROUND(ROUND(L133*Source!I326, 2)*SmtRes!DA127, 2)</f>
        <v>0</v>
      </c>
      <c r="P133">
        <f>SmtRes!AG127</f>
        <v>342.06</v>
      </c>
      <c r="Q133">
        <f>SmtRes!DC127</f>
        <v>1005.66</v>
      </c>
      <c r="R133">
        <f>ROUND(ROUND(Q133*Source!I326, 2)*1, 2)</f>
        <v>0</v>
      </c>
      <c r="S133">
        <f>SmtRes!AC127</f>
        <v>342.06</v>
      </c>
      <c r="T133">
        <f>ROUND(ROUND(Q133*Source!I326, 2)*SmtRes!AK127, 2)</f>
        <v>0</v>
      </c>
      <c r="U133">
        <f>SmtRes!X127</f>
        <v>445823220</v>
      </c>
      <c r="V133">
        <v>-50571805</v>
      </c>
      <c r="W133">
        <v>-50571805</v>
      </c>
      <c r="X133">
        <v>2</v>
      </c>
    </row>
    <row r="134" spans="1:24" x14ac:dyDescent="0.2">
      <c r="A134">
        <v>20</v>
      </c>
      <c r="B134">
        <v>126</v>
      </c>
      <c r="C134">
        <v>1</v>
      </c>
      <c r="D134">
        <v>0</v>
      </c>
      <c r="E134">
        <f>SmtRes!AV126</f>
        <v>1</v>
      </c>
      <c r="F134" t="str">
        <f>SmtRes!I126</f>
        <v>9999990008</v>
      </c>
      <c r="G134" t="str">
        <f>SmtRes!K126</f>
        <v>Трудозатраты рабочих</v>
      </c>
      <c r="H134" t="str">
        <f>SmtRes!O126</f>
        <v>чел.-ч.</v>
      </c>
      <c r="I134">
        <f>SmtRes!Y126*Source!I326</f>
        <v>0</v>
      </c>
      <c r="J134">
        <f>SmtRes!AO126</f>
        <v>1</v>
      </c>
      <c r="K134">
        <f>SmtRes!AH126</f>
        <v>0</v>
      </c>
      <c r="L134">
        <f>SmtRes!DB126</f>
        <v>0</v>
      </c>
      <c r="M134">
        <f>ROUND(ROUND(L134*Source!I326, 2)*1, 2)</f>
        <v>0</v>
      </c>
      <c r="N134">
        <f>SmtRes!AD126</f>
        <v>0</v>
      </c>
      <c r="O134">
        <f>ROUND(ROUND(L134*Source!I326, 2)*SmtRes!DA126, 2)</f>
        <v>0</v>
      </c>
      <c r="P134">
        <f>SmtRes!AG126</f>
        <v>0</v>
      </c>
      <c r="Q134">
        <f>SmtRes!DC126</f>
        <v>0</v>
      </c>
      <c r="R134">
        <f>ROUND(ROUND(Q134*Source!I326, 2)*1, 2)</f>
        <v>0</v>
      </c>
      <c r="S134">
        <f>SmtRes!AC126</f>
        <v>0</v>
      </c>
      <c r="T134">
        <f>ROUND(ROUND(Q134*Source!I326, 2)*SmtRes!AK126, 2)</f>
        <v>0</v>
      </c>
      <c r="U134">
        <f>SmtRes!X126</f>
        <v>476480486</v>
      </c>
      <c r="V134">
        <v>1286141856</v>
      </c>
      <c r="W134">
        <v>1286141856</v>
      </c>
      <c r="X134">
        <v>1</v>
      </c>
    </row>
    <row r="135" spans="1:24" x14ac:dyDescent="0.2">
      <c r="A135">
        <f>Source!A328</f>
        <v>18</v>
      </c>
      <c r="B135">
        <v>328</v>
      </c>
      <c r="C135">
        <v>3</v>
      </c>
      <c r="D135">
        <f>Source!BI328</f>
        <v>4</v>
      </c>
      <c r="E135">
        <f>Source!FS328</f>
        <v>0</v>
      </c>
      <c r="F135" t="str">
        <f>Source!F328</f>
        <v>21.1-12-31</v>
      </c>
      <c r="G135" t="str">
        <f>Source!G328</f>
        <v>Щебень из естественного камня для строительных работ, марка 600-400, фракция 20-40 мм</v>
      </c>
      <c r="H135" t="str">
        <f>Source!H328</f>
        <v>м3</v>
      </c>
      <c r="I135">
        <f>Source!I328</f>
        <v>0</v>
      </c>
      <c r="J135">
        <v>1</v>
      </c>
      <c r="K135">
        <f>Source!AC328</f>
        <v>1487.52</v>
      </c>
      <c r="M135">
        <f>ROUND(K135*I135, 2)</f>
        <v>0</v>
      </c>
      <c r="N135">
        <f>Source!AC328*IF(Source!BC328&lt;&gt; 0, Source!BC328, 1)</f>
        <v>1487.52</v>
      </c>
      <c r="O135">
        <f>ROUND(N135*I135, 2)</f>
        <v>0</v>
      </c>
      <c r="P135">
        <f>Source!AE328</f>
        <v>0</v>
      </c>
      <c r="R135">
        <f>ROUND(P135*I135, 2)</f>
        <v>0</v>
      </c>
      <c r="S135">
        <f>Source!AE328*IF(Source!BS328&lt;&gt; 0, Source!BS328, 1)</f>
        <v>0</v>
      </c>
      <c r="T135">
        <f>ROUND(S135*I135, 2)</f>
        <v>0</v>
      </c>
      <c r="U135">
        <f>Source!GF328</f>
        <v>-1266475872</v>
      </c>
      <c r="V135">
        <v>-1861057453</v>
      </c>
      <c r="W135">
        <v>-1861057453</v>
      </c>
      <c r="X135">
        <v>3</v>
      </c>
    </row>
    <row r="136" spans="1:24" x14ac:dyDescent="0.2">
      <c r="A136">
        <v>20</v>
      </c>
      <c r="B136">
        <v>143</v>
      </c>
      <c r="C136">
        <v>3</v>
      </c>
      <c r="D136">
        <v>0</v>
      </c>
      <c r="E136">
        <f>SmtRes!AV143</f>
        <v>0</v>
      </c>
      <c r="F136" t="str">
        <f>SmtRes!I143</f>
        <v>21.5-3-13</v>
      </c>
      <c r="G136" t="str">
        <f>SmtRes!K143</f>
        <v>Камни бетонные бортовые, марка БР 100.30.15</v>
      </c>
      <c r="H136" t="str">
        <f>SmtRes!O143</f>
        <v>м3</v>
      </c>
      <c r="I136">
        <f>SmtRes!Y143*Source!I329</f>
        <v>11.554</v>
      </c>
      <c r="J136">
        <f>SmtRes!AO143</f>
        <v>1</v>
      </c>
      <c r="K136">
        <f>SmtRes!AE143</f>
        <v>6544.04</v>
      </c>
      <c r="L136">
        <f>SmtRes!DB143</f>
        <v>285.32</v>
      </c>
      <c r="M136">
        <f>ROUND(ROUND(L136*Source!I329, 2)*1, 2)</f>
        <v>75609.8</v>
      </c>
      <c r="N136">
        <f>SmtRes!AA143</f>
        <v>6544.04</v>
      </c>
      <c r="O136">
        <f>ROUND(ROUND(L136*Source!I329, 2)*SmtRes!DA143, 2)</f>
        <v>75609.8</v>
      </c>
      <c r="P136">
        <f>SmtRes!AG143</f>
        <v>0</v>
      </c>
      <c r="Q136">
        <f>SmtRes!DC143</f>
        <v>0</v>
      </c>
      <c r="R136">
        <f>ROUND(ROUND(Q136*Source!I329, 2)*1, 2)</f>
        <v>0</v>
      </c>
      <c r="S136">
        <f>SmtRes!AC143</f>
        <v>0</v>
      </c>
      <c r="T136">
        <f>ROUND(ROUND(Q136*Source!I329, 2)*SmtRes!AK143, 2)</f>
        <v>0</v>
      </c>
      <c r="U136">
        <f>SmtRes!X143</f>
        <v>-1947716756</v>
      </c>
      <c r="V136">
        <v>-582468387</v>
      </c>
      <c r="W136">
        <v>-582468387</v>
      </c>
      <c r="X136">
        <v>3</v>
      </c>
    </row>
    <row r="137" spans="1:24" x14ac:dyDescent="0.2">
      <c r="A137">
        <v>20</v>
      </c>
      <c r="B137">
        <v>142</v>
      </c>
      <c r="C137">
        <v>3</v>
      </c>
      <c r="D137">
        <v>0</v>
      </c>
      <c r="E137">
        <f>SmtRes!AV142</f>
        <v>0</v>
      </c>
      <c r="F137" t="str">
        <f>SmtRes!I142</f>
        <v>21.3-2-15</v>
      </c>
      <c r="G137" t="str">
        <f>SmtRes!K142</f>
        <v>Растворы цементные, марка 100</v>
      </c>
      <c r="H137" t="str">
        <f>SmtRes!O142</f>
        <v>м3</v>
      </c>
      <c r="I137">
        <f>SmtRes!Y142*Source!I329</f>
        <v>0.15899999999999997</v>
      </c>
      <c r="J137">
        <f>SmtRes!AO142</f>
        <v>1</v>
      </c>
      <c r="K137">
        <f>SmtRes!AE142</f>
        <v>3003.56</v>
      </c>
      <c r="L137">
        <f>SmtRes!DB142</f>
        <v>1.8</v>
      </c>
      <c r="M137">
        <f>ROUND(ROUND(L137*Source!I329, 2)*1, 2)</f>
        <v>477</v>
      </c>
      <c r="N137">
        <f>SmtRes!AA142</f>
        <v>3003.56</v>
      </c>
      <c r="O137">
        <f>ROUND(ROUND(L137*Source!I329, 2)*SmtRes!DA142, 2)</f>
        <v>477</v>
      </c>
      <c r="P137">
        <f>SmtRes!AG142</f>
        <v>0</v>
      </c>
      <c r="Q137">
        <f>SmtRes!DC142</f>
        <v>0</v>
      </c>
      <c r="R137">
        <f>ROUND(ROUND(Q137*Source!I329, 2)*1, 2)</f>
        <v>0</v>
      </c>
      <c r="S137">
        <f>SmtRes!AC142</f>
        <v>0</v>
      </c>
      <c r="T137">
        <f>ROUND(ROUND(Q137*Source!I329, 2)*SmtRes!AK142, 2)</f>
        <v>0</v>
      </c>
      <c r="U137">
        <f>SmtRes!X142</f>
        <v>1955458886</v>
      </c>
      <c r="V137">
        <v>742324980</v>
      </c>
      <c r="W137">
        <v>742324980</v>
      </c>
      <c r="X137">
        <v>3</v>
      </c>
    </row>
    <row r="138" spans="1:24" x14ac:dyDescent="0.2">
      <c r="A138">
        <v>20</v>
      </c>
      <c r="B138">
        <v>141</v>
      </c>
      <c r="C138">
        <v>3</v>
      </c>
      <c r="D138">
        <v>0</v>
      </c>
      <c r="E138">
        <f>SmtRes!AV141</f>
        <v>0</v>
      </c>
      <c r="F138" t="str">
        <f>SmtRes!I141</f>
        <v>21.3-1-36</v>
      </c>
      <c r="G138" t="str">
        <f>SmtRes!K141</f>
        <v>Смеси бетонные, БСГ, тяжелого бетона на гранитном щебне фракция 20-40 для инженерных коммуникаций и дорог, класс прочности: В15 (М200); П1, F100, W2</v>
      </c>
      <c r="H138" t="str">
        <f>SmtRes!O141</f>
        <v>м3</v>
      </c>
      <c r="I138">
        <f>SmtRes!Y141*Source!I329</f>
        <v>15.635</v>
      </c>
      <c r="J138">
        <f>SmtRes!AO141</f>
        <v>1</v>
      </c>
      <c r="K138">
        <f>SmtRes!AE141</f>
        <v>3791.18</v>
      </c>
      <c r="L138">
        <f>SmtRes!DB141</f>
        <v>223.68</v>
      </c>
      <c r="M138">
        <f>ROUND(ROUND(L138*Source!I329, 2)*1, 2)</f>
        <v>59275.199999999997</v>
      </c>
      <c r="N138">
        <f>SmtRes!AA141</f>
        <v>3791.18</v>
      </c>
      <c r="O138">
        <f>ROUND(ROUND(L138*Source!I329, 2)*SmtRes!DA141, 2)</f>
        <v>59275.199999999997</v>
      </c>
      <c r="P138">
        <f>SmtRes!AG141</f>
        <v>0</v>
      </c>
      <c r="Q138">
        <f>SmtRes!DC141</f>
        <v>0</v>
      </c>
      <c r="R138">
        <f>ROUND(ROUND(Q138*Source!I329, 2)*1, 2)</f>
        <v>0</v>
      </c>
      <c r="S138">
        <f>SmtRes!AC141</f>
        <v>0</v>
      </c>
      <c r="T138">
        <f>ROUND(ROUND(Q138*Source!I329, 2)*SmtRes!AK141, 2)</f>
        <v>0</v>
      </c>
      <c r="U138">
        <f>SmtRes!X141</f>
        <v>-1876763604</v>
      </c>
      <c r="V138">
        <v>990398526</v>
      </c>
      <c r="W138">
        <v>990398526</v>
      </c>
      <c r="X138">
        <v>3</v>
      </c>
    </row>
    <row r="139" spans="1:24" x14ac:dyDescent="0.2">
      <c r="A139">
        <v>20</v>
      </c>
      <c r="B139">
        <v>140</v>
      </c>
      <c r="C139">
        <v>2</v>
      </c>
      <c r="D139">
        <v>0</v>
      </c>
      <c r="E139">
        <f>SmtRes!AV140</f>
        <v>0</v>
      </c>
      <c r="F139" t="str">
        <f>SmtRes!I140</f>
        <v>22.1-4-1</v>
      </c>
      <c r="G139" t="str">
        <f>SmtRes!K140</f>
        <v>Погрузчики универсальные на пневмоколесном ходу, грузоподъемность до 1 т</v>
      </c>
      <c r="H139" t="str">
        <f>SmtRes!O140</f>
        <v>маш.-ч</v>
      </c>
      <c r="I139">
        <f>SmtRes!Y140*Source!I329</f>
        <v>23.584999999999997</v>
      </c>
      <c r="J139">
        <f>SmtRes!AO140</f>
        <v>1</v>
      </c>
      <c r="K139">
        <f>SmtRes!AF140</f>
        <v>799.15</v>
      </c>
      <c r="L139">
        <f>SmtRes!DB140</f>
        <v>71.12</v>
      </c>
      <c r="M139">
        <f>ROUND(ROUND(L139*Source!I329, 2)*1, 2)</f>
        <v>18846.8</v>
      </c>
      <c r="N139">
        <f>SmtRes!AB140</f>
        <v>799.15</v>
      </c>
      <c r="O139">
        <f>ROUND(ROUND(L139*Source!I329, 2)*SmtRes!DA140, 2)</f>
        <v>18846.8</v>
      </c>
      <c r="P139">
        <f>SmtRes!AG140</f>
        <v>434.92</v>
      </c>
      <c r="Q139">
        <f>SmtRes!DC140</f>
        <v>38.71</v>
      </c>
      <c r="R139">
        <f>ROUND(ROUND(Q139*Source!I329, 2)*1, 2)</f>
        <v>10258.15</v>
      </c>
      <c r="S139">
        <f>SmtRes!AC140</f>
        <v>434.92</v>
      </c>
      <c r="T139">
        <f>ROUND(ROUND(Q139*Source!I329, 2)*SmtRes!AK140, 2)</f>
        <v>10258.15</v>
      </c>
      <c r="U139">
        <f>SmtRes!X140</f>
        <v>1027130252</v>
      </c>
      <c r="V139">
        <v>-1225495608</v>
      </c>
      <c r="W139">
        <v>-1225495608</v>
      </c>
      <c r="X139">
        <v>2</v>
      </c>
    </row>
    <row r="140" spans="1:24" x14ac:dyDescent="0.2">
      <c r="A140">
        <v>20</v>
      </c>
      <c r="B140">
        <v>139</v>
      </c>
      <c r="C140">
        <v>2</v>
      </c>
      <c r="D140">
        <v>0</v>
      </c>
      <c r="E140">
        <f>SmtRes!AV139</f>
        <v>0</v>
      </c>
      <c r="F140" t="str">
        <f>SmtRes!I139</f>
        <v>22.1-30-54</v>
      </c>
      <c r="G140" t="str">
        <f>SmtRes!K139</f>
        <v>Молотки отбойные</v>
      </c>
      <c r="H140" t="str">
        <f>SmtRes!O139</f>
        <v>маш.-ч</v>
      </c>
      <c r="I140">
        <f>SmtRes!Y139*Source!I329</f>
        <v>34.980000000000004</v>
      </c>
      <c r="J140">
        <f>SmtRes!AO139</f>
        <v>1</v>
      </c>
      <c r="K140">
        <f>SmtRes!AF139</f>
        <v>5.41</v>
      </c>
      <c r="L140">
        <f>SmtRes!DB139</f>
        <v>0.71</v>
      </c>
      <c r="M140">
        <f>ROUND(ROUND(L140*Source!I329, 2)*1, 2)</f>
        <v>188.15</v>
      </c>
      <c r="N140">
        <f>SmtRes!AB139</f>
        <v>5.41</v>
      </c>
      <c r="O140">
        <f>ROUND(ROUND(L140*Source!I329, 2)*SmtRes!DA139, 2)</f>
        <v>188.15</v>
      </c>
      <c r="P140">
        <f>SmtRes!AG139</f>
        <v>0.02</v>
      </c>
      <c r="Q140">
        <f>SmtRes!DC139</f>
        <v>0</v>
      </c>
      <c r="R140">
        <f>ROUND(ROUND(Q140*Source!I329, 2)*1, 2)</f>
        <v>0</v>
      </c>
      <c r="S140">
        <f>SmtRes!AC139</f>
        <v>0.02</v>
      </c>
      <c r="T140">
        <f>ROUND(ROUND(Q140*Source!I329, 2)*SmtRes!AK139, 2)</f>
        <v>0</v>
      </c>
      <c r="U140">
        <f>SmtRes!X139</f>
        <v>-527952421</v>
      </c>
      <c r="V140">
        <v>1578845624</v>
      </c>
      <c r="W140">
        <v>1578845624</v>
      </c>
      <c r="X140">
        <v>2</v>
      </c>
    </row>
    <row r="141" spans="1:24" x14ac:dyDescent="0.2">
      <c r="A141">
        <v>20</v>
      </c>
      <c r="B141">
        <v>138</v>
      </c>
      <c r="C141">
        <v>2</v>
      </c>
      <c r="D141">
        <v>0</v>
      </c>
      <c r="E141">
        <f>SmtRes!AV138</f>
        <v>0</v>
      </c>
      <c r="F141" t="str">
        <f>SmtRes!I138</f>
        <v>22.1-18-27</v>
      </c>
      <c r="G141" t="str">
        <f>SmtRes!K138</f>
        <v>Автомобили грузовые для аварийно-ремонтных работ, грузоподъемность до 7 т</v>
      </c>
      <c r="H141" t="str">
        <f>SmtRes!O138</f>
        <v>маш.-ч</v>
      </c>
      <c r="I141">
        <f>SmtRes!Y138*Source!I329</f>
        <v>13.25</v>
      </c>
      <c r="J141">
        <f>SmtRes!AO138</f>
        <v>1</v>
      </c>
      <c r="K141">
        <f>SmtRes!AF138</f>
        <v>1056.5999999999999</v>
      </c>
      <c r="L141">
        <f>SmtRes!DB138</f>
        <v>52.83</v>
      </c>
      <c r="M141">
        <f>ROUND(ROUND(L141*Source!I329, 2)*1, 2)</f>
        <v>13999.95</v>
      </c>
      <c r="N141">
        <f>SmtRes!AB138</f>
        <v>1056.5999999999999</v>
      </c>
      <c r="O141">
        <f>ROUND(ROUND(L141*Source!I329, 2)*SmtRes!DA138, 2)</f>
        <v>13999.95</v>
      </c>
      <c r="P141">
        <f>SmtRes!AG138</f>
        <v>370.46</v>
      </c>
      <c r="Q141">
        <f>SmtRes!DC138</f>
        <v>18.52</v>
      </c>
      <c r="R141">
        <f>ROUND(ROUND(Q141*Source!I329, 2)*1, 2)</f>
        <v>4907.8</v>
      </c>
      <c r="S141">
        <f>SmtRes!AC138</f>
        <v>370.46</v>
      </c>
      <c r="T141">
        <f>ROUND(ROUND(Q141*Source!I329, 2)*SmtRes!AK138, 2)</f>
        <v>4907.8</v>
      </c>
      <c r="U141">
        <f>SmtRes!X138</f>
        <v>1025174242</v>
      </c>
      <c r="V141">
        <v>-1634948279</v>
      </c>
      <c r="W141">
        <v>-1634948279</v>
      </c>
      <c r="X141">
        <v>2</v>
      </c>
    </row>
    <row r="142" spans="1:24" x14ac:dyDescent="0.2">
      <c r="A142">
        <v>20</v>
      </c>
      <c r="B142">
        <v>137</v>
      </c>
      <c r="C142">
        <v>2</v>
      </c>
      <c r="D142">
        <v>0</v>
      </c>
      <c r="E142">
        <f>SmtRes!AV137</f>
        <v>0</v>
      </c>
      <c r="F142" t="str">
        <f>SmtRes!I137</f>
        <v>22.1-10-4</v>
      </c>
      <c r="G142" t="str">
        <f>SmtRes!K137</f>
        <v>Компрессоры с дизельным двигателем прицепные до 2,5 м3/мин</v>
      </c>
      <c r="H142" t="str">
        <f>SmtRes!O137</f>
        <v>маш.-ч</v>
      </c>
      <c r="I142">
        <f>SmtRes!Y137*Source!I329</f>
        <v>34.980000000000004</v>
      </c>
      <c r="J142">
        <f>SmtRes!AO137</f>
        <v>1</v>
      </c>
      <c r="K142">
        <f>SmtRes!AF137</f>
        <v>450.89</v>
      </c>
      <c r="L142">
        <f>SmtRes!DB137</f>
        <v>59.52</v>
      </c>
      <c r="M142">
        <f>ROUND(ROUND(L142*Source!I329, 2)*1, 2)</f>
        <v>15772.8</v>
      </c>
      <c r="N142">
        <f>SmtRes!AB137</f>
        <v>450.89</v>
      </c>
      <c r="O142">
        <f>ROUND(ROUND(L142*Source!I329, 2)*SmtRes!DA137, 2)</f>
        <v>15772.8</v>
      </c>
      <c r="P142">
        <f>SmtRes!AG137</f>
        <v>342.41</v>
      </c>
      <c r="Q142">
        <f>SmtRes!DC137</f>
        <v>45.2</v>
      </c>
      <c r="R142">
        <f>ROUND(ROUND(Q142*Source!I329, 2)*1, 2)</f>
        <v>11978</v>
      </c>
      <c r="S142">
        <f>SmtRes!AC137</f>
        <v>342.41</v>
      </c>
      <c r="T142">
        <f>ROUND(ROUND(Q142*Source!I329, 2)*SmtRes!AK137, 2)</f>
        <v>11978</v>
      </c>
      <c r="U142">
        <f>SmtRes!X137</f>
        <v>436449418</v>
      </c>
      <c r="V142">
        <v>-485367598</v>
      </c>
      <c r="W142">
        <v>-485367598</v>
      </c>
      <c r="X142">
        <v>2</v>
      </c>
    </row>
    <row r="143" spans="1:24" x14ac:dyDescent="0.2">
      <c r="A143">
        <v>20</v>
      </c>
      <c r="B143">
        <v>136</v>
      </c>
      <c r="C143">
        <v>1</v>
      </c>
      <c r="D143">
        <v>0</v>
      </c>
      <c r="E143">
        <f>SmtRes!AV136</f>
        <v>1</v>
      </c>
      <c r="F143" t="str">
        <f>SmtRes!I136</f>
        <v>9999990008</v>
      </c>
      <c r="G143" t="str">
        <f>SmtRes!K136</f>
        <v>Трудозатраты рабочих</v>
      </c>
      <c r="H143" t="str">
        <f>SmtRes!O136</f>
        <v>чел.-ч.</v>
      </c>
      <c r="I143">
        <f>SmtRes!Y136*Source!I329</f>
        <v>174.9</v>
      </c>
      <c r="J143">
        <f>SmtRes!AO136</f>
        <v>1</v>
      </c>
      <c r="K143">
        <f>SmtRes!AH136</f>
        <v>0</v>
      </c>
      <c r="L143">
        <f>SmtRes!DB136</f>
        <v>0</v>
      </c>
      <c r="M143">
        <f>ROUND(ROUND(L143*Source!I329, 2)*1, 2)</f>
        <v>0</v>
      </c>
      <c r="N143">
        <f>SmtRes!AD136</f>
        <v>0</v>
      </c>
      <c r="O143">
        <f>ROUND(ROUND(L143*Source!I329, 2)*SmtRes!DA136, 2)</f>
        <v>0</v>
      </c>
      <c r="P143">
        <f>SmtRes!AG136</f>
        <v>0</v>
      </c>
      <c r="Q143">
        <f>SmtRes!DC136</f>
        <v>0</v>
      </c>
      <c r="R143">
        <f>ROUND(ROUND(Q143*Source!I329, 2)*1, 2)</f>
        <v>0</v>
      </c>
      <c r="S143">
        <f>SmtRes!AC136</f>
        <v>0</v>
      </c>
      <c r="T143">
        <f>ROUND(ROUND(Q143*Source!I329, 2)*SmtRes!AK136, 2)</f>
        <v>0</v>
      </c>
      <c r="U143">
        <f>SmtRes!X136</f>
        <v>476480486</v>
      </c>
      <c r="V143">
        <v>1286141856</v>
      </c>
      <c r="W143">
        <v>1286141856</v>
      </c>
      <c r="X143">
        <v>1</v>
      </c>
    </row>
    <row r="144" spans="1:24" x14ac:dyDescent="0.2">
      <c r="A144">
        <v>20</v>
      </c>
      <c r="B144">
        <v>146</v>
      </c>
      <c r="C144">
        <v>2</v>
      </c>
      <c r="D144">
        <v>0</v>
      </c>
      <c r="E144">
        <f>SmtRes!AV146</f>
        <v>0</v>
      </c>
      <c r="F144" t="str">
        <f>SmtRes!I146</f>
        <v>22.1-18-13</v>
      </c>
      <c r="G144" t="str">
        <f>SmtRes!K146</f>
        <v>Автомобили-самосвалы, грузоподъемность до 10 т</v>
      </c>
      <c r="H144" t="str">
        <f>SmtRes!O146</f>
        <v>маш.-ч</v>
      </c>
      <c r="I144">
        <f>SmtRes!Y146*Source!I331</f>
        <v>1.0560779999999999</v>
      </c>
      <c r="J144">
        <f>SmtRes!AO146</f>
        <v>1</v>
      </c>
      <c r="K144">
        <f>SmtRes!AF146</f>
        <v>993.6</v>
      </c>
      <c r="L144">
        <f>SmtRes!DB146</f>
        <v>17.88</v>
      </c>
      <c r="M144">
        <f>ROUND(ROUND(L144*Source!I331, 2)*1, 2)</f>
        <v>1049.04</v>
      </c>
      <c r="N144">
        <f>SmtRes!AB146</f>
        <v>993.6</v>
      </c>
      <c r="O144">
        <f>ROUND(ROUND(L144*Source!I331, 2)*SmtRes!DA146, 2)</f>
        <v>1049.04</v>
      </c>
      <c r="P144">
        <f>SmtRes!AG146</f>
        <v>301.8</v>
      </c>
      <c r="Q144">
        <f>SmtRes!DC146</f>
        <v>5.43</v>
      </c>
      <c r="R144">
        <f>ROUND(ROUND(Q144*Source!I331, 2)*1, 2)</f>
        <v>318.58</v>
      </c>
      <c r="S144">
        <f>SmtRes!AC146</f>
        <v>301.8</v>
      </c>
      <c r="T144">
        <f>ROUND(ROUND(Q144*Source!I331, 2)*SmtRes!AK146, 2)</f>
        <v>318.58</v>
      </c>
      <c r="U144">
        <f>SmtRes!X146</f>
        <v>2034648272</v>
      </c>
      <c r="V144">
        <v>-1862155798</v>
      </c>
      <c r="W144">
        <v>-1862155798</v>
      </c>
      <c r="X144">
        <v>2</v>
      </c>
    </row>
    <row r="145" spans="1:24" x14ac:dyDescent="0.2">
      <c r="A145">
        <v>20</v>
      </c>
      <c r="B145">
        <v>145</v>
      </c>
      <c r="C145">
        <v>2</v>
      </c>
      <c r="D145">
        <v>0</v>
      </c>
      <c r="E145">
        <f>SmtRes!AV145</f>
        <v>0</v>
      </c>
      <c r="F145" t="str">
        <f>SmtRes!I145</f>
        <v>22.1-18-12</v>
      </c>
      <c r="G145" t="str">
        <f>SmtRes!K145</f>
        <v>Автомобили-самосвалы, грузоподъемность до 7 т</v>
      </c>
      <c r="H145" t="str">
        <f>SmtRes!O145</f>
        <v>маш.-ч</v>
      </c>
      <c r="I145">
        <f>SmtRes!Y145*Source!I331</f>
        <v>1.1734199999999999</v>
      </c>
      <c r="J145">
        <f>SmtRes!AO145</f>
        <v>1</v>
      </c>
      <c r="K145">
        <f>SmtRes!AF145</f>
        <v>952.49</v>
      </c>
      <c r="L145">
        <f>SmtRes!DB145</f>
        <v>19.05</v>
      </c>
      <c r="M145">
        <f>ROUND(ROUND(L145*Source!I331, 2)*1, 2)</f>
        <v>1117.68</v>
      </c>
      <c r="N145">
        <f>SmtRes!AB145</f>
        <v>952.49</v>
      </c>
      <c r="O145">
        <f>ROUND(ROUND(L145*Source!I331, 2)*SmtRes!DA145, 2)</f>
        <v>1117.68</v>
      </c>
      <c r="P145">
        <f>SmtRes!AG145</f>
        <v>301.5</v>
      </c>
      <c r="Q145">
        <f>SmtRes!DC145</f>
        <v>6.03</v>
      </c>
      <c r="R145">
        <f>ROUND(ROUND(Q145*Source!I331, 2)*1, 2)</f>
        <v>353.79</v>
      </c>
      <c r="S145">
        <f>SmtRes!AC145</f>
        <v>301.5</v>
      </c>
      <c r="T145">
        <f>ROUND(ROUND(Q145*Source!I331, 2)*SmtRes!AK145, 2)</f>
        <v>353.79</v>
      </c>
      <c r="U145">
        <f>SmtRes!X145</f>
        <v>-1048706440</v>
      </c>
      <c r="V145">
        <v>-1712225594</v>
      </c>
      <c r="W145">
        <v>-1712225594</v>
      </c>
      <c r="X145">
        <v>2</v>
      </c>
    </row>
    <row r="146" spans="1:24" x14ac:dyDescent="0.2">
      <c r="A146">
        <v>20</v>
      </c>
      <c r="B146">
        <v>148</v>
      </c>
      <c r="C146">
        <v>2</v>
      </c>
      <c r="D146">
        <v>0</v>
      </c>
      <c r="E146">
        <f>SmtRes!AV148</f>
        <v>0</v>
      </c>
      <c r="F146" t="str">
        <f>SmtRes!I148</f>
        <v>22.1-18-13</v>
      </c>
      <c r="G146" t="str">
        <f>SmtRes!K148</f>
        <v>Автомобили-самосвалы, грузоподъемность до 10 т</v>
      </c>
      <c r="H146" t="str">
        <f>SmtRes!O148</f>
        <v>маш.-ч</v>
      </c>
      <c r="I146">
        <f>SmtRes!Y148*Source!I332</f>
        <v>0.358545</v>
      </c>
      <c r="J146">
        <f>SmtRes!AO148</f>
        <v>1</v>
      </c>
      <c r="K146">
        <f>SmtRes!AF148</f>
        <v>993.6</v>
      </c>
      <c r="L146">
        <f>SmtRes!DB148</f>
        <v>54.65</v>
      </c>
      <c r="M146">
        <f>ROUND(ROUND(L146*Source!I332, 2)*1, 2)</f>
        <v>356.26</v>
      </c>
      <c r="N146">
        <f>SmtRes!AB148</f>
        <v>993.6</v>
      </c>
      <c r="O146">
        <f>ROUND(ROUND(L146*Source!I332, 2)*SmtRes!DA148, 2)</f>
        <v>356.26</v>
      </c>
      <c r="P146">
        <f>SmtRes!AG148</f>
        <v>301.8</v>
      </c>
      <c r="Q146">
        <f>SmtRes!DC148</f>
        <v>16.600000000000001</v>
      </c>
      <c r="R146">
        <f>ROUND(ROUND(Q146*Source!I332, 2)*1, 2)</f>
        <v>108.22</v>
      </c>
      <c r="S146">
        <f>SmtRes!AC148</f>
        <v>301.8</v>
      </c>
      <c r="T146">
        <f>ROUND(ROUND(Q146*Source!I332, 2)*SmtRes!AK148, 2)</f>
        <v>108.22</v>
      </c>
      <c r="U146">
        <f>SmtRes!X148</f>
        <v>2034648272</v>
      </c>
      <c r="V146">
        <v>-1862155798</v>
      </c>
      <c r="W146">
        <v>-1862155798</v>
      </c>
      <c r="X146">
        <v>2</v>
      </c>
    </row>
    <row r="147" spans="1:24" x14ac:dyDescent="0.2">
      <c r="A147">
        <v>20</v>
      </c>
      <c r="B147">
        <v>147</v>
      </c>
      <c r="C147">
        <v>2</v>
      </c>
      <c r="D147">
        <v>0</v>
      </c>
      <c r="E147">
        <f>SmtRes!AV147</f>
        <v>0</v>
      </c>
      <c r="F147" t="str">
        <f>SmtRes!I147</f>
        <v>22.1-18-12</v>
      </c>
      <c r="G147" t="str">
        <f>SmtRes!K147</f>
        <v>Автомобили-самосвалы, грузоподъемность до 7 т</v>
      </c>
      <c r="H147" t="str">
        <f>SmtRes!O147</f>
        <v>маш.-ч</v>
      </c>
      <c r="I147">
        <f>SmtRes!Y147*Source!I332</f>
        <v>0.35202600000000001</v>
      </c>
      <c r="J147">
        <f>SmtRes!AO147</f>
        <v>1</v>
      </c>
      <c r="K147">
        <f>SmtRes!AF147</f>
        <v>952.49</v>
      </c>
      <c r="L147">
        <f>SmtRes!DB147</f>
        <v>51.43</v>
      </c>
      <c r="M147">
        <f>ROUND(ROUND(L147*Source!I332, 2)*1, 2)</f>
        <v>335.27</v>
      </c>
      <c r="N147">
        <f>SmtRes!AB147</f>
        <v>952.49</v>
      </c>
      <c r="O147">
        <f>ROUND(ROUND(L147*Source!I332, 2)*SmtRes!DA147, 2)</f>
        <v>335.27</v>
      </c>
      <c r="P147">
        <f>SmtRes!AG147</f>
        <v>301.5</v>
      </c>
      <c r="Q147">
        <f>SmtRes!DC147</f>
        <v>16.28</v>
      </c>
      <c r="R147">
        <f>ROUND(ROUND(Q147*Source!I332, 2)*1, 2)</f>
        <v>106.13</v>
      </c>
      <c r="S147">
        <f>SmtRes!AC147</f>
        <v>301.5</v>
      </c>
      <c r="T147">
        <f>ROUND(ROUND(Q147*Source!I332, 2)*SmtRes!AK147, 2)</f>
        <v>106.13</v>
      </c>
      <c r="U147">
        <f>SmtRes!X147</f>
        <v>-1048706440</v>
      </c>
      <c r="V147">
        <v>-1712225594</v>
      </c>
      <c r="W147">
        <v>-1712225594</v>
      </c>
      <c r="X147">
        <v>2</v>
      </c>
    </row>
    <row r="148" spans="1:24" x14ac:dyDescent="0.2">
      <c r="A148">
        <v>20</v>
      </c>
      <c r="B148">
        <v>150</v>
      </c>
      <c r="C148">
        <v>2</v>
      </c>
      <c r="D148">
        <v>0</v>
      </c>
      <c r="E148">
        <f>SmtRes!AV150</f>
        <v>0</v>
      </c>
      <c r="F148" t="str">
        <f>SmtRes!I150</f>
        <v>22.1-18-13</v>
      </c>
      <c r="G148" t="str">
        <f>SmtRes!K150</f>
        <v>Автомобили-самосвалы, грузоподъемность до 10 т</v>
      </c>
      <c r="H148" t="str">
        <f>SmtRes!O150</f>
        <v>маш.-ч</v>
      </c>
      <c r="I148">
        <f>SmtRes!Y150*Source!I333</f>
        <v>26.597519999999999</v>
      </c>
      <c r="J148">
        <f>SmtRes!AO150</f>
        <v>1</v>
      </c>
      <c r="K148">
        <f>SmtRes!AF150</f>
        <v>993.6</v>
      </c>
      <c r="L148">
        <f>SmtRes!DB150</f>
        <v>405.45</v>
      </c>
      <c r="M148">
        <f>ROUND(ROUND(L148*Source!I333, 2)*1, 2)</f>
        <v>26431.29</v>
      </c>
      <c r="N148">
        <f>SmtRes!AB150</f>
        <v>993.6</v>
      </c>
      <c r="O148">
        <f>ROUND(ROUND(L148*Source!I333, 2)*SmtRes!DA150, 2)</f>
        <v>26431.29</v>
      </c>
      <c r="P148">
        <f>SmtRes!AG150</f>
        <v>301.8</v>
      </c>
      <c r="Q148">
        <f>SmtRes!DC150</f>
        <v>122.91</v>
      </c>
      <c r="R148">
        <f>ROUND(ROUND(Q148*Source!I333, 2)*1, 2)</f>
        <v>8012.5</v>
      </c>
      <c r="S148">
        <f>SmtRes!AC150</f>
        <v>301.8</v>
      </c>
      <c r="T148">
        <f>ROUND(ROUND(Q148*Source!I333, 2)*SmtRes!AK150, 2)</f>
        <v>8012.5</v>
      </c>
      <c r="U148">
        <f>SmtRes!X150</f>
        <v>2034648272</v>
      </c>
      <c r="V148">
        <v>-1862155798</v>
      </c>
      <c r="W148">
        <v>-1862155798</v>
      </c>
      <c r="X148">
        <v>2</v>
      </c>
    </row>
    <row r="149" spans="1:24" x14ac:dyDescent="0.2">
      <c r="A149">
        <v>20</v>
      </c>
      <c r="B149">
        <v>149</v>
      </c>
      <c r="C149">
        <v>2</v>
      </c>
      <c r="D149">
        <v>0</v>
      </c>
      <c r="E149">
        <f>SmtRes!AV149</f>
        <v>0</v>
      </c>
      <c r="F149" t="str">
        <f>SmtRes!I149</f>
        <v>22.1-18-12</v>
      </c>
      <c r="G149" t="str">
        <f>SmtRes!K149</f>
        <v>Автомобили-самосвалы, грузоподъемность до 7 т</v>
      </c>
      <c r="H149" t="str">
        <f>SmtRes!O149</f>
        <v>маш.-ч</v>
      </c>
      <c r="I149">
        <f>SmtRes!Y149*Source!I333</f>
        <v>33.246899999999997</v>
      </c>
      <c r="J149">
        <f>SmtRes!AO149</f>
        <v>1</v>
      </c>
      <c r="K149">
        <f>SmtRes!AF149</f>
        <v>952.49</v>
      </c>
      <c r="L149">
        <f>SmtRes!DB149</f>
        <v>485.52</v>
      </c>
      <c r="M149">
        <f>ROUND(ROUND(L149*Source!I333, 2)*1, 2)</f>
        <v>31651.05</v>
      </c>
      <c r="N149">
        <f>SmtRes!AB149</f>
        <v>952.49</v>
      </c>
      <c r="O149">
        <f>ROUND(ROUND(L149*Source!I333, 2)*SmtRes!DA149, 2)</f>
        <v>31651.05</v>
      </c>
      <c r="P149">
        <f>SmtRes!AG149</f>
        <v>301.5</v>
      </c>
      <c r="Q149">
        <f>SmtRes!DC149</f>
        <v>154.02000000000001</v>
      </c>
      <c r="R149">
        <f>ROUND(ROUND(Q149*Source!I333, 2)*1, 2)</f>
        <v>10040.56</v>
      </c>
      <c r="S149">
        <f>SmtRes!AC149</f>
        <v>301.5</v>
      </c>
      <c r="T149">
        <f>ROUND(ROUND(Q149*Source!I333, 2)*SmtRes!AK149, 2)</f>
        <v>10040.56</v>
      </c>
      <c r="U149">
        <f>SmtRes!X149</f>
        <v>-1048706440</v>
      </c>
      <c r="V149">
        <v>-1712225594</v>
      </c>
      <c r="W149">
        <v>-1712225594</v>
      </c>
      <c r="X149">
        <v>2</v>
      </c>
    </row>
    <row r="150" spans="1:24" x14ac:dyDescent="0.2">
      <c r="A150">
        <f>Source!A334</f>
        <v>17</v>
      </c>
      <c r="B150">
        <v>334</v>
      </c>
      <c r="C150">
        <v>3</v>
      </c>
      <c r="D150">
        <f>Source!BI334</f>
        <v>4</v>
      </c>
      <c r="E150">
        <f>Source!FS334</f>
        <v>0</v>
      </c>
      <c r="F150" t="str">
        <f>Source!F334</f>
        <v>21.25-0-5</v>
      </c>
      <c r="G150" t="str">
        <f>Source!G334</f>
        <v>Стоимость приемки отходов строительства и сноса (боя кирпичной кладки, бетонных и железобетонных изделий, отходов бетона и железобетона, асфальтобетона в кусковой форме) для переработки дробильными комплексами</v>
      </c>
      <c r="H150" t="str">
        <f>Source!H334</f>
        <v>т</v>
      </c>
      <c r="I150">
        <f>Source!I334</f>
        <v>65.19</v>
      </c>
      <c r="J150">
        <v>1</v>
      </c>
      <c r="K150">
        <f>Source!AC334</f>
        <v>150.61000000000001</v>
      </c>
      <c r="M150">
        <f>ROUND(K150*I150, 2)</f>
        <v>9818.27</v>
      </c>
      <c r="N150">
        <f>Source!AC334*IF(Source!BC334&lt;&gt; 0, Source!BC334, 1)</f>
        <v>150.61000000000001</v>
      </c>
      <c r="O150">
        <f>ROUND(N150*I150, 2)</f>
        <v>9818.27</v>
      </c>
      <c r="P150">
        <f>Source!AE334</f>
        <v>0</v>
      </c>
      <c r="R150">
        <f>ROUND(P150*I150, 2)</f>
        <v>0</v>
      </c>
      <c r="S150">
        <f>Source!AE334*IF(Source!BS334&lt;&gt; 0, Source!BS334, 1)</f>
        <v>0</v>
      </c>
      <c r="T150">
        <f>ROUND(S150*I150, 2)</f>
        <v>0</v>
      </c>
      <c r="U150">
        <f>Source!GF334</f>
        <v>1351015189</v>
      </c>
      <c r="V150">
        <v>579862893</v>
      </c>
      <c r="W150">
        <v>579862893</v>
      </c>
      <c r="X150">
        <v>3</v>
      </c>
    </row>
    <row r="151" spans="1:24" x14ac:dyDescent="0.2">
      <c r="A151">
        <v>20</v>
      </c>
      <c r="B151">
        <v>154</v>
      </c>
      <c r="C151">
        <v>3</v>
      </c>
      <c r="D151">
        <v>0</v>
      </c>
      <c r="E151">
        <f>SmtRes!AV154</f>
        <v>0</v>
      </c>
      <c r="F151" t="str">
        <f>SmtRes!I154</f>
        <v>21.5-3-13</v>
      </c>
      <c r="G151" t="str">
        <f>SmtRes!K154</f>
        <v>Камни бетонные бортовые, марка БР 100.30.15</v>
      </c>
      <c r="H151" t="str">
        <f>SmtRes!O154</f>
        <v>м3</v>
      </c>
      <c r="I151">
        <f>SmtRes!Y154*Source!I335</f>
        <v>0</v>
      </c>
      <c r="J151">
        <f>SmtRes!AO154</f>
        <v>1</v>
      </c>
      <c r="K151">
        <f>SmtRes!AE154</f>
        <v>6544.04</v>
      </c>
      <c r="L151">
        <f>SmtRes!DB154</f>
        <v>28139.37</v>
      </c>
      <c r="M151">
        <f>ROUND(ROUND(L151*Source!I335, 2)*1, 2)</f>
        <v>0</v>
      </c>
      <c r="N151">
        <f>SmtRes!AA154</f>
        <v>6544.04</v>
      </c>
      <c r="O151">
        <f>ROUND(ROUND(L151*Source!I335, 2)*SmtRes!DA154, 2)</f>
        <v>0</v>
      </c>
      <c r="P151">
        <f>SmtRes!AG154</f>
        <v>0</v>
      </c>
      <c r="Q151">
        <f>SmtRes!DC154</f>
        <v>0</v>
      </c>
      <c r="R151">
        <f>ROUND(ROUND(Q151*Source!I335, 2)*1, 2)</f>
        <v>0</v>
      </c>
      <c r="S151">
        <f>SmtRes!AC154</f>
        <v>0</v>
      </c>
      <c r="T151">
        <f>ROUND(ROUND(Q151*Source!I335, 2)*SmtRes!AK154, 2)</f>
        <v>0</v>
      </c>
      <c r="U151">
        <f>SmtRes!X154</f>
        <v>-1947716756</v>
      </c>
      <c r="V151">
        <v>-582468387</v>
      </c>
      <c r="W151">
        <v>-582468387</v>
      </c>
      <c r="X151">
        <v>3</v>
      </c>
    </row>
    <row r="152" spans="1:24" x14ac:dyDescent="0.2">
      <c r="A152">
        <v>20</v>
      </c>
      <c r="B152">
        <v>153</v>
      </c>
      <c r="C152">
        <v>3</v>
      </c>
      <c r="D152">
        <v>0</v>
      </c>
      <c r="E152">
        <f>SmtRes!AV153</f>
        <v>0</v>
      </c>
      <c r="F152" t="str">
        <f>SmtRes!I153</f>
        <v>21.3-2-15</v>
      </c>
      <c r="G152" t="str">
        <f>SmtRes!K153</f>
        <v>Растворы цементные, марка 100</v>
      </c>
      <c r="H152" t="str">
        <f>SmtRes!O153</f>
        <v>м3</v>
      </c>
      <c r="I152">
        <f>SmtRes!Y153*Source!I335</f>
        <v>0</v>
      </c>
      <c r="J152">
        <f>SmtRes!AO153</f>
        <v>1</v>
      </c>
      <c r="K152">
        <f>SmtRes!AE153</f>
        <v>3003.56</v>
      </c>
      <c r="L152">
        <f>SmtRes!DB153</f>
        <v>180.21</v>
      </c>
      <c r="M152">
        <f>ROUND(ROUND(L152*Source!I335, 2)*1, 2)</f>
        <v>0</v>
      </c>
      <c r="N152">
        <f>SmtRes!AA153</f>
        <v>3003.56</v>
      </c>
      <c r="O152">
        <f>ROUND(ROUND(L152*Source!I335, 2)*SmtRes!DA153, 2)</f>
        <v>0</v>
      </c>
      <c r="P152">
        <f>SmtRes!AG153</f>
        <v>0</v>
      </c>
      <c r="Q152">
        <f>SmtRes!DC153</f>
        <v>0</v>
      </c>
      <c r="R152">
        <f>ROUND(ROUND(Q152*Source!I335, 2)*1, 2)</f>
        <v>0</v>
      </c>
      <c r="S152">
        <f>SmtRes!AC153</f>
        <v>0</v>
      </c>
      <c r="T152">
        <f>ROUND(ROUND(Q152*Source!I335, 2)*SmtRes!AK153, 2)</f>
        <v>0</v>
      </c>
      <c r="U152">
        <f>SmtRes!X153</f>
        <v>1955458886</v>
      </c>
      <c r="V152">
        <v>742324980</v>
      </c>
      <c r="W152">
        <v>742324980</v>
      </c>
      <c r="X152">
        <v>3</v>
      </c>
    </row>
    <row r="153" spans="1:24" x14ac:dyDescent="0.2">
      <c r="A153">
        <v>20</v>
      </c>
      <c r="B153">
        <v>152</v>
      </c>
      <c r="C153">
        <v>3</v>
      </c>
      <c r="D153">
        <v>0</v>
      </c>
      <c r="E153">
        <f>SmtRes!AV152</f>
        <v>0</v>
      </c>
      <c r="F153" t="str">
        <f>SmtRes!I152</f>
        <v>21.3-1-69</v>
      </c>
      <c r="G153" t="str">
        <f>SmtRes!K152</f>
        <v>Смеси бетонные, БСГ, тяжелого бетона на гранитном щебне, класс прочности: В15 (М200); П3, фракция 5-20, F50-100, W0-2</v>
      </c>
      <c r="H153" t="str">
        <f>SmtRes!O152</f>
        <v>м3</v>
      </c>
      <c r="I153">
        <f>SmtRes!Y152*Source!I335</f>
        <v>0</v>
      </c>
      <c r="J153">
        <f>SmtRes!AO152</f>
        <v>1</v>
      </c>
      <c r="K153">
        <f>SmtRes!AE152</f>
        <v>3869.68</v>
      </c>
      <c r="L153">
        <f>SmtRes!DB152</f>
        <v>22831.11</v>
      </c>
      <c r="M153">
        <f>ROUND(ROUND(L153*Source!I335, 2)*1, 2)</f>
        <v>0</v>
      </c>
      <c r="N153">
        <f>SmtRes!AA152</f>
        <v>3869.68</v>
      </c>
      <c r="O153">
        <f>ROUND(ROUND(L153*Source!I335, 2)*SmtRes!DA152, 2)</f>
        <v>0</v>
      </c>
      <c r="P153">
        <f>SmtRes!AG152</f>
        <v>0</v>
      </c>
      <c r="Q153">
        <f>SmtRes!DC152</f>
        <v>0</v>
      </c>
      <c r="R153">
        <f>ROUND(ROUND(Q153*Source!I335, 2)*1, 2)</f>
        <v>0</v>
      </c>
      <c r="S153">
        <f>SmtRes!AC152</f>
        <v>0</v>
      </c>
      <c r="T153">
        <f>ROUND(ROUND(Q153*Source!I335, 2)*SmtRes!AK152, 2)</f>
        <v>0</v>
      </c>
      <c r="U153">
        <f>SmtRes!X152</f>
        <v>339889499</v>
      </c>
      <c r="V153">
        <v>1337649485</v>
      </c>
      <c r="W153">
        <v>1337649485</v>
      </c>
      <c r="X153">
        <v>3</v>
      </c>
    </row>
    <row r="154" spans="1:24" x14ac:dyDescent="0.2">
      <c r="A154">
        <v>20</v>
      </c>
      <c r="B154">
        <v>151</v>
      </c>
      <c r="C154">
        <v>1</v>
      </c>
      <c r="D154">
        <v>0</v>
      </c>
      <c r="E154">
        <f>SmtRes!AV151</f>
        <v>1</v>
      </c>
      <c r="F154" t="str">
        <f>SmtRes!I151</f>
        <v>9999990008</v>
      </c>
      <c r="G154" t="str">
        <f>SmtRes!K151</f>
        <v>Трудозатраты рабочих</v>
      </c>
      <c r="H154" t="str">
        <f>SmtRes!O151</f>
        <v>чел.-ч.</v>
      </c>
      <c r="I154">
        <f>SmtRes!Y151*Source!I335</f>
        <v>0</v>
      </c>
      <c r="J154">
        <f>SmtRes!AO151</f>
        <v>1</v>
      </c>
      <c r="K154">
        <f>SmtRes!AH151</f>
        <v>0</v>
      </c>
      <c r="L154">
        <f>SmtRes!DB151</f>
        <v>0</v>
      </c>
      <c r="M154">
        <f>ROUND(ROUND(L154*Source!I335, 2)*1, 2)</f>
        <v>0</v>
      </c>
      <c r="N154">
        <f>SmtRes!AD151</f>
        <v>0</v>
      </c>
      <c r="O154">
        <f>ROUND(ROUND(L154*Source!I335, 2)*SmtRes!DA151, 2)</f>
        <v>0</v>
      </c>
      <c r="P154">
        <f>SmtRes!AG151</f>
        <v>0</v>
      </c>
      <c r="Q154">
        <f>SmtRes!DC151</f>
        <v>0</v>
      </c>
      <c r="R154">
        <f>ROUND(ROUND(Q154*Source!I335, 2)*1, 2)</f>
        <v>0</v>
      </c>
      <c r="S154">
        <f>SmtRes!AC151</f>
        <v>0</v>
      </c>
      <c r="T154">
        <f>ROUND(ROUND(Q154*Source!I335, 2)*SmtRes!AK151, 2)</f>
        <v>0</v>
      </c>
      <c r="U154">
        <f>SmtRes!X151</f>
        <v>476480486</v>
      </c>
      <c r="V154">
        <v>1286141856</v>
      </c>
      <c r="W154">
        <v>1286141856</v>
      </c>
      <c r="X154">
        <v>1</v>
      </c>
    </row>
    <row r="155" spans="1:24" x14ac:dyDescent="0.2">
      <c r="A155">
        <f>Source!A367</f>
        <v>4</v>
      </c>
      <c r="B155">
        <v>367</v>
      </c>
      <c r="G155" t="str">
        <f>Source!G367</f>
        <v>Устройство газона (1000 м2)</v>
      </c>
    </row>
    <row r="156" spans="1:24" x14ac:dyDescent="0.2">
      <c r="A156">
        <v>20</v>
      </c>
      <c r="B156">
        <v>157</v>
      </c>
      <c r="C156">
        <v>2</v>
      </c>
      <c r="D156">
        <v>0</v>
      </c>
      <c r="E156">
        <f>SmtRes!AV157</f>
        <v>0</v>
      </c>
      <c r="F156" t="str">
        <f>SmtRes!I157</f>
        <v>22.1-1-44</v>
      </c>
      <c r="G156" t="str">
        <f>SmtRes!K157</f>
        <v>Бульдозеры гусеничные, мощность до 79 кВт (108 л.с.)</v>
      </c>
      <c r="H156" t="str">
        <f>SmtRes!O157</f>
        <v>маш.-ч</v>
      </c>
      <c r="I156">
        <f>SmtRes!Y157*Source!I371</f>
        <v>0.9375</v>
      </c>
      <c r="J156">
        <f>SmtRes!AO157</f>
        <v>1</v>
      </c>
      <c r="K156">
        <f>SmtRes!AF157</f>
        <v>1035.49</v>
      </c>
      <c r="L156">
        <f>SmtRes!DB157</f>
        <v>1294.3599999999999</v>
      </c>
      <c r="M156">
        <f>ROUND(ROUND(L156*Source!I371, 2)*1, 2)</f>
        <v>970.77</v>
      </c>
      <c r="N156">
        <f>SmtRes!AB157</f>
        <v>1035.49</v>
      </c>
      <c r="O156">
        <f>ROUND(ROUND(L156*Source!I371, 2)*SmtRes!DA157, 2)</f>
        <v>970.77</v>
      </c>
      <c r="P156">
        <f>SmtRes!AG157</f>
        <v>465.1</v>
      </c>
      <c r="Q156">
        <f>SmtRes!DC157</f>
        <v>581.38</v>
      </c>
      <c r="R156">
        <f>ROUND(ROUND(Q156*Source!I371, 2)*1, 2)</f>
        <v>436.04</v>
      </c>
      <c r="S156">
        <f>SmtRes!AC157</f>
        <v>465.1</v>
      </c>
      <c r="T156">
        <f>ROUND(ROUND(Q156*Source!I371, 2)*SmtRes!AK157, 2)</f>
        <v>436.04</v>
      </c>
      <c r="U156">
        <f>SmtRes!X157</f>
        <v>1937034001</v>
      </c>
      <c r="V156">
        <v>2061447248</v>
      </c>
      <c r="W156">
        <v>2061447248</v>
      </c>
      <c r="X156">
        <v>2</v>
      </c>
    </row>
    <row r="157" spans="1:24" x14ac:dyDescent="0.2">
      <c r="A157">
        <v>20</v>
      </c>
      <c r="B157">
        <v>156</v>
      </c>
      <c r="C157">
        <v>2</v>
      </c>
      <c r="D157">
        <v>0</v>
      </c>
      <c r="E157">
        <f>SmtRes!AV156</f>
        <v>0</v>
      </c>
      <c r="F157" t="str">
        <f>SmtRes!I156</f>
        <v>22.1-1-4</v>
      </c>
      <c r="G157" t="str">
        <f>SmtRes!K156</f>
        <v>Экскаваторы на гусеничном ходу гидравлические, объем ковша до 0,5 м3</v>
      </c>
      <c r="H157" t="str">
        <f>SmtRes!O156</f>
        <v>маш.-ч</v>
      </c>
      <c r="I157">
        <f>SmtRes!Y156*Source!I371</f>
        <v>3.7350000000000003</v>
      </c>
      <c r="J157">
        <f>SmtRes!AO156</f>
        <v>1</v>
      </c>
      <c r="K157">
        <f>SmtRes!AF156</f>
        <v>1447.46</v>
      </c>
      <c r="L157">
        <f>SmtRes!DB156</f>
        <v>7208.35</v>
      </c>
      <c r="M157">
        <f>ROUND(ROUND(L157*Source!I371, 2)*1, 2)</f>
        <v>5406.26</v>
      </c>
      <c r="N157">
        <f>SmtRes!AB156</f>
        <v>1447.46</v>
      </c>
      <c r="O157">
        <f>ROUND(ROUND(L157*Source!I371, 2)*SmtRes!DA156, 2)</f>
        <v>5406.26</v>
      </c>
      <c r="P157">
        <f>SmtRes!AG156</f>
        <v>537.96</v>
      </c>
      <c r="Q157">
        <f>SmtRes!DC156</f>
        <v>2679.04</v>
      </c>
      <c r="R157">
        <f>ROUND(ROUND(Q157*Source!I371, 2)*1, 2)</f>
        <v>2009.28</v>
      </c>
      <c r="S157">
        <f>SmtRes!AC156</f>
        <v>537.96</v>
      </c>
      <c r="T157">
        <f>ROUND(ROUND(Q157*Source!I371, 2)*SmtRes!AK156, 2)</f>
        <v>2009.28</v>
      </c>
      <c r="U157">
        <f>SmtRes!X156</f>
        <v>-1328421855</v>
      </c>
      <c r="V157">
        <v>1165352778</v>
      </c>
      <c r="W157">
        <v>1165352778</v>
      </c>
      <c r="X157">
        <v>2</v>
      </c>
    </row>
    <row r="158" spans="1:24" x14ac:dyDescent="0.2">
      <c r="A158">
        <v>20</v>
      </c>
      <c r="B158">
        <v>155</v>
      </c>
      <c r="C158">
        <v>1</v>
      </c>
      <c r="D158">
        <v>0</v>
      </c>
      <c r="E158">
        <f>SmtRes!AV155</f>
        <v>1</v>
      </c>
      <c r="F158" t="str">
        <f>SmtRes!I155</f>
        <v>9999990008</v>
      </c>
      <c r="G158" t="str">
        <f>SmtRes!K155</f>
        <v>Трудозатраты рабочих</v>
      </c>
      <c r="H158" t="str">
        <f>SmtRes!O155</f>
        <v>чел.-ч.</v>
      </c>
      <c r="I158">
        <f>SmtRes!Y155*Source!I371</f>
        <v>1.1925000000000001</v>
      </c>
      <c r="J158">
        <f>SmtRes!AO155</f>
        <v>1</v>
      </c>
      <c r="K158">
        <f>SmtRes!AH155</f>
        <v>0</v>
      </c>
      <c r="L158">
        <f>SmtRes!DB155</f>
        <v>0</v>
      </c>
      <c r="M158">
        <f>ROUND(ROUND(L158*Source!I371, 2)*1, 2)</f>
        <v>0</v>
      </c>
      <c r="N158">
        <f>SmtRes!AD155</f>
        <v>0</v>
      </c>
      <c r="O158">
        <f>ROUND(ROUND(L158*Source!I371, 2)*SmtRes!DA155, 2)</f>
        <v>0</v>
      </c>
      <c r="P158">
        <f>SmtRes!AG155</f>
        <v>0</v>
      </c>
      <c r="Q158">
        <f>SmtRes!DC155</f>
        <v>0</v>
      </c>
      <c r="R158">
        <f>ROUND(ROUND(Q158*Source!I371, 2)*1, 2)</f>
        <v>0</v>
      </c>
      <c r="S158">
        <f>SmtRes!AC155</f>
        <v>0</v>
      </c>
      <c r="T158">
        <f>ROUND(ROUND(Q158*Source!I371, 2)*SmtRes!AK155, 2)</f>
        <v>0</v>
      </c>
      <c r="U158">
        <f>SmtRes!X155</f>
        <v>476480486</v>
      </c>
      <c r="V158">
        <v>1286141856</v>
      </c>
      <c r="W158">
        <v>1286141856</v>
      </c>
      <c r="X158">
        <v>1</v>
      </c>
    </row>
    <row r="159" spans="1:24" x14ac:dyDescent="0.2">
      <c r="A159">
        <v>20</v>
      </c>
      <c r="B159">
        <v>158</v>
      </c>
      <c r="C159">
        <v>1</v>
      </c>
      <c r="D159">
        <v>0</v>
      </c>
      <c r="E159">
        <f>SmtRes!AV158</f>
        <v>1</v>
      </c>
      <c r="F159" t="str">
        <f>SmtRes!I158</f>
        <v>9999990008</v>
      </c>
      <c r="G159" t="str">
        <f>SmtRes!K158</f>
        <v>Трудозатраты рабочих</v>
      </c>
      <c r="H159" t="str">
        <f>SmtRes!O158</f>
        <v>чел.-ч.</v>
      </c>
      <c r="I159">
        <f>SmtRes!Y158*Source!I372</f>
        <v>55.4</v>
      </c>
      <c r="J159">
        <f>SmtRes!AO158</f>
        <v>1</v>
      </c>
      <c r="K159">
        <f>SmtRes!AH158</f>
        <v>0</v>
      </c>
      <c r="L159">
        <f>SmtRes!DB158</f>
        <v>0</v>
      </c>
      <c r="M159">
        <f>ROUND(ROUND(L159*Source!I372, 2)*1, 2)</f>
        <v>0</v>
      </c>
      <c r="N159">
        <f>SmtRes!AD158</f>
        <v>0</v>
      </c>
      <c r="O159">
        <f>ROUND(ROUND(L159*Source!I372, 2)*SmtRes!DA158, 2)</f>
        <v>0</v>
      </c>
      <c r="P159">
        <f>SmtRes!AG158</f>
        <v>0</v>
      </c>
      <c r="Q159">
        <f>SmtRes!DC158</f>
        <v>0</v>
      </c>
      <c r="R159">
        <f>ROUND(ROUND(Q159*Source!I372, 2)*1, 2)</f>
        <v>0</v>
      </c>
      <c r="S159">
        <f>SmtRes!AC158</f>
        <v>0</v>
      </c>
      <c r="T159">
        <f>ROUND(ROUND(Q159*Source!I372, 2)*SmtRes!AK158, 2)</f>
        <v>0</v>
      </c>
      <c r="U159">
        <f>SmtRes!X158</f>
        <v>476480486</v>
      </c>
      <c r="V159">
        <v>1286141856</v>
      </c>
      <c r="W159">
        <v>1286141856</v>
      </c>
      <c r="X159">
        <v>1</v>
      </c>
    </row>
    <row r="160" spans="1:24" x14ac:dyDescent="0.2">
      <c r="A160">
        <v>20</v>
      </c>
      <c r="B160">
        <v>161</v>
      </c>
      <c r="C160">
        <v>2</v>
      </c>
      <c r="D160">
        <v>0</v>
      </c>
      <c r="E160">
        <f>SmtRes!AV161</f>
        <v>0</v>
      </c>
      <c r="F160" t="str">
        <f>SmtRes!I161</f>
        <v>22.1-1-44</v>
      </c>
      <c r="G160" t="str">
        <f>SmtRes!K161</f>
        <v>Бульдозеры гусеничные, мощность до 79 кВт (108 л.с.)</v>
      </c>
      <c r="H160" t="str">
        <f>SmtRes!O161</f>
        <v>маш.-ч</v>
      </c>
      <c r="I160">
        <f>SmtRes!Y161*Source!I373</f>
        <v>0.28125</v>
      </c>
      <c r="J160">
        <f>SmtRes!AO161</f>
        <v>1</v>
      </c>
      <c r="K160">
        <f>SmtRes!AF161</f>
        <v>1035.49</v>
      </c>
      <c r="L160">
        <f>SmtRes!DB161</f>
        <v>1294.3599999999999</v>
      </c>
      <c r="M160">
        <f>ROUND(ROUND(L160*Source!I373, 2)*1, 2)</f>
        <v>291.23</v>
      </c>
      <c r="N160">
        <f>SmtRes!AB161</f>
        <v>1035.49</v>
      </c>
      <c r="O160">
        <f>ROUND(ROUND(L160*Source!I373, 2)*SmtRes!DA161, 2)</f>
        <v>291.23</v>
      </c>
      <c r="P160">
        <f>SmtRes!AG161</f>
        <v>465.1</v>
      </c>
      <c r="Q160">
        <f>SmtRes!DC161</f>
        <v>581.38</v>
      </c>
      <c r="R160">
        <f>ROUND(ROUND(Q160*Source!I373, 2)*1, 2)</f>
        <v>130.81</v>
      </c>
      <c r="S160">
        <f>SmtRes!AC161</f>
        <v>465.1</v>
      </c>
      <c r="T160">
        <f>ROUND(ROUND(Q160*Source!I373, 2)*SmtRes!AK161, 2)</f>
        <v>130.81</v>
      </c>
      <c r="U160">
        <f>SmtRes!X161</f>
        <v>1937034001</v>
      </c>
      <c r="V160">
        <v>2061447248</v>
      </c>
      <c r="W160">
        <v>2061447248</v>
      </c>
      <c r="X160">
        <v>2</v>
      </c>
    </row>
    <row r="161" spans="1:24" x14ac:dyDescent="0.2">
      <c r="A161">
        <v>20</v>
      </c>
      <c r="B161">
        <v>160</v>
      </c>
      <c r="C161">
        <v>2</v>
      </c>
      <c r="D161">
        <v>0</v>
      </c>
      <c r="E161">
        <f>SmtRes!AV160</f>
        <v>0</v>
      </c>
      <c r="F161" t="str">
        <f>SmtRes!I160</f>
        <v>22.1-1-4</v>
      </c>
      <c r="G161" t="str">
        <f>SmtRes!K160</f>
        <v>Экскаваторы на гусеничном ходу гидравлические, объем ковша до 0,5 м3</v>
      </c>
      <c r="H161" t="str">
        <f>SmtRes!O160</f>
        <v>маш.-ч</v>
      </c>
      <c r="I161">
        <f>SmtRes!Y160*Source!I373</f>
        <v>1.1205000000000001</v>
      </c>
      <c r="J161">
        <f>SmtRes!AO160</f>
        <v>1</v>
      </c>
      <c r="K161">
        <f>SmtRes!AF160</f>
        <v>1447.46</v>
      </c>
      <c r="L161">
        <f>SmtRes!DB160</f>
        <v>7208.35</v>
      </c>
      <c r="M161">
        <f>ROUND(ROUND(L161*Source!I373, 2)*1, 2)</f>
        <v>1621.88</v>
      </c>
      <c r="N161">
        <f>SmtRes!AB160</f>
        <v>1447.46</v>
      </c>
      <c r="O161">
        <f>ROUND(ROUND(L161*Source!I373, 2)*SmtRes!DA160, 2)</f>
        <v>1621.88</v>
      </c>
      <c r="P161">
        <f>SmtRes!AG160</f>
        <v>537.96</v>
      </c>
      <c r="Q161">
        <f>SmtRes!DC160</f>
        <v>2679.04</v>
      </c>
      <c r="R161">
        <f>ROUND(ROUND(Q161*Source!I373, 2)*1, 2)</f>
        <v>602.78</v>
      </c>
      <c r="S161">
        <f>SmtRes!AC160</f>
        <v>537.96</v>
      </c>
      <c r="T161">
        <f>ROUND(ROUND(Q161*Source!I373, 2)*SmtRes!AK160, 2)</f>
        <v>602.78</v>
      </c>
      <c r="U161">
        <f>SmtRes!X160</f>
        <v>-1328421855</v>
      </c>
      <c r="V161">
        <v>1165352778</v>
      </c>
      <c r="W161">
        <v>1165352778</v>
      </c>
      <c r="X161">
        <v>2</v>
      </c>
    </row>
    <row r="162" spans="1:24" x14ac:dyDescent="0.2">
      <c r="A162">
        <v>20</v>
      </c>
      <c r="B162">
        <v>159</v>
      </c>
      <c r="C162">
        <v>1</v>
      </c>
      <c r="D162">
        <v>0</v>
      </c>
      <c r="E162">
        <f>SmtRes!AV159</f>
        <v>1</v>
      </c>
      <c r="F162" t="str">
        <f>SmtRes!I159</f>
        <v>9999990008</v>
      </c>
      <c r="G162" t="str">
        <f>SmtRes!K159</f>
        <v>Трудозатраты рабочих</v>
      </c>
      <c r="H162" t="str">
        <f>SmtRes!O159</f>
        <v>чел.-ч.</v>
      </c>
      <c r="I162">
        <f>SmtRes!Y159*Source!I373</f>
        <v>0.35775000000000001</v>
      </c>
      <c r="J162">
        <f>SmtRes!AO159</f>
        <v>1</v>
      </c>
      <c r="K162">
        <f>SmtRes!AH159</f>
        <v>0</v>
      </c>
      <c r="L162">
        <f>SmtRes!DB159</f>
        <v>0</v>
      </c>
      <c r="M162">
        <f>ROUND(ROUND(L162*Source!I373, 2)*1, 2)</f>
        <v>0</v>
      </c>
      <c r="N162">
        <f>SmtRes!AD159</f>
        <v>0</v>
      </c>
      <c r="O162">
        <f>ROUND(ROUND(L162*Source!I373, 2)*SmtRes!DA159, 2)</f>
        <v>0</v>
      </c>
      <c r="P162">
        <f>SmtRes!AG159</f>
        <v>0</v>
      </c>
      <c r="Q162">
        <f>SmtRes!DC159</f>
        <v>0</v>
      </c>
      <c r="R162">
        <f>ROUND(ROUND(Q162*Source!I373, 2)*1, 2)</f>
        <v>0</v>
      </c>
      <c r="S162">
        <f>SmtRes!AC159</f>
        <v>0</v>
      </c>
      <c r="T162">
        <f>ROUND(ROUND(Q162*Source!I373, 2)*SmtRes!AK159, 2)</f>
        <v>0</v>
      </c>
      <c r="U162">
        <f>SmtRes!X159</f>
        <v>476480486</v>
      </c>
      <c r="V162">
        <v>1286141856</v>
      </c>
      <c r="W162">
        <v>1286141856</v>
      </c>
      <c r="X162">
        <v>1</v>
      </c>
    </row>
    <row r="163" spans="1:24" x14ac:dyDescent="0.2">
      <c r="A163">
        <v>20</v>
      </c>
      <c r="B163">
        <v>162</v>
      </c>
      <c r="C163">
        <v>1</v>
      </c>
      <c r="D163">
        <v>0</v>
      </c>
      <c r="E163">
        <f>SmtRes!AV162</f>
        <v>1</v>
      </c>
      <c r="F163" t="str">
        <f>SmtRes!I162</f>
        <v>9999990008</v>
      </c>
      <c r="G163" t="str">
        <f>SmtRes!K162</f>
        <v>Трудозатраты рабочих</v>
      </c>
      <c r="H163" t="str">
        <f>SmtRes!O162</f>
        <v>чел.-ч.</v>
      </c>
      <c r="I163">
        <f>SmtRes!Y162*Source!I374</f>
        <v>2.0750000000000002</v>
      </c>
      <c r="J163">
        <f>SmtRes!AO162</f>
        <v>1</v>
      </c>
      <c r="K163">
        <f>SmtRes!AH162</f>
        <v>0</v>
      </c>
      <c r="L163">
        <f>SmtRes!DB162</f>
        <v>0</v>
      </c>
      <c r="M163">
        <f>ROUND(ROUND(L163*Source!I374, 2)*1, 2)</f>
        <v>0</v>
      </c>
      <c r="N163">
        <f>SmtRes!AD162</f>
        <v>0</v>
      </c>
      <c r="O163">
        <f>ROUND(ROUND(L163*Source!I374, 2)*SmtRes!DA162, 2)</f>
        <v>0</v>
      </c>
      <c r="P163">
        <f>SmtRes!AG162</f>
        <v>0</v>
      </c>
      <c r="Q163">
        <f>SmtRes!DC162</f>
        <v>0</v>
      </c>
      <c r="R163">
        <f>ROUND(ROUND(Q163*Source!I374, 2)*1, 2)</f>
        <v>0</v>
      </c>
      <c r="S163">
        <f>SmtRes!AC162</f>
        <v>0</v>
      </c>
      <c r="T163">
        <f>ROUND(ROUND(Q163*Source!I374, 2)*SmtRes!AK162, 2)</f>
        <v>0</v>
      </c>
      <c r="U163">
        <f>SmtRes!X162</f>
        <v>476480486</v>
      </c>
      <c r="V163">
        <v>1286141856</v>
      </c>
      <c r="W163">
        <v>1286141856</v>
      </c>
      <c r="X163">
        <v>1</v>
      </c>
    </row>
    <row r="164" spans="1:24" x14ac:dyDescent="0.2">
      <c r="A164">
        <v>20</v>
      </c>
      <c r="B164">
        <v>163</v>
      </c>
      <c r="C164">
        <v>2</v>
      </c>
      <c r="D164">
        <v>0</v>
      </c>
      <c r="E164">
        <f>SmtRes!AV163</f>
        <v>0</v>
      </c>
      <c r="F164" t="str">
        <f>SmtRes!I163</f>
        <v>22.1-18-13</v>
      </c>
      <c r="G164" t="str">
        <f>SmtRes!K163</f>
        <v>Автомобили-самосвалы, грузоподъемность до 10 т</v>
      </c>
      <c r="H164" t="str">
        <f>SmtRes!O163</f>
        <v>маш.-ч</v>
      </c>
      <c r="I164">
        <f>SmtRes!Y163*Source!I375</f>
        <v>3.1</v>
      </c>
      <c r="J164">
        <f>SmtRes!AO163</f>
        <v>1</v>
      </c>
      <c r="K164">
        <f>SmtRes!AF163</f>
        <v>993.6</v>
      </c>
      <c r="L164">
        <f>SmtRes!DB163</f>
        <v>30.8</v>
      </c>
      <c r="M164">
        <f>ROUND(ROUND(L164*Source!I375, 2)*1, 2)</f>
        <v>3080</v>
      </c>
      <c r="N164">
        <f>SmtRes!AB163</f>
        <v>993.6</v>
      </c>
      <c r="O164">
        <f>ROUND(ROUND(L164*Source!I375, 2)*SmtRes!DA163, 2)</f>
        <v>3080</v>
      </c>
      <c r="P164">
        <f>SmtRes!AG163</f>
        <v>301.8</v>
      </c>
      <c r="Q164">
        <f>SmtRes!DC163</f>
        <v>9.36</v>
      </c>
      <c r="R164">
        <f>ROUND(ROUND(Q164*Source!I375, 2)*1, 2)</f>
        <v>936</v>
      </c>
      <c r="S164">
        <f>SmtRes!AC163</f>
        <v>301.8</v>
      </c>
      <c r="T164">
        <f>ROUND(ROUND(Q164*Source!I375, 2)*SmtRes!AK163, 2)</f>
        <v>936</v>
      </c>
      <c r="U164">
        <f>SmtRes!X163</f>
        <v>2034648272</v>
      </c>
      <c r="V164">
        <v>-1862155798</v>
      </c>
      <c r="W164">
        <v>-1862155798</v>
      </c>
      <c r="X164">
        <v>2</v>
      </c>
    </row>
    <row r="165" spans="1:24" x14ac:dyDescent="0.2">
      <c r="A165">
        <v>20</v>
      </c>
      <c r="B165">
        <v>164</v>
      </c>
      <c r="C165">
        <v>2</v>
      </c>
      <c r="D165">
        <v>0</v>
      </c>
      <c r="E165">
        <f>SmtRes!AV164</f>
        <v>0</v>
      </c>
      <c r="F165" t="str">
        <f>SmtRes!I164</f>
        <v>22.1-18-13</v>
      </c>
      <c r="G165" t="str">
        <f>SmtRes!K164</f>
        <v>Автомобили-самосвалы, грузоподъемность до 10 т</v>
      </c>
      <c r="H165" t="str">
        <f>SmtRes!O164</f>
        <v>маш.-ч</v>
      </c>
      <c r="I165">
        <f>SmtRes!Y164*Source!I376</f>
        <v>53</v>
      </c>
      <c r="J165">
        <f>SmtRes!AO164</f>
        <v>1</v>
      </c>
      <c r="K165">
        <f>SmtRes!AF164</f>
        <v>993.6</v>
      </c>
      <c r="L165">
        <f>SmtRes!DB164</f>
        <v>526.82000000000005</v>
      </c>
      <c r="M165">
        <f>ROUND(ROUND(L165*Source!I376, 2)*1, 2)</f>
        <v>52682</v>
      </c>
      <c r="N165">
        <f>SmtRes!AB164</f>
        <v>993.6</v>
      </c>
      <c r="O165">
        <f>ROUND(ROUND(L165*Source!I376, 2)*SmtRes!DA164, 2)</f>
        <v>52682</v>
      </c>
      <c r="P165">
        <f>SmtRes!AG164</f>
        <v>301.8</v>
      </c>
      <c r="Q165">
        <f>SmtRes!DC164</f>
        <v>160.06</v>
      </c>
      <c r="R165">
        <f>ROUND(ROUND(Q165*Source!I376, 2)*1, 2)</f>
        <v>16006</v>
      </c>
      <c r="S165">
        <f>SmtRes!AC164</f>
        <v>301.8</v>
      </c>
      <c r="T165">
        <f>ROUND(ROUND(Q165*Source!I376, 2)*SmtRes!AK164, 2)</f>
        <v>16006</v>
      </c>
      <c r="U165">
        <f>SmtRes!X164</f>
        <v>2034648272</v>
      </c>
      <c r="V165">
        <v>-1862155798</v>
      </c>
      <c r="W165">
        <v>-1862155798</v>
      </c>
      <c r="X165">
        <v>2</v>
      </c>
    </row>
    <row r="166" spans="1:24" x14ac:dyDescent="0.2">
      <c r="A166">
        <f>Source!A377</f>
        <v>17</v>
      </c>
      <c r="B166">
        <v>377</v>
      </c>
      <c r="C166">
        <v>3</v>
      </c>
      <c r="D166">
        <f>Source!BI377</f>
        <v>4</v>
      </c>
      <c r="E166">
        <f>Source!FS377</f>
        <v>0</v>
      </c>
      <c r="F166" t="str">
        <f>Source!F377</f>
        <v>21.25-0-2</v>
      </c>
      <c r="G166" t="str">
        <f>Source!G377</f>
        <v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v>
      </c>
      <c r="H166" t="str">
        <f>Source!H377</f>
        <v>т</v>
      </c>
      <c r="I166">
        <f>Source!I377</f>
        <v>140</v>
      </c>
      <c r="J166">
        <v>1</v>
      </c>
      <c r="K166">
        <f>Source!AC377</f>
        <v>153.63999999999999</v>
      </c>
      <c r="M166">
        <f>ROUND(K166*I166, 2)</f>
        <v>21509.599999999999</v>
      </c>
      <c r="N166">
        <f>Source!AC377*IF(Source!BC377&lt;&gt; 0, Source!BC377, 1)</f>
        <v>153.63999999999999</v>
      </c>
      <c r="O166">
        <f>ROUND(N166*I166, 2)</f>
        <v>21509.599999999999</v>
      </c>
      <c r="P166">
        <f>Source!AE377</f>
        <v>0</v>
      </c>
      <c r="R166">
        <f>ROUND(P166*I166, 2)</f>
        <v>0</v>
      </c>
      <c r="S166">
        <f>Source!AE377*IF(Source!BS377&lt;&gt; 0, Source!BS377, 1)</f>
        <v>0</v>
      </c>
      <c r="T166">
        <f>ROUND(S166*I166, 2)</f>
        <v>0</v>
      </c>
      <c r="U166">
        <f>Source!GF377</f>
        <v>1377633297</v>
      </c>
      <c r="V166">
        <v>-160041233</v>
      </c>
      <c r="W166">
        <v>-160041233</v>
      </c>
      <c r="X166">
        <v>3</v>
      </c>
    </row>
    <row r="167" spans="1:24" x14ac:dyDescent="0.2">
      <c r="A167">
        <v>20</v>
      </c>
      <c r="B167">
        <v>168</v>
      </c>
      <c r="C167">
        <v>3</v>
      </c>
      <c r="D167">
        <v>0</v>
      </c>
      <c r="E167">
        <f>SmtRes!AV168</f>
        <v>0</v>
      </c>
      <c r="F167" t="str">
        <f>SmtRes!I168</f>
        <v>21.4-6-5</v>
      </c>
      <c r="G167" t="str">
        <f>SmtRes!K168</f>
        <v>Земля растительная</v>
      </c>
      <c r="H167" t="str">
        <f>SmtRes!O168</f>
        <v>м3</v>
      </c>
      <c r="I167">
        <f>SmtRes!Y168*Source!I378</f>
        <v>112.5</v>
      </c>
      <c r="J167">
        <f>SmtRes!AO168</f>
        <v>1</v>
      </c>
      <c r="K167">
        <f>SmtRes!AE168</f>
        <v>753.67</v>
      </c>
      <c r="L167">
        <f>SmtRes!DB168</f>
        <v>11305.05</v>
      </c>
      <c r="M167">
        <f>ROUND(ROUND(L167*Source!I378, 2)*1, 2)</f>
        <v>84787.88</v>
      </c>
      <c r="N167">
        <f>SmtRes!AA168</f>
        <v>753.67</v>
      </c>
      <c r="O167">
        <f>ROUND(ROUND(L167*Source!I378, 2)*SmtRes!DA168, 2)</f>
        <v>84787.88</v>
      </c>
      <c r="P167">
        <f>SmtRes!AG168</f>
        <v>0</v>
      </c>
      <c r="Q167">
        <f>SmtRes!DC168</f>
        <v>0</v>
      </c>
      <c r="R167">
        <f>ROUND(ROUND(Q167*Source!I378, 2)*1, 2)</f>
        <v>0</v>
      </c>
      <c r="S167">
        <f>SmtRes!AC168</f>
        <v>0</v>
      </c>
      <c r="T167">
        <f>ROUND(ROUND(Q167*Source!I378, 2)*SmtRes!AK168, 2)</f>
        <v>0</v>
      </c>
      <c r="U167">
        <f>SmtRes!X168</f>
        <v>1033672592</v>
      </c>
      <c r="V167">
        <v>-1934814292</v>
      </c>
      <c r="W167">
        <v>-1934814292</v>
      </c>
      <c r="X167">
        <v>3</v>
      </c>
    </row>
    <row r="168" spans="1:24" x14ac:dyDescent="0.2">
      <c r="A168">
        <v>20</v>
      </c>
      <c r="B168">
        <v>167</v>
      </c>
      <c r="C168">
        <v>2</v>
      </c>
      <c r="D168">
        <v>0</v>
      </c>
      <c r="E168">
        <f>SmtRes!AV167</f>
        <v>0</v>
      </c>
      <c r="F168" t="str">
        <f>SmtRes!I167</f>
        <v>22.1-2-7</v>
      </c>
      <c r="G168" t="str">
        <f>SmtRes!K167</f>
        <v>Тракторы на пневмоколесном ходу, мощность до 60 (81) кВт (л.с.)</v>
      </c>
      <c r="H168" t="str">
        <f>SmtRes!O167</f>
        <v>маш.-ч</v>
      </c>
      <c r="I168">
        <f>SmtRes!Y167*Source!I378</f>
        <v>0.44999999999999996</v>
      </c>
      <c r="J168">
        <f>SmtRes!AO167</f>
        <v>1</v>
      </c>
      <c r="K168">
        <f>SmtRes!AF167</f>
        <v>857.8</v>
      </c>
      <c r="L168">
        <f>SmtRes!DB167</f>
        <v>51.47</v>
      </c>
      <c r="M168">
        <f>ROUND(ROUND(L168*Source!I378, 2)*1, 2)</f>
        <v>386.03</v>
      </c>
      <c r="N168">
        <f>SmtRes!AB167</f>
        <v>857.8</v>
      </c>
      <c r="O168">
        <f>ROUND(ROUND(L168*Source!I378, 2)*SmtRes!DA167, 2)</f>
        <v>386.03</v>
      </c>
      <c r="P168">
        <f>SmtRes!AG167</f>
        <v>417.21</v>
      </c>
      <c r="Q168">
        <f>SmtRes!DC167</f>
        <v>25.03</v>
      </c>
      <c r="R168">
        <f>ROUND(ROUND(Q168*Source!I378, 2)*1, 2)</f>
        <v>187.73</v>
      </c>
      <c r="S168">
        <f>SmtRes!AC167</f>
        <v>417.21</v>
      </c>
      <c r="T168">
        <f>ROUND(ROUND(Q168*Source!I378, 2)*SmtRes!AK167, 2)</f>
        <v>187.73</v>
      </c>
      <c r="U168">
        <f>SmtRes!X167</f>
        <v>-1558511141</v>
      </c>
      <c r="V168">
        <v>1149739007</v>
      </c>
      <c r="W168">
        <v>1149739007</v>
      </c>
      <c r="X168">
        <v>2</v>
      </c>
    </row>
    <row r="169" spans="1:24" x14ac:dyDescent="0.2">
      <c r="A169">
        <v>20</v>
      </c>
      <c r="B169">
        <v>166</v>
      </c>
      <c r="C169">
        <v>2</v>
      </c>
      <c r="D169">
        <v>0</v>
      </c>
      <c r="E169">
        <f>SmtRes!AV166</f>
        <v>0</v>
      </c>
      <c r="F169" t="str">
        <f>SmtRes!I166</f>
        <v>22.1-17-39</v>
      </c>
      <c r="G169" t="str">
        <f>SmtRes!K166</f>
        <v>Плуги выкопочные (без трактора)</v>
      </c>
      <c r="H169" t="str">
        <f>SmtRes!O166</f>
        <v>маш.-ч</v>
      </c>
      <c r="I169">
        <f>SmtRes!Y166*Source!I378</f>
        <v>0.44999999999999996</v>
      </c>
      <c r="J169">
        <f>SmtRes!AO166</f>
        <v>1</v>
      </c>
      <c r="K169">
        <f>SmtRes!AF166</f>
        <v>20.03</v>
      </c>
      <c r="L169">
        <f>SmtRes!DB166</f>
        <v>1.2</v>
      </c>
      <c r="M169">
        <f>ROUND(ROUND(L169*Source!I378, 2)*1, 2)</f>
        <v>9</v>
      </c>
      <c r="N169">
        <f>SmtRes!AB166</f>
        <v>20.03</v>
      </c>
      <c r="O169">
        <f>ROUND(ROUND(L169*Source!I378, 2)*SmtRes!DA166, 2)</f>
        <v>9</v>
      </c>
      <c r="P169">
        <f>SmtRes!AG166</f>
        <v>9.27</v>
      </c>
      <c r="Q169">
        <f>SmtRes!DC166</f>
        <v>0.56000000000000005</v>
      </c>
      <c r="R169">
        <f>ROUND(ROUND(Q169*Source!I378, 2)*1, 2)</f>
        <v>4.2</v>
      </c>
      <c r="S169">
        <f>SmtRes!AC166</f>
        <v>9.27</v>
      </c>
      <c r="T169">
        <f>ROUND(ROUND(Q169*Source!I378, 2)*SmtRes!AK166, 2)</f>
        <v>4.2</v>
      </c>
      <c r="U169">
        <f>SmtRes!X166</f>
        <v>426390659</v>
      </c>
      <c r="V169">
        <v>-1072577997</v>
      </c>
      <c r="W169">
        <v>-1072577997</v>
      </c>
      <c r="X169">
        <v>2</v>
      </c>
    </row>
    <row r="170" spans="1:24" x14ac:dyDescent="0.2">
      <c r="A170">
        <v>20</v>
      </c>
      <c r="B170">
        <v>165</v>
      </c>
      <c r="C170">
        <v>1</v>
      </c>
      <c r="D170">
        <v>0</v>
      </c>
      <c r="E170">
        <f>SmtRes!AV165</f>
        <v>1</v>
      </c>
      <c r="F170" t="str">
        <f>SmtRes!I165</f>
        <v>9999990008</v>
      </c>
      <c r="G170" t="str">
        <f>SmtRes!K165</f>
        <v>Трудозатраты рабочих</v>
      </c>
      <c r="H170" t="str">
        <f>SmtRes!O165</f>
        <v>чел.-ч.</v>
      </c>
      <c r="I170">
        <f>SmtRes!Y165*Source!I378</f>
        <v>231</v>
      </c>
      <c r="J170">
        <f>SmtRes!AO165</f>
        <v>1</v>
      </c>
      <c r="K170">
        <f>SmtRes!AH165</f>
        <v>0</v>
      </c>
      <c r="L170">
        <f>SmtRes!DB165</f>
        <v>0</v>
      </c>
      <c r="M170">
        <f>ROUND(ROUND(L170*Source!I378, 2)*1, 2)</f>
        <v>0</v>
      </c>
      <c r="N170">
        <f>SmtRes!AD165</f>
        <v>0</v>
      </c>
      <c r="O170">
        <f>ROUND(ROUND(L170*Source!I378, 2)*SmtRes!DA165, 2)</f>
        <v>0</v>
      </c>
      <c r="P170">
        <f>SmtRes!AG165</f>
        <v>0</v>
      </c>
      <c r="Q170">
        <f>SmtRes!DC165</f>
        <v>0</v>
      </c>
      <c r="R170">
        <f>ROUND(ROUND(Q170*Source!I378, 2)*1, 2)</f>
        <v>0</v>
      </c>
      <c r="S170">
        <f>SmtRes!AC165</f>
        <v>0</v>
      </c>
      <c r="T170">
        <f>ROUND(ROUND(Q170*Source!I378, 2)*SmtRes!AK165, 2)</f>
        <v>0</v>
      </c>
      <c r="U170">
        <f>SmtRes!X165</f>
        <v>476480486</v>
      </c>
      <c r="V170">
        <v>1286141856</v>
      </c>
      <c r="W170">
        <v>1286141856</v>
      </c>
      <c r="X170">
        <v>1</v>
      </c>
    </row>
    <row r="171" spans="1:24" x14ac:dyDescent="0.2">
      <c r="A171">
        <v>20</v>
      </c>
      <c r="B171">
        <v>170</v>
      </c>
      <c r="C171">
        <v>3</v>
      </c>
      <c r="D171">
        <v>0</v>
      </c>
      <c r="E171">
        <f>SmtRes!AV170</f>
        <v>0</v>
      </c>
      <c r="F171" t="str">
        <f>SmtRes!I170</f>
        <v>21.4-6-5</v>
      </c>
      <c r="G171" t="str">
        <f>SmtRes!K170</f>
        <v>Земля растительная</v>
      </c>
      <c r="H171" t="str">
        <f>SmtRes!O170</f>
        <v>м3</v>
      </c>
      <c r="I171">
        <f>SmtRes!Y170*Source!I379</f>
        <v>37.5</v>
      </c>
      <c r="J171">
        <f>SmtRes!AO170</f>
        <v>1</v>
      </c>
      <c r="K171">
        <f>SmtRes!AE170</f>
        <v>753.67</v>
      </c>
      <c r="L171">
        <f>SmtRes!DB170</f>
        <v>11305.05</v>
      </c>
      <c r="M171">
        <f>ROUND(ROUND(L171*Source!I379, 2)*1, 2)</f>
        <v>28262.63</v>
      </c>
      <c r="N171">
        <f>SmtRes!AA170</f>
        <v>753.67</v>
      </c>
      <c r="O171">
        <f>ROUND(ROUND(L171*Source!I379, 2)*SmtRes!DA170, 2)</f>
        <v>28262.63</v>
      </c>
      <c r="P171">
        <f>SmtRes!AG170</f>
        <v>0</v>
      </c>
      <c r="Q171">
        <f>SmtRes!DC170</f>
        <v>0</v>
      </c>
      <c r="R171">
        <f>ROUND(ROUND(Q171*Source!I379, 2)*1, 2)</f>
        <v>0</v>
      </c>
      <c r="S171">
        <f>SmtRes!AC170</f>
        <v>0</v>
      </c>
      <c r="T171">
        <f>ROUND(ROUND(Q171*Source!I379, 2)*SmtRes!AK170, 2)</f>
        <v>0</v>
      </c>
      <c r="U171">
        <f>SmtRes!X170</f>
        <v>1033672592</v>
      </c>
      <c r="V171">
        <v>-1934814292</v>
      </c>
      <c r="W171">
        <v>-1934814292</v>
      </c>
      <c r="X171">
        <v>3</v>
      </c>
    </row>
    <row r="172" spans="1:24" x14ac:dyDescent="0.2">
      <c r="A172">
        <v>20</v>
      </c>
      <c r="B172">
        <v>169</v>
      </c>
      <c r="C172">
        <v>1</v>
      </c>
      <c r="D172">
        <v>0</v>
      </c>
      <c r="E172">
        <f>SmtRes!AV169</f>
        <v>1</v>
      </c>
      <c r="F172" t="str">
        <f>SmtRes!I169</f>
        <v>9999990008</v>
      </c>
      <c r="G172" t="str">
        <f>SmtRes!K169</f>
        <v>Трудозатраты рабочих</v>
      </c>
      <c r="H172" t="str">
        <f>SmtRes!O169</f>
        <v>чел.-ч.</v>
      </c>
      <c r="I172">
        <f>SmtRes!Y169*Source!I379</f>
        <v>115</v>
      </c>
      <c r="J172">
        <f>SmtRes!AO169</f>
        <v>1</v>
      </c>
      <c r="K172">
        <f>SmtRes!AH169</f>
        <v>0</v>
      </c>
      <c r="L172">
        <f>SmtRes!DB169</f>
        <v>0</v>
      </c>
      <c r="M172">
        <f>ROUND(ROUND(L172*Source!I379, 2)*1, 2)</f>
        <v>0</v>
      </c>
      <c r="N172">
        <f>SmtRes!AD169</f>
        <v>0</v>
      </c>
      <c r="O172">
        <f>ROUND(ROUND(L172*Source!I379, 2)*SmtRes!DA169, 2)</f>
        <v>0</v>
      </c>
      <c r="P172">
        <f>SmtRes!AG169</f>
        <v>0</v>
      </c>
      <c r="Q172">
        <f>SmtRes!DC169</f>
        <v>0</v>
      </c>
      <c r="R172">
        <f>ROUND(ROUND(Q172*Source!I379, 2)*1, 2)</f>
        <v>0</v>
      </c>
      <c r="S172">
        <f>SmtRes!AC169</f>
        <v>0</v>
      </c>
      <c r="T172">
        <f>ROUND(ROUND(Q172*Source!I379, 2)*SmtRes!AK169, 2)</f>
        <v>0</v>
      </c>
      <c r="U172">
        <f>SmtRes!X169</f>
        <v>476480486</v>
      </c>
      <c r="V172">
        <v>1286141856</v>
      </c>
      <c r="W172">
        <v>1286141856</v>
      </c>
      <c r="X172">
        <v>1</v>
      </c>
    </row>
    <row r="173" spans="1:24" x14ac:dyDescent="0.2">
      <c r="A173">
        <v>20</v>
      </c>
      <c r="B173">
        <v>172</v>
      </c>
      <c r="C173">
        <v>3</v>
      </c>
      <c r="D173">
        <v>0</v>
      </c>
      <c r="E173">
        <f>SmtRes!AV172</f>
        <v>0</v>
      </c>
      <c r="F173" t="str">
        <f>SmtRes!I172</f>
        <v>21.4-6-5</v>
      </c>
      <c r="G173" t="str">
        <f>SmtRes!K172</f>
        <v>Земля растительная</v>
      </c>
      <c r="H173" t="str">
        <f>SmtRes!O172</f>
        <v>м3</v>
      </c>
      <c r="I173">
        <f>SmtRes!Y172*Source!I380</f>
        <v>-50</v>
      </c>
      <c r="J173">
        <f>SmtRes!AO172</f>
        <v>1</v>
      </c>
      <c r="K173">
        <f>SmtRes!AE172</f>
        <v>753.67</v>
      </c>
      <c r="L173">
        <f>SmtRes!DB172</f>
        <v>-3768.35</v>
      </c>
      <c r="M173">
        <f>ROUND(ROUND(L173*Source!I380, 2)*1, 2)</f>
        <v>-37683.5</v>
      </c>
      <c r="N173">
        <f>SmtRes!AA172</f>
        <v>753.67</v>
      </c>
      <c r="O173">
        <f>ROUND(ROUND(L173*Source!I380, 2)*SmtRes!DA172, 2)</f>
        <v>-37683.5</v>
      </c>
      <c r="P173">
        <f>SmtRes!AG172</f>
        <v>0</v>
      </c>
      <c r="Q173">
        <f>SmtRes!DC172</f>
        <v>0</v>
      </c>
      <c r="R173">
        <f>ROUND(ROUND(Q173*Source!I380, 2)*1, 2)</f>
        <v>0</v>
      </c>
      <c r="S173">
        <f>SmtRes!AC172</f>
        <v>0</v>
      </c>
      <c r="T173">
        <f>ROUND(ROUND(Q173*Source!I380, 2)*SmtRes!AK172, 2)</f>
        <v>0</v>
      </c>
      <c r="U173">
        <f>SmtRes!X172</f>
        <v>1033672592</v>
      </c>
      <c r="V173">
        <v>-1934814292</v>
      </c>
      <c r="W173">
        <v>-1934814292</v>
      </c>
      <c r="X173">
        <v>3</v>
      </c>
    </row>
    <row r="174" spans="1:24" x14ac:dyDescent="0.2">
      <c r="A174">
        <v>20</v>
      </c>
      <c r="B174">
        <v>171</v>
      </c>
      <c r="C174">
        <v>1</v>
      </c>
      <c r="D174">
        <v>0</v>
      </c>
      <c r="E174">
        <f>SmtRes!AV171</f>
        <v>1</v>
      </c>
      <c r="F174" t="str">
        <f>SmtRes!I171</f>
        <v>9999990008</v>
      </c>
      <c r="G174" t="str">
        <f>SmtRes!K171</f>
        <v>Трудозатраты рабочих</v>
      </c>
      <c r="H174" t="str">
        <f>SmtRes!O171</f>
        <v>чел.-ч.</v>
      </c>
      <c r="I174">
        <f>SmtRes!Y171*Source!I380</f>
        <v>-62.9</v>
      </c>
      <c r="J174">
        <f>SmtRes!AO171</f>
        <v>1</v>
      </c>
      <c r="K174">
        <f>SmtRes!AH171</f>
        <v>0</v>
      </c>
      <c r="L174">
        <f>SmtRes!DB171</f>
        <v>0</v>
      </c>
      <c r="M174">
        <f>ROUND(ROUND(L174*Source!I380, 2)*1, 2)</f>
        <v>0</v>
      </c>
      <c r="N174">
        <f>SmtRes!AD171</f>
        <v>0</v>
      </c>
      <c r="O174">
        <f>ROUND(ROUND(L174*Source!I380, 2)*SmtRes!DA171, 2)</f>
        <v>0</v>
      </c>
      <c r="P174">
        <f>SmtRes!AG171</f>
        <v>0</v>
      </c>
      <c r="Q174">
        <f>SmtRes!DC171</f>
        <v>0</v>
      </c>
      <c r="R174">
        <f>ROUND(ROUND(Q174*Source!I380, 2)*1, 2)</f>
        <v>0</v>
      </c>
      <c r="S174">
        <f>SmtRes!AC171</f>
        <v>0</v>
      </c>
      <c r="T174">
        <f>ROUND(ROUND(Q174*Source!I380, 2)*SmtRes!AK171, 2)</f>
        <v>0</v>
      </c>
      <c r="U174">
        <f>SmtRes!X171</f>
        <v>476480486</v>
      </c>
      <c r="V174">
        <v>1286141856</v>
      </c>
      <c r="W174">
        <v>1286141856</v>
      </c>
      <c r="X174">
        <v>1</v>
      </c>
    </row>
    <row r="175" spans="1:24" x14ac:dyDescent="0.2">
      <c r="A175">
        <v>20</v>
      </c>
      <c r="B175">
        <v>175</v>
      </c>
      <c r="C175">
        <v>3</v>
      </c>
      <c r="D175">
        <v>0</v>
      </c>
      <c r="E175">
        <f>SmtRes!AV175</f>
        <v>0</v>
      </c>
      <c r="F175" t="str">
        <f>SmtRes!I175</f>
        <v>21.4-6-3</v>
      </c>
      <c r="G175" t="str">
        <f>SmtRes!K175</f>
        <v>Газон готовый в рулоне, размер рулона: длина 2,0 м, ширина 0,4 м</v>
      </c>
      <c r="H175" t="str">
        <f>SmtRes!O175</f>
        <v>м2</v>
      </c>
      <c r="I175">
        <f>SmtRes!Y175*Source!I381</f>
        <v>1070</v>
      </c>
      <c r="J175">
        <f>SmtRes!AO175</f>
        <v>1</v>
      </c>
      <c r="K175">
        <f>SmtRes!AE175</f>
        <v>131.28</v>
      </c>
      <c r="L175">
        <f>SmtRes!DB175</f>
        <v>14046.96</v>
      </c>
      <c r="M175">
        <f>ROUND(ROUND(L175*Source!I381, 2)*1, 2)</f>
        <v>140469.6</v>
      </c>
      <c r="N175">
        <f>SmtRes!AA175</f>
        <v>131.28</v>
      </c>
      <c r="O175">
        <f>ROUND(ROUND(L175*Source!I381, 2)*SmtRes!DA175, 2)</f>
        <v>140469.6</v>
      </c>
      <c r="P175">
        <f>SmtRes!AG175</f>
        <v>0</v>
      </c>
      <c r="Q175">
        <f>SmtRes!DC175</f>
        <v>0</v>
      </c>
      <c r="R175">
        <f>ROUND(ROUND(Q175*Source!I381, 2)*1, 2)</f>
        <v>0</v>
      </c>
      <c r="S175">
        <f>SmtRes!AC175</f>
        <v>0</v>
      </c>
      <c r="T175">
        <f>ROUND(ROUND(Q175*Source!I381, 2)*SmtRes!AK175, 2)</f>
        <v>0</v>
      </c>
      <c r="U175">
        <f>SmtRes!X175</f>
        <v>955385843</v>
      </c>
      <c r="V175">
        <v>-1313239662</v>
      </c>
      <c r="W175">
        <v>-1313239662</v>
      </c>
      <c r="X175">
        <v>3</v>
      </c>
    </row>
    <row r="176" spans="1:24" x14ac:dyDescent="0.2">
      <c r="A176">
        <v>20</v>
      </c>
      <c r="B176">
        <v>174</v>
      </c>
      <c r="C176">
        <v>3</v>
      </c>
      <c r="D176">
        <v>0</v>
      </c>
      <c r="E176">
        <f>SmtRes!AV174</f>
        <v>0</v>
      </c>
      <c r="F176" t="str">
        <f>SmtRes!I174</f>
        <v>21.1-9-39</v>
      </c>
      <c r="G176" t="str">
        <f>SmtRes!K174</f>
        <v>Доски хвойных пород, необрезные, длина 2-6,5 м, сорт III, толщина 13-16 мм</v>
      </c>
      <c r="H176" t="str">
        <f>SmtRes!O174</f>
        <v>м3</v>
      </c>
      <c r="I176">
        <f>SmtRes!Y174*Source!I381</f>
        <v>0.14000000000000001</v>
      </c>
      <c r="J176">
        <f>SmtRes!AO174</f>
        <v>1</v>
      </c>
      <c r="K176">
        <f>SmtRes!AE174</f>
        <v>7084.08</v>
      </c>
      <c r="L176">
        <f>SmtRes!DB174</f>
        <v>99.18</v>
      </c>
      <c r="M176">
        <f>ROUND(ROUND(L176*Source!I381, 2)*1, 2)</f>
        <v>991.8</v>
      </c>
      <c r="N176">
        <f>SmtRes!AA174</f>
        <v>7084.08</v>
      </c>
      <c r="O176">
        <f>ROUND(ROUND(L176*Source!I381, 2)*SmtRes!DA174, 2)</f>
        <v>991.8</v>
      </c>
      <c r="P176">
        <f>SmtRes!AG174</f>
        <v>0</v>
      </c>
      <c r="Q176">
        <f>SmtRes!DC174</f>
        <v>0</v>
      </c>
      <c r="R176">
        <f>ROUND(ROUND(Q176*Source!I381, 2)*1, 2)</f>
        <v>0</v>
      </c>
      <c r="S176">
        <f>SmtRes!AC174</f>
        <v>0</v>
      </c>
      <c r="T176">
        <f>ROUND(ROUND(Q176*Source!I381, 2)*SmtRes!AK174, 2)</f>
        <v>0</v>
      </c>
      <c r="U176">
        <f>SmtRes!X174</f>
        <v>1025671928</v>
      </c>
      <c r="V176">
        <v>1717879634</v>
      </c>
      <c r="W176">
        <v>1717879634</v>
      </c>
      <c r="X176">
        <v>3</v>
      </c>
    </row>
    <row r="177" spans="1:24" x14ac:dyDescent="0.2">
      <c r="A177">
        <v>20</v>
      </c>
      <c r="B177">
        <v>173</v>
      </c>
      <c r="C177">
        <v>1</v>
      </c>
      <c r="D177">
        <v>0</v>
      </c>
      <c r="E177">
        <f>SmtRes!AV173</f>
        <v>1</v>
      </c>
      <c r="F177" t="str">
        <f>SmtRes!I173</f>
        <v>9999990008</v>
      </c>
      <c r="G177" t="str">
        <f>SmtRes!K173</f>
        <v>Трудозатраты рабочих</v>
      </c>
      <c r="H177" t="str">
        <f>SmtRes!O173</f>
        <v>чел.-ч.</v>
      </c>
      <c r="I177">
        <f>SmtRes!Y173*Source!I381</f>
        <v>134.19999999999999</v>
      </c>
      <c r="J177">
        <f>SmtRes!AO173</f>
        <v>1</v>
      </c>
      <c r="K177">
        <f>SmtRes!AH173</f>
        <v>0</v>
      </c>
      <c r="L177">
        <f>SmtRes!DB173</f>
        <v>0</v>
      </c>
      <c r="M177">
        <f>ROUND(ROUND(L177*Source!I381, 2)*1, 2)</f>
        <v>0</v>
      </c>
      <c r="N177">
        <f>SmtRes!AD173</f>
        <v>0</v>
      </c>
      <c r="O177">
        <f>ROUND(ROUND(L177*Source!I381, 2)*SmtRes!DA173, 2)</f>
        <v>0</v>
      </c>
      <c r="P177">
        <f>SmtRes!AG173</f>
        <v>0</v>
      </c>
      <c r="Q177">
        <f>SmtRes!DC173</f>
        <v>0</v>
      </c>
      <c r="R177">
        <f>ROUND(ROUND(Q177*Source!I381, 2)*1, 2)</f>
        <v>0</v>
      </c>
      <c r="S177">
        <f>SmtRes!AC173</f>
        <v>0</v>
      </c>
      <c r="T177">
        <f>ROUND(ROUND(Q177*Source!I381, 2)*SmtRes!AK173, 2)</f>
        <v>0</v>
      </c>
      <c r="U177">
        <f>SmtRes!X173</f>
        <v>476480486</v>
      </c>
      <c r="V177">
        <v>1286141856</v>
      </c>
      <c r="W177">
        <v>1286141856</v>
      </c>
      <c r="X177">
        <v>1</v>
      </c>
    </row>
    <row r="178" spans="1:24" x14ac:dyDescent="0.2">
      <c r="A178">
        <f>Source!A413</f>
        <v>4</v>
      </c>
      <c r="B178">
        <v>413</v>
      </c>
      <c r="G178" t="str">
        <f>Source!G413</f>
        <v>Устройство асфальтобетонного покрытия площадок (828 м2)</v>
      </c>
    </row>
    <row r="179" spans="1:24" x14ac:dyDescent="0.2">
      <c r="A179">
        <v>20</v>
      </c>
      <c r="B179">
        <v>179</v>
      </c>
      <c r="C179">
        <v>3</v>
      </c>
      <c r="D179">
        <v>0</v>
      </c>
      <c r="E179">
        <f>SmtRes!AV179</f>
        <v>0</v>
      </c>
      <c r="F179" t="str">
        <f>SmtRes!I179</f>
        <v>21.1-11-84</v>
      </c>
      <c r="G179" t="str">
        <f>SmtRes!K179</f>
        <v>Поковки строительные (скобы, закрепы, хомуты) простые, масса 1,8 кг</v>
      </c>
      <c r="H179" t="str">
        <f>SmtRes!O179</f>
        <v>т</v>
      </c>
      <c r="I179">
        <f>SmtRes!Y179*Source!I417</f>
        <v>0</v>
      </c>
      <c r="J179">
        <f>SmtRes!AO179</f>
        <v>1</v>
      </c>
      <c r="K179">
        <f>SmtRes!AE179</f>
        <v>43768.57</v>
      </c>
      <c r="L179">
        <f>SmtRes!DB179</f>
        <v>5.69</v>
      </c>
      <c r="M179">
        <f>ROUND(ROUND(L179*Source!I417, 2)*1, 2)</f>
        <v>0</v>
      </c>
      <c r="N179">
        <f>SmtRes!AA179</f>
        <v>43768.57</v>
      </c>
      <c r="O179">
        <f>ROUND(ROUND(L179*Source!I417, 2)*SmtRes!DA179, 2)</f>
        <v>0</v>
      </c>
      <c r="P179">
        <f>SmtRes!AG179</f>
        <v>0</v>
      </c>
      <c r="Q179">
        <f>SmtRes!DC179</f>
        <v>0</v>
      </c>
      <c r="R179">
        <f>ROUND(ROUND(Q179*Source!I417, 2)*1, 2)</f>
        <v>0</v>
      </c>
      <c r="S179">
        <f>SmtRes!AC179</f>
        <v>0</v>
      </c>
      <c r="T179">
        <f>ROUND(ROUND(Q179*Source!I417, 2)*SmtRes!AK179, 2)</f>
        <v>0</v>
      </c>
      <c r="U179">
        <f>SmtRes!X179</f>
        <v>-419735820</v>
      </c>
      <c r="V179">
        <v>343433826</v>
      </c>
      <c r="W179">
        <v>343433826</v>
      </c>
      <c r="X179">
        <v>3</v>
      </c>
    </row>
    <row r="180" spans="1:24" x14ac:dyDescent="0.2">
      <c r="A180">
        <v>20</v>
      </c>
      <c r="B180">
        <v>178</v>
      </c>
      <c r="C180">
        <v>2</v>
      </c>
      <c r="D180">
        <v>0</v>
      </c>
      <c r="E180">
        <f>SmtRes!AV178</f>
        <v>0</v>
      </c>
      <c r="F180" t="str">
        <f>SmtRes!I178</f>
        <v>22.1-5-7</v>
      </c>
      <c r="G180" t="str">
        <f>SmtRes!K178</f>
        <v>Катки дорожные самоходные на пневмоколесном ходу, масса до 16 т</v>
      </c>
      <c r="H180" t="str">
        <f>SmtRes!O178</f>
        <v>маш.-ч</v>
      </c>
      <c r="I180">
        <f>SmtRes!Y178*Source!I417</f>
        <v>0</v>
      </c>
      <c r="J180">
        <f>SmtRes!AO178</f>
        <v>1</v>
      </c>
      <c r="K180">
        <f>SmtRes!AF178</f>
        <v>1179.56</v>
      </c>
      <c r="L180">
        <f>SmtRes!DB178</f>
        <v>1509.84</v>
      </c>
      <c r="M180">
        <f>ROUND(ROUND(L180*Source!I417, 2)*1, 2)</f>
        <v>0</v>
      </c>
      <c r="N180">
        <f>SmtRes!AB178</f>
        <v>1179.56</v>
      </c>
      <c r="O180">
        <f>ROUND(ROUND(L180*Source!I417, 2)*SmtRes!DA178, 2)</f>
        <v>0</v>
      </c>
      <c r="P180">
        <f>SmtRes!AG178</f>
        <v>439.28</v>
      </c>
      <c r="Q180">
        <f>SmtRes!DC178</f>
        <v>562.28</v>
      </c>
      <c r="R180">
        <f>ROUND(ROUND(Q180*Source!I417, 2)*1, 2)</f>
        <v>0</v>
      </c>
      <c r="S180">
        <f>SmtRes!AC178</f>
        <v>439.28</v>
      </c>
      <c r="T180">
        <f>ROUND(ROUND(Q180*Source!I417, 2)*SmtRes!AK178, 2)</f>
        <v>0</v>
      </c>
      <c r="U180">
        <f>SmtRes!X178</f>
        <v>-421159572</v>
      </c>
      <c r="V180">
        <v>-1264291469</v>
      </c>
      <c r="W180">
        <v>-1264291469</v>
      </c>
      <c r="X180">
        <v>2</v>
      </c>
    </row>
    <row r="181" spans="1:24" x14ac:dyDescent="0.2">
      <c r="A181">
        <v>20</v>
      </c>
      <c r="B181">
        <v>177</v>
      </c>
      <c r="C181">
        <v>2</v>
      </c>
      <c r="D181">
        <v>0</v>
      </c>
      <c r="E181">
        <f>SmtRes!AV177</f>
        <v>0</v>
      </c>
      <c r="F181" t="str">
        <f>SmtRes!I177</f>
        <v>22.1-1-44</v>
      </c>
      <c r="G181" t="str">
        <f>SmtRes!K177</f>
        <v>Бульдозеры гусеничные, мощность до 79 кВт (108 л.с.)</v>
      </c>
      <c r="H181" t="str">
        <f>SmtRes!O177</f>
        <v>маш.-ч</v>
      </c>
      <c r="I181">
        <f>SmtRes!Y177*Source!I417</f>
        <v>0</v>
      </c>
      <c r="J181">
        <f>SmtRes!AO177</f>
        <v>1</v>
      </c>
      <c r="K181">
        <f>SmtRes!AF177</f>
        <v>1035.49</v>
      </c>
      <c r="L181">
        <f>SmtRes!DB177</f>
        <v>3261.79</v>
      </c>
      <c r="M181">
        <f>ROUND(ROUND(L181*Source!I417, 2)*1, 2)</f>
        <v>0</v>
      </c>
      <c r="N181">
        <f>SmtRes!AB177</f>
        <v>1035.49</v>
      </c>
      <c r="O181">
        <f>ROUND(ROUND(L181*Source!I417, 2)*SmtRes!DA177, 2)</f>
        <v>0</v>
      </c>
      <c r="P181">
        <f>SmtRes!AG177</f>
        <v>465.1</v>
      </c>
      <c r="Q181">
        <f>SmtRes!DC177</f>
        <v>1465.07</v>
      </c>
      <c r="R181">
        <f>ROUND(ROUND(Q181*Source!I417, 2)*1, 2)</f>
        <v>0</v>
      </c>
      <c r="S181">
        <f>SmtRes!AC177</f>
        <v>465.1</v>
      </c>
      <c r="T181">
        <f>ROUND(ROUND(Q181*Source!I417, 2)*SmtRes!AK177, 2)</f>
        <v>0</v>
      </c>
      <c r="U181">
        <f>SmtRes!X177</f>
        <v>1937034001</v>
      </c>
      <c r="V181">
        <v>2061447248</v>
      </c>
      <c r="W181">
        <v>2061447248</v>
      </c>
      <c r="X181">
        <v>2</v>
      </c>
    </row>
    <row r="182" spans="1:24" x14ac:dyDescent="0.2">
      <c r="A182">
        <v>20</v>
      </c>
      <c r="B182">
        <v>176</v>
      </c>
      <c r="C182">
        <v>1</v>
      </c>
      <c r="D182">
        <v>0</v>
      </c>
      <c r="E182">
        <f>SmtRes!AV176</f>
        <v>1</v>
      </c>
      <c r="F182" t="str">
        <f>SmtRes!I176</f>
        <v>9999990008</v>
      </c>
      <c r="G182" t="str">
        <f>SmtRes!K176</f>
        <v>Трудозатраты рабочих</v>
      </c>
      <c r="H182" t="str">
        <f>SmtRes!O176</f>
        <v>чел.-ч.</v>
      </c>
      <c r="I182">
        <f>SmtRes!Y176*Source!I417</f>
        <v>0</v>
      </c>
      <c r="J182">
        <f>SmtRes!AO176</f>
        <v>1</v>
      </c>
      <c r="K182">
        <f>SmtRes!AH176</f>
        <v>0</v>
      </c>
      <c r="L182">
        <f>SmtRes!DB176</f>
        <v>0</v>
      </c>
      <c r="M182">
        <f>ROUND(ROUND(L182*Source!I417, 2)*1, 2)</f>
        <v>0</v>
      </c>
      <c r="N182">
        <f>SmtRes!AD176</f>
        <v>0</v>
      </c>
      <c r="O182">
        <f>ROUND(ROUND(L182*Source!I417, 2)*SmtRes!DA176, 2)</f>
        <v>0</v>
      </c>
      <c r="P182">
        <f>SmtRes!AG176</f>
        <v>0</v>
      </c>
      <c r="Q182">
        <f>SmtRes!DC176</f>
        <v>0</v>
      </c>
      <c r="R182">
        <f>ROUND(ROUND(Q182*Source!I417, 2)*1, 2)</f>
        <v>0</v>
      </c>
      <c r="S182">
        <f>SmtRes!AC176</f>
        <v>0</v>
      </c>
      <c r="T182">
        <f>ROUND(ROUND(Q182*Source!I417, 2)*SmtRes!AK176, 2)</f>
        <v>0</v>
      </c>
      <c r="U182">
        <f>SmtRes!X176</f>
        <v>476480486</v>
      </c>
      <c r="V182">
        <v>1286141856</v>
      </c>
      <c r="W182">
        <v>1286141856</v>
      </c>
      <c r="X182">
        <v>1</v>
      </c>
    </row>
    <row r="183" spans="1:24" x14ac:dyDescent="0.2">
      <c r="A183">
        <f>Source!A418</f>
        <v>18</v>
      </c>
      <c r="B183">
        <v>418</v>
      </c>
      <c r="C183">
        <v>3</v>
      </c>
      <c r="D183">
        <f>Source!BI418</f>
        <v>4</v>
      </c>
      <c r="E183">
        <f>Source!FS418</f>
        <v>0</v>
      </c>
      <c r="F183" t="str">
        <f>Source!F418</f>
        <v>21.1-25-673</v>
      </c>
      <c r="G183" t="str">
        <f>Source!G418</f>
        <v>Полотно иглопробивное для дорожного строительства, марка "КМ2" (Дорнит-2), ширина полотна 2,45 м</v>
      </c>
      <c r="H183" t="str">
        <f>Source!H418</f>
        <v>м2</v>
      </c>
      <c r="I183">
        <f>Source!I418</f>
        <v>0</v>
      </c>
      <c r="J183">
        <v>1</v>
      </c>
      <c r="K183">
        <f>Source!AC418</f>
        <v>59.26</v>
      </c>
      <c r="M183">
        <f>ROUND(K183*I183, 2)</f>
        <v>0</v>
      </c>
      <c r="N183">
        <f>Source!AC418*IF(Source!BC418&lt;&gt; 0, Source!BC418, 1)</f>
        <v>59.26</v>
      </c>
      <c r="O183">
        <f>ROUND(N183*I183, 2)</f>
        <v>0</v>
      </c>
      <c r="P183">
        <f>Source!AE418</f>
        <v>0</v>
      </c>
      <c r="R183">
        <f>ROUND(P183*I183, 2)</f>
        <v>0</v>
      </c>
      <c r="S183">
        <f>Source!AE418*IF(Source!BS418&lt;&gt; 0, Source!BS418, 1)</f>
        <v>0</v>
      </c>
      <c r="T183">
        <f>ROUND(S183*I183, 2)</f>
        <v>0</v>
      </c>
      <c r="U183">
        <f>Source!GF418</f>
        <v>1538991037</v>
      </c>
      <c r="V183">
        <v>-135823129</v>
      </c>
      <c r="W183">
        <v>-135823129</v>
      </c>
      <c r="X183">
        <v>3</v>
      </c>
    </row>
    <row r="184" spans="1:24" x14ac:dyDescent="0.2">
      <c r="A184">
        <v>20</v>
      </c>
      <c r="B184">
        <v>188</v>
      </c>
      <c r="C184">
        <v>3</v>
      </c>
      <c r="D184">
        <v>0</v>
      </c>
      <c r="E184">
        <f>SmtRes!AV188</f>
        <v>0</v>
      </c>
      <c r="F184" t="str">
        <f>SmtRes!I188</f>
        <v>21.1-25-13</v>
      </c>
      <c r="G184" t="str">
        <f>SmtRes!K188</f>
        <v>Вода</v>
      </c>
      <c r="H184" t="str">
        <f>SmtRes!O188</f>
        <v>м3</v>
      </c>
      <c r="I184">
        <f>SmtRes!Y188*Source!I419</f>
        <v>6.21</v>
      </c>
      <c r="J184">
        <f>SmtRes!AO188</f>
        <v>1</v>
      </c>
      <c r="K184">
        <f>SmtRes!AE188</f>
        <v>33.729999999999997</v>
      </c>
      <c r="L184">
        <f>SmtRes!DB188</f>
        <v>168.65</v>
      </c>
      <c r="M184">
        <f>ROUND(ROUND(L184*Source!I419, 2)*1, 2)</f>
        <v>209.46</v>
      </c>
      <c r="N184">
        <f>SmtRes!AA188</f>
        <v>33.729999999999997</v>
      </c>
      <c r="O184">
        <f>ROUND(ROUND(L184*Source!I419, 2)*SmtRes!DA188, 2)</f>
        <v>209.46</v>
      </c>
      <c r="P184">
        <f>SmtRes!AG188</f>
        <v>0</v>
      </c>
      <c r="Q184">
        <f>SmtRes!DC188</f>
        <v>0</v>
      </c>
      <c r="R184">
        <f>ROUND(ROUND(Q184*Source!I419, 2)*1, 2)</f>
        <v>0</v>
      </c>
      <c r="S184">
        <f>SmtRes!AC188</f>
        <v>0</v>
      </c>
      <c r="T184">
        <f>ROUND(ROUND(Q184*Source!I419, 2)*SmtRes!AK188, 2)</f>
        <v>0</v>
      </c>
      <c r="U184">
        <f>SmtRes!X188</f>
        <v>1964795396</v>
      </c>
      <c r="V184">
        <v>711765246</v>
      </c>
      <c r="W184">
        <v>711765246</v>
      </c>
      <c r="X184">
        <v>3</v>
      </c>
    </row>
    <row r="185" spans="1:24" x14ac:dyDescent="0.2">
      <c r="A185">
        <v>20</v>
      </c>
      <c r="B185">
        <v>187</v>
      </c>
      <c r="C185">
        <v>3</v>
      </c>
      <c r="D185">
        <v>0</v>
      </c>
      <c r="E185">
        <f>SmtRes!AV187</f>
        <v>0</v>
      </c>
      <c r="F185" t="str">
        <f>SmtRes!I187</f>
        <v>21.1-12-10</v>
      </c>
      <c r="G185" t="str">
        <f>SmtRes!K187</f>
        <v>Песок для дорожных работ, рядовой</v>
      </c>
      <c r="H185" t="str">
        <f>SmtRes!O187</f>
        <v>м3</v>
      </c>
      <c r="I185">
        <f>SmtRes!Y187*Source!I419</f>
        <v>136.62</v>
      </c>
      <c r="J185">
        <f>SmtRes!AO187</f>
        <v>1</v>
      </c>
      <c r="K185">
        <f>SmtRes!AE187</f>
        <v>590.78</v>
      </c>
      <c r="L185">
        <f>SmtRes!DB187</f>
        <v>64985.8</v>
      </c>
      <c r="M185">
        <f>ROUND(ROUND(L185*Source!I419, 2)*1, 2)</f>
        <v>80712.36</v>
      </c>
      <c r="N185">
        <f>SmtRes!AA187</f>
        <v>590.78</v>
      </c>
      <c r="O185">
        <f>ROUND(ROUND(L185*Source!I419, 2)*SmtRes!DA187, 2)</f>
        <v>80712.36</v>
      </c>
      <c r="P185">
        <f>SmtRes!AG187</f>
        <v>0</v>
      </c>
      <c r="Q185">
        <f>SmtRes!DC187</f>
        <v>0</v>
      </c>
      <c r="R185">
        <f>ROUND(ROUND(Q185*Source!I419, 2)*1, 2)</f>
        <v>0</v>
      </c>
      <c r="S185">
        <f>SmtRes!AC187</f>
        <v>0</v>
      </c>
      <c r="T185">
        <f>ROUND(ROUND(Q185*Source!I419, 2)*SmtRes!AK187, 2)</f>
        <v>0</v>
      </c>
      <c r="U185">
        <f>SmtRes!X187</f>
        <v>-774262015</v>
      </c>
      <c r="V185">
        <v>-48580621</v>
      </c>
      <c r="W185">
        <v>-48580621</v>
      </c>
      <c r="X185">
        <v>3</v>
      </c>
    </row>
    <row r="186" spans="1:24" x14ac:dyDescent="0.2">
      <c r="A186">
        <v>20</v>
      </c>
      <c r="B186">
        <v>186</v>
      </c>
      <c r="C186">
        <v>2</v>
      </c>
      <c r="D186">
        <v>0</v>
      </c>
      <c r="E186">
        <f>SmtRes!AV186</f>
        <v>0</v>
      </c>
      <c r="F186" t="str">
        <f>SmtRes!I186</f>
        <v>22.1-5-7</v>
      </c>
      <c r="G186" t="str">
        <f>SmtRes!K186</f>
        <v>Катки дорожные самоходные на пневмоколесном ходу, масса до 16 т</v>
      </c>
      <c r="H186" t="str">
        <f>SmtRes!O186</f>
        <v>маш.-ч</v>
      </c>
      <c r="I186">
        <f>SmtRes!Y186*Source!I419</f>
        <v>0.80730000000000002</v>
      </c>
      <c r="J186">
        <f>SmtRes!AO186</f>
        <v>1</v>
      </c>
      <c r="K186">
        <f>SmtRes!AF186</f>
        <v>1179.56</v>
      </c>
      <c r="L186">
        <f>SmtRes!DB186</f>
        <v>766.71</v>
      </c>
      <c r="M186">
        <f>ROUND(ROUND(L186*Source!I419, 2)*1, 2)</f>
        <v>952.25</v>
      </c>
      <c r="N186">
        <f>SmtRes!AB186</f>
        <v>1179.56</v>
      </c>
      <c r="O186">
        <f>ROUND(ROUND(L186*Source!I419, 2)*SmtRes!DA186, 2)</f>
        <v>952.25</v>
      </c>
      <c r="P186">
        <f>SmtRes!AG186</f>
        <v>439.28</v>
      </c>
      <c r="Q186">
        <f>SmtRes!DC186</f>
        <v>285.52999999999997</v>
      </c>
      <c r="R186">
        <f>ROUND(ROUND(Q186*Source!I419, 2)*1, 2)</f>
        <v>354.63</v>
      </c>
      <c r="S186">
        <f>SmtRes!AC186</f>
        <v>439.28</v>
      </c>
      <c r="T186">
        <f>ROUND(ROUND(Q186*Source!I419, 2)*SmtRes!AK186, 2)</f>
        <v>354.63</v>
      </c>
      <c r="U186">
        <f>SmtRes!X186</f>
        <v>-421159572</v>
      </c>
      <c r="V186">
        <v>-1264291469</v>
      </c>
      <c r="W186">
        <v>-1264291469</v>
      </c>
      <c r="X186">
        <v>2</v>
      </c>
    </row>
    <row r="187" spans="1:24" x14ac:dyDescent="0.2">
      <c r="A187">
        <v>20</v>
      </c>
      <c r="B187">
        <v>185</v>
      </c>
      <c r="C187">
        <v>2</v>
      </c>
      <c r="D187">
        <v>0</v>
      </c>
      <c r="E187">
        <f>SmtRes!AV185</f>
        <v>0</v>
      </c>
      <c r="F187" t="str">
        <f>SmtRes!I185</f>
        <v>22.1-5-48</v>
      </c>
      <c r="G187" t="str">
        <f>SmtRes!K185</f>
        <v>Автогрейдеры, мощность 99-147 кВт (130-200 л.с.)</v>
      </c>
      <c r="H187" t="str">
        <f>SmtRes!O185</f>
        <v>маш.-ч</v>
      </c>
      <c r="I187">
        <f>SmtRes!Y185*Source!I419</f>
        <v>2.4094799999999998</v>
      </c>
      <c r="J187">
        <f>SmtRes!AO185</f>
        <v>1</v>
      </c>
      <c r="K187">
        <f>SmtRes!AF185</f>
        <v>1364.77</v>
      </c>
      <c r="L187">
        <f>SmtRes!DB185</f>
        <v>2647.65</v>
      </c>
      <c r="M187">
        <f>ROUND(ROUND(L187*Source!I419, 2)*1, 2)</f>
        <v>3288.38</v>
      </c>
      <c r="N187">
        <f>SmtRes!AB185</f>
        <v>1364.77</v>
      </c>
      <c r="O187">
        <f>ROUND(ROUND(L187*Source!I419, 2)*SmtRes!DA185, 2)</f>
        <v>3288.38</v>
      </c>
      <c r="P187">
        <f>SmtRes!AG185</f>
        <v>610.30999999999995</v>
      </c>
      <c r="Q187">
        <f>SmtRes!DC185</f>
        <v>1184</v>
      </c>
      <c r="R187">
        <f>ROUND(ROUND(Q187*Source!I419, 2)*1, 2)</f>
        <v>1470.53</v>
      </c>
      <c r="S187">
        <f>SmtRes!AC185</f>
        <v>610.30999999999995</v>
      </c>
      <c r="T187">
        <f>ROUND(ROUND(Q187*Source!I419, 2)*SmtRes!AK185, 2)</f>
        <v>1470.53</v>
      </c>
      <c r="U187">
        <f>SmtRes!X185</f>
        <v>1761872854</v>
      </c>
      <c r="V187">
        <v>-1400970004</v>
      </c>
      <c r="W187">
        <v>-1400970004</v>
      </c>
      <c r="X187">
        <v>2</v>
      </c>
    </row>
    <row r="188" spans="1:24" x14ac:dyDescent="0.2">
      <c r="A188">
        <v>20</v>
      </c>
      <c r="B188">
        <v>184</v>
      </c>
      <c r="C188">
        <v>2</v>
      </c>
      <c r="D188">
        <v>0</v>
      </c>
      <c r="E188">
        <f>SmtRes!AV184</f>
        <v>0</v>
      </c>
      <c r="F188" t="str">
        <f>SmtRes!I184</f>
        <v>22.1-5-18</v>
      </c>
      <c r="G188" t="str">
        <f>SmtRes!K184</f>
        <v>Поливомоечные машины, емкость цистерны более 5000 л</v>
      </c>
      <c r="H188" t="str">
        <f>SmtRes!O184</f>
        <v>маш.-ч</v>
      </c>
      <c r="I188">
        <f>SmtRes!Y184*Source!I419</f>
        <v>1.0060200000000001</v>
      </c>
      <c r="J188">
        <f>SmtRes!AO184</f>
        <v>1</v>
      </c>
      <c r="K188">
        <f>SmtRes!AF184</f>
        <v>1942.21</v>
      </c>
      <c r="L188">
        <f>SmtRes!DB184</f>
        <v>1573.19</v>
      </c>
      <c r="M188">
        <f>ROUND(ROUND(L188*Source!I419, 2)*1, 2)</f>
        <v>1953.9</v>
      </c>
      <c r="N188">
        <f>SmtRes!AB184</f>
        <v>1942.21</v>
      </c>
      <c r="O188">
        <f>ROUND(ROUND(L188*Source!I419, 2)*SmtRes!DA184, 2)</f>
        <v>1953.9</v>
      </c>
      <c r="P188">
        <f>SmtRes!AG184</f>
        <v>436.39</v>
      </c>
      <c r="Q188">
        <f>SmtRes!DC184</f>
        <v>353.48</v>
      </c>
      <c r="R188">
        <f>ROUND(ROUND(Q188*Source!I419, 2)*1, 2)</f>
        <v>439.02</v>
      </c>
      <c r="S188">
        <f>SmtRes!AC184</f>
        <v>436.39</v>
      </c>
      <c r="T188">
        <f>ROUND(ROUND(Q188*Source!I419, 2)*SmtRes!AK184, 2)</f>
        <v>439.02</v>
      </c>
      <c r="U188">
        <f>SmtRes!X184</f>
        <v>1308944103</v>
      </c>
      <c r="V188">
        <v>-139364087</v>
      </c>
      <c r="W188">
        <v>-139364087</v>
      </c>
      <c r="X188">
        <v>2</v>
      </c>
    </row>
    <row r="189" spans="1:24" x14ac:dyDescent="0.2">
      <c r="A189">
        <v>20</v>
      </c>
      <c r="B189">
        <v>183</v>
      </c>
      <c r="C189">
        <v>2</v>
      </c>
      <c r="D189">
        <v>0</v>
      </c>
      <c r="E189">
        <f>SmtRes!AV183</f>
        <v>0</v>
      </c>
      <c r="F189" t="str">
        <f>SmtRes!I183</f>
        <v>22.1-5-15</v>
      </c>
      <c r="G189" t="str">
        <f>SmtRes!K183</f>
        <v>Катки прицепные пневмоколесные, масса до 50 т</v>
      </c>
      <c r="H189" t="str">
        <f>SmtRes!O183</f>
        <v>маш.-ч</v>
      </c>
      <c r="I189">
        <f>SmtRes!Y183*Source!I419</f>
        <v>2.5833599999999999</v>
      </c>
      <c r="J189">
        <f>SmtRes!AO183</f>
        <v>1</v>
      </c>
      <c r="K189">
        <f>SmtRes!AF183</f>
        <v>416.25</v>
      </c>
      <c r="L189">
        <f>SmtRes!DB183</f>
        <v>865.8</v>
      </c>
      <c r="M189">
        <f>ROUND(ROUND(L189*Source!I419, 2)*1, 2)</f>
        <v>1075.32</v>
      </c>
      <c r="N189">
        <f>SmtRes!AB183</f>
        <v>416.25</v>
      </c>
      <c r="O189">
        <f>ROUND(ROUND(L189*Source!I419, 2)*SmtRes!DA183, 2)</f>
        <v>1075.32</v>
      </c>
      <c r="P189">
        <f>SmtRes!AG183</f>
        <v>204.9</v>
      </c>
      <c r="Q189">
        <f>SmtRes!DC183</f>
        <v>426.19</v>
      </c>
      <c r="R189">
        <f>ROUND(ROUND(Q189*Source!I419, 2)*1, 2)</f>
        <v>529.33000000000004</v>
      </c>
      <c r="S189">
        <f>SmtRes!AC183</f>
        <v>204.9</v>
      </c>
      <c r="T189">
        <f>ROUND(ROUND(Q189*Source!I419, 2)*SmtRes!AK183, 2)</f>
        <v>529.33000000000004</v>
      </c>
      <c r="U189">
        <f>SmtRes!X183</f>
        <v>-1158250883</v>
      </c>
      <c r="V189">
        <v>-1552611586</v>
      </c>
      <c r="W189">
        <v>-1552611586</v>
      </c>
      <c r="X189">
        <v>2</v>
      </c>
    </row>
    <row r="190" spans="1:24" x14ac:dyDescent="0.2">
      <c r="A190">
        <v>20</v>
      </c>
      <c r="B190">
        <v>182</v>
      </c>
      <c r="C190">
        <v>2</v>
      </c>
      <c r="D190">
        <v>0</v>
      </c>
      <c r="E190">
        <f>SmtRes!AV182</f>
        <v>0</v>
      </c>
      <c r="F190" t="str">
        <f>SmtRes!I182</f>
        <v>22.1-2-1</v>
      </c>
      <c r="G190" t="str">
        <f>SmtRes!K182</f>
        <v>Тракторы на гусеничном ходу, мощность до 60 (81) кВт (л.с.)</v>
      </c>
      <c r="H190" t="str">
        <f>SmtRes!O182</f>
        <v>маш.-ч</v>
      </c>
      <c r="I190">
        <f>SmtRes!Y182*Source!I419</f>
        <v>2.5833599999999999</v>
      </c>
      <c r="J190">
        <f>SmtRes!AO182</f>
        <v>1</v>
      </c>
      <c r="K190">
        <f>SmtRes!AF182</f>
        <v>1159.46</v>
      </c>
      <c r="L190">
        <f>SmtRes!DB182</f>
        <v>2411.6799999999998</v>
      </c>
      <c r="M190">
        <f>ROUND(ROUND(L190*Source!I419, 2)*1, 2)</f>
        <v>2995.31</v>
      </c>
      <c r="N190">
        <f>SmtRes!AB182</f>
        <v>1159.46</v>
      </c>
      <c r="O190">
        <f>ROUND(ROUND(L190*Source!I419, 2)*SmtRes!DA182, 2)</f>
        <v>2995.31</v>
      </c>
      <c r="P190">
        <f>SmtRes!AG182</f>
        <v>525.74</v>
      </c>
      <c r="Q190">
        <f>SmtRes!DC182</f>
        <v>1093.54</v>
      </c>
      <c r="R190">
        <f>ROUND(ROUND(Q190*Source!I419, 2)*1, 2)</f>
        <v>1358.18</v>
      </c>
      <c r="S190">
        <f>SmtRes!AC182</f>
        <v>525.74</v>
      </c>
      <c r="T190">
        <f>ROUND(ROUND(Q190*Source!I419, 2)*SmtRes!AK182, 2)</f>
        <v>1358.18</v>
      </c>
      <c r="U190">
        <f>SmtRes!X182</f>
        <v>1062203425</v>
      </c>
      <c r="V190">
        <v>1356816858</v>
      </c>
      <c r="W190">
        <v>1356816858</v>
      </c>
      <c r="X190">
        <v>2</v>
      </c>
    </row>
    <row r="191" spans="1:24" x14ac:dyDescent="0.2">
      <c r="A191">
        <v>20</v>
      </c>
      <c r="B191">
        <v>181</v>
      </c>
      <c r="C191">
        <v>1</v>
      </c>
      <c r="D191">
        <v>0</v>
      </c>
      <c r="E191">
        <f>SmtRes!AV181</f>
        <v>1</v>
      </c>
      <c r="F191" t="str">
        <f>SmtRes!I181</f>
        <v>9999990008</v>
      </c>
      <c r="G191" t="str">
        <f>SmtRes!K181</f>
        <v>Трудозатраты рабочих</v>
      </c>
      <c r="H191" t="str">
        <f>SmtRes!O181</f>
        <v>чел.-ч.</v>
      </c>
      <c r="I191">
        <f>SmtRes!Y181*Source!I419</f>
        <v>20.567519999999998</v>
      </c>
      <c r="J191">
        <f>SmtRes!AO181</f>
        <v>1</v>
      </c>
      <c r="K191">
        <f>SmtRes!AH181</f>
        <v>0</v>
      </c>
      <c r="L191">
        <f>SmtRes!DB181</f>
        <v>0</v>
      </c>
      <c r="M191">
        <f>ROUND(ROUND(L191*Source!I419, 2)*1, 2)</f>
        <v>0</v>
      </c>
      <c r="N191">
        <f>SmtRes!AD181</f>
        <v>0</v>
      </c>
      <c r="O191">
        <f>ROUND(ROUND(L191*Source!I419, 2)*SmtRes!DA181, 2)</f>
        <v>0</v>
      </c>
      <c r="P191">
        <f>SmtRes!AG181</f>
        <v>0</v>
      </c>
      <c r="Q191">
        <f>SmtRes!DC181</f>
        <v>0</v>
      </c>
      <c r="R191">
        <f>ROUND(ROUND(Q191*Source!I419, 2)*1, 2)</f>
        <v>0</v>
      </c>
      <c r="S191">
        <f>SmtRes!AC181</f>
        <v>0</v>
      </c>
      <c r="T191">
        <f>ROUND(ROUND(Q191*Source!I419, 2)*SmtRes!AK181, 2)</f>
        <v>0</v>
      </c>
      <c r="U191">
        <f>SmtRes!X181</f>
        <v>476480486</v>
      </c>
      <c r="V191">
        <v>1286141856</v>
      </c>
      <c r="W191">
        <v>1286141856</v>
      </c>
      <c r="X191">
        <v>1</v>
      </c>
    </row>
    <row r="192" spans="1:24" x14ac:dyDescent="0.2">
      <c r="A192">
        <v>20</v>
      </c>
      <c r="B192">
        <v>198</v>
      </c>
      <c r="C192">
        <v>3</v>
      </c>
      <c r="D192">
        <v>0</v>
      </c>
      <c r="E192">
        <f>SmtRes!AV198</f>
        <v>0</v>
      </c>
      <c r="F192" t="str">
        <f>SmtRes!I198</f>
        <v>21.1-25-13</v>
      </c>
      <c r="G192" t="str">
        <f>SmtRes!K198</f>
        <v>Вода</v>
      </c>
      <c r="H192" t="str">
        <f>SmtRes!O198</f>
        <v>м3</v>
      </c>
      <c r="I192">
        <f>SmtRes!Y198*Source!I420</f>
        <v>5.7959999999999994</v>
      </c>
      <c r="J192">
        <f>SmtRes!AO198</f>
        <v>1</v>
      </c>
      <c r="K192">
        <f>SmtRes!AE198</f>
        <v>33.729999999999997</v>
      </c>
      <c r="L192">
        <f>SmtRes!DB198</f>
        <v>236.11</v>
      </c>
      <c r="M192">
        <f>ROUND(ROUND(L192*Source!I420, 2)*1, 2)</f>
        <v>195.5</v>
      </c>
      <c r="N192">
        <f>SmtRes!AA198</f>
        <v>33.729999999999997</v>
      </c>
      <c r="O192">
        <f>ROUND(ROUND(L192*Source!I420, 2)*SmtRes!DA198, 2)</f>
        <v>195.5</v>
      </c>
      <c r="P192">
        <f>SmtRes!AG198</f>
        <v>0</v>
      </c>
      <c r="Q192">
        <f>SmtRes!DC198</f>
        <v>0</v>
      </c>
      <c r="R192">
        <f>ROUND(ROUND(Q192*Source!I420, 2)*1, 2)</f>
        <v>0</v>
      </c>
      <c r="S192">
        <f>SmtRes!AC198</f>
        <v>0</v>
      </c>
      <c r="T192">
        <f>ROUND(ROUND(Q192*Source!I420, 2)*SmtRes!AK198, 2)</f>
        <v>0</v>
      </c>
      <c r="U192">
        <f>SmtRes!X198</f>
        <v>1964795396</v>
      </c>
      <c r="V192">
        <v>711765246</v>
      </c>
      <c r="W192">
        <v>711765246</v>
      </c>
      <c r="X192">
        <v>3</v>
      </c>
    </row>
    <row r="193" spans="1:24" x14ac:dyDescent="0.2">
      <c r="A193">
        <v>20</v>
      </c>
      <c r="B193">
        <v>195</v>
      </c>
      <c r="C193">
        <v>2</v>
      </c>
      <c r="D193">
        <v>0</v>
      </c>
      <c r="E193">
        <f>SmtRes!AV195</f>
        <v>0</v>
      </c>
      <c r="F193" t="str">
        <f>SmtRes!I195</f>
        <v>22.1-5-7</v>
      </c>
      <c r="G193" t="str">
        <f>SmtRes!K195</f>
        <v>Катки дорожные самоходные на пневмоколесном ходу, масса до 16 т</v>
      </c>
      <c r="H193" t="str">
        <f>SmtRes!O195</f>
        <v>маш.-ч</v>
      </c>
      <c r="I193">
        <f>SmtRes!Y195*Source!I420</f>
        <v>0.53820000000000001</v>
      </c>
      <c r="J193">
        <f>SmtRes!AO195</f>
        <v>1</v>
      </c>
      <c r="K193">
        <f>SmtRes!AF195</f>
        <v>1179.56</v>
      </c>
      <c r="L193">
        <f>SmtRes!DB195</f>
        <v>766.71</v>
      </c>
      <c r="M193">
        <f>ROUND(ROUND(L193*Source!I420, 2)*1, 2)</f>
        <v>634.84</v>
      </c>
      <c r="N193">
        <f>SmtRes!AB195</f>
        <v>1179.56</v>
      </c>
      <c r="O193">
        <f>ROUND(ROUND(L193*Source!I420, 2)*SmtRes!DA195, 2)</f>
        <v>634.84</v>
      </c>
      <c r="P193">
        <f>SmtRes!AG195</f>
        <v>439.28</v>
      </c>
      <c r="Q193">
        <f>SmtRes!DC195</f>
        <v>285.52999999999997</v>
      </c>
      <c r="R193">
        <f>ROUND(ROUND(Q193*Source!I420, 2)*1, 2)</f>
        <v>236.42</v>
      </c>
      <c r="S193">
        <f>SmtRes!AC195</f>
        <v>439.28</v>
      </c>
      <c r="T193">
        <f>ROUND(ROUND(Q193*Source!I420, 2)*SmtRes!AK195, 2)</f>
        <v>236.42</v>
      </c>
      <c r="U193">
        <f>SmtRes!X195</f>
        <v>-421159572</v>
      </c>
      <c r="V193">
        <v>-1264291469</v>
      </c>
      <c r="W193">
        <v>-1264291469</v>
      </c>
      <c r="X193">
        <v>2</v>
      </c>
    </row>
    <row r="194" spans="1:24" x14ac:dyDescent="0.2">
      <c r="A194">
        <v>20</v>
      </c>
      <c r="B194">
        <v>194</v>
      </c>
      <c r="C194">
        <v>2</v>
      </c>
      <c r="D194">
        <v>0</v>
      </c>
      <c r="E194">
        <f>SmtRes!AV194</f>
        <v>0</v>
      </c>
      <c r="F194" t="str">
        <f>SmtRes!I194</f>
        <v>22.1-5-48</v>
      </c>
      <c r="G194" t="str">
        <f>SmtRes!K194</f>
        <v>Автогрейдеры, мощность 99-147 кВт (130-200 л.с.)</v>
      </c>
      <c r="H194" t="str">
        <f>SmtRes!O194</f>
        <v>маш.-ч</v>
      </c>
      <c r="I194">
        <f>SmtRes!Y194*Source!I420</f>
        <v>1.8547200000000001</v>
      </c>
      <c r="J194">
        <f>SmtRes!AO194</f>
        <v>1</v>
      </c>
      <c r="K194">
        <f>SmtRes!AF194</f>
        <v>1364.77</v>
      </c>
      <c r="L194">
        <f>SmtRes!DB194</f>
        <v>3057.08</v>
      </c>
      <c r="M194">
        <f>ROUND(ROUND(L194*Source!I420, 2)*1, 2)</f>
        <v>2531.2600000000002</v>
      </c>
      <c r="N194">
        <f>SmtRes!AB194</f>
        <v>1364.77</v>
      </c>
      <c r="O194">
        <f>ROUND(ROUND(L194*Source!I420, 2)*SmtRes!DA194, 2)</f>
        <v>2531.2600000000002</v>
      </c>
      <c r="P194">
        <f>SmtRes!AG194</f>
        <v>610.30999999999995</v>
      </c>
      <c r="Q194">
        <f>SmtRes!DC194</f>
        <v>1367.09</v>
      </c>
      <c r="R194">
        <f>ROUND(ROUND(Q194*Source!I420, 2)*1, 2)</f>
        <v>1131.95</v>
      </c>
      <c r="S194">
        <f>SmtRes!AC194</f>
        <v>610.30999999999995</v>
      </c>
      <c r="T194">
        <f>ROUND(ROUND(Q194*Source!I420, 2)*SmtRes!AK194, 2)</f>
        <v>1131.95</v>
      </c>
      <c r="U194">
        <f>SmtRes!X194</f>
        <v>1761872854</v>
      </c>
      <c r="V194">
        <v>-1400970004</v>
      </c>
      <c r="W194">
        <v>-1400970004</v>
      </c>
      <c r="X194">
        <v>2</v>
      </c>
    </row>
    <row r="195" spans="1:24" x14ac:dyDescent="0.2">
      <c r="A195">
        <v>20</v>
      </c>
      <c r="B195">
        <v>193</v>
      </c>
      <c r="C195">
        <v>2</v>
      </c>
      <c r="D195">
        <v>0</v>
      </c>
      <c r="E195">
        <f>SmtRes!AV193</f>
        <v>0</v>
      </c>
      <c r="F195" t="str">
        <f>SmtRes!I193</f>
        <v>22.1-5-3</v>
      </c>
      <c r="G195" t="str">
        <f>SmtRes!K193</f>
        <v>Катки самоходные вибрационные, масса более 8 т</v>
      </c>
      <c r="H195" t="str">
        <f>SmtRes!O193</f>
        <v>маш.-ч</v>
      </c>
      <c r="I195">
        <f>SmtRes!Y193*Source!I420</f>
        <v>15.110999999999999</v>
      </c>
      <c r="J195">
        <f>SmtRes!AO193</f>
        <v>1</v>
      </c>
      <c r="K195">
        <f>SmtRes!AF193</f>
        <v>1741.23</v>
      </c>
      <c r="L195">
        <f>SmtRes!DB193</f>
        <v>31777.45</v>
      </c>
      <c r="M195">
        <f>ROUND(ROUND(L195*Source!I420, 2)*1, 2)</f>
        <v>26311.73</v>
      </c>
      <c r="N195">
        <f>SmtRes!AB193</f>
        <v>1741.23</v>
      </c>
      <c r="O195">
        <f>ROUND(ROUND(L195*Source!I420, 2)*SmtRes!DA193, 2)</f>
        <v>26311.73</v>
      </c>
      <c r="P195">
        <f>SmtRes!AG193</f>
        <v>685.71</v>
      </c>
      <c r="Q195">
        <f>SmtRes!DC193</f>
        <v>12514.21</v>
      </c>
      <c r="R195">
        <f>ROUND(ROUND(Q195*Source!I420, 2)*1, 2)</f>
        <v>10361.77</v>
      </c>
      <c r="S195">
        <f>SmtRes!AC193</f>
        <v>685.71</v>
      </c>
      <c r="T195">
        <f>ROUND(ROUND(Q195*Source!I420, 2)*SmtRes!AK193, 2)</f>
        <v>10361.77</v>
      </c>
      <c r="U195">
        <f>SmtRes!X193</f>
        <v>-1845376792</v>
      </c>
      <c r="V195">
        <v>745564748</v>
      </c>
      <c r="W195">
        <v>745564748</v>
      </c>
      <c r="X195">
        <v>2</v>
      </c>
    </row>
    <row r="196" spans="1:24" x14ac:dyDescent="0.2">
      <c r="A196">
        <v>20</v>
      </c>
      <c r="B196">
        <v>192</v>
      </c>
      <c r="C196">
        <v>2</v>
      </c>
      <c r="D196">
        <v>0</v>
      </c>
      <c r="E196">
        <f>SmtRes!AV192</f>
        <v>0</v>
      </c>
      <c r="F196" t="str">
        <f>SmtRes!I192</f>
        <v>22.1-5-2</v>
      </c>
      <c r="G196" t="str">
        <f>SmtRes!K192</f>
        <v>Катки самоходные вибрационные, масса до 8 т</v>
      </c>
      <c r="H196" t="str">
        <f>SmtRes!O192</f>
        <v>маш.-ч</v>
      </c>
      <c r="I196">
        <f>SmtRes!Y192*Source!I420</f>
        <v>7.4188800000000006</v>
      </c>
      <c r="J196">
        <f>SmtRes!AO192</f>
        <v>1</v>
      </c>
      <c r="K196">
        <f>SmtRes!AF192</f>
        <v>1207.81</v>
      </c>
      <c r="L196">
        <f>SmtRes!DB192</f>
        <v>10821.98</v>
      </c>
      <c r="M196">
        <f>ROUND(ROUND(L196*Source!I420, 2)*1, 2)</f>
        <v>8960.6</v>
      </c>
      <c r="N196">
        <f>SmtRes!AB192</f>
        <v>1207.81</v>
      </c>
      <c r="O196">
        <f>ROUND(ROUND(L196*Source!I420, 2)*SmtRes!DA192, 2)</f>
        <v>8960.6</v>
      </c>
      <c r="P196">
        <f>SmtRes!AG192</f>
        <v>504.4</v>
      </c>
      <c r="Q196">
        <f>SmtRes!DC192</f>
        <v>4519.42</v>
      </c>
      <c r="R196">
        <f>ROUND(ROUND(Q196*Source!I420, 2)*1, 2)</f>
        <v>3742.08</v>
      </c>
      <c r="S196">
        <f>SmtRes!AC192</f>
        <v>504.4</v>
      </c>
      <c r="T196">
        <f>ROUND(ROUND(Q196*Source!I420, 2)*SmtRes!AK192, 2)</f>
        <v>3742.08</v>
      </c>
      <c r="U196">
        <f>SmtRes!X192</f>
        <v>-2094009474</v>
      </c>
      <c r="V196">
        <v>-1868528678</v>
      </c>
      <c r="W196">
        <v>-1868528678</v>
      </c>
      <c r="X196">
        <v>2</v>
      </c>
    </row>
    <row r="197" spans="1:24" x14ac:dyDescent="0.2">
      <c r="A197">
        <v>20</v>
      </c>
      <c r="B197">
        <v>191</v>
      </c>
      <c r="C197">
        <v>2</v>
      </c>
      <c r="D197">
        <v>0</v>
      </c>
      <c r="E197">
        <f>SmtRes!AV191</f>
        <v>0</v>
      </c>
      <c r="F197" t="str">
        <f>SmtRes!I191</f>
        <v>22.1-5-18</v>
      </c>
      <c r="G197" t="str">
        <f>SmtRes!K191</f>
        <v>Поливомоечные машины, емкость цистерны более 5000 л</v>
      </c>
      <c r="H197" t="str">
        <f>SmtRes!O191</f>
        <v>маш.-ч</v>
      </c>
      <c r="I197">
        <f>SmtRes!Y191*Source!I420</f>
        <v>0.94391999999999987</v>
      </c>
      <c r="J197">
        <f>SmtRes!AO191</f>
        <v>1</v>
      </c>
      <c r="K197">
        <f>SmtRes!AF191</f>
        <v>1942.21</v>
      </c>
      <c r="L197">
        <f>SmtRes!DB191</f>
        <v>2214.12</v>
      </c>
      <c r="M197">
        <f>ROUND(ROUND(L197*Source!I420, 2)*1, 2)</f>
        <v>1833.29</v>
      </c>
      <c r="N197">
        <f>SmtRes!AB191</f>
        <v>1942.21</v>
      </c>
      <c r="O197">
        <f>ROUND(ROUND(L197*Source!I420, 2)*SmtRes!DA191, 2)</f>
        <v>1833.29</v>
      </c>
      <c r="P197">
        <f>SmtRes!AG191</f>
        <v>436.39</v>
      </c>
      <c r="Q197">
        <f>SmtRes!DC191</f>
        <v>497.48</v>
      </c>
      <c r="R197">
        <f>ROUND(ROUND(Q197*Source!I420, 2)*1, 2)</f>
        <v>411.91</v>
      </c>
      <c r="S197">
        <f>SmtRes!AC191</f>
        <v>436.39</v>
      </c>
      <c r="T197">
        <f>ROUND(ROUND(Q197*Source!I420, 2)*SmtRes!AK191, 2)</f>
        <v>411.91</v>
      </c>
      <c r="U197">
        <f>SmtRes!X191</f>
        <v>1308944103</v>
      </c>
      <c r="V197">
        <v>-139364087</v>
      </c>
      <c r="W197">
        <v>-139364087</v>
      </c>
      <c r="X197">
        <v>2</v>
      </c>
    </row>
    <row r="198" spans="1:24" x14ac:dyDescent="0.2">
      <c r="A198">
        <v>20</v>
      </c>
      <c r="B198">
        <v>190</v>
      </c>
      <c r="C198">
        <v>2</v>
      </c>
      <c r="D198">
        <v>0</v>
      </c>
      <c r="E198">
        <f>SmtRes!AV190</f>
        <v>0</v>
      </c>
      <c r="F198" t="str">
        <f>SmtRes!I190</f>
        <v>22.1-1-43</v>
      </c>
      <c r="G198" t="str">
        <f>SmtRes!K190</f>
        <v>Бульдозеры гусеничные, мощность до 59 кВт (80 л.с.)</v>
      </c>
      <c r="H198" t="str">
        <f>SmtRes!O190</f>
        <v>маш.-ч</v>
      </c>
      <c r="I198">
        <f>SmtRes!Y190*Source!I420</f>
        <v>2.43432</v>
      </c>
      <c r="J198">
        <f>SmtRes!AO190</f>
        <v>1</v>
      </c>
      <c r="K198">
        <f>SmtRes!AF190</f>
        <v>923.83</v>
      </c>
      <c r="L198">
        <f>SmtRes!DB190</f>
        <v>2716.06</v>
      </c>
      <c r="M198">
        <f>ROUND(ROUND(L198*Source!I420, 2)*1, 2)</f>
        <v>2248.9</v>
      </c>
      <c r="N198">
        <f>SmtRes!AB190</f>
        <v>923.83</v>
      </c>
      <c r="O198">
        <f>ROUND(ROUND(L198*Source!I420, 2)*SmtRes!DA190, 2)</f>
        <v>2248.9</v>
      </c>
      <c r="P198">
        <f>SmtRes!AG190</f>
        <v>342.06</v>
      </c>
      <c r="Q198">
        <f>SmtRes!DC190</f>
        <v>1005.66</v>
      </c>
      <c r="R198">
        <f>ROUND(ROUND(Q198*Source!I420, 2)*1, 2)</f>
        <v>832.69</v>
      </c>
      <c r="S198">
        <f>SmtRes!AC190</f>
        <v>342.06</v>
      </c>
      <c r="T198">
        <f>ROUND(ROUND(Q198*Source!I420, 2)*SmtRes!AK190, 2)</f>
        <v>832.69</v>
      </c>
      <c r="U198">
        <f>SmtRes!X190</f>
        <v>445823220</v>
      </c>
      <c r="V198">
        <v>-50571805</v>
      </c>
      <c r="W198">
        <v>-50571805</v>
      </c>
      <c r="X198">
        <v>2</v>
      </c>
    </row>
    <row r="199" spans="1:24" x14ac:dyDescent="0.2">
      <c r="A199">
        <v>20</v>
      </c>
      <c r="B199">
        <v>189</v>
      </c>
      <c r="C199">
        <v>1</v>
      </c>
      <c r="D199">
        <v>0</v>
      </c>
      <c r="E199">
        <f>SmtRes!AV189</f>
        <v>1</v>
      </c>
      <c r="F199" t="str">
        <f>SmtRes!I189</f>
        <v>9999990008</v>
      </c>
      <c r="G199" t="str">
        <f>SmtRes!K189</f>
        <v>Трудозатраты рабочих</v>
      </c>
      <c r="H199" t="str">
        <f>SmtRes!O189</f>
        <v>чел.-ч.</v>
      </c>
      <c r="I199">
        <f>SmtRes!Y189*Source!I420</f>
        <v>20.567519999999998</v>
      </c>
      <c r="J199">
        <f>SmtRes!AO189</f>
        <v>1</v>
      </c>
      <c r="K199">
        <f>SmtRes!AH189</f>
        <v>0</v>
      </c>
      <c r="L199">
        <f>SmtRes!DB189</f>
        <v>0</v>
      </c>
      <c r="M199">
        <f>ROUND(ROUND(L199*Source!I420, 2)*1, 2)</f>
        <v>0</v>
      </c>
      <c r="N199">
        <f>SmtRes!AD189</f>
        <v>0</v>
      </c>
      <c r="O199">
        <f>ROUND(ROUND(L199*Source!I420, 2)*SmtRes!DA189, 2)</f>
        <v>0</v>
      </c>
      <c r="P199">
        <f>SmtRes!AG189</f>
        <v>0</v>
      </c>
      <c r="Q199">
        <f>SmtRes!DC189</f>
        <v>0</v>
      </c>
      <c r="R199">
        <f>ROUND(ROUND(Q199*Source!I420, 2)*1, 2)</f>
        <v>0</v>
      </c>
      <c r="S199">
        <f>SmtRes!AC189</f>
        <v>0</v>
      </c>
      <c r="T199">
        <f>ROUND(ROUND(Q199*Source!I420, 2)*SmtRes!AK189, 2)</f>
        <v>0</v>
      </c>
      <c r="U199">
        <f>SmtRes!X189</f>
        <v>476480486</v>
      </c>
      <c r="V199">
        <v>1286141856</v>
      </c>
      <c r="W199">
        <v>1286141856</v>
      </c>
      <c r="X199">
        <v>1</v>
      </c>
    </row>
    <row r="200" spans="1:24" x14ac:dyDescent="0.2">
      <c r="A200">
        <f>Source!A422</f>
        <v>18</v>
      </c>
      <c r="B200">
        <v>422</v>
      </c>
      <c r="C200">
        <v>3</v>
      </c>
      <c r="D200">
        <f>Source!BI422</f>
        <v>4</v>
      </c>
      <c r="E200">
        <f>Source!FS422</f>
        <v>0</v>
      </c>
      <c r="F200" t="str">
        <f>Source!F422</f>
        <v>21.1-12-31</v>
      </c>
      <c r="G200" t="str">
        <f>Source!G422</f>
        <v>Щебень из естественного камня для строительных работ, марка 600-400, фракция 20-40 мм</v>
      </c>
      <c r="H200" t="str">
        <f>Source!H422</f>
        <v>м3</v>
      </c>
      <c r="I200">
        <f>Source!I422</f>
        <v>104.328</v>
      </c>
      <c r="J200">
        <v>1</v>
      </c>
      <c r="K200">
        <f>Source!AC422</f>
        <v>1487.52</v>
      </c>
      <c r="M200">
        <f>ROUND(K200*I200, 2)</f>
        <v>155189.99</v>
      </c>
      <c r="N200">
        <f>Source!AC422*IF(Source!BC422&lt;&gt; 0, Source!BC422, 1)</f>
        <v>1487.52</v>
      </c>
      <c r="O200">
        <f>ROUND(N200*I200, 2)</f>
        <v>155189.99</v>
      </c>
      <c r="P200">
        <f>Source!AE422</f>
        <v>0</v>
      </c>
      <c r="R200">
        <f>ROUND(P200*I200, 2)</f>
        <v>0</v>
      </c>
      <c r="S200">
        <f>Source!AE422*IF(Source!BS422&lt;&gt; 0, Source!BS422, 1)</f>
        <v>0</v>
      </c>
      <c r="T200">
        <f>ROUND(S200*I200, 2)</f>
        <v>0</v>
      </c>
      <c r="U200">
        <f>Source!GF422</f>
        <v>-1266475872</v>
      </c>
      <c r="V200">
        <v>-1861057453</v>
      </c>
      <c r="W200">
        <v>-1861057453</v>
      </c>
      <c r="X200">
        <v>3</v>
      </c>
    </row>
    <row r="201" spans="1:24" x14ac:dyDescent="0.2">
      <c r="A201">
        <v>20</v>
      </c>
      <c r="B201">
        <v>208</v>
      </c>
      <c r="C201">
        <v>3</v>
      </c>
      <c r="D201">
        <v>0</v>
      </c>
      <c r="E201">
        <f>SmtRes!AV208</f>
        <v>0</v>
      </c>
      <c r="F201" t="str">
        <f>SmtRes!I208</f>
        <v>21.1-25-13</v>
      </c>
      <c r="G201" t="str">
        <f>SmtRes!K208</f>
        <v>Вода</v>
      </c>
      <c r="H201" t="str">
        <f>SmtRes!O208</f>
        <v>м3</v>
      </c>
      <c r="I201">
        <f>SmtRes!Y208*Source!I423</f>
        <v>1.7388000000000001</v>
      </c>
      <c r="J201">
        <f>SmtRes!AO208</f>
        <v>1</v>
      </c>
      <c r="K201">
        <f>SmtRes!AE208</f>
        <v>33.729999999999997</v>
      </c>
      <c r="L201">
        <f>SmtRes!DB208</f>
        <v>236.11</v>
      </c>
      <c r="M201">
        <f>ROUND(ROUND(L201*Source!I423, 2)*1, 2)</f>
        <v>58.65</v>
      </c>
      <c r="N201">
        <f>SmtRes!AA208</f>
        <v>33.729999999999997</v>
      </c>
      <c r="O201">
        <f>ROUND(ROUND(L201*Source!I423, 2)*SmtRes!DA208, 2)</f>
        <v>58.65</v>
      </c>
      <c r="P201">
        <f>SmtRes!AG208</f>
        <v>0</v>
      </c>
      <c r="Q201">
        <f>SmtRes!DC208</f>
        <v>0</v>
      </c>
      <c r="R201">
        <f>ROUND(ROUND(Q201*Source!I423, 2)*1, 2)</f>
        <v>0</v>
      </c>
      <c r="S201">
        <f>SmtRes!AC208</f>
        <v>0</v>
      </c>
      <c r="T201">
        <f>ROUND(ROUND(Q201*Source!I423, 2)*SmtRes!AK208, 2)</f>
        <v>0</v>
      </c>
      <c r="U201">
        <f>SmtRes!X208</f>
        <v>1964795396</v>
      </c>
      <c r="V201">
        <v>711765246</v>
      </c>
      <c r="W201">
        <v>711765246</v>
      </c>
      <c r="X201">
        <v>3</v>
      </c>
    </row>
    <row r="202" spans="1:24" x14ac:dyDescent="0.2">
      <c r="A202">
        <v>20</v>
      </c>
      <c r="B202">
        <v>205</v>
      </c>
      <c r="C202">
        <v>2</v>
      </c>
      <c r="D202">
        <v>0</v>
      </c>
      <c r="E202">
        <f>SmtRes!AV205</f>
        <v>0</v>
      </c>
      <c r="F202" t="str">
        <f>SmtRes!I205</f>
        <v>22.1-5-7</v>
      </c>
      <c r="G202" t="str">
        <f>SmtRes!K205</f>
        <v>Катки дорожные самоходные на пневмоколесном ходу, масса до 16 т</v>
      </c>
      <c r="H202" t="str">
        <f>SmtRes!O205</f>
        <v>маш.-ч</v>
      </c>
      <c r="I202">
        <f>SmtRes!Y205*Source!I423</f>
        <v>0.16146000000000002</v>
      </c>
      <c r="J202">
        <f>SmtRes!AO205</f>
        <v>1</v>
      </c>
      <c r="K202">
        <f>SmtRes!AF205</f>
        <v>1179.56</v>
      </c>
      <c r="L202">
        <f>SmtRes!DB205</f>
        <v>766.71</v>
      </c>
      <c r="M202">
        <f>ROUND(ROUND(L202*Source!I423, 2)*1, 2)</f>
        <v>190.45</v>
      </c>
      <c r="N202">
        <f>SmtRes!AB205</f>
        <v>1179.56</v>
      </c>
      <c r="O202">
        <f>ROUND(ROUND(L202*Source!I423, 2)*SmtRes!DA205, 2)</f>
        <v>190.45</v>
      </c>
      <c r="P202">
        <f>SmtRes!AG205</f>
        <v>439.28</v>
      </c>
      <c r="Q202">
        <f>SmtRes!DC205</f>
        <v>285.52999999999997</v>
      </c>
      <c r="R202">
        <f>ROUND(ROUND(Q202*Source!I423, 2)*1, 2)</f>
        <v>70.930000000000007</v>
      </c>
      <c r="S202">
        <f>SmtRes!AC205</f>
        <v>439.28</v>
      </c>
      <c r="T202">
        <f>ROUND(ROUND(Q202*Source!I423, 2)*SmtRes!AK205, 2)</f>
        <v>70.930000000000007</v>
      </c>
      <c r="U202">
        <f>SmtRes!X205</f>
        <v>-421159572</v>
      </c>
      <c r="V202">
        <v>-1264291469</v>
      </c>
      <c r="W202">
        <v>-1264291469</v>
      </c>
      <c r="X202">
        <v>2</v>
      </c>
    </row>
    <row r="203" spans="1:24" x14ac:dyDescent="0.2">
      <c r="A203">
        <v>20</v>
      </c>
      <c r="B203">
        <v>204</v>
      </c>
      <c r="C203">
        <v>2</v>
      </c>
      <c r="D203">
        <v>0</v>
      </c>
      <c r="E203">
        <f>SmtRes!AV204</f>
        <v>0</v>
      </c>
      <c r="F203" t="str">
        <f>SmtRes!I204</f>
        <v>22.1-5-48</v>
      </c>
      <c r="G203" t="str">
        <f>SmtRes!K204</f>
        <v>Автогрейдеры, мощность 99-147 кВт (130-200 л.с.)</v>
      </c>
      <c r="H203" t="str">
        <f>SmtRes!O204</f>
        <v>маш.-ч</v>
      </c>
      <c r="I203">
        <f>SmtRes!Y204*Source!I423</f>
        <v>0.55641600000000002</v>
      </c>
      <c r="J203">
        <f>SmtRes!AO204</f>
        <v>1</v>
      </c>
      <c r="K203">
        <f>SmtRes!AF204</f>
        <v>1364.77</v>
      </c>
      <c r="L203">
        <f>SmtRes!DB204</f>
        <v>3057.08</v>
      </c>
      <c r="M203">
        <f>ROUND(ROUND(L203*Source!I423, 2)*1, 2)</f>
        <v>759.38</v>
      </c>
      <c r="N203">
        <f>SmtRes!AB204</f>
        <v>1364.77</v>
      </c>
      <c r="O203">
        <f>ROUND(ROUND(L203*Source!I423, 2)*SmtRes!DA204, 2)</f>
        <v>759.38</v>
      </c>
      <c r="P203">
        <f>SmtRes!AG204</f>
        <v>610.30999999999995</v>
      </c>
      <c r="Q203">
        <f>SmtRes!DC204</f>
        <v>1367.09</v>
      </c>
      <c r="R203">
        <f>ROUND(ROUND(Q203*Source!I423, 2)*1, 2)</f>
        <v>339.59</v>
      </c>
      <c r="S203">
        <f>SmtRes!AC204</f>
        <v>610.30999999999995</v>
      </c>
      <c r="T203">
        <f>ROUND(ROUND(Q203*Source!I423, 2)*SmtRes!AK204, 2)</f>
        <v>339.59</v>
      </c>
      <c r="U203">
        <f>SmtRes!X204</f>
        <v>1761872854</v>
      </c>
      <c r="V203">
        <v>-1400970004</v>
      </c>
      <c r="W203">
        <v>-1400970004</v>
      </c>
      <c r="X203">
        <v>2</v>
      </c>
    </row>
    <row r="204" spans="1:24" x14ac:dyDescent="0.2">
      <c r="A204">
        <v>20</v>
      </c>
      <c r="B204">
        <v>203</v>
      </c>
      <c r="C204">
        <v>2</v>
      </c>
      <c r="D204">
        <v>0</v>
      </c>
      <c r="E204">
        <f>SmtRes!AV203</f>
        <v>0</v>
      </c>
      <c r="F204" t="str">
        <f>SmtRes!I203</f>
        <v>22.1-5-3</v>
      </c>
      <c r="G204" t="str">
        <f>SmtRes!K203</f>
        <v>Катки самоходные вибрационные, масса более 8 т</v>
      </c>
      <c r="H204" t="str">
        <f>SmtRes!O203</f>
        <v>маш.-ч</v>
      </c>
      <c r="I204">
        <f>SmtRes!Y203*Source!I423</f>
        <v>4.5333000000000006</v>
      </c>
      <c r="J204">
        <f>SmtRes!AO203</f>
        <v>1</v>
      </c>
      <c r="K204">
        <f>SmtRes!AF203</f>
        <v>1741.23</v>
      </c>
      <c r="L204">
        <f>SmtRes!DB203</f>
        <v>31777.45</v>
      </c>
      <c r="M204">
        <f>ROUND(ROUND(L204*Source!I423, 2)*1, 2)</f>
        <v>7893.52</v>
      </c>
      <c r="N204">
        <f>SmtRes!AB203</f>
        <v>1741.23</v>
      </c>
      <c r="O204">
        <f>ROUND(ROUND(L204*Source!I423, 2)*SmtRes!DA203, 2)</f>
        <v>7893.52</v>
      </c>
      <c r="P204">
        <f>SmtRes!AG203</f>
        <v>685.71</v>
      </c>
      <c r="Q204">
        <f>SmtRes!DC203</f>
        <v>12514.21</v>
      </c>
      <c r="R204">
        <f>ROUND(ROUND(Q204*Source!I423, 2)*1, 2)</f>
        <v>3108.53</v>
      </c>
      <c r="S204">
        <f>SmtRes!AC203</f>
        <v>685.71</v>
      </c>
      <c r="T204">
        <f>ROUND(ROUND(Q204*Source!I423, 2)*SmtRes!AK203, 2)</f>
        <v>3108.53</v>
      </c>
      <c r="U204">
        <f>SmtRes!X203</f>
        <v>-1845376792</v>
      </c>
      <c r="V204">
        <v>745564748</v>
      </c>
      <c r="W204">
        <v>745564748</v>
      </c>
      <c r="X204">
        <v>2</v>
      </c>
    </row>
    <row r="205" spans="1:24" x14ac:dyDescent="0.2">
      <c r="A205">
        <v>20</v>
      </c>
      <c r="B205">
        <v>202</v>
      </c>
      <c r="C205">
        <v>2</v>
      </c>
      <c r="D205">
        <v>0</v>
      </c>
      <c r="E205">
        <f>SmtRes!AV202</f>
        <v>0</v>
      </c>
      <c r="F205" t="str">
        <f>SmtRes!I202</f>
        <v>22.1-5-2</v>
      </c>
      <c r="G205" t="str">
        <f>SmtRes!K202</f>
        <v>Катки самоходные вибрационные, масса до 8 т</v>
      </c>
      <c r="H205" t="str">
        <f>SmtRes!O202</f>
        <v>маш.-ч</v>
      </c>
      <c r="I205">
        <f>SmtRes!Y202*Source!I423</f>
        <v>2.2256640000000001</v>
      </c>
      <c r="J205">
        <f>SmtRes!AO202</f>
        <v>1</v>
      </c>
      <c r="K205">
        <f>SmtRes!AF202</f>
        <v>1207.81</v>
      </c>
      <c r="L205">
        <f>SmtRes!DB202</f>
        <v>10821.98</v>
      </c>
      <c r="M205">
        <f>ROUND(ROUND(L205*Source!I423, 2)*1, 2)</f>
        <v>2688.18</v>
      </c>
      <c r="N205">
        <f>SmtRes!AB202</f>
        <v>1207.81</v>
      </c>
      <c r="O205">
        <f>ROUND(ROUND(L205*Source!I423, 2)*SmtRes!DA202, 2)</f>
        <v>2688.18</v>
      </c>
      <c r="P205">
        <f>SmtRes!AG202</f>
        <v>504.4</v>
      </c>
      <c r="Q205">
        <f>SmtRes!DC202</f>
        <v>4519.42</v>
      </c>
      <c r="R205">
        <f>ROUND(ROUND(Q205*Source!I423, 2)*1, 2)</f>
        <v>1122.6199999999999</v>
      </c>
      <c r="S205">
        <f>SmtRes!AC202</f>
        <v>504.4</v>
      </c>
      <c r="T205">
        <f>ROUND(ROUND(Q205*Source!I423, 2)*SmtRes!AK202, 2)</f>
        <v>1122.6199999999999</v>
      </c>
      <c r="U205">
        <f>SmtRes!X202</f>
        <v>-2094009474</v>
      </c>
      <c r="V205">
        <v>-1868528678</v>
      </c>
      <c r="W205">
        <v>-1868528678</v>
      </c>
      <c r="X205">
        <v>2</v>
      </c>
    </row>
    <row r="206" spans="1:24" x14ac:dyDescent="0.2">
      <c r="A206">
        <v>20</v>
      </c>
      <c r="B206">
        <v>201</v>
      </c>
      <c r="C206">
        <v>2</v>
      </c>
      <c r="D206">
        <v>0</v>
      </c>
      <c r="E206">
        <f>SmtRes!AV201</f>
        <v>0</v>
      </c>
      <c r="F206" t="str">
        <f>SmtRes!I201</f>
        <v>22.1-5-18</v>
      </c>
      <c r="G206" t="str">
        <f>SmtRes!K201</f>
        <v>Поливомоечные машины, емкость цистерны более 5000 л</v>
      </c>
      <c r="H206" t="str">
        <f>SmtRes!O201</f>
        <v>маш.-ч</v>
      </c>
      <c r="I206">
        <f>SmtRes!Y201*Source!I423</f>
        <v>0.28317599999999998</v>
      </c>
      <c r="J206">
        <f>SmtRes!AO201</f>
        <v>1</v>
      </c>
      <c r="K206">
        <f>SmtRes!AF201</f>
        <v>1942.21</v>
      </c>
      <c r="L206">
        <f>SmtRes!DB201</f>
        <v>2214.12</v>
      </c>
      <c r="M206">
        <f>ROUND(ROUND(L206*Source!I423, 2)*1, 2)</f>
        <v>549.99</v>
      </c>
      <c r="N206">
        <f>SmtRes!AB201</f>
        <v>1942.21</v>
      </c>
      <c r="O206">
        <f>ROUND(ROUND(L206*Source!I423, 2)*SmtRes!DA201, 2)</f>
        <v>549.99</v>
      </c>
      <c r="P206">
        <f>SmtRes!AG201</f>
        <v>436.39</v>
      </c>
      <c r="Q206">
        <f>SmtRes!DC201</f>
        <v>497.48</v>
      </c>
      <c r="R206">
        <f>ROUND(ROUND(Q206*Source!I423, 2)*1, 2)</f>
        <v>123.57</v>
      </c>
      <c r="S206">
        <f>SmtRes!AC201</f>
        <v>436.39</v>
      </c>
      <c r="T206">
        <f>ROUND(ROUND(Q206*Source!I423, 2)*SmtRes!AK201, 2)</f>
        <v>123.57</v>
      </c>
      <c r="U206">
        <f>SmtRes!X201</f>
        <v>1308944103</v>
      </c>
      <c r="V206">
        <v>-139364087</v>
      </c>
      <c r="W206">
        <v>-139364087</v>
      </c>
      <c r="X206">
        <v>2</v>
      </c>
    </row>
    <row r="207" spans="1:24" x14ac:dyDescent="0.2">
      <c r="A207">
        <v>20</v>
      </c>
      <c r="B207">
        <v>200</v>
      </c>
      <c r="C207">
        <v>2</v>
      </c>
      <c r="D207">
        <v>0</v>
      </c>
      <c r="E207">
        <f>SmtRes!AV200</f>
        <v>0</v>
      </c>
      <c r="F207" t="str">
        <f>SmtRes!I200</f>
        <v>22.1-1-43</v>
      </c>
      <c r="G207" t="str">
        <f>SmtRes!K200</f>
        <v>Бульдозеры гусеничные, мощность до 59 кВт (80 л.с.)</v>
      </c>
      <c r="H207" t="str">
        <f>SmtRes!O200</f>
        <v>маш.-ч</v>
      </c>
      <c r="I207">
        <f>SmtRes!Y200*Source!I423</f>
        <v>0.73029600000000006</v>
      </c>
      <c r="J207">
        <f>SmtRes!AO200</f>
        <v>1</v>
      </c>
      <c r="K207">
        <f>SmtRes!AF200</f>
        <v>923.83</v>
      </c>
      <c r="L207">
        <f>SmtRes!DB200</f>
        <v>2716.06</v>
      </c>
      <c r="M207">
        <f>ROUND(ROUND(L207*Source!I423, 2)*1, 2)</f>
        <v>674.67</v>
      </c>
      <c r="N207">
        <f>SmtRes!AB200</f>
        <v>923.83</v>
      </c>
      <c r="O207">
        <f>ROUND(ROUND(L207*Source!I423, 2)*SmtRes!DA200, 2)</f>
        <v>674.67</v>
      </c>
      <c r="P207">
        <f>SmtRes!AG200</f>
        <v>342.06</v>
      </c>
      <c r="Q207">
        <f>SmtRes!DC200</f>
        <v>1005.66</v>
      </c>
      <c r="R207">
        <f>ROUND(ROUND(Q207*Source!I423, 2)*1, 2)</f>
        <v>249.81</v>
      </c>
      <c r="S207">
        <f>SmtRes!AC200</f>
        <v>342.06</v>
      </c>
      <c r="T207">
        <f>ROUND(ROUND(Q207*Source!I423, 2)*SmtRes!AK200, 2)</f>
        <v>249.81</v>
      </c>
      <c r="U207">
        <f>SmtRes!X200</f>
        <v>445823220</v>
      </c>
      <c r="V207">
        <v>-50571805</v>
      </c>
      <c r="W207">
        <v>-50571805</v>
      </c>
      <c r="X207">
        <v>2</v>
      </c>
    </row>
    <row r="208" spans="1:24" x14ac:dyDescent="0.2">
      <c r="A208">
        <v>20</v>
      </c>
      <c r="B208">
        <v>199</v>
      </c>
      <c r="C208">
        <v>1</v>
      </c>
      <c r="D208">
        <v>0</v>
      </c>
      <c r="E208">
        <f>SmtRes!AV199</f>
        <v>1</v>
      </c>
      <c r="F208" t="str">
        <f>SmtRes!I199</f>
        <v>9999990008</v>
      </c>
      <c r="G208" t="str">
        <f>SmtRes!K199</f>
        <v>Трудозатраты рабочих</v>
      </c>
      <c r="H208" t="str">
        <f>SmtRes!O199</f>
        <v>чел.-ч.</v>
      </c>
      <c r="I208">
        <f>SmtRes!Y199*Source!I423</f>
        <v>6.1702560000000002</v>
      </c>
      <c r="J208">
        <f>SmtRes!AO199</f>
        <v>1</v>
      </c>
      <c r="K208">
        <f>SmtRes!AH199</f>
        <v>0</v>
      </c>
      <c r="L208">
        <f>SmtRes!DB199</f>
        <v>0</v>
      </c>
      <c r="M208">
        <f>ROUND(ROUND(L208*Source!I423, 2)*1, 2)</f>
        <v>0</v>
      </c>
      <c r="N208">
        <f>SmtRes!AD199</f>
        <v>0</v>
      </c>
      <c r="O208">
        <f>ROUND(ROUND(L208*Source!I423, 2)*SmtRes!DA199, 2)</f>
        <v>0</v>
      </c>
      <c r="P208">
        <f>SmtRes!AG199</f>
        <v>0</v>
      </c>
      <c r="Q208">
        <f>SmtRes!DC199</f>
        <v>0</v>
      </c>
      <c r="R208">
        <f>ROUND(ROUND(Q208*Source!I423, 2)*1, 2)</f>
        <v>0</v>
      </c>
      <c r="S208">
        <f>SmtRes!AC199</f>
        <v>0</v>
      </c>
      <c r="T208">
        <f>ROUND(ROUND(Q208*Source!I423, 2)*SmtRes!AK199, 2)</f>
        <v>0</v>
      </c>
      <c r="U208">
        <f>SmtRes!X199</f>
        <v>476480486</v>
      </c>
      <c r="V208">
        <v>1286141856</v>
      </c>
      <c r="W208">
        <v>1286141856</v>
      </c>
      <c r="X208">
        <v>1</v>
      </c>
    </row>
    <row r="209" spans="1:24" x14ac:dyDescent="0.2">
      <c r="A209">
        <f>Source!A425</f>
        <v>18</v>
      </c>
      <c r="B209">
        <v>425</v>
      </c>
      <c r="C209">
        <v>3</v>
      </c>
      <c r="D209">
        <f>Source!BI425</f>
        <v>4</v>
      </c>
      <c r="E209">
        <f>Source!FS425</f>
        <v>0</v>
      </c>
      <c r="F209" t="str">
        <f>Source!F425</f>
        <v>21.1-12-29</v>
      </c>
      <c r="G209" t="str">
        <f>Source!G425</f>
        <v>Щебень из естественного камня для строительных работ, марка 600-400, фракция 5-10 мм</v>
      </c>
      <c r="H209" t="str">
        <f>Source!H425</f>
        <v>м3</v>
      </c>
      <c r="I209">
        <f>Source!I425</f>
        <v>31.298400000000001</v>
      </c>
      <c r="J209">
        <v>1</v>
      </c>
      <c r="K209">
        <f>Source!AC425</f>
        <v>1487.52</v>
      </c>
      <c r="M209">
        <f>ROUND(K209*I209, 2)</f>
        <v>46557</v>
      </c>
      <c r="N209">
        <f>Source!AC425*IF(Source!BC425&lt;&gt; 0, Source!BC425, 1)</f>
        <v>1487.52</v>
      </c>
      <c r="O209">
        <f>ROUND(N209*I209, 2)</f>
        <v>46557</v>
      </c>
      <c r="P209">
        <f>Source!AE425</f>
        <v>0</v>
      </c>
      <c r="R209">
        <f>ROUND(P209*I209, 2)</f>
        <v>0</v>
      </c>
      <c r="S209">
        <f>Source!AE425*IF(Source!BS425&lt;&gt; 0, Source!BS425, 1)</f>
        <v>0</v>
      </c>
      <c r="T209">
        <f>ROUND(S209*I209, 2)</f>
        <v>0</v>
      </c>
      <c r="U209">
        <f>Source!GF425</f>
        <v>2025333854</v>
      </c>
      <c r="V209">
        <v>1255796807</v>
      </c>
      <c r="W209">
        <v>1255796807</v>
      </c>
      <c r="X209">
        <v>3</v>
      </c>
    </row>
    <row r="210" spans="1:24" x14ac:dyDescent="0.2">
      <c r="A210">
        <v>20</v>
      </c>
      <c r="B210">
        <v>211</v>
      </c>
      <c r="C210">
        <v>2</v>
      </c>
      <c r="D210">
        <v>0</v>
      </c>
      <c r="E210">
        <f>SmtRes!AV211</f>
        <v>0</v>
      </c>
      <c r="F210" t="str">
        <f>SmtRes!I211</f>
        <v>22.1-5-5</v>
      </c>
      <c r="G210" t="str">
        <f>SmtRes!K211</f>
        <v>Катки дорожные самоходные статические, масса до 10 т</v>
      </c>
      <c r="H210" t="str">
        <f>SmtRes!O211</f>
        <v>маш.-ч</v>
      </c>
      <c r="I210">
        <f>SmtRes!Y211*Source!I426</f>
        <v>11.509199999999998</v>
      </c>
      <c r="J210">
        <f>SmtRes!AO211</f>
        <v>1</v>
      </c>
      <c r="K210">
        <f>SmtRes!AF211</f>
        <v>845.77</v>
      </c>
      <c r="L210">
        <f>SmtRes!DB211</f>
        <v>1175.6199999999999</v>
      </c>
      <c r="M210">
        <f>ROUND(ROUND(L210*Source!I426, 2)*1, 2)</f>
        <v>9734.1299999999992</v>
      </c>
      <c r="N210">
        <f>SmtRes!AB211</f>
        <v>845.77</v>
      </c>
      <c r="O210">
        <f>ROUND(ROUND(L210*Source!I426, 2)*SmtRes!DA211, 2)</f>
        <v>9734.1299999999992</v>
      </c>
      <c r="P210">
        <f>SmtRes!AG211</f>
        <v>508.2</v>
      </c>
      <c r="Q210">
        <f>SmtRes!DC211</f>
        <v>706.4</v>
      </c>
      <c r="R210">
        <f>ROUND(ROUND(Q210*Source!I426, 2)*1, 2)</f>
        <v>5848.99</v>
      </c>
      <c r="S210">
        <f>SmtRes!AC211</f>
        <v>508.2</v>
      </c>
      <c r="T210">
        <f>ROUND(ROUND(Q210*Source!I426, 2)*SmtRes!AK211, 2)</f>
        <v>5848.99</v>
      </c>
      <c r="U210">
        <f>SmtRes!X211</f>
        <v>-984364401</v>
      </c>
      <c r="V210">
        <v>-598600838</v>
      </c>
      <c r="W210">
        <v>-598600838</v>
      </c>
      <c r="X210">
        <v>2</v>
      </c>
    </row>
    <row r="211" spans="1:24" x14ac:dyDescent="0.2">
      <c r="A211">
        <v>20</v>
      </c>
      <c r="B211">
        <v>210</v>
      </c>
      <c r="C211">
        <v>2</v>
      </c>
      <c r="D211">
        <v>0</v>
      </c>
      <c r="E211">
        <f>SmtRes!AV210</f>
        <v>0</v>
      </c>
      <c r="F211" t="str">
        <f>SmtRes!I210</f>
        <v>22.1-5-4</v>
      </c>
      <c r="G211" t="str">
        <f>SmtRes!K210</f>
        <v>Катки дорожные самоходные статические, масса до 5 т</v>
      </c>
      <c r="H211" t="str">
        <f>SmtRes!O210</f>
        <v>маш.-ч</v>
      </c>
      <c r="I211">
        <f>SmtRes!Y210*Source!I426</f>
        <v>3.8087999999999997</v>
      </c>
      <c r="J211">
        <f>SmtRes!AO210</f>
        <v>1</v>
      </c>
      <c r="K211">
        <f>SmtRes!AF210</f>
        <v>790.63</v>
      </c>
      <c r="L211">
        <f>SmtRes!DB210</f>
        <v>363.69</v>
      </c>
      <c r="M211">
        <f>ROUND(ROUND(L211*Source!I426, 2)*1, 2)</f>
        <v>3011.35</v>
      </c>
      <c r="N211">
        <f>SmtRes!AB210</f>
        <v>790.63</v>
      </c>
      <c r="O211">
        <f>ROUND(ROUND(L211*Source!I426, 2)*SmtRes!DA210, 2)</f>
        <v>3011.35</v>
      </c>
      <c r="P211">
        <f>SmtRes!AG210</f>
        <v>491.94</v>
      </c>
      <c r="Q211">
        <f>SmtRes!DC210</f>
        <v>226.29</v>
      </c>
      <c r="R211">
        <f>ROUND(ROUND(Q211*Source!I426, 2)*1, 2)</f>
        <v>1873.68</v>
      </c>
      <c r="S211">
        <f>SmtRes!AC210</f>
        <v>491.94</v>
      </c>
      <c r="T211">
        <f>ROUND(ROUND(Q211*Source!I426, 2)*SmtRes!AK210, 2)</f>
        <v>1873.68</v>
      </c>
      <c r="U211">
        <f>SmtRes!X210</f>
        <v>-444400480</v>
      </c>
      <c r="V211">
        <v>-810897477</v>
      </c>
      <c r="W211">
        <v>-810897477</v>
      </c>
      <c r="X211">
        <v>2</v>
      </c>
    </row>
    <row r="212" spans="1:24" x14ac:dyDescent="0.2">
      <c r="A212">
        <v>20</v>
      </c>
      <c r="B212">
        <v>209</v>
      </c>
      <c r="C212">
        <v>1</v>
      </c>
      <c r="D212">
        <v>0</v>
      </c>
      <c r="E212">
        <f>SmtRes!AV209</f>
        <v>1</v>
      </c>
      <c r="F212" t="str">
        <f>SmtRes!I209</f>
        <v>9999990008</v>
      </c>
      <c r="G212" t="str">
        <f>SmtRes!K209</f>
        <v>Трудозатраты рабочих</v>
      </c>
      <c r="H212" t="str">
        <f>SmtRes!O209</f>
        <v>чел.-ч.</v>
      </c>
      <c r="I212">
        <f>SmtRes!Y209*Source!I426</f>
        <v>112.3596</v>
      </c>
      <c r="J212">
        <f>SmtRes!AO209</f>
        <v>1</v>
      </c>
      <c r="K212">
        <f>SmtRes!AH209</f>
        <v>0</v>
      </c>
      <c r="L212">
        <f>SmtRes!DB209</f>
        <v>0</v>
      </c>
      <c r="M212">
        <f>ROUND(ROUND(L212*Source!I426, 2)*1, 2)</f>
        <v>0</v>
      </c>
      <c r="N212">
        <f>SmtRes!AD209</f>
        <v>0</v>
      </c>
      <c r="O212">
        <f>ROUND(ROUND(L212*Source!I426, 2)*SmtRes!DA209, 2)</f>
        <v>0</v>
      </c>
      <c r="P212">
        <f>SmtRes!AG209</f>
        <v>0</v>
      </c>
      <c r="Q212">
        <f>SmtRes!DC209</f>
        <v>0</v>
      </c>
      <c r="R212">
        <f>ROUND(ROUND(Q212*Source!I426, 2)*1, 2)</f>
        <v>0</v>
      </c>
      <c r="S212">
        <f>SmtRes!AC209</f>
        <v>0</v>
      </c>
      <c r="T212">
        <f>ROUND(ROUND(Q212*Source!I426, 2)*SmtRes!AK209, 2)</f>
        <v>0</v>
      </c>
      <c r="U212">
        <f>SmtRes!X209</f>
        <v>476480486</v>
      </c>
      <c r="V212">
        <v>1286141856</v>
      </c>
      <c r="W212">
        <v>1286141856</v>
      </c>
      <c r="X212">
        <v>1</v>
      </c>
    </row>
    <row r="213" spans="1:24" x14ac:dyDescent="0.2">
      <c r="A213">
        <f>Source!A428</f>
        <v>18</v>
      </c>
      <c r="B213">
        <v>428</v>
      </c>
      <c r="C213">
        <v>3</v>
      </c>
      <c r="D213">
        <f>Source!BI428</f>
        <v>4</v>
      </c>
      <c r="E213">
        <f>Source!FS428</f>
        <v>0</v>
      </c>
      <c r="F213" t="str">
        <f>Source!F428</f>
        <v>21.3-3-34</v>
      </c>
      <c r="G213" t="str">
        <f>Source!G428</f>
        <v>Смеси асфальтобетонные дорожные горячие песчаные, тип Д, марка III</v>
      </c>
      <c r="H213" t="str">
        <f>Source!H428</f>
        <v>т</v>
      </c>
      <c r="I213">
        <f>Source!I428</f>
        <v>96.627600000000001</v>
      </c>
      <c r="J213">
        <v>1</v>
      </c>
      <c r="K213">
        <f>Source!AC428</f>
        <v>2628.2</v>
      </c>
      <c r="M213">
        <f>ROUND(K213*I213, 2)</f>
        <v>253956.66</v>
      </c>
      <c r="N213">
        <f>Source!AC428*IF(Source!BC428&lt;&gt; 0, Source!BC428, 1)</f>
        <v>2628.2</v>
      </c>
      <c r="O213">
        <f>ROUND(N213*I213, 2)</f>
        <v>253956.66</v>
      </c>
      <c r="P213">
        <f>Source!AE428</f>
        <v>0</v>
      </c>
      <c r="R213">
        <f>ROUND(P213*I213, 2)</f>
        <v>0</v>
      </c>
      <c r="S213">
        <f>Source!AE428*IF(Source!BS428&lt;&gt; 0, Source!BS428, 1)</f>
        <v>0</v>
      </c>
      <c r="T213">
        <f>ROUND(S213*I213, 2)</f>
        <v>0</v>
      </c>
      <c r="U213">
        <f>Source!GF428</f>
        <v>2011161814</v>
      </c>
      <c r="V213">
        <v>1111470581</v>
      </c>
      <c r="W213">
        <v>1111470581</v>
      </c>
      <c r="X213">
        <v>3</v>
      </c>
    </row>
    <row r="214" spans="1:24" x14ac:dyDescent="0.2">
      <c r="A214">
        <f>Source!A460</f>
        <v>4</v>
      </c>
      <c r="B214">
        <v>460</v>
      </c>
      <c r="G214" t="str">
        <f>Source!G460</f>
        <v>Устройство покрытия из резиновой крошки (828 м2)</v>
      </c>
    </row>
    <row r="215" spans="1:24" x14ac:dyDescent="0.2">
      <c r="A215">
        <v>20</v>
      </c>
      <c r="B215">
        <v>222</v>
      </c>
      <c r="C215">
        <v>3</v>
      </c>
      <c r="D215">
        <v>0</v>
      </c>
      <c r="E215">
        <f>SmtRes!AV222</f>
        <v>0</v>
      </c>
      <c r="F215" t="str">
        <f>SmtRes!I222</f>
        <v>21.1-25-776</v>
      </c>
      <c r="G215" t="str">
        <f>SmtRes!K222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215" t="str">
        <f>SmtRes!O222</f>
        <v>кг</v>
      </c>
      <c r="I215">
        <f>SmtRes!Y222*Source!I464</f>
        <v>1999.62</v>
      </c>
      <c r="J215">
        <f>SmtRes!AO222</f>
        <v>1</v>
      </c>
      <c r="K215">
        <f>SmtRes!AE222</f>
        <v>189.61</v>
      </c>
      <c r="L215">
        <f>SmtRes!DB222</f>
        <v>45790.82</v>
      </c>
      <c r="M215">
        <f>ROUND(ROUND(L215*Source!I464, 2)*1, 2)</f>
        <v>379147.99</v>
      </c>
      <c r="N215">
        <f>SmtRes!AA222</f>
        <v>189.61</v>
      </c>
      <c r="O215">
        <f>ROUND(ROUND(L215*Source!I464, 2)*SmtRes!DA222, 2)</f>
        <v>379147.99</v>
      </c>
      <c r="P215">
        <f>SmtRes!AG222</f>
        <v>0</v>
      </c>
      <c r="Q215">
        <f>SmtRes!DC222</f>
        <v>0</v>
      </c>
      <c r="R215">
        <f>ROUND(ROUND(Q215*Source!I464, 2)*1, 2)</f>
        <v>0</v>
      </c>
      <c r="S215">
        <f>SmtRes!AC222</f>
        <v>0</v>
      </c>
      <c r="T215">
        <f>ROUND(ROUND(Q215*Source!I464, 2)*SmtRes!AK222, 2)</f>
        <v>0</v>
      </c>
      <c r="U215">
        <f>SmtRes!X222</f>
        <v>-1257349577</v>
      </c>
      <c r="V215">
        <v>1501073610</v>
      </c>
      <c r="W215">
        <v>1501073610</v>
      </c>
      <c r="X215">
        <v>3</v>
      </c>
    </row>
    <row r="216" spans="1:24" x14ac:dyDescent="0.2">
      <c r="A216">
        <v>20</v>
      </c>
      <c r="B216">
        <v>221</v>
      </c>
      <c r="C216">
        <v>3</v>
      </c>
      <c r="D216">
        <v>0</v>
      </c>
      <c r="E216">
        <f>SmtRes!AV221</f>
        <v>0</v>
      </c>
      <c r="F216" t="str">
        <f>SmtRes!I221</f>
        <v>21.1-25-769</v>
      </c>
      <c r="G216" t="str">
        <f>SmtRes!K221</f>
        <v>Крошка резиновая гранулированная, фракция 2-3 мм</v>
      </c>
      <c r="H216" t="str">
        <f>SmtRes!O221</f>
        <v>кг</v>
      </c>
      <c r="I216">
        <f>SmtRes!Y221*Source!I464</f>
        <v>6085.7999999999993</v>
      </c>
      <c r="J216">
        <f>SmtRes!AO221</f>
        <v>1</v>
      </c>
      <c r="K216">
        <f>SmtRes!AE221</f>
        <v>18.399999999999999</v>
      </c>
      <c r="L216">
        <f>SmtRes!DB221</f>
        <v>13524</v>
      </c>
      <c r="M216">
        <f>ROUND(ROUND(L216*Source!I464, 2)*1, 2)</f>
        <v>111978.72</v>
      </c>
      <c r="N216">
        <f>SmtRes!AA221</f>
        <v>18.399999999999999</v>
      </c>
      <c r="O216">
        <f>ROUND(ROUND(L216*Source!I464, 2)*SmtRes!DA221, 2)</f>
        <v>111978.72</v>
      </c>
      <c r="P216">
        <f>SmtRes!AG221</f>
        <v>0</v>
      </c>
      <c r="Q216">
        <f>SmtRes!DC221</f>
        <v>0</v>
      </c>
      <c r="R216">
        <f>ROUND(ROUND(Q216*Source!I464, 2)*1, 2)</f>
        <v>0</v>
      </c>
      <c r="S216">
        <f>SmtRes!AC221</f>
        <v>0</v>
      </c>
      <c r="T216">
        <f>ROUND(ROUND(Q216*Source!I464, 2)*SmtRes!AK221, 2)</f>
        <v>0</v>
      </c>
      <c r="U216">
        <f>SmtRes!X221</f>
        <v>752941587</v>
      </c>
      <c r="V216">
        <v>1753636474</v>
      </c>
      <c r="W216">
        <v>1753636474</v>
      </c>
      <c r="X216">
        <v>3</v>
      </c>
    </row>
    <row r="217" spans="1:24" x14ac:dyDescent="0.2">
      <c r="A217">
        <v>20</v>
      </c>
      <c r="B217">
        <v>220</v>
      </c>
      <c r="C217">
        <v>3</v>
      </c>
      <c r="D217">
        <v>0</v>
      </c>
      <c r="E217">
        <f>SmtRes!AV220</f>
        <v>0</v>
      </c>
      <c r="F217" t="str">
        <f>SmtRes!I220</f>
        <v>21.1-25-343</v>
      </c>
      <c r="G217" t="str">
        <f>SmtRes!K220</f>
        <v>Скипидар живичный</v>
      </c>
      <c r="H217" t="str">
        <f>SmtRes!O220</f>
        <v>т</v>
      </c>
      <c r="I217">
        <f>SmtRes!Y220*Source!I464</f>
        <v>2.6081999999999998E-2</v>
      </c>
      <c r="J217">
        <f>SmtRes!AO220</f>
        <v>1</v>
      </c>
      <c r="K217">
        <f>SmtRes!AE220</f>
        <v>349768.5</v>
      </c>
      <c r="L217">
        <f>SmtRes!DB220</f>
        <v>1101.77</v>
      </c>
      <c r="M217">
        <f>ROUND(ROUND(L217*Source!I464, 2)*1, 2)</f>
        <v>9122.66</v>
      </c>
      <c r="N217">
        <f>SmtRes!AA220</f>
        <v>349768.5</v>
      </c>
      <c r="O217">
        <f>ROUND(ROUND(L217*Source!I464, 2)*SmtRes!DA220, 2)</f>
        <v>9122.66</v>
      </c>
      <c r="P217">
        <f>SmtRes!AG220</f>
        <v>0</v>
      </c>
      <c r="Q217">
        <f>SmtRes!DC220</f>
        <v>0</v>
      </c>
      <c r="R217">
        <f>ROUND(ROUND(Q217*Source!I464, 2)*1, 2)</f>
        <v>0</v>
      </c>
      <c r="S217">
        <f>SmtRes!AC220</f>
        <v>0</v>
      </c>
      <c r="T217">
        <f>ROUND(ROUND(Q217*Source!I464, 2)*SmtRes!AK220, 2)</f>
        <v>0</v>
      </c>
      <c r="U217">
        <f>SmtRes!X220</f>
        <v>92064028</v>
      </c>
      <c r="V217">
        <v>1463289917</v>
      </c>
      <c r="W217">
        <v>1463289917</v>
      </c>
      <c r="X217">
        <v>3</v>
      </c>
    </row>
    <row r="218" spans="1:24" x14ac:dyDescent="0.2">
      <c r="A218">
        <v>20</v>
      </c>
      <c r="B218">
        <v>219</v>
      </c>
      <c r="C218">
        <v>3</v>
      </c>
      <c r="D218">
        <v>0</v>
      </c>
      <c r="E218">
        <f>SmtRes!AV219</f>
        <v>0</v>
      </c>
      <c r="F218" t="str">
        <f>SmtRes!I219</f>
        <v>21.1-25-255</v>
      </c>
      <c r="G218" t="str">
        <f>SmtRes!K219</f>
        <v>Пленка полиэтиленовая, толщина 0,12 - 0,15 мм</v>
      </c>
      <c r="H218" t="str">
        <f>SmtRes!O219</f>
        <v>м2</v>
      </c>
      <c r="I218">
        <f>SmtRes!Y219*Source!I464</f>
        <v>46.367999999999995</v>
      </c>
      <c r="J218">
        <f>SmtRes!AO219</f>
        <v>1</v>
      </c>
      <c r="K218">
        <f>SmtRes!AE219</f>
        <v>12.76</v>
      </c>
      <c r="L218">
        <f>SmtRes!DB219</f>
        <v>71.459999999999994</v>
      </c>
      <c r="M218">
        <f>ROUND(ROUND(L218*Source!I464, 2)*1, 2)</f>
        <v>591.69000000000005</v>
      </c>
      <c r="N218">
        <f>SmtRes!AA219</f>
        <v>12.76</v>
      </c>
      <c r="O218">
        <f>ROUND(ROUND(L218*Source!I464, 2)*SmtRes!DA219, 2)</f>
        <v>591.69000000000005</v>
      </c>
      <c r="P218">
        <f>SmtRes!AG219</f>
        <v>0</v>
      </c>
      <c r="Q218">
        <f>SmtRes!DC219</f>
        <v>0</v>
      </c>
      <c r="R218">
        <f>ROUND(ROUND(Q218*Source!I464, 2)*1, 2)</f>
        <v>0</v>
      </c>
      <c r="S218">
        <f>SmtRes!AC219</f>
        <v>0</v>
      </c>
      <c r="T218">
        <f>ROUND(ROUND(Q218*Source!I464, 2)*SmtRes!AK219, 2)</f>
        <v>0</v>
      </c>
      <c r="U218">
        <f>SmtRes!X219</f>
        <v>-526069612</v>
      </c>
      <c r="V218">
        <v>-1282204870</v>
      </c>
      <c r="W218">
        <v>-1282204870</v>
      </c>
      <c r="X218">
        <v>3</v>
      </c>
    </row>
    <row r="219" spans="1:24" x14ac:dyDescent="0.2">
      <c r="A219">
        <v>20</v>
      </c>
      <c r="B219">
        <v>218</v>
      </c>
      <c r="C219">
        <v>2</v>
      </c>
      <c r="D219">
        <v>0</v>
      </c>
      <c r="E219">
        <f>SmtRes!AV218</f>
        <v>0</v>
      </c>
      <c r="F219" t="str">
        <f>SmtRes!I218</f>
        <v>22.1-6-68</v>
      </c>
      <c r="G219" t="str">
        <f>SmtRes!K218</f>
        <v>Растворосмесители стационарные, емкость до 250 л</v>
      </c>
      <c r="H219" t="str">
        <f>SmtRes!O218</f>
        <v>маш.-ч</v>
      </c>
      <c r="I219">
        <f>SmtRes!Y218*Source!I464</f>
        <v>21.859199999999998</v>
      </c>
      <c r="J219">
        <f>SmtRes!AO218</f>
        <v>1</v>
      </c>
      <c r="K219">
        <f>SmtRes!AF218</f>
        <v>434.82</v>
      </c>
      <c r="L219">
        <f>SmtRes!DB218</f>
        <v>1147.92</v>
      </c>
      <c r="M219">
        <f>ROUND(ROUND(L219*Source!I464, 2)*1, 2)</f>
        <v>9504.7800000000007</v>
      </c>
      <c r="N219">
        <f>SmtRes!AB218</f>
        <v>434.82</v>
      </c>
      <c r="O219">
        <f>ROUND(ROUND(L219*Source!I464, 2)*SmtRes!DA218, 2)</f>
        <v>9504.7800000000007</v>
      </c>
      <c r="P219">
        <f>SmtRes!AG218</f>
        <v>386.07</v>
      </c>
      <c r="Q219">
        <f>SmtRes!DC218</f>
        <v>1019.22</v>
      </c>
      <c r="R219">
        <f>ROUND(ROUND(Q219*Source!I464, 2)*1, 2)</f>
        <v>8439.14</v>
      </c>
      <c r="S219">
        <f>SmtRes!AC218</f>
        <v>386.07</v>
      </c>
      <c r="T219">
        <f>ROUND(ROUND(Q219*Source!I464, 2)*SmtRes!AK218, 2)</f>
        <v>8439.14</v>
      </c>
      <c r="U219">
        <f>SmtRes!X218</f>
        <v>1978348804</v>
      </c>
      <c r="V219">
        <v>-1027426882</v>
      </c>
      <c r="W219">
        <v>-1027426882</v>
      </c>
      <c r="X219">
        <v>2</v>
      </c>
    </row>
    <row r="220" spans="1:24" x14ac:dyDescent="0.2">
      <c r="A220">
        <v>20</v>
      </c>
      <c r="B220">
        <v>217</v>
      </c>
      <c r="C220">
        <v>2</v>
      </c>
      <c r="D220">
        <v>0</v>
      </c>
      <c r="E220">
        <f>SmtRes!AV217</f>
        <v>0</v>
      </c>
      <c r="F220" t="str">
        <f>SmtRes!I217</f>
        <v>22.1-4-8</v>
      </c>
      <c r="G220" t="str">
        <f>SmtRes!K217</f>
        <v>Погрузчики на автомобильном ходу, грузоподъемность до 1 т</v>
      </c>
      <c r="H220" t="str">
        <f>SmtRes!O217</f>
        <v>маш.-ч</v>
      </c>
      <c r="I220">
        <f>SmtRes!Y217*Source!I464</f>
        <v>8.2799999999999999E-2</v>
      </c>
      <c r="J220">
        <f>SmtRes!AO217</f>
        <v>1</v>
      </c>
      <c r="K220">
        <f>SmtRes!AF217</f>
        <v>593.01</v>
      </c>
      <c r="L220">
        <f>SmtRes!DB217</f>
        <v>5.93</v>
      </c>
      <c r="M220">
        <f>ROUND(ROUND(L220*Source!I464, 2)*1, 2)</f>
        <v>49.1</v>
      </c>
      <c r="N220">
        <f>SmtRes!AB217</f>
        <v>593.01</v>
      </c>
      <c r="O220">
        <f>ROUND(ROUND(L220*Source!I464, 2)*SmtRes!DA217, 2)</f>
        <v>49.1</v>
      </c>
      <c r="P220">
        <f>SmtRes!AG217</f>
        <v>486.57</v>
      </c>
      <c r="Q220">
        <f>SmtRes!DC217</f>
        <v>4.87</v>
      </c>
      <c r="R220">
        <f>ROUND(ROUND(Q220*Source!I464, 2)*1, 2)</f>
        <v>40.32</v>
      </c>
      <c r="S220">
        <f>SmtRes!AC217</f>
        <v>486.57</v>
      </c>
      <c r="T220">
        <f>ROUND(ROUND(Q220*Source!I464, 2)*SmtRes!AK217, 2)</f>
        <v>40.32</v>
      </c>
      <c r="U220">
        <f>SmtRes!X217</f>
        <v>-951517440</v>
      </c>
      <c r="V220">
        <v>1511781752</v>
      </c>
      <c r="W220">
        <v>1511781752</v>
      </c>
      <c r="X220">
        <v>2</v>
      </c>
    </row>
    <row r="221" spans="1:24" x14ac:dyDescent="0.2">
      <c r="A221">
        <v>20</v>
      </c>
      <c r="B221">
        <v>216</v>
      </c>
      <c r="C221">
        <v>2</v>
      </c>
      <c r="D221">
        <v>0</v>
      </c>
      <c r="E221">
        <f>SmtRes!AV216</f>
        <v>0</v>
      </c>
      <c r="F221" t="str">
        <f>SmtRes!I216</f>
        <v>22.1-30-102</v>
      </c>
      <c r="G221" t="str">
        <f>SmtRes!K216</f>
        <v>Дрели электрические, двухскоростные, мощностью 600 Вт</v>
      </c>
      <c r="H221" t="str">
        <f>SmtRes!O216</f>
        <v>маш.-ч</v>
      </c>
      <c r="I221">
        <f>SmtRes!Y216*Source!I464</f>
        <v>9.7703999999999986</v>
      </c>
      <c r="J221">
        <f>SmtRes!AO216</f>
        <v>1</v>
      </c>
      <c r="K221">
        <f>SmtRes!AF216</f>
        <v>7.67</v>
      </c>
      <c r="L221">
        <f>SmtRes!DB216</f>
        <v>9.0500000000000007</v>
      </c>
      <c r="M221">
        <f>ROUND(ROUND(L221*Source!I464, 2)*1, 2)</f>
        <v>74.930000000000007</v>
      </c>
      <c r="N221">
        <f>SmtRes!AB216</f>
        <v>7.67</v>
      </c>
      <c r="O221">
        <f>ROUND(ROUND(L221*Source!I464, 2)*SmtRes!DA216, 2)</f>
        <v>74.930000000000007</v>
      </c>
      <c r="P221">
        <f>SmtRes!AG216</f>
        <v>0.93</v>
      </c>
      <c r="Q221">
        <f>SmtRes!DC216</f>
        <v>1.1000000000000001</v>
      </c>
      <c r="R221">
        <f>ROUND(ROUND(Q221*Source!I464, 2)*1, 2)</f>
        <v>9.11</v>
      </c>
      <c r="S221">
        <f>SmtRes!AC216</f>
        <v>0.93</v>
      </c>
      <c r="T221">
        <f>ROUND(ROUND(Q221*Source!I464, 2)*SmtRes!AK216, 2)</f>
        <v>9.11</v>
      </c>
      <c r="U221">
        <f>SmtRes!X216</f>
        <v>1096362259</v>
      </c>
      <c r="V221">
        <v>832558450</v>
      </c>
      <c r="W221">
        <v>832558450</v>
      </c>
      <c r="X221">
        <v>2</v>
      </c>
    </row>
    <row r="222" spans="1:24" x14ac:dyDescent="0.2">
      <c r="A222">
        <v>20</v>
      </c>
      <c r="B222">
        <v>215</v>
      </c>
      <c r="C222">
        <v>2</v>
      </c>
      <c r="D222">
        <v>0</v>
      </c>
      <c r="E222">
        <f>SmtRes!AV215</f>
        <v>0</v>
      </c>
      <c r="F222" t="str">
        <f>SmtRes!I215</f>
        <v>22.1-17-168</v>
      </c>
      <c r="G222" t="str">
        <f>SmtRes!K215</f>
        <v>Укладчики полимерных покрытий на игровых и спортивных площадках, производительность 10-50 м2/ч</v>
      </c>
      <c r="H222" t="str">
        <f>SmtRes!O215</f>
        <v>маш.-ч</v>
      </c>
      <c r="I222">
        <f>SmtRes!Y215*Source!I464</f>
        <v>21.859199999999998</v>
      </c>
      <c r="J222">
        <f>SmtRes!AO215</f>
        <v>1</v>
      </c>
      <c r="K222">
        <f>SmtRes!AF215</f>
        <v>508.57</v>
      </c>
      <c r="L222">
        <f>SmtRes!DB215</f>
        <v>1342.62</v>
      </c>
      <c r="M222">
        <f>ROUND(ROUND(L222*Source!I464, 2)*1, 2)</f>
        <v>11116.89</v>
      </c>
      <c r="N222">
        <f>SmtRes!AB215</f>
        <v>508.57</v>
      </c>
      <c r="O222">
        <f>ROUND(ROUND(L222*Source!I464, 2)*SmtRes!DA215, 2)</f>
        <v>11116.89</v>
      </c>
      <c r="P222">
        <f>SmtRes!AG215</f>
        <v>355.5</v>
      </c>
      <c r="Q222">
        <f>SmtRes!DC215</f>
        <v>938.52</v>
      </c>
      <c r="R222">
        <f>ROUND(ROUND(Q222*Source!I464, 2)*1, 2)</f>
        <v>7770.95</v>
      </c>
      <c r="S222">
        <f>SmtRes!AC215</f>
        <v>355.5</v>
      </c>
      <c r="T222">
        <f>ROUND(ROUND(Q222*Source!I464, 2)*SmtRes!AK215, 2)</f>
        <v>7770.95</v>
      </c>
      <c r="U222">
        <f>SmtRes!X215</f>
        <v>1717121030</v>
      </c>
      <c r="V222">
        <v>-1732709371</v>
      </c>
      <c r="W222">
        <v>-1732709371</v>
      </c>
      <c r="X222">
        <v>2</v>
      </c>
    </row>
    <row r="223" spans="1:24" x14ac:dyDescent="0.2">
      <c r="A223">
        <v>20</v>
      </c>
      <c r="B223">
        <v>214</v>
      </c>
      <c r="C223">
        <v>1</v>
      </c>
      <c r="D223">
        <v>0</v>
      </c>
      <c r="E223">
        <f>SmtRes!AV214</f>
        <v>1</v>
      </c>
      <c r="F223" t="str">
        <f>SmtRes!I214</f>
        <v>9999990008</v>
      </c>
      <c r="G223" t="str">
        <f>SmtRes!K214</f>
        <v>Трудозатраты рабочих</v>
      </c>
      <c r="H223" t="str">
        <f>SmtRes!O214</f>
        <v>чел.-ч.</v>
      </c>
      <c r="I223">
        <f>SmtRes!Y214*Source!I464</f>
        <v>152.6832</v>
      </c>
      <c r="J223">
        <f>SmtRes!AO214</f>
        <v>1</v>
      </c>
      <c r="K223">
        <f>SmtRes!AH214</f>
        <v>0</v>
      </c>
      <c r="L223">
        <f>SmtRes!DB214</f>
        <v>0</v>
      </c>
      <c r="M223">
        <f>ROUND(ROUND(L223*Source!I464, 2)*1, 2)</f>
        <v>0</v>
      </c>
      <c r="N223">
        <f>SmtRes!AD214</f>
        <v>0</v>
      </c>
      <c r="O223">
        <f>ROUND(ROUND(L223*Source!I464, 2)*SmtRes!DA214, 2)</f>
        <v>0</v>
      </c>
      <c r="P223">
        <f>SmtRes!AG214</f>
        <v>0</v>
      </c>
      <c r="Q223">
        <f>SmtRes!DC214</f>
        <v>0</v>
      </c>
      <c r="R223">
        <f>ROUND(ROUND(Q223*Source!I464, 2)*1, 2)</f>
        <v>0</v>
      </c>
      <c r="S223">
        <f>SmtRes!AC214</f>
        <v>0</v>
      </c>
      <c r="T223">
        <f>ROUND(ROUND(Q223*Source!I464, 2)*SmtRes!AK214, 2)</f>
        <v>0</v>
      </c>
      <c r="U223">
        <f>SmtRes!X214</f>
        <v>476480486</v>
      </c>
      <c r="V223">
        <v>1286141856</v>
      </c>
      <c r="W223">
        <v>1286141856</v>
      </c>
      <c r="X223">
        <v>1</v>
      </c>
    </row>
    <row r="224" spans="1:24" x14ac:dyDescent="0.2">
      <c r="A224">
        <v>20</v>
      </c>
      <c r="B224">
        <v>228</v>
      </c>
      <c r="C224">
        <v>3</v>
      </c>
      <c r="D224">
        <v>0</v>
      </c>
      <c r="E224">
        <f>SmtRes!AV228</f>
        <v>0</v>
      </c>
      <c r="F224" t="str">
        <f>SmtRes!I228</f>
        <v>21.1-25-776</v>
      </c>
      <c r="G224" t="str">
        <f>SmtRes!K228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224" t="str">
        <f>SmtRes!O228</f>
        <v>кг</v>
      </c>
      <c r="I224">
        <f>SmtRes!Y228*Source!I466</f>
        <v>1738.8</v>
      </c>
      <c r="J224">
        <f>SmtRes!AO228</f>
        <v>1</v>
      </c>
      <c r="K224">
        <f>SmtRes!AE228</f>
        <v>189.61</v>
      </c>
      <c r="L224">
        <f>SmtRes!DB228</f>
        <v>39818.1</v>
      </c>
      <c r="M224">
        <f>ROUND(ROUND(L224*Source!I466, 2)*1, 2)</f>
        <v>329693.87</v>
      </c>
      <c r="N224">
        <f>SmtRes!AA228</f>
        <v>189.61</v>
      </c>
      <c r="O224">
        <f>ROUND(ROUND(L224*Source!I466, 2)*SmtRes!DA228, 2)</f>
        <v>329693.87</v>
      </c>
      <c r="P224">
        <f>SmtRes!AG228</f>
        <v>0</v>
      </c>
      <c r="Q224">
        <f>SmtRes!DC228</f>
        <v>0</v>
      </c>
      <c r="R224">
        <f>ROUND(ROUND(Q224*Source!I466, 2)*1, 2)</f>
        <v>0</v>
      </c>
      <c r="S224">
        <f>SmtRes!AC228</f>
        <v>0</v>
      </c>
      <c r="T224">
        <f>ROUND(ROUND(Q224*Source!I466, 2)*SmtRes!AK228, 2)</f>
        <v>0</v>
      </c>
      <c r="U224">
        <f>SmtRes!X228</f>
        <v>-1257349577</v>
      </c>
      <c r="V224">
        <v>1501073610</v>
      </c>
      <c r="W224">
        <v>1501073610</v>
      </c>
      <c r="X224">
        <v>3</v>
      </c>
    </row>
    <row r="225" spans="1:24" x14ac:dyDescent="0.2">
      <c r="A225">
        <v>20</v>
      </c>
      <c r="B225">
        <v>227</v>
      </c>
      <c r="C225">
        <v>3</v>
      </c>
      <c r="D225">
        <v>0</v>
      </c>
      <c r="E225">
        <f>SmtRes!AV227</f>
        <v>0</v>
      </c>
      <c r="F225" t="str">
        <f>SmtRes!I227</f>
        <v>21.1-25-769</v>
      </c>
      <c r="G225" t="str">
        <f>SmtRes!K227</f>
        <v>Крошка резиновая гранулированная, фракция 2-3 мм</v>
      </c>
      <c r="H225" t="str">
        <f>SmtRes!O227</f>
        <v>кг</v>
      </c>
      <c r="I225">
        <f>SmtRes!Y227*Source!I466</f>
        <v>6085.7999999999993</v>
      </c>
      <c r="J225">
        <f>SmtRes!AO227</f>
        <v>1</v>
      </c>
      <c r="K225">
        <f>SmtRes!AE227</f>
        <v>18.399999999999999</v>
      </c>
      <c r="L225">
        <f>SmtRes!DB227</f>
        <v>13524</v>
      </c>
      <c r="M225">
        <f>ROUND(ROUND(L225*Source!I466, 2)*1, 2)</f>
        <v>111978.72</v>
      </c>
      <c r="N225">
        <f>SmtRes!AA227</f>
        <v>18.399999999999999</v>
      </c>
      <c r="O225">
        <f>ROUND(ROUND(L225*Source!I466, 2)*SmtRes!DA227, 2)</f>
        <v>111978.72</v>
      </c>
      <c r="P225">
        <f>SmtRes!AG227</f>
        <v>0</v>
      </c>
      <c r="Q225">
        <f>SmtRes!DC227</f>
        <v>0</v>
      </c>
      <c r="R225">
        <f>ROUND(ROUND(Q225*Source!I466, 2)*1, 2)</f>
        <v>0</v>
      </c>
      <c r="S225">
        <f>SmtRes!AC227</f>
        <v>0</v>
      </c>
      <c r="T225">
        <f>ROUND(ROUND(Q225*Source!I466, 2)*SmtRes!AK227, 2)</f>
        <v>0</v>
      </c>
      <c r="U225">
        <f>SmtRes!X227</f>
        <v>752941587</v>
      </c>
      <c r="V225">
        <v>1753636474</v>
      </c>
      <c r="W225">
        <v>1753636474</v>
      </c>
      <c r="X225">
        <v>3</v>
      </c>
    </row>
    <row r="226" spans="1:24" x14ac:dyDescent="0.2">
      <c r="A226">
        <v>20</v>
      </c>
      <c r="B226">
        <v>226</v>
      </c>
      <c r="C226">
        <v>2</v>
      </c>
      <c r="D226">
        <v>0</v>
      </c>
      <c r="E226">
        <f>SmtRes!AV226</f>
        <v>0</v>
      </c>
      <c r="F226" t="str">
        <f>SmtRes!I226</f>
        <v>22.1-6-68</v>
      </c>
      <c r="G226" t="str">
        <f>SmtRes!K226</f>
        <v>Растворосмесители стационарные, емкость до 250 л</v>
      </c>
      <c r="H226" t="str">
        <f>SmtRes!O226</f>
        <v>маш.-ч</v>
      </c>
      <c r="I226">
        <f>SmtRes!Y226*Source!I466</f>
        <v>20.7</v>
      </c>
      <c r="J226">
        <f>SmtRes!AO226</f>
        <v>1</v>
      </c>
      <c r="K226">
        <f>SmtRes!AF226</f>
        <v>434.82</v>
      </c>
      <c r="L226">
        <f>SmtRes!DB226</f>
        <v>1087.05</v>
      </c>
      <c r="M226">
        <f>ROUND(ROUND(L226*Source!I466, 2)*1, 2)</f>
        <v>9000.77</v>
      </c>
      <c r="N226">
        <f>SmtRes!AB226</f>
        <v>434.82</v>
      </c>
      <c r="O226">
        <f>ROUND(ROUND(L226*Source!I466, 2)*SmtRes!DA226, 2)</f>
        <v>9000.77</v>
      </c>
      <c r="P226">
        <f>SmtRes!AG226</f>
        <v>386.07</v>
      </c>
      <c r="Q226">
        <f>SmtRes!DC226</f>
        <v>965.2</v>
      </c>
      <c r="R226">
        <f>ROUND(ROUND(Q226*Source!I466, 2)*1, 2)</f>
        <v>7991.86</v>
      </c>
      <c r="S226">
        <f>SmtRes!AC226</f>
        <v>386.07</v>
      </c>
      <c r="T226">
        <f>ROUND(ROUND(Q226*Source!I466, 2)*SmtRes!AK226, 2)</f>
        <v>7991.86</v>
      </c>
      <c r="U226">
        <f>SmtRes!X226</f>
        <v>1978348804</v>
      </c>
      <c r="V226">
        <v>-1027426882</v>
      </c>
      <c r="W226">
        <v>-1027426882</v>
      </c>
      <c r="X226">
        <v>2</v>
      </c>
    </row>
    <row r="227" spans="1:24" x14ac:dyDescent="0.2">
      <c r="A227">
        <v>20</v>
      </c>
      <c r="B227">
        <v>225</v>
      </c>
      <c r="C227">
        <v>2</v>
      </c>
      <c r="D227">
        <v>0</v>
      </c>
      <c r="E227">
        <f>SmtRes!AV225</f>
        <v>0</v>
      </c>
      <c r="F227" t="str">
        <f>SmtRes!I225</f>
        <v>22.1-17-168</v>
      </c>
      <c r="G227" t="str">
        <f>SmtRes!K225</f>
        <v>Укладчики полимерных покрытий на игровых и спортивных площадках, производительность 10-50 м2/ч</v>
      </c>
      <c r="H227" t="str">
        <f>SmtRes!O225</f>
        <v>маш.-ч</v>
      </c>
      <c r="I227">
        <f>SmtRes!Y225*Source!I466</f>
        <v>20.7</v>
      </c>
      <c r="J227">
        <f>SmtRes!AO225</f>
        <v>1</v>
      </c>
      <c r="K227">
        <f>SmtRes!AF225</f>
        <v>508.57</v>
      </c>
      <c r="L227">
        <f>SmtRes!DB225</f>
        <v>1271.45</v>
      </c>
      <c r="M227">
        <f>ROUND(ROUND(L227*Source!I466, 2)*1, 2)</f>
        <v>10527.61</v>
      </c>
      <c r="N227">
        <f>SmtRes!AB225</f>
        <v>508.57</v>
      </c>
      <c r="O227">
        <f>ROUND(ROUND(L227*Source!I466, 2)*SmtRes!DA225, 2)</f>
        <v>10527.61</v>
      </c>
      <c r="P227">
        <f>SmtRes!AG225</f>
        <v>355.5</v>
      </c>
      <c r="Q227">
        <f>SmtRes!DC225</f>
        <v>888.75</v>
      </c>
      <c r="R227">
        <f>ROUND(ROUND(Q227*Source!I466, 2)*1, 2)</f>
        <v>7358.85</v>
      </c>
      <c r="S227">
        <f>SmtRes!AC225</f>
        <v>355.5</v>
      </c>
      <c r="T227">
        <f>ROUND(ROUND(Q227*Source!I466, 2)*SmtRes!AK225, 2)</f>
        <v>7358.85</v>
      </c>
      <c r="U227">
        <f>SmtRes!X225</f>
        <v>1717121030</v>
      </c>
      <c r="V227">
        <v>-1732709371</v>
      </c>
      <c r="W227">
        <v>-1732709371</v>
      </c>
      <c r="X227">
        <v>2</v>
      </c>
    </row>
    <row r="228" spans="1:24" x14ac:dyDescent="0.2">
      <c r="A228">
        <v>20</v>
      </c>
      <c r="B228">
        <v>224</v>
      </c>
      <c r="C228">
        <v>1</v>
      </c>
      <c r="D228">
        <v>0</v>
      </c>
      <c r="E228">
        <f>SmtRes!AV224</f>
        <v>1</v>
      </c>
      <c r="F228" t="str">
        <f>SmtRes!I224</f>
        <v>9999990008</v>
      </c>
      <c r="G228" t="str">
        <f>SmtRes!K224</f>
        <v>Трудозатраты рабочих</v>
      </c>
      <c r="H228" t="str">
        <f>SmtRes!O224</f>
        <v>чел.-ч.</v>
      </c>
      <c r="I228">
        <f>SmtRes!Y224*Source!I466</f>
        <v>109.71</v>
      </c>
      <c r="J228">
        <f>SmtRes!AO224</f>
        <v>1</v>
      </c>
      <c r="K228">
        <f>SmtRes!AH224</f>
        <v>0</v>
      </c>
      <c r="L228">
        <f>SmtRes!DB224</f>
        <v>0</v>
      </c>
      <c r="M228">
        <f>ROUND(ROUND(L228*Source!I466, 2)*1, 2)</f>
        <v>0</v>
      </c>
      <c r="N228">
        <f>SmtRes!AD224</f>
        <v>0</v>
      </c>
      <c r="O228">
        <f>ROUND(ROUND(L228*Source!I466, 2)*SmtRes!DA224, 2)</f>
        <v>0</v>
      </c>
      <c r="P228">
        <f>SmtRes!AG224</f>
        <v>0</v>
      </c>
      <c r="Q228">
        <f>SmtRes!DC224</f>
        <v>0</v>
      </c>
      <c r="R228">
        <f>ROUND(ROUND(Q228*Source!I466, 2)*1, 2)</f>
        <v>0</v>
      </c>
      <c r="S228">
        <f>SmtRes!AC224</f>
        <v>0</v>
      </c>
      <c r="T228">
        <f>ROUND(ROUND(Q228*Source!I466, 2)*SmtRes!AK224, 2)</f>
        <v>0</v>
      </c>
      <c r="U228">
        <f>SmtRes!X224</f>
        <v>476480486</v>
      </c>
      <c r="V228">
        <v>1286141856</v>
      </c>
      <c r="W228">
        <v>1286141856</v>
      </c>
      <c r="X228">
        <v>1</v>
      </c>
    </row>
    <row r="229" spans="1:24" x14ac:dyDescent="0.2">
      <c r="A229">
        <f>Source!A468</f>
        <v>18</v>
      </c>
      <c r="B229">
        <v>468</v>
      </c>
      <c r="C229">
        <v>3</v>
      </c>
      <c r="D229">
        <f>Source!BI468</f>
        <v>4</v>
      </c>
      <c r="E229">
        <f>Source!FS468</f>
        <v>0</v>
      </c>
      <c r="F229" t="str">
        <f>Source!F468</f>
        <v>21.1-6-156</v>
      </c>
      <c r="G229" t="str">
        <f>Source!G468</f>
        <v>Пигменты сухие красного цвета, железоокисные</v>
      </c>
      <c r="H229" t="str">
        <f>Source!H468</f>
        <v>кг</v>
      </c>
      <c r="I229">
        <f>Source!I468</f>
        <v>434.7</v>
      </c>
      <c r="J229">
        <v>1</v>
      </c>
      <c r="K229">
        <f>Source!AC468</f>
        <v>124.48</v>
      </c>
      <c r="M229">
        <f>ROUND(K229*I229, 2)</f>
        <v>54111.46</v>
      </c>
      <c r="N229">
        <f>Source!AC468*IF(Source!BC468&lt;&gt; 0, Source!BC468, 1)</f>
        <v>124.48</v>
      </c>
      <c r="O229">
        <f>ROUND(N229*I229, 2)</f>
        <v>54111.46</v>
      </c>
      <c r="P229">
        <f>Source!AE468</f>
        <v>0</v>
      </c>
      <c r="R229">
        <f>ROUND(P229*I229, 2)</f>
        <v>0</v>
      </c>
      <c r="S229">
        <f>Source!AE468*IF(Source!BS468&lt;&gt; 0, Source!BS468, 1)</f>
        <v>0</v>
      </c>
      <c r="T229">
        <f>ROUND(S229*I229, 2)</f>
        <v>0</v>
      </c>
      <c r="U229">
        <f>Source!GF468</f>
        <v>-1858947663</v>
      </c>
      <c r="V229">
        <v>1856330051</v>
      </c>
      <c r="W229">
        <v>1856330051</v>
      </c>
      <c r="X229">
        <v>3</v>
      </c>
    </row>
    <row r="230" spans="1:24" x14ac:dyDescent="0.2">
      <c r="A230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A6D3-233B-45ED-866E-30AE781DF6DE}">
  <sheetPr>
    <pageSetUpPr fitToPage="1"/>
  </sheetPr>
  <dimension ref="A2:Q78"/>
  <sheetViews>
    <sheetView workbookViewId="0"/>
  </sheetViews>
  <sheetFormatPr defaultRowHeight="12.75" x14ac:dyDescent="0.2"/>
  <cols>
    <col min="1" max="1" width="12.7109375" customWidth="1"/>
    <col min="2" max="2" width="40.7109375" customWidth="1"/>
    <col min="3" max="6" width="12.7109375" customWidth="1"/>
    <col min="15" max="15" width="103.7109375" hidden="1" customWidth="1"/>
    <col min="16" max="18" width="0" hidden="1" customWidth="1"/>
  </cols>
  <sheetData>
    <row r="2" spans="1:17" ht="16.5" x14ac:dyDescent="0.2">
      <c r="A2" s="93" t="s">
        <v>603</v>
      </c>
      <c r="B2" s="94"/>
      <c r="C2" s="94"/>
      <c r="D2" s="94"/>
      <c r="E2" s="94"/>
      <c r="F2" s="94"/>
    </row>
    <row r="3" spans="1:17" ht="33" x14ac:dyDescent="0.2">
      <c r="A3" s="93" t="str">
        <f>CONCATENATE("Объект: ",IF(Source!G530&lt;&gt;"Новый объект", Source!G530, ""))</f>
        <v>Объект: ГБОУ Школа № 1788 г. Москва, пос. Внуковское, ул. Летчика Грицевца, д. 5, к. 1_(Рем)</v>
      </c>
      <c r="B3" s="94"/>
      <c r="C3" s="94"/>
      <c r="D3" s="94"/>
      <c r="E3" s="94"/>
      <c r="F3" s="94"/>
      <c r="O3" s="50" t="s">
        <v>604</v>
      </c>
    </row>
    <row r="4" spans="1:17" x14ac:dyDescent="0.2">
      <c r="A4" s="75" t="s">
        <v>605</v>
      </c>
      <c r="B4" s="75" t="s">
        <v>606</v>
      </c>
      <c r="C4" s="75" t="s">
        <v>530</v>
      </c>
      <c r="D4" s="75" t="s">
        <v>607</v>
      </c>
      <c r="E4" s="96" t="s">
        <v>608</v>
      </c>
      <c r="F4" s="97"/>
    </row>
    <row r="5" spans="1:17" x14ac:dyDescent="0.2">
      <c r="A5" s="76"/>
      <c r="B5" s="76"/>
      <c r="C5" s="76"/>
      <c r="D5" s="76"/>
      <c r="E5" s="98"/>
      <c r="F5" s="99"/>
    </row>
    <row r="6" spans="1:17" ht="14.25" x14ac:dyDescent="0.2">
      <c r="A6" s="95"/>
      <c r="B6" s="95"/>
      <c r="C6" s="95"/>
      <c r="D6" s="95"/>
      <c r="E6" s="18" t="s">
        <v>609</v>
      </c>
      <c r="F6" s="18" t="s">
        <v>610</v>
      </c>
    </row>
    <row r="7" spans="1:17" ht="14.25" x14ac:dyDescent="0.2">
      <c r="A7" s="18">
        <v>1</v>
      </c>
      <c r="B7" s="18">
        <v>2</v>
      </c>
      <c r="C7" s="18">
        <v>3</v>
      </c>
      <c r="D7" s="18">
        <v>4</v>
      </c>
      <c r="E7" s="18">
        <v>5</v>
      </c>
      <c r="F7" s="18">
        <v>6</v>
      </c>
    </row>
    <row r="8" spans="1:17" ht="14.25" x14ac:dyDescent="0.2">
      <c r="A8" s="89" t="s">
        <v>611</v>
      </c>
      <c r="B8" s="90"/>
      <c r="C8" s="90"/>
      <c r="D8" s="90"/>
      <c r="E8" s="90"/>
      <c r="F8" s="90"/>
    </row>
    <row r="9" spans="1:17" ht="14.25" x14ac:dyDescent="0.2">
      <c r="A9" s="52" t="s">
        <v>348</v>
      </c>
      <c r="B9" s="43" t="s">
        <v>349</v>
      </c>
      <c r="C9" s="43" t="s">
        <v>350</v>
      </c>
      <c r="D9" s="44">
        <f>ROUND(SUMIF(RV_DATA!W6:'RV_DATA'!W229, 1286141856, RV_DATA!I6:'RV_DATA'!I229), 6)</f>
        <v>5115.7461169999997</v>
      </c>
      <c r="E9" s="53">
        <f>ROUND(RV_DATA!N14, 2)</f>
        <v>0</v>
      </c>
      <c r="F9" s="53">
        <f>ROUND(SUMIF(RV_DATA!W6:'RV_DATA'!W229, 1286141856, RV_DATA!O6:'RV_DATA'!O229), 6)</f>
        <v>0</v>
      </c>
      <c r="Q9">
        <v>1</v>
      </c>
    </row>
    <row r="10" spans="1:17" ht="15" x14ac:dyDescent="0.25">
      <c r="A10" s="91" t="s">
        <v>612</v>
      </c>
      <c r="B10" s="91"/>
      <c r="C10" s="91"/>
      <c r="D10" s="91"/>
      <c r="E10" s="92">
        <f>SUMIF(Q9:Q9, 1, F9:F9)</f>
        <v>0</v>
      </c>
      <c r="F10" s="91"/>
    </row>
    <row r="11" spans="1:17" ht="14.25" x14ac:dyDescent="0.2">
      <c r="A11" s="89" t="s">
        <v>613</v>
      </c>
      <c r="B11" s="90"/>
      <c r="C11" s="90"/>
      <c r="D11" s="90"/>
      <c r="E11" s="90"/>
      <c r="F11" s="90"/>
    </row>
    <row r="12" spans="1:17" ht="28.5" x14ac:dyDescent="0.2">
      <c r="A12" s="52" t="s">
        <v>466</v>
      </c>
      <c r="B12" s="43" t="s">
        <v>468</v>
      </c>
      <c r="C12" s="43" t="s">
        <v>354</v>
      </c>
      <c r="D12" s="44">
        <f>ROUND(SUMIF(RV_DATA!W6:'RV_DATA'!W229, -485367598, RV_DATA!I6:'RV_DATA'!I229), 6)</f>
        <v>34.979999999999997</v>
      </c>
      <c r="E12" s="53">
        <f>ROUND(RV_DATA!N142, 2)</f>
        <v>450.89</v>
      </c>
      <c r="F12" s="53">
        <f>ROUND(SUMIF(RV_DATA!W6:'RV_DATA'!W229, -485367598, RV_DATA!O6:'RV_DATA'!O229), 6)</f>
        <v>15772.8</v>
      </c>
      <c r="Q12">
        <v>2</v>
      </c>
    </row>
    <row r="13" spans="1:17" ht="42.75" x14ac:dyDescent="0.2">
      <c r="A13" s="52" t="s">
        <v>484</v>
      </c>
      <c r="B13" s="43" t="s">
        <v>486</v>
      </c>
      <c r="C13" s="43" t="s">
        <v>354</v>
      </c>
      <c r="D13" s="44">
        <f>ROUND(SUMIF(RV_DATA!W6:'RV_DATA'!W229, 1165352778, RV_DATA!I6:'RV_DATA'!I229), 6)</f>
        <v>4.8555000000000001</v>
      </c>
      <c r="E13" s="53">
        <f>ROUND(RV_DATA!N157, 2)</f>
        <v>1447.46</v>
      </c>
      <c r="F13" s="53">
        <f>ROUND(SUMIF(RV_DATA!W6:'RV_DATA'!W229, 1165352778, RV_DATA!O6:'RV_DATA'!O229), 6)</f>
        <v>7028.14</v>
      </c>
      <c r="Q13">
        <v>2</v>
      </c>
    </row>
    <row r="14" spans="1:17" ht="28.5" x14ac:dyDescent="0.2">
      <c r="A14" s="52" t="s">
        <v>451</v>
      </c>
      <c r="B14" s="43" t="s">
        <v>453</v>
      </c>
      <c r="C14" s="43" t="s">
        <v>354</v>
      </c>
      <c r="D14" s="44">
        <f>ROUND(SUMIF(RV_DATA!W6:'RV_DATA'!W229, -50571805, RV_DATA!I6:'RV_DATA'!I229), 6)</f>
        <v>3.1646160000000001</v>
      </c>
      <c r="E14" s="53">
        <f>ROUND(RV_DATA!N102, 2)</f>
        <v>923.83</v>
      </c>
      <c r="F14" s="53">
        <f>ROUND(SUMIF(RV_DATA!W6:'RV_DATA'!W229, -50571805, RV_DATA!O6:'RV_DATA'!O229), 6)</f>
        <v>2923.57</v>
      </c>
      <c r="Q14">
        <v>2</v>
      </c>
    </row>
    <row r="15" spans="1:17" ht="28.5" x14ac:dyDescent="0.2">
      <c r="A15" s="52" t="s">
        <v>487</v>
      </c>
      <c r="B15" s="43" t="s">
        <v>489</v>
      </c>
      <c r="C15" s="43" t="s">
        <v>354</v>
      </c>
      <c r="D15" s="44">
        <f>ROUND(SUMIF(RV_DATA!W6:'RV_DATA'!W229, 2061447248, RV_DATA!I6:'RV_DATA'!I229), 6)</f>
        <v>1.21875</v>
      </c>
      <c r="E15" s="53">
        <f>ROUND(RV_DATA!N156, 2)</f>
        <v>1035.49</v>
      </c>
      <c r="F15" s="53">
        <f>ROUND(SUMIF(RV_DATA!W6:'RV_DATA'!W229, 2061447248, RV_DATA!O6:'RV_DATA'!O229), 6)</f>
        <v>1262</v>
      </c>
      <c r="Q15">
        <v>2</v>
      </c>
    </row>
    <row r="16" spans="1:17" ht="42.75" x14ac:dyDescent="0.2">
      <c r="A16" s="52" t="s">
        <v>376</v>
      </c>
      <c r="B16" s="43" t="s">
        <v>378</v>
      </c>
      <c r="C16" s="43" t="s">
        <v>354</v>
      </c>
      <c r="D16" s="44">
        <f>ROUND(SUMIF(RV_DATA!W6:'RV_DATA'!W229, 962085286, RV_DATA!I6:'RV_DATA'!I229), 6)</f>
        <v>0.10825899999999999</v>
      </c>
      <c r="E16" s="53">
        <f>ROUND(RV_DATA!N35, 2)</f>
        <v>1451.71</v>
      </c>
      <c r="F16" s="53">
        <f>ROUND(SUMIF(RV_DATA!W6:'RV_DATA'!W229, 962085286, RV_DATA!O6:'RV_DATA'!O229), 6)</f>
        <v>157.16999999999999</v>
      </c>
      <c r="Q16">
        <v>2</v>
      </c>
    </row>
    <row r="17" spans="1:17" ht="42.75" x14ac:dyDescent="0.2">
      <c r="A17" s="52" t="s">
        <v>412</v>
      </c>
      <c r="B17" s="43" t="s">
        <v>414</v>
      </c>
      <c r="C17" s="43" t="s">
        <v>354</v>
      </c>
      <c r="D17" s="44">
        <f>ROUND(SUMIF(RV_DATA!W6:'RV_DATA'!W229, -1732709371, RV_DATA!I6:'RV_DATA'!I229), 6)</f>
        <v>62.707999999999998</v>
      </c>
      <c r="E17" s="53">
        <f>ROUND(RV_DATA!N79, 2)</f>
        <v>508.57</v>
      </c>
      <c r="F17" s="53">
        <f>ROUND(SUMIF(RV_DATA!W6:'RV_DATA'!W229, -1732709371, RV_DATA!O6:'RV_DATA'!O229), 6)</f>
        <v>31891.65</v>
      </c>
      <c r="Q17">
        <v>2</v>
      </c>
    </row>
    <row r="18" spans="1:17" ht="14.25" x14ac:dyDescent="0.2">
      <c r="A18" s="52" t="s">
        <v>490</v>
      </c>
      <c r="B18" s="43" t="s">
        <v>492</v>
      </c>
      <c r="C18" s="43" t="s">
        <v>354</v>
      </c>
      <c r="D18" s="44">
        <f>ROUND(SUMIF(RV_DATA!W6:'RV_DATA'!W229, -1072577997, RV_DATA!I6:'RV_DATA'!I229), 6)</f>
        <v>0.45</v>
      </c>
      <c r="E18" s="53">
        <f>ROUND(RV_DATA!N169, 2)</f>
        <v>20.03</v>
      </c>
      <c r="F18" s="53">
        <f>ROUND(SUMIF(RV_DATA!W6:'RV_DATA'!W229, -1072577997, RV_DATA!O6:'RV_DATA'!O229), 6)</f>
        <v>9</v>
      </c>
      <c r="Q18">
        <v>2</v>
      </c>
    </row>
    <row r="19" spans="1:17" ht="14.25" x14ac:dyDescent="0.2">
      <c r="A19" s="52" t="s">
        <v>379</v>
      </c>
      <c r="B19" s="43" t="s">
        <v>381</v>
      </c>
      <c r="C19" s="43" t="s">
        <v>354</v>
      </c>
      <c r="D19" s="44">
        <f>ROUND(SUMIF(RV_DATA!W6:'RV_DATA'!W229, 724742449, RV_DATA!I6:'RV_DATA'!I229), 6)</f>
        <v>8.5120000000000001E-2</v>
      </c>
      <c r="E19" s="53">
        <f>ROUND(RV_DATA!N36, 2)</f>
        <v>1350.45</v>
      </c>
      <c r="F19" s="53">
        <f>ROUND(SUMIF(RV_DATA!W6:'RV_DATA'!W229, 724742449, RV_DATA!O6:'RV_DATA'!O229), 6)</f>
        <v>114.95</v>
      </c>
      <c r="Q19">
        <v>2</v>
      </c>
    </row>
    <row r="20" spans="1:17" ht="28.5" x14ac:dyDescent="0.2">
      <c r="A20" s="52" t="s">
        <v>397</v>
      </c>
      <c r="B20" s="43" t="s">
        <v>399</v>
      </c>
      <c r="C20" s="43" t="s">
        <v>354</v>
      </c>
      <c r="D20" s="44">
        <f>ROUND(SUMIF(RV_DATA!W6:'RV_DATA'!W229, 2004559549, RV_DATA!I6:'RV_DATA'!I229), 6)</f>
        <v>60.844000000000001</v>
      </c>
      <c r="E20" s="53">
        <f>ROUND(RV_DATA!N68, 2)</f>
        <v>88.33</v>
      </c>
      <c r="F20" s="53">
        <f>ROUND(SUMIF(RV_DATA!W6:'RV_DATA'!W229, 2004559549, RV_DATA!O6:'RV_DATA'!O229), 6)</f>
        <v>5374.31</v>
      </c>
      <c r="Q20">
        <v>2</v>
      </c>
    </row>
    <row r="21" spans="1:17" ht="28.5" x14ac:dyDescent="0.2">
      <c r="A21" s="52" t="s">
        <v>382</v>
      </c>
      <c r="B21" s="43" t="s">
        <v>384</v>
      </c>
      <c r="C21" s="43" t="s">
        <v>354</v>
      </c>
      <c r="D21" s="44">
        <f>ROUND(SUMIF(RV_DATA!W6:'RV_DATA'!W229, -1712225594, RV_DATA!I6:'RV_DATA'!I229), 6)</f>
        <v>76.777638999999994</v>
      </c>
      <c r="E21" s="53">
        <f>ROUND(RV_DATA!N39, 2)</f>
        <v>952.49</v>
      </c>
      <c r="F21" s="53">
        <f>ROUND(SUMIF(RV_DATA!W6:'RV_DATA'!W229, -1712225594, RV_DATA!O6:'RV_DATA'!O229), 6)</f>
        <v>73093.91</v>
      </c>
      <c r="Q21">
        <v>2</v>
      </c>
    </row>
    <row r="22" spans="1:17" ht="28.5" x14ac:dyDescent="0.2">
      <c r="A22" s="52" t="s">
        <v>385</v>
      </c>
      <c r="B22" s="43" t="s">
        <v>387</v>
      </c>
      <c r="C22" s="43" t="s">
        <v>354</v>
      </c>
      <c r="D22" s="44">
        <f>ROUND(SUMIF(RV_DATA!W6:'RV_DATA'!W229, -1862155798, RV_DATA!I6:'RV_DATA'!I229), 6)</f>
        <v>117.951052</v>
      </c>
      <c r="E22" s="53">
        <f>ROUND(RV_DATA!N38, 2)</f>
        <v>993.6</v>
      </c>
      <c r="F22" s="53">
        <f>ROUND(SUMIF(RV_DATA!W6:'RV_DATA'!W229, -1862155798, RV_DATA!O6:'RV_DATA'!O229), 6)</f>
        <v>117225.43</v>
      </c>
      <c r="Q22">
        <v>2</v>
      </c>
    </row>
    <row r="23" spans="1:17" ht="42.75" x14ac:dyDescent="0.2">
      <c r="A23" s="52" t="s">
        <v>469</v>
      </c>
      <c r="B23" s="43" t="s">
        <v>471</v>
      </c>
      <c r="C23" s="43" t="s">
        <v>354</v>
      </c>
      <c r="D23" s="44">
        <f>ROUND(SUMIF(RV_DATA!W6:'RV_DATA'!W229, -1634948279, RV_DATA!I6:'RV_DATA'!I229), 6)</f>
        <v>13.25</v>
      </c>
      <c r="E23" s="53">
        <f>ROUND(RV_DATA!N141, 2)</f>
        <v>1056.5999999999999</v>
      </c>
      <c r="F23" s="53">
        <f>ROUND(SUMIF(RV_DATA!W6:'RV_DATA'!W229, -1634948279, RV_DATA!O6:'RV_DATA'!O229), 6)</f>
        <v>13999.95</v>
      </c>
      <c r="Q23">
        <v>2</v>
      </c>
    </row>
    <row r="24" spans="1:17" ht="28.5" x14ac:dyDescent="0.2">
      <c r="A24" s="52" t="s">
        <v>351</v>
      </c>
      <c r="B24" s="43" t="s">
        <v>353</v>
      </c>
      <c r="C24" s="43" t="s">
        <v>354</v>
      </c>
      <c r="D24" s="44">
        <f>ROUND(SUMIF(RV_DATA!W6:'RV_DATA'!W229, 1356816858, RV_DATA!I6:'RV_DATA'!I229), 6)</f>
        <v>3.5523859999999998</v>
      </c>
      <c r="E24" s="53">
        <f>ROUND(RV_DATA!N13, 2)</f>
        <v>1159.46</v>
      </c>
      <c r="F24" s="53">
        <f>ROUND(SUMIF(RV_DATA!W6:'RV_DATA'!W229, 1356816858, RV_DATA!O6:'RV_DATA'!O229), 6)</f>
        <v>4118.8500000000004</v>
      </c>
      <c r="Q24">
        <v>2</v>
      </c>
    </row>
    <row r="25" spans="1:17" ht="28.5" x14ac:dyDescent="0.2">
      <c r="A25" s="52" t="s">
        <v>493</v>
      </c>
      <c r="B25" s="43" t="s">
        <v>495</v>
      </c>
      <c r="C25" s="43" t="s">
        <v>354</v>
      </c>
      <c r="D25" s="44">
        <f>ROUND(SUMIF(RV_DATA!W6:'RV_DATA'!W229, 1149739007, RV_DATA!I6:'RV_DATA'!I229), 6)</f>
        <v>0.45</v>
      </c>
      <c r="E25" s="53">
        <f>ROUND(RV_DATA!N168, 2)</f>
        <v>857.8</v>
      </c>
      <c r="F25" s="53">
        <f>ROUND(SUMIF(RV_DATA!W6:'RV_DATA'!W229, 1149739007, RV_DATA!O6:'RV_DATA'!O229), 6)</f>
        <v>386.03</v>
      </c>
      <c r="Q25">
        <v>2</v>
      </c>
    </row>
    <row r="26" spans="1:17" ht="28.5" x14ac:dyDescent="0.2">
      <c r="A26" s="52" t="s">
        <v>415</v>
      </c>
      <c r="B26" s="43" t="s">
        <v>417</v>
      </c>
      <c r="C26" s="43" t="s">
        <v>354</v>
      </c>
      <c r="D26" s="44">
        <f>ROUND(SUMIF(RV_DATA!W6:'RV_DATA'!W229, 832558450, RV_DATA!I6:'RV_DATA'!I229), 6)</f>
        <v>14.396000000000001</v>
      </c>
      <c r="E26" s="53">
        <f>ROUND(RV_DATA!N78, 2)</f>
        <v>7.67</v>
      </c>
      <c r="F26" s="53">
        <f>ROUND(SUMIF(RV_DATA!W6:'RV_DATA'!W229, 832558450, RV_DATA!O6:'RV_DATA'!O229), 6)</f>
        <v>110.41</v>
      </c>
      <c r="Q26">
        <v>2</v>
      </c>
    </row>
    <row r="27" spans="1:17" ht="28.5" x14ac:dyDescent="0.2">
      <c r="A27" s="52" t="s">
        <v>400</v>
      </c>
      <c r="B27" s="43" t="s">
        <v>402</v>
      </c>
      <c r="C27" s="43" t="s">
        <v>354</v>
      </c>
      <c r="D27" s="44">
        <f>ROUND(SUMIF(RV_DATA!W6:'RV_DATA'!W229, -622644077, RV_DATA!I6:'RV_DATA'!I229), 6)</f>
        <v>32.351199999999999</v>
      </c>
      <c r="E27" s="53">
        <f>ROUND(RV_DATA!N67, 2)</f>
        <v>3.96</v>
      </c>
      <c r="F27" s="53">
        <f>ROUND(SUMIF(RV_DATA!W6:'RV_DATA'!W229, -622644077, RV_DATA!O6:'RV_DATA'!O229), 6)</f>
        <v>128.07</v>
      </c>
      <c r="Q27">
        <v>2</v>
      </c>
    </row>
    <row r="28" spans="1:17" ht="14.25" x14ac:dyDescent="0.2">
      <c r="A28" s="52" t="s">
        <v>388</v>
      </c>
      <c r="B28" s="43" t="s">
        <v>390</v>
      </c>
      <c r="C28" s="43" t="s">
        <v>354</v>
      </c>
      <c r="D28" s="44">
        <f>ROUND(SUMIF(RV_DATA!W6:'RV_DATA'!W229, 1236211575, RV_DATA!I6:'RV_DATA'!I229), 6)</f>
        <v>12.068</v>
      </c>
      <c r="E28" s="53">
        <f>ROUND(RV_DATA!N45, 2)</f>
        <v>6.28</v>
      </c>
      <c r="F28" s="53">
        <f>ROUND(SUMIF(RV_DATA!W6:'RV_DATA'!W229, 1236211575, RV_DATA!O6:'RV_DATA'!O229), 6)</f>
        <v>75.8</v>
      </c>
      <c r="Q28">
        <v>2</v>
      </c>
    </row>
    <row r="29" spans="1:17" ht="14.25" x14ac:dyDescent="0.2">
      <c r="A29" s="52" t="s">
        <v>472</v>
      </c>
      <c r="B29" s="43" t="s">
        <v>474</v>
      </c>
      <c r="C29" s="43" t="s">
        <v>354</v>
      </c>
      <c r="D29" s="44">
        <f>ROUND(SUMIF(RV_DATA!W6:'RV_DATA'!W229, 1578845624, RV_DATA!I6:'RV_DATA'!I229), 6)</f>
        <v>34.979999999999997</v>
      </c>
      <c r="E29" s="53">
        <f>ROUND(RV_DATA!N140, 2)</f>
        <v>5.41</v>
      </c>
      <c r="F29" s="53">
        <f>ROUND(SUMIF(RV_DATA!W6:'RV_DATA'!W229, 1578845624, RV_DATA!O6:'RV_DATA'!O229), 6)</f>
        <v>188.15</v>
      </c>
      <c r="Q29">
        <v>2</v>
      </c>
    </row>
    <row r="30" spans="1:17" ht="42.75" x14ac:dyDescent="0.2">
      <c r="A30" s="52" t="s">
        <v>475</v>
      </c>
      <c r="B30" s="43" t="s">
        <v>477</v>
      </c>
      <c r="C30" s="43" t="s">
        <v>354</v>
      </c>
      <c r="D30" s="44">
        <f>ROUND(SUMIF(RV_DATA!W6:'RV_DATA'!W229, -1225495608, RV_DATA!I6:'RV_DATA'!I229), 6)</f>
        <v>23.585000000000001</v>
      </c>
      <c r="E30" s="53">
        <f>ROUND(RV_DATA!N139, 2)</f>
        <v>799.15</v>
      </c>
      <c r="F30" s="53">
        <f>ROUND(SUMIF(RV_DATA!W6:'RV_DATA'!W229, -1225495608, RV_DATA!O6:'RV_DATA'!O229), 6)</f>
        <v>18846.8</v>
      </c>
      <c r="Q30">
        <v>2</v>
      </c>
    </row>
    <row r="31" spans="1:17" ht="28.5" x14ac:dyDescent="0.2">
      <c r="A31" s="52" t="s">
        <v>454</v>
      </c>
      <c r="B31" s="43" t="s">
        <v>456</v>
      </c>
      <c r="C31" s="43" t="s">
        <v>354</v>
      </c>
      <c r="D31" s="44">
        <f>ROUND(SUMIF(RV_DATA!W6:'RV_DATA'!W229, 1847085485, RV_DATA!I6:'RV_DATA'!I229), 6)</f>
        <v>1.4000999999999999</v>
      </c>
      <c r="E31" s="53">
        <f>ROUND(RV_DATA!N109, 2)</f>
        <v>662.01</v>
      </c>
      <c r="F31" s="53">
        <f>ROUND(SUMIF(RV_DATA!W6:'RV_DATA'!W229, 1847085485, RV_DATA!O6:'RV_DATA'!O229), 6)</f>
        <v>926.87</v>
      </c>
      <c r="Q31">
        <v>2</v>
      </c>
    </row>
    <row r="32" spans="1:17" ht="28.5" x14ac:dyDescent="0.2">
      <c r="A32" s="52" t="s">
        <v>418</v>
      </c>
      <c r="B32" s="43" t="s">
        <v>420</v>
      </c>
      <c r="C32" s="43" t="s">
        <v>354</v>
      </c>
      <c r="D32" s="44">
        <f>ROUND(SUMIF(RV_DATA!W6:'RV_DATA'!W229, 1511781752, RV_DATA!I6:'RV_DATA'!I229), 6)</f>
        <v>0.122</v>
      </c>
      <c r="E32" s="53">
        <f>ROUND(RV_DATA!N77, 2)</f>
        <v>593.01</v>
      </c>
      <c r="F32" s="53">
        <f>ROUND(SUMIF(RV_DATA!W6:'RV_DATA'!W229, 1511781752, RV_DATA!O6:'RV_DATA'!O229), 6)</f>
        <v>72.349999999999994</v>
      </c>
      <c r="Q32">
        <v>2</v>
      </c>
    </row>
    <row r="33" spans="1:17" ht="28.5" x14ac:dyDescent="0.2">
      <c r="A33" s="52" t="s">
        <v>436</v>
      </c>
      <c r="B33" s="43" t="s">
        <v>438</v>
      </c>
      <c r="C33" s="43" t="s">
        <v>354</v>
      </c>
      <c r="D33" s="44">
        <f>ROUND(SUMIF(RV_DATA!W6:'RV_DATA'!W229, -1552611586, RV_DATA!I6:'RV_DATA'!I229), 6)</f>
        <v>2.5833599999999999</v>
      </c>
      <c r="E33" s="53">
        <f>ROUND(RV_DATA!N93, 2)</f>
        <v>416.25</v>
      </c>
      <c r="F33" s="53">
        <f>ROUND(SUMIF(RV_DATA!W6:'RV_DATA'!W229, -1552611586, RV_DATA!O6:'RV_DATA'!O229), 6)</f>
        <v>1075.32</v>
      </c>
      <c r="Q33">
        <v>2</v>
      </c>
    </row>
    <row r="34" spans="1:17" ht="28.5" x14ac:dyDescent="0.2">
      <c r="A34" s="52" t="s">
        <v>355</v>
      </c>
      <c r="B34" s="43" t="s">
        <v>357</v>
      </c>
      <c r="C34" s="43" t="s">
        <v>354</v>
      </c>
      <c r="D34" s="44">
        <f>ROUND(SUMIF(RV_DATA!W6:'RV_DATA'!W229, 956994253, RV_DATA!I6:'RV_DATA'!I229), 6)</f>
        <v>3.138668</v>
      </c>
      <c r="E34" s="53">
        <f>ROUND(RV_DATA!N12, 2)</f>
        <v>1236.3</v>
      </c>
      <c r="F34" s="53">
        <f>ROUND(SUMIF(RV_DATA!W6:'RV_DATA'!W229, 956994253, RV_DATA!O6:'RV_DATA'!O229), 6)</f>
        <v>3880.34</v>
      </c>
      <c r="Q34">
        <v>2</v>
      </c>
    </row>
    <row r="35" spans="1:17" ht="28.5" x14ac:dyDescent="0.2">
      <c r="A35" s="52" t="s">
        <v>439</v>
      </c>
      <c r="B35" s="43" t="s">
        <v>441</v>
      </c>
      <c r="C35" s="43" t="s">
        <v>354</v>
      </c>
      <c r="D35" s="44">
        <f>ROUND(SUMIF(RV_DATA!W6:'RV_DATA'!W229, -139364087, RV_DATA!I6:'RV_DATA'!I229), 6)</f>
        <v>2.2331159999999999</v>
      </c>
      <c r="E35" s="53">
        <f>ROUND(RV_DATA!N92, 2)</f>
        <v>1942.21</v>
      </c>
      <c r="F35" s="53">
        <f>ROUND(SUMIF(RV_DATA!W6:'RV_DATA'!W229, -139364087, RV_DATA!O6:'RV_DATA'!O229), 6)</f>
        <v>4337.18</v>
      </c>
      <c r="Q35">
        <v>2</v>
      </c>
    </row>
    <row r="36" spans="1:17" ht="28.5" x14ac:dyDescent="0.2">
      <c r="A36" s="52" t="s">
        <v>358</v>
      </c>
      <c r="B36" s="43" t="s">
        <v>360</v>
      </c>
      <c r="C36" s="43" t="s">
        <v>354</v>
      </c>
      <c r="D36" s="44">
        <f>ROUND(SUMIF(RV_DATA!W6:'RV_DATA'!W229, -1868528678, RV_DATA!I6:'RV_DATA'!I229), 6)</f>
        <v>16.506951000000001</v>
      </c>
      <c r="E36" s="53">
        <f>ROUND(RV_DATA!N11, 2)</f>
        <v>1207.81</v>
      </c>
      <c r="F36" s="53">
        <f>ROUND(SUMIF(RV_DATA!W6:'RV_DATA'!W229, -1868528678, RV_DATA!O6:'RV_DATA'!O229), 6)</f>
        <v>19937.259999999998</v>
      </c>
      <c r="Q36">
        <v>2</v>
      </c>
    </row>
    <row r="37" spans="1:17" ht="28.5" x14ac:dyDescent="0.2">
      <c r="A37" s="52" t="s">
        <v>361</v>
      </c>
      <c r="B37" s="43" t="s">
        <v>363</v>
      </c>
      <c r="C37" s="43" t="s">
        <v>354</v>
      </c>
      <c r="D37" s="44">
        <f>ROUND(SUMIF(RV_DATA!W6:'RV_DATA'!W229, 745564748, RV_DATA!I6:'RV_DATA'!I229), 6)</f>
        <v>39.262495999999999</v>
      </c>
      <c r="E37" s="53">
        <f>ROUND(RV_DATA!N10, 2)</f>
        <v>1741.23</v>
      </c>
      <c r="F37" s="53">
        <f>ROUND(SUMIF(RV_DATA!W6:'RV_DATA'!W229, 745564748, RV_DATA!O6:'RV_DATA'!O229), 6)</f>
        <v>68365.03</v>
      </c>
      <c r="Q37">
        <v>2</v>
      </c>
    </row>
    <row r="38" spans="1:17" ht="28.5" x14ac:dyDescent="0.2">
      <c r="A38" s="52" t="s">
        <v>370</v>
      </c>
      <c r="B38" s="43" t="s">
        <v>372</v>
      </c>
      <c r="C38" s="43" t="s">
        <v>354</v>
      </c>
      <c r="D38" s="44">
        <f>ROUND(SUMIF(RV_DATA!W6:'RV_DATA'!W229, -810897477, RV_DATA!I6:'RV_DATA'!I229), 6)</f>
        <v>6.3273000000000001</v>
      </c>
      <c r="E38" s="53">
        <f>ROUND(RV_DATA!N17, 2)</f>
        <v>790.63</v>
      </c>
      <c r="F38" s="53">
        <f>ROUND(SUMIF(RV_DATA!W6:'RV_DATA'!W229, -810897477, RV_DATA!O6:'RV_DATA'!O229), 6)</f>
        <v>5002.55</v>
      </c>
      <c r="Q38">
        <v>2</v>
      </c>
    </row>
    <row r="39" spans="1:17" ht="28.5" x14ac:dyDescent="0.2">
      <c r="A39" s="52" t="s">
        <v>364</v>
      </c>
      <c r="B39" s="43" t="s">
        <v>366</v>
      </c>
      <c r="C39" s="43" t="s">
        <v>354</v>
      </c>
      <c r="D39" s="44">
        <f>ROUND(SUMIF(RV_DATA!W6:'RV_DATA'!W229, 1473812673, RV_DATA!I6:'RV_DATA'!I229), 6)</f>
        <v>3.540905</v>
      </c>
      <c r="E39" s="53">
        <f>ROUND(RV_DATA!N9, 2)</f>
        <v>1467.62</v>
      </c>
      <c r="F39" s="53">
        <f>ROUND(SUMIF(RV_DATA!W6:'RV_DATA'!W229, 1473812673, RV_DATA!O6:'RV_DATA'!O229), 6)</f>
        <v>5196.7</v>
      </c>
      <c r="Q39">
        <v>2</v>
      </c>
    </row>
    <row r="40" spans="1:17" ht="28.5" x14ac:dyDescent="0.2">
      <c r="A40" s="52" t="s">
        <v>442</v>
      </c>
      <c r="B40" s="43" t="s">
        <v>444</v>
      </c>
      <c r="C40" s="43" t="s">
        <v>354</v>
      </c>
      <c r="D40" s="44">
        <f>ROUND(SUMIF(RV_DATA!W6:'RV_DATA'!W229, -1400970004, RV_DATA!I6:'RV_DATA'!I229), 6)</f>
        <v>4.8206160000000002</v>
      </c>
      <c r="E40" s="53">
        <f>ROUND(RV_DATA!N91, 2)</f>
        <v>1364.77</v>
      </c>
      <c r="F40" s="53">
        <f>ROUND(SUMIF(RV_DATA!W6:'RV_DATA'!W229, -1400970004, RV_DATA!O6:'RV_DATA'!O229), 6)</f>
        <v>6579.02</v>
      </c>
      <c r="Q40">
        <v>2</v>
      </c>
    </row>
    <row r="41" spans="1:17" ht="28.5" x14ac:dyDescent="0.2">
      <c r="A41" s="52" t="s">
        <v>373</v>
      </c>
      <c r="B41" s="43" t="s">
        <v>375</v>
      </c>
      <c r="C41" s="43" t="s">
        <v>354</v>
      </c>
      <c r="D41" s="44">
        <f>ROUND(SUMIF(RV_DATA!W6:'RV_DATA'!W229, -598600838, RV_DATA!I6:'RV_DATA'!I229), 6)</f>
        <v>19.119450000000001</v>
      </c>
      <c r="E41" s="53">
        <f>ROUND(RV_DATA!N16, 2)</f>
        <v>845.77</v>
      </c>
      <c r="F41" s="53">
        <f>ROUND(SUMIF(RV_DATA!W6:'RV_DATA'!W229, -598600838, RV_DATA!O6:'RV_DATA'!O229), 6)</f>
        <v>16170.65</v>
      </c>
      <c r="Q41">
        <v>2</v>
      </c>
    </row>
    <row r="42" spans="1:17" ht="28.5" x14ac:dyDescent="0.2">
      <c r="A42" s="52" t="s">
        <v>445</v>
      </c>
      <c r="B42" s="43" t="s">
        <v>447</v>
      </c>
      <c r="C42" s="43" t="s">
        <v>354</v>
      </c>
      <c r="D42" s="44">
        <f>ROUND(SUMIF(RV_DATA!W6:'RV_DATA'!W229, -1264291469, RV_DATA!I6:'RV_DATA'!I229), 6)</f>
        <v>1.5069600000000001</v>
      </c>
      <c r="E42" s="53">
        <f>ROUND(RV_DATA!N90, 2)</f>
        <v>1179.56</v>
      </c>
      <c r="F42" s="53">
        <f>ROUND(SUMIF(RV_DATA!W6:'RV_DATA'!W229, -1264291469, RV_DATA!O6:'RV_DATA'!O229), 6)</f>
        <v>1777.54</v>
      </c>
      <c r="Q42">
        <v>2</v>
      </c>
    </row>
    <row r="43" spans="1:17" ht="28.5" x14ac:dyDescent="0.2">
      <c r="A43" s="52" t="s">
        <v>421</v>
      </c>
      <c r="B43" s="43" t="s">
        <v>423</v>
      </c>
      <c r="C43" s="43" t="s">
        <v>354</v>
      </c>
      <c r="D43" s="44">
        <f>ROUND(SUMIF(RV_DATA!W6:'RV_DATA'!W229, -1027426882, RV_DATA!I6:'RV_DATA'!I229), 6)</f>
        <v>62.707999999999998</v>
      </c>
      <c r="E43" s="53">
        <f>ROUND(RV_DATA!N76, 2)</f>
        <v>434.82</v>
      </c>
      <c r="F43" s="53">
        <f>ROUND(SUMIF(RV_DATA!W6:'RV_DATA'!W229, -1027426882, RV_DATA!O6:'RV_DATA'!O229), 6)</f>
        <v>27266.639999999999</v>
      </c>
      <c r="Q43">
        <v>2</v>
      </c>
    </row>
    <row r="44" spans="1:17" ht="15" x14ac:dyDescent="0.25">
      <c r="A44" s="91" t="s">
        <v>614</v>
      </c>
      <c r="B44" s="91"/>
      <c r="C44" s="91"/>
      <c r="D44" s="91"/>
      <c r="E44" s="92">
        <f>SUMIF(Q12:Q43, 2, F12:F43)</f>
        <v>453294.44</v>
      </c>
      <c r="F44" s="91"/>
    </row>
    <row r="45" spans="1:17" ht="14.25" x14ac:dyDescent="0.2">
      <c r="A45" s="89" t="s">
        <v>615</v>
      </c>
      <c r="B45" s="90"/>
      <c r="C45" s="90"/>
      <c r="D45" s="90"/>
      <c r="E45" s="90"/>
      <c r="F45" s="90"/>
    </row>
    <row r="46" spans="1:17" ht="42.75" x14ac:dyDescent="0.2">
      <c r="A46" s="52" t="s">
        <v>505</v>
      </c>
      <c r="B46" s="43" t="s">
        <v>507</v>
      </c>
      <c r="C46" s="43" t="s">
        <v>44</v>
      </c>
      <c r="D46" s="44">
        <f>ROUND(SUMIF(RV_DATA!W6:'RV_DATA'!W229, 343433826, RV_DATA!I6:'RV_DATA'!I229), 6)</f>
        <v>0</v>
      </c>
      <c r="E46" s="53">
        <f>ROUND(RV_DATA!N179, 2)</f>
        <v>43768.57</v>
      </c>
      <c r="F46" s="53">
        <f>ROUND(SUMIF(RV_DATA!W6:'RV_DATA'!W229, 343433826, RV_DATA!O6:'RV_DATA'!O229), 6)</f>
        <v>0</v>
      </c>
      <c r="Q46">
        <v>3</v>
      </c>
    </row>
    <row r="47" spans="1:17" ht="14.25" x14ac:dyDescent="0.2">
      <c r="A47" s="52" t="s">
        <v>448</v>
      </c>
      <c r="B47" s="43" t="s">
        <v>450</v>
      </c>
      <c r="C47" s="43" t="s">
        <v>26</v>
      </c>
      <c r="D47" s="44">
        <f>ROUND(SUMIF(RV_DATA!W6:'RV_DATA'!W229, -48580621, RV_DATA!I6:'RV_DATA'!I229), 6)</f>
        <v>136.62</v>
      </c>
      <c r="E47" s="53">
        <f>ROUND(RV_DATA!N89, 2)</f>
        <v>590.78</v>
      </c>
      <c r="F47" s="53">
        <f>ROUND(SUMIF(RV_DATA!W6:'RV_DATA'!W229, -48580621, RV_DATA!O6:'RV_DATA'!O229), 6)</f>
        <v>80712.36</v>
      </c>
      <c r="Q47">
        <v>3</v>
      </c>
    </row>
    <row r="48" spans="1:17" ht="28.5" x14ac:dyDescent="0.2">
      <c r="A48" s="52" t="s">
        <v>403</v>
      </c>
      <c r="B48" s="43" t="s">
        <v>405</v>
      </c>
      <c r="C48" s="43" t="s">
        <v>26</v>
      </c>
      <c r="D48" s="44">
        <f>ROUND(SUMIF(RV_DATA!W6:'RV_DATA'!W229, -2004412193, RV_DATA!I6:'RV_DATA'!I229), 6)</f>
        <v>3.1164000000000001</v>
      </c>
      <c r="E48" s="53">
        <f>ROUND(RV_DATA!N66, 2)</f>
        <v>590.78</v>
      </c>
      <c r="F48" s="53">
        <f>ROUND(SUMIF(RV_DATA!W6:'RV_DATA'!W229, -2004412193, RV_DATA!O6:'RV_DATA'!O229), 6)</f>
        <v>1841.05</v>
      </c>
      <c r="Q48">
        <v>3</v>
      </c>
    </row>
    <row r="49" spans="1:17" ht="42.75" x14ac:dyDescent="0.2">
      <c r="A49" s="52" t="s">
        <v>33</v>
      </c>
      <c r="B49" s="43" t="s">
        <v>34</v>
      </c>
      <c r="C49" s="43" t="s">
        <v>26</v>
      </c>
      <c r="D49" s="44">
        <f>ROUND(SUMIF(RV_DATA!W6:'RV_DATA'!W229, 1255796807, RV_DATA!I6:'RV_DATA'!I229), 6)</f>
        <v>71.826824999999999</v>
      </c>
      <c r="E49" s="53">
        <f>ROUND(RV_DATA!N15, 2)</f>
        <v>1487.52</v>
      </c>
      <c r="F49" s="53">
        <f>ROUND(SUMIF(RV_DATA!W6:'RV_DATA'!W229, 1255796807, RV_DATA!O6:'RV_DATA'!O229), 6)</f>
        <v>106843.84</v>
      </c>
      <c r="Q49">
        <v>3</v>
      </c>
    </row>
    <row r="50" spans="1:17" ht="42.75" x14ac:dyDescent="0.2">
      <c r="A50" s="52" t="s">
        <v>224</v>
      </c>
      <c r="B50" s="43" t="s">
        <v>225</v>
      </c>
      <c r="C50" s="43" t="s">
        <v>26</v>
      </c>
      <c r="D50" s="44">
        <f>ROUND(SUMIF(RV_DATA!W6:'RV_DATA'!W229, -1861057453, RV_DATA!I6:'RV_DATA'!I229), 6)</f>
        <v>104.328</v>
      </c>
      <c r="E50" s="53">
        <f>ROUND(RV_DATA!N104, 2)</f>
        <v>1487.52</v>
      </c>
      <c r="F50" s="53">
        <f>ROUND(SUMIF(RV_DATA!W6:'RV_DATA'!W229, -1861057453, RV_DATA!O6:'RV_DATA'!O229), 6)</f>
        <v>155189.99</v>
      </c>
      <c r="Q50">
        <v>3</v>
      </c>
    </row>
    <row r="51" spans="1:17" ht="14.25" x14ac:dyDescent="0.2">
      <c r="A51" s="52" t="s">
        <v>367</v>
      </c>
      <c r="B51" s="43" t="s">
        <v>369</v>
      </c>
      <c r="C51" s="43" t="s">
        <v>26</v>
      </c>
      <c r="D51" s="44">
        <f>ROUND(SUMIF(RV_DATA!W6:'RV_DATA'!W229, 711765246, RV_DATA!I6:'RV_DATA'!I229), 6)</f>
        <v>28.98105</v>
      </c>
      <c r="E51" s="53">
        <f>ROUND(RV_DATA!N8, 2)</f>
        <v>33.729999999999997</v>
      </c>
      <c r="F51" s="53">
        <f>ROUND(SUMIF(RV_DATA!W6:'RV_DATA'!W229, 711765246, RV_DATA!O6:'RV_DATA'!O229), 6)</f>
        <v>977.53</v>
      </c>
      <c r="Q51">
        <v>3</v>
      </c>
    </row>
    <row r="52" spans="1:17" ht="28.5" x14ac:dyDescent="0.2">
      <c r="A52" s="52" t="s">
        <v>424</v>
      </c>
      <c r="B52" s="43" t="s">
        <v>426</v>
      </c>
      <c r="C52" s="43" t="s">
        <v>157</v>
      </c>
      <c r="D52" s="44">
        <f>ROUND(SUMIF(RV_DATA!W6:'RV_DATA'!W229, -1282204870, RV_DATA!I6:'RV_DATA'!I229), 6)</f>
        <v>68.319999999999993</v>
      </c>
      <c r="E52" s="53">
        <f>ROUND(RV_DATA!N75, 2)</f>
        <v>12.76</v>
      </c>
      <c r="F52" s="53">
        <f>ROUND(SUMIF(RV_DATA!W6:'RV_DATA'!W229, -1282204870, RV_DATA!O6:'RV_DATA'!O229), 6)</f>
        <v>871.81</v>
      </c>
      <c r="Q52">
        <v>3</v>
      </c>
    </row>
    <row r="53" spans="1:17" ht="14.25" x14ac:dyDescent="0.2">
      <c r="A53" s="52" t="s">
        <v>427</v>
      </c>
      <c r="B53" s="43" t="s">
        <v>429</v>
      </c>
      <c r="C53" s="43" t="s">
        <v>44</v>
      </c>
      <c r="D53" s="44">
        <f>ROUND(SUMIF(RV_DATA!W6:'RV_DATA'!W229, 1463289917, RV_DATA!I6:'RV_DATA'!I229), 6)</f>
        <v>3.8429999999999999E-2</v>
      </c>
      <c r="E53" s="53">
        <f>ROUND(RV_DATA!N74, 2)</f>
        <v>349768.5</v>
      </c>
      <c r="F53" s="53">
        <f>ROUND(SUMIF(RV_DATA!W6:'RV_DATA'!W229, 1463289917, RV_DATA!O6:'RV_DATA'!O229), 6)</f>
        <v>13441.6</v>
      </c>
      <c r="Q53">
        <v>3</v>
      </c>
    </row>
    <row r="54" spans="1:17" ht="42.75" x14ac:dyDescent="0.2">
      <c r="A54" s="52" t="s">
        <v>314</v>
      </c>
      <c r="B54" s="43" t="s">
        <v>315</v>
      </c>
      <c r="C54" s="43" t="s">
        <v>157</v>
      </c>
      <c r="D54" s="44">
        <f>ROUND(SUMIF(RV_DATA!W6:'RV_DATA'!W229, -135823129, RV_DATA!I6:'RV_DATA'!I229), 6)</f>
        <v>0</v>
      </c>
      <c r="E54" s="53">
        <f>ROUND(RV_DATA!N183, 2)</f>
        <v>59.26</v>
      </c>
      <c r="F54" s="53">
        <f>ROUND(SUMIF(RV_DATA!W6:'RV_DATA'!W229, -135823129, RV_DATA!O6:'RV_DATA'!O229), 6)</f>
        <v>0</v>
      </c>
      <c r="Q54">
        <v>3</v>
      </c>
    </row>
    <row r="55" spans="1:17" ht="28.5" x14ac:dyDescent="0.2">
      <c r="A55" s="52" t="s">
        <v>430</v>
      </c>
      <c r="B55" s="43" t="s">
        <v>432</v>
      </c>
      <c r="C55" s="43" t="s">
        <v>210</v>
      </c>
      <c r="D55" s="44">
        <f>ROUND(SUMIF(RV_DATA!W6:'RV_DATA'!W229, 1753636474, RV_DATA!I6:'RV_DATA'!I229), 6)</f>
        <v>17934</v>
      </c>
      <c r="E55" s="53">
        <f>ROUND(RV_DATA!N73, 2)</f>
        <v>18.399999999999999</v>
      </c>
      <c r="F55" s="53">
        <f>ROUND(SUMIF(RV_DATA!W6:'RV_DATA'!W229, 1753636474, RV_DATA!O6:'RV_DATA'!O229), 6)</f>
        <v>329985.59999999998</v>
      </c>
      <c r="Q55">
        <v>3</v>
      </c>
    </row>
    <row r="56" spans="1:17" ht="57" x14ac:dyDescent="0.2">
      <c r="A56" s="52" t="s">
        <v>433</v>
      </c>
      <c r="B56" s="43" t="s">
        <v>435</v>
      </c>
      <c r="C56" s="43" t="s">
        <v>210</v>
      </c>
      <c r="D56" s="44">
        <f>ROUND(SUMIF(RV_DATA!W6:'RV_DATA'!W229, 1501073610, RV_DATA!I6:'RV_DATA'!I229), 6)</f>
        <v>5508.3</v>
      </c>
      <c r="E56" s="53">
        <f>ROUND(RV_DATA!N72, 2)</f>
        <v>189.61</v>
      </c>
      <c r="F56" s="53">
        <f>ROUND(SUMIF(RV_DATA!W6:'RV_DATA'!W229, 1501073610, RV_DATA!O6:'RV_DATA'!O229), 6)</f>
        <v>1044428.82</v>
      </c>
      <c r="Q56">
        <v>3</v>
      </c>
    </row>
    <row r="57" spans="1:17" ht="28.5" x14ac:dyDescent="0.2">
      <c r="A57" s="52" t="s">
        <v>208</v>
      </c>
      <c r="B57" s="43" t="s">
        <v>209</v>
      </c>
      <c r="C57" s="43" t="s">
        <v>210</v>
      </c>
      <c r="D57" s="44">
        <f>ROUND(SUMIF(RV_DATA!W6:'RV_DATA'!W229, 1856330051, RV_DATA!I6:'RV_DATA'!I229), 6)</f>
        <v>640.5</v>
      </c>
      <c r="E57" s="53">
        <f>ROUND(RV_DATA!N86, 2)</f>
        <v>124.48</v>
      </c>
      <c r="F57" s="53">
        <f>ROUND(SUMIF(RV_DATA!W6:'RV_DATA'!W229, 1856330051, RV_DATA!O6:'RV_DATA'!O229), 6)</f>
        <v>79729.440000000002</v>
      </c>
      <c r="Q57">
        <v>3</v>
      </c>
    </row>
    <row r="58" spans="1:17" ht="57" x14ac:dyDescent="0.2">
      <c r="A58" s="52" t="s">
        <v>391</v>
      </c>
      <c r="B58" s="43" t="s">
        <v>393</v>
      </c>
      <c r="C58" s="43" t="s">
        <v>44</v>
      </c>
      <c r="D58" s="44">
        <f>ROUND(SUMIF(RV_DATA!W6:'RV_DATA'!W229, 774807755, RV_DATA!I6:'RV_DATA'!I229), 6)</f>
        <v>7.4579999999999994E-2</v>
      </c>
      <c r="E58" s="53">
        <f>ROUND(RV_DATA!N53, 2)</f>
        <v>74598.09</v>
      </c>
      <c r="F58" s="53">
        <f>ROUND(SUMIF(RV_DATA!W6:'RV_DATA'!W229, 774807755, RV_DATA!O6:'RV_DATA'!O229), 6)</f>
        <v>5563.54</v>
      </c>
      <c r="Q58">
        <v>3</v>
      </c>
    </row>
    <row r="59" spans="1:17" ht="28.5" x14ac:dyDescent="0.2">
      <c r="A59" s="52" t="s">
        <v>394</v>
      </c>
      <c r="B59" s="43" t="s">
        <v>396</v>
      </c>
      <c r="C59" s="43" t="s">
        <v>210</v>
      </c>
      <c r="D59" s="44">
        <f>ROUND(SUMIF(RV_DATA!W6:'RV_DATA'!W229, -1118963088, RV_DATA!I6:'RV_DATA'!I229), 6)</f>
        <v>44.88</v>
      </c>
      <c r="E59" s="53">
        <f>ROUND(RV_DATA!N52, 2)</f>
        <v>80.150000000000006</v>
      </c>
      <c r="F59" s="53">
        <f>ROUND(SUMIF(RV_DATA!W6:'RV_DATA'!W229, -1118963088, RV_DATA!O6:'RV_DATA'!O229), 6)</f>
        <v>3597.13</v>
      </c>
      <c r="Q59">
        <v>3</v>
      </c>
    </row>
    <row r="60" spans="1:17" ht="42.75" x14ac:dyDescent="0.2">
      <c r="A60" s="52" t="s">
        <v>499</v>
      </c>
      <c r="B60" s="43" t="s">
        <v>501</v>
      </c>
      <c r="C60" s="43" t="s">
        <v>26</v>
      </c>
      <c r="D60" s="44">
        <f>ROUND(SUMIF(RV_DATA!W6:'RV_DATA'!W229, 1717879634, RV_DATA!I6:'RV_DATA'!I229), 6)</f>
        <v>0.14000000000000001</v>
      </c>
      <c r="E60" s="53">
        <f>ROUND(RV_DATA!N176, 2)</f>
        <v>7084.08</v>
      </c>
      <c r="F60" s="53">
        <f>ROUND(SUMIF(RV_DATA!W6:'RV_DATA'!W229, 1717879634, RV_DATA!O6:'RV_DATA'!O229), 6)</f>
        <v>991.8</v>
      </c>
      <c r="Q60">
        <v>3</v>
      </c>
    </row>
    <row r="61" spans="1:17" ht="28.5" x14ac:dyDescent="0.2">
      <c r="A61" s="52" t="s">
        <v>143</v>
      </c>
      <c r="B61" s="43" t="s">
        <v>144</v>
      </c>
      <c r="C61" s="43" t="s">
        <v>44</v>
      </c>
      <c r="D61" s="44">
        <f>ROUND(SUMIF(RV_DATA!W6:'RV_DATA'!W229, 1346821691, RV_DATA!I6:'RV_DATA'!I229), 6)</f>
        <v>2.2400000000000002</v>
      </c>
      <c r="E61" s="53">
        <f>ROUND(RV_DATA!N44, 2)</f>
        <v>197.96</v>
      </c>
      <c r="F61" s="53">
        <f>ROUND(SUMIF(RV_DATA!W6:'RV_DATA'!W229, 1346821691, RV_DATA!O6:'RV_DATA'!O229), 6)</f>
        <v>443.43</v>
      </c>
      <c r="Q61">
        <v>3</v>
      </c>
    </row>
    <row r="62" spans="1:17" ht="71.25" x14ac:dyDescent="0.2">
      <c r="A62" s="52" t="s">
        <v>288</v>
      </c>
      <c r="B62" s="43" t="s">
        <v>289</v>
      </c>
      <c r="C62" s="43" t="s">
        <v>44</v>
      </c>
      <c r="D62" s="44">
        <f>ROUND(SUMIF(RV_DATA!W6:'RV_DATA'!W229, -160041233, RV_DATA!I6:'RV_DATA'!I229), 6)</f>
        <v>140</v>
      </c>
      <c r="E62" s="53">
        <f>ROUND(RV_DATA!N166, 2)</f>
        <v>153.63999999999999</v>
      </c>
      <c r="F62" s="53">
        <f>ROUND(SUMIF(RV_DATA!W6:'RV_DATA'!W229, -160041233, RV_DATA!O6:'RV_DATA'!O229), 6)</f>
        <v>21509.599999999999</v>
      </c>
      <c r="Q62">
        <v>3</v>
      </c>
    </row>
    <row r="63" spans="1:17" ht="99.75" x14ac:dyDescent="0.2">
      <c r="A63" s="52" t="s">
        <v>242</v>
      </c>
      <c r="B63" s="43" t="s">
        <v>243</v>
      </c>
      <c r="C63" s="43" t="s">
        <v>44</v>
      </c>
      <c r="D63" s="44">
        <f>ROUND(SUMIF(RV_DATA!W6:'RV_DATA'!W229, 579862893, RV_DATA!I6:'RV_DATA'!I229), 6)</f>
        <v>141.70008000000001</v>
      </c>
      <c r="E63" s="53">
        <f>ROUND(RV_DATA!N117, 2)</f>
        <v>150.61000000000001</v>
      </c>
      <c r="F63" s="53">
        <f>ROUND(SUMIF(RV_DATA!W6:'RV_DATA'!W229, 579862893, RV_DATA!O6:'RV_DATA'!O229), 6)</f>
        <v>21341.45</v>
      </c>
      <c r="Q63">
        <v>3</v>
      </c>
    </row>
    <row r="64" spans="1:17" ht="71.25" x14ac:dyDescent="0.2">
      <c r="A64" s="52" t="s">
        <v>478</v>
      </c>
      <c r="B64" s="43" t="s">
        <v>480</v>
      </c>
      <c r="C64" s="43" t="s">
        <v>26</v>
      </c>
      <c r="D64" s="44">
        <f>ROUND(SUMIF(RV_DATA!W6:'RV_DATA'!W229, 990398526, RV_DATA!I6:'RV_DATA'!I229), 6)</f>
        <v>15.635</v>
      </c>
      <c r="E64" s="53">
        <f>ROUND(RV_DATA!N138, 2)</f>
        <v>3791.18</v>
      </c>
      <c r="F64" s="53">
        <f>ROUND(SUMIF(RV_DATA!W6:'RV_DATA'!W229, 990398526, RV_DATA!O6:'RV_DATA'!O229), 6)</f>
        <v>59275.199999999997</v>
      </c>
      <c r="Q64">
        <v>3</v>
      </c>
    </row>
    <row r="65" spans="1:17" ht="57" x14ac:dyDescent="0.2">
      <c r="A65" s="52" t="s">
        <v>457</v>
      </c>
      <c r="B65" s="43" t="s">
        <v>459</v>
      </c>
      <c r="C65" s="43" t="s">
        <v>26</v>
      </c>
      <c r="D65" s="44">
        <f>ROUND(SUMIF(RV_DATA!W6:'RV_DATA'!W229, 1337649485, RV_DATA!I6:'RV_DATA'!I229), 6)</f>
        <v>23.1555</v>
      </c>
      <c r="E65" s="53">
        <f>ROUND(RV_DATA!N108, 2)</f>
        <v>3869.68</v>
      </c>
      <c r="F65" s="53">
        <f>ROUND(SUMIF(RV_DATA!W6:'RV_DATA'!W229, 1337649485, RV_DATA!O6:'RV_DATA'!O229), 6)</f>
        <v>89604.35</v>
      </c>
      <c r="Q65">
        <v>3</v>
      </c>
    </row>
    <row r="66" spans="1:17" ht="14.25" x14ac:dyDescent="0.2">
      <c r="A66" s="52" t="s">
        <v>460</v>
      </c>
      <c r="B66" s="43" t="s">
        <v>462</v>
      </c>
      <c r="C66" s="43" t="s">
        <v>26</v>
      </c>
      <c r="D66" s="44">
        <f>ROUND(SUMIF(RV_DATA!W6:'RV_DATA'!W229, 742324980, RV_DATA!I6:'RV_DATA'!I229), 6)</f>
        <v>0.26669999999999999</v>
      </c>
      <c r="E66" s="53">
        <f>ROUND(RV_DATA!N107, 2)</f>
        <v>3003.56</v>
      </c>
      <c r="F66" s="53">
        <f>ROUND(SUMIF(RV_DATA!W6:'RV_DATA'!W229, 742324980, RV_DATA!O6:'RV_DATA'!O229), 6)</f>
        <v>800.48</v>
      </c>
      <c r="Q66">
        <v>3</v>
      </c>
    </row>
    <row r="67" spans="1:17" ht="57" x14ac:dyDescent="0.2">
      <c r="A67" s="52" t="s">
        <v>406</v>
      </c>
      <c r="B67" s="43" t="s">
        <v>408</v>
      </c>
      <c r="C67" s="43" t="s">
        <v>44</v>
      </c>
      <c r="D67" s="44">
        <f>ROUND(SUMIF(RV_DATA!W6:'RV_DATA'!W229, 962882035, RV_DATA!I6:'RV_DATA'!I229), 6)</f>
        <v>126.5852</v>
      </c>
      <c r="E67" s="53">
        <f>ROUND(RV_DATA!N65, 2)</f>
        <v>3130.47</v>
      </c>
      <c r="F67" s="53">
        <f>ROUND(SUMIF(RV_DATA!W6:'RV_DATA'!W229, 962882035, RV_DATA!O6:'RV_DATA'!O229), 6)</f>
        <v>396271.18</v>
      </c>
      <c r="Q67">
        <v>3</v>
      </c>
    </row>
    <row r="68" spans="1:17" ht="28.5" x14ac:dyDescent="0.2">
      <c r="A68" s="52" t="s">
        <v>47</v>
      </c>
      <c r="B68" s="43" t="s">
        <v>48</v>
      </c>
      <c r="C68" s="43" t="s">
        <v>44</v>
      </c>
      <c r="D68" s="44">
        <f>ROUND(SUMIF(RV_DATA!W6:'RV_DATA'!W229, 1111470581, RV_DATA!I6:'RV_DATA'!I229), 6)</f>
        <v>160.52085</v>
      </c>
      <c r="E68" s="53">
        <f>ROUND(RV_DATA!N19, 2)</f>
        <v>2628.2</v>
      </c>
      <c r="F68" s="53">
        <f>ROUND(SUMIF(RV_DATA!W6:'RV_DATA'!W229, 1111470581, RV_DATA!O6:'RV_DATA'!O229), 6)</f>
        <v>421880.9</v>
      </c>
      <c r="Q68">
        <v>3</v>
      </c>
    </row>
    <row r="69" spans="1:17" ht="28.5" x14ac:dyDescent="0.2">
      <c r="A69" s="52" t="s">
        <v>502</v>
      </c>
      <c r="B69" s="43" t="s">
        <v>504</v>
      </c>
      <c r="C69" s="43" t="s">
        <v>157</v>
      </c>
      <c r="D69" s="44">
        <f>ROUND(SUMIF(RV_DATA!W6:'RV_DATA'!W229, -1313239662, RV_DATA!I6:'RV_DATA'!I229), 6)</f>
        <v>1070</v>
      </c>
      <c r="E69" s="53">
        <f>ROUND(RV_DATA!N175, 2)</f>
        <v>131.28</v>
      </c>
      <c r="F69" s="53">
        <f>ROUND(SUMIF(RV_DATA!W6:'RV_DATA'!W229, -1313239662, RV_DATA!O6:'RV_DATA'!O229), 6)</f>
        <v>140469.6</v>
      </c>
      <c r="Q69">
        <v>3</v>
      </c>
    </row>
    <row r="70" spans="1:17" ht="14.25" x14ac:dyDescent="0.2">
      <c r="A70" s="52" t="s">
        <v>496</v>
      </c>
      <c r="B70" s="43" t="s">
        <v>498</v>
      </c>
      <c r="C70" s="43" t="s">
        <v>26</v>
      </c>
      <c r="D70" s="44">
        <f>ROUND(SUMIF(RV_DATA!W6:'RV_DATA'!W229, -1934814292, RV_DATA!I6:'RV_DATA'!I229), 6)</f>
        <v>100</v>
      </c>
      <c r="E70" s="53">
        <f>ROUND(RV_DATA!N167, 2)</f>
        <v>753.67</v>
      </c>
      <c r="F70" s="53">
        <f>ROUND(SUMIF(RV_DATA!W6:'RV_DATA'!W229, -1934814292, RV_DATA!O6:'RV_DATA'!O229), 6)</f>
        <v>75367.009999999995</v>
      </c>
      <c r="Q70">
        <v>3</v>
      </c>
    </row>
    <row r="71" spans="1:17" ht="28.5" x14ac:dyDescent="0.2">
      <c r="A71" s="52" t="s">
        <v>463</v>
      </c>
      <c r="B71" s="43" t="s">
        <v>465</v>
      </c>
      <c r="C71" s="43" t="s">
        <v>26</v>
      </c>
      <c r="D71" s="44">
        <f>ROUND(SUMIF(RV_DATA!W6:'RV_DATA'!W229, -1377219448, RV_DATA!I6:'RV_DATA'!I229), 6)</f>
        <v>8.6159999999999997</v>
      </c>
      <c r="E71" s="53">
        <f>ROUND(RV_DATA!N106, 2)</f>
        <v>8977.86</v>
      </c>
      <c r="F71" s="53">
        <f>ROUND(SUMIF(RV_DATA!W6:'RV_DATA'!W229, -1377219448, RV_DATA!O6:'RV_DATA'!O229), 6)</f>
        <v>77353.259999999995</v>
      </c>
      <c r="Q71">
        <v>3</v>
      </c>
    </row>
    <row r="72" spans="1:17" ht="28.5" x14ac:dyDescent="0.2">
      <c r="A72" s="52" t="s">
        <v>481</v>
      </c>
      <c r="B72" s="43" t="s">
        <v>483</v>
      </c>
      <c r="C72" s="43" t="s">
        <v>26</v>
      </c>
      <c r="D72" s="44">
        <f>ROUND(SUMIF(RV_DATA!W6:'RV_DATA'!W229, -582468387, RV_DATA!I6:'RV_DATA'!I229), 6)</f>
        <v>11.554</v>
      </c>
      <c r="E72" s="53">
        <f>ROUND(RV_DATA!N136, 2)</f>
        <v>6544.04</v>
      </c>
      <c r="F72" s="53">
        <f>ROUND(SUMIF(RV_DATA!W6:'RV_DATA'!W229, -582468387, RV_DATA!O6:'RV_DATA'!O229), 6)</f>
        <v>75609.8</v>
      </c>
      <c r="Q72">
        <v>3</v>
      </c>
    </row>
    <row r="73" spans="1:17" ht="42.75" x14ac:dyDescent="0.2">
      <c r="A73" s="52" t="s">
        <v>189</v>
      </c>
      <c r="B73" s="43" t="s">
        <v>190</v>
      </c>
      <c r="C73" s="43" t="s">
        <v>157</v>
      </c>
      <c r="D73" s="44">
        <f>ROUND(SUMIF(RV_DATA!W6:'RV_DATA'!W229, -1902752853, RV_DATA!I6:'RV_DATA'!I229), 6)</f>
        <v>1558.2</v>
      </c>
      <c r="E73" s="53">
        <f>ROUND(RV_DATA!N70, 2)</f>
        <v>820.08</v>
      </c>
      <c r="F73" s="53">
        <f>ROUND(SUMIF(RV_DATA!W6:'RV_DATA'!W229, -1902752853, RV_DATA!O6:'RV_DATA'!O229), 6)</f>
        <v>1277848.6599999999</v>
      </c>
      <c r="Q73">
        <v>3</v>
      </c>
    </row>
    <row r="74" spans="1:17" ht="28.5" x14ac:dyDescent="0.2">
      <c r="A74" s="52" t="s">
        <v>409</v>
      </c>
      <c r="B74" s="43" t="s">
        <v>411</v>
      </c>
      <c r="C74" s="43" t="s">
        <v>166</v>
      </c>
      <c r="D74" s="44">
        <f>ROUND(SUMIF(RV_DATA!W6:'RV_DATA'!W229, -1199737582, RV_DATA!I6:'RV_DATA'!I229), 6)</f>
        <v>22.26</v>
      </c>
      <c r="E74" s="53">
        <f>ROUND(RV_DATA!N64, 2)</f>
        <v>4170.97</v>
      </c>
      <c r="F74" s="53">
        <f>ROUND(SUMIF(RV_DATA!W6:'RV_DATA'!W229, -1199737582, RV_DATA!O6:'RV_DATA'!O229), 6)</f>
        <v>92845.87</v>
      </c>
      <c r="Q74">
        <v>3</v>
      </c>
    </row>
    <row r="75" spans="1:17" ht="28.5" x14ac:dyDescent="0.2">
      <c r="A75" s="52" t="s">
        <v>155</v>
      </c>
      <c r="B75" s="43" t="s">
        <v>156</v>
      </c>
      <c r="C75" s="43" t="s">
        <v>157</v>
      </c>
      <c r="D75" s="44">
        <f>ROUND(SUMIF(RV_DATA!W6:'RV_DATA'!W229, -1069363996, RV_DATA!I6:'RV_DATA'!I229), 6)</f>
        <v>280</v>
      </c>
      <c r="E75" s="53">
        <f>ROUND(RV_DATA!N47, 2)</f>
        <v>875</v>
      </c>
      <c r="F75" s="53">
        <f>ROUND(SUMIF(RV_DATA!W6:'RV_DATA'!W229, -1069363996, RV_DATA!O6:'RV_DATA'!O229), 6)</f>
        <v>245000</v>
      </c>
      <c r="Q75">
        <v>3</v>
      </c>
    </row>
    <row r="76" spans="1:17" ht="28.5" x14ac:dyDescent="0.2">
      <c r="A76" s="52" t="s">
        <v>155</v>
      </c>
      <c r="B76" s="43" t="s">
        <v>165</v>
      </c>
      <c r="C76" s="43" t="s">
        <v>166</v>
      </c>
      <c r="D76" s="44">
        <f>ROUND(SUMIF(RV_DATA!W6:'RV_DATA'!W229, 581170935, RV_DATA!I6:'RV_DATA'!I229), 6)</f>
        <v>1080</v>
      </c>
      <c r="E76" s="53">
        <f>ROUND(RV_DATA!N48, 2)</f>
        <v>7.5</v>
      </c>
      <c r="F76" s="53">
        <f>ROUND(SUMIF(RV_DATA!W6:'RV_DATA'!W229, 581170935, RV_DATA!O6:'RV_DATA'!O229), 6)</f>
        <v>8100</v>
      </c>
      <c r="Q76">
        <v>3</v>
      </c>
    </row>
    <row r="77" spans="1:17" ht="28.5" x14ac:dyDescent="0.2">
      <c r="A77" s="52" t="s">
        <v>155</v>
      </c>
      <c r="B77" s="43" t="s">
        <v>169</v>
      </c>
      <c r="C77" s="43" t="s">
        <v>166</v>
      </c>
      <c r="D77" s="44">
        <f>ROUND(SUMIF(RV_DATA!W6:'RV_DATA'!W229, -1180167857, RV_DATA!I6:'RV_DATA'!I229), 6)</f>
        <v>4492</v>
      </c>
      <c r="E77" s="53">
        <f>ROUND(RV_DATA!N49, 2)</f>
        <v>7.5</v>
      </c>
      <c r="F77" s="53">
        <f>ROUND(SUMIF(RV_DATA!W6:'RV_DATA'!W229, -1180167857, RV_DATA!O6:'RV_DATA'!O229), 6)</f>
        <v>33690</v>
      </c>
      <c r="Q77">
        <v>3</v>
      </c>
    </row>
    <row r="78" spans="1:17" ht="15" x14ac:dyDescent="0.25">
      <c r="A78" s="91" t="s">
        <v>616</v>
      </c>
      <c r="B78" s="91"/>
      <c r="C78" s="91"/>
      <c r="D78" s="91"/>
      <c r="E78" s="92">
        <f>SUMIF(Q46:Q77, 3, F46:F77)</f>
        <v>4861585.3</v>
      </c>
      <c r="F78" s="91"/>
    </row>
  </sheetData>
  <sortState xmlns:xlrd2="http://schemas.microsoft.com/office/spreadsheetml/2017/richdata2" ref="A46:Q77">
    <sortCondition ref="A46"/>
  </sortState>
  <mergeCells count="16">
    <mergeCell ref="A2:F2"/>
    <mergeCell ref="A3:F3"/>
    <mergeCell ref="A4:A6"/>
    <mergeCell ref="B4:B6"/>
    <mergeCell ref="C4:C6"/>
    <mergeCell ref="D4:D6"/>
    <mergeCell ref="E4:F5"/>
    <mergeCell ref="A45:F45"/>
    <mergeCell ref="A78:D78"/>
    <mergeCell ref="E78:F78"/>
    <mergeCell ref="A8:F8"/>
    <mergeCell ref="A10:D10"/>
    <mergeCell ref="E10:F10"/>
    <mergeCell ref="A11:F11"/>
    <mergeCell ref="A44:D44"/>
    <mergeCell ref="E44:F44"/>
  </mergeCells>
  <pageMargins left="0.6" right="0.4" top="0.65" bottom="0.4" header="0.4" footer="0.4"/>
  <pageSetup paperSize="9" scale="90" fitToHeight="0" orientation="portrait" r:id="rId1"/>
  <headerFooter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813F1-9CB9-40E1-95BA-F18D72F57B4B}">
  <sheetPr>
    <pageSetUpPr fitToPage="1"/>
  </sheetPr>
  <dimension ref="A1:R281"/>
  <sheetViews>
    <sheetView zoomScaleNormal="100" workbookViewId="0"/>
  </sheetViews>
  <sheetFormatPr defaultRowHeight="12.75" x14ac:dyDescent="0.2"/>
  <cols>
    <col min="1" max="1" width="6.7109375" customWidth="1"/>
    <col min="2" max="2" width="15.7109375" customWidth="1"/>
    <col min="3" max="3" width="45.7109375" customWidth="1"/>
    <col min="4" max="7" width="12.7109375" customWidth="1"/>
    <col min="18" max="18" width="117.7109375" customWidth="1"/>
  </cols>
  <sheetData>
    <row r="1" spans="1:18" x14ac:dyDescent="0.2">
      <c r="A1" s="8" t="str">
        <f>Source!B1</f>
        <v>Smeta.RU  (495) 974-1589</v>
      </c>
    </row>
    <row r="2" spans="1:18" ht="14.25" x14ac:dyDescent="0.2">
      <c r="A2" s="11"/>
      <c r="B2" s="11"/>
      <c r="C2" s="11"/>
      <c r="D2" s="11"/>
      <c r="E2" s="11"/>
      <c r="F2" s="11"/>
      <c r="G2" s="11"/>
    </row>
    <row r="3" spans="1:18" ht="15.75" x14ac:dyDescent="0.25">
      <c r="A3" s="82" t="str">
        <f>IF(Source!G12&lt;&gt;"Новый объект", Source!G12, "")</f>
        <v>ГБОУ Школа № 1788 г. Москва, пос. Внуковское, ул. Летчика Грицевца, д. 5, к. 1_(Рем)</v>
      </c>
      <c r="B3" s="82"/>
      <c r="C3" s="82"/>
      <c r="D3" s="82"/>
      <c r="E3" s="82"/>
      <c r="F3" s="82"/>
      <c r="G3" s="82"/>
      <c r="R3" s="55" t="str">
        <f>IF(Source!G12&lt;&gt;"Новый объект", Source!G12, "")</f>
        <v>ГБОУ Школа № 1788 г. Москва, пос. Внуковское, ул. Летчика Грицевца, д. 5, к. 1_(Рем)</v>
      </c>
    </row>
    <row r="4" spans="1:18" x14ac:dyDescent="0.2">
      <c r="A4" s="102" t="s">
        <v>617</v>
      </c>
      <c r="B4" s="102"/>
      <c r="C4" s="102"/>
      <c r="D4" s="102"/>
      <c r="E4" s="102"/>
      <c r="F4" s="102"/>
      <c r="G4" s="102"/>
    </row>
    <row r="5" spans="1:18" ht="14.25" x14ac:dyDescent="0.2">
      <c r="A5" s="11"/>
      <c r="B5" s="11"/>
      <c r="C5" s="11"/>
      <c r="D5" s="11"/>
      <c r="E5" s="11"/>
      <c r="F5" s="11"/>
      <c r="G5" s="11"/>
    </row>
    <row r="6" spans="1:18" ht="15.75" x14ac:dyDescent="0.25">
      <c r="A6" s="87" t="str">
        <f>CONCATENATE("ЛЛОКАЛЬНАЯ РЕСУРСНАЯ ВЕДОМОСТЬ № ",IF(Source!F12&lt;&gt;"Новый объект", Source!F12, ""))</f>
        <v xml:space="preserve">ЛЛОКАЛЬНАЯ РЕСУРСНАЯ ВЕДОМОСТЬ № </v>
      </c>
      <c r="B6" s="103"/>
      <c r="C6" s="103"/>
      <c r="D6" s="103"/>
      <c r="E6" s="103"/>
      <c r="F6" s="103"/>
      <c r="G6" s="103"/>
    </row>
    <row r="7" spans="1:18" ht="14.25" x14ac:dyDescent="0.2">
      <c r="A7" s="11"/>
      <c r="B7" s="11"/>
      <c r="C7" s="11"/>
      <c r="D7" s="11"/>
      <c r="E7" s="11"/>
      <c r="F7" s="11"/>
      <c r="G7" s="11"/>
    </row>
    <row r="8" spans="1:18" ht="36" x14ac:dyDescent="0.25">
      <c r="A8" s="79" t="str">
        <f>IF(Source!G12&lt;&gt;"Новая локальная смета", Source!G12, "")</f>
        <v>ГБОУ Школа № 1788 г. Москва, пос. Внуковское, ул. Летчика Грицевца, д. 5, к. 1_(Рем)</v>
      </c>
      <c r="B8" s="79"/>
      <c r="C8" s="79"/>
      <c r="D8" s="79"/>
      <c r="E8" s="79"/>
      <c r="F8" s="79"/>
      <c r="G8" s="79"/>
      <c r="R8" s="56" t="str">
        <f>IF(Source!G12&lt;&gt;"Новая локальная смета", Source!G12, "")</f>
        <v>ГБОУ Школа № 1788 г. Москва, пос. Внуковское, ул. Летчика Грицевца, д. 5, к. 1_(Рем)</v>
      </c>
    </row>
    <row r="9" spans="1:18" x14ac:dyDescent="0.2">
      <c r="A9" s="80" t="s">
        <v>618</v>
      </c>
      <c r="B9" s="81"/>
      <c r="C9" s="81"/>
      <c r="D9" s="81"/>
      <c r="E9" s="81"/>
      <c r="F9" s="81"/>
      <c r="G9" s="81"/>
    </row>
    <row r="10" spans="1:18" ht="14.25" x14ac:dyDescent="0.2">
      <c r="A10" s="11"/>
      <c r="B10" s="11"/>
      <c r="C10" s="11"/>
      <c r="D10" s="11"/>
      <c r="E10" s="11"/>
      <c r="F10" s="11"/>
      <c r="G10" s="11"/>
    </row>
    <row r="11" spans="1:18" ht="14.25" x14ac:dyDescent="0.2">
      <c r="A11" s="104" t="s">
        <v>519</v>
      </c>
      <c r="B11" s="104"/>
      <c r="C11" s="54" t="str">
        <f>Source!J12</f>
        <v/>
      </c>
      <c r="D11" s="54"/>
      <c r="E11" s="54"/>
      <c r="F11" s="54"/>
      <c r="G11" s="54"/>
    </row>
    <row r="12" spans="1:18" ht="14.25" x14ac:dyDescent="0.2">
      <c r="A12" s="22"/>
      <c r="B12" s="22"/>
      <c r="C12" s="22"/>
      <c r="D12" s="22"/>
      <c r="E12" s="22"/>
      <c r="F12" s="22"/>
      <c r="G12" s="22"/>
    </row>
    <row r="13" spans="1:18" ht="14.25" x14ac:dyDescent="0.2">
      <c r="A13" s="11"/>
      <c r="B13" s="11"/>
      <c r="C13" s="11"/>
      <c r="D13" s="11"/>
      <c r="E13" s="11"/>
      <c r="F13" s="13"/>
      <c r="G13" s="13"/>
    </row>
    <row r="14" spans="1:18" ht="14.25" x14ac:dyDescent="0.2">
      <c r="A14" s="11" t="s">
        <v>619</v>
      </c>
      <c r="B14" s="11"/>
      <c r="C14" s="11"/>
      <c r="D14" s="11"/>
      <c r="E14" s="11"/>
      <c r="F14" s="13"/>
      <c r="G14" s="13"/>
    </row>
    <row r="15" spans="1:18" ht="57" x14ac:dyDescent="0.2">
      <c r="A15" s="18" t="s">
        <v>564</v>
      </c>
      <c r="B15" s="18" t="s">
        <v>620</v>
      </c>
      <c r="C15" s="18" t="s">
        <v>621</v>
      </c>
      <c r="D15" s="18" t="s">
        <v>530</v>
      </c>
      <c r="E15" s="18" t="s">
        <v>622</v>
      </c>
      <c r="F15" s="38" t="s">
        <v>623</v>
      </c>
      <c r="G15" s="38" t="s">
        <v>624</v>
      </c>
    </row>
    <row r="16" spans="1:18" ht="14.25" x14ac:dyDescent="0.2">
      <c r="A16" s="18">
        <v>1</v>
      </c>
      <c r="B16" s="18">
        <v>2</v>
      </c>
      <c r="C16" s="18">
        <v>3</v>
      </c>
      <c r="D16" s="18">
        <v>4</v>
      </c>
      <c r="E16" s="18">
        <v>5</v>
      </c>
      <c r="F16" s="18">
        <v>6</v>
      </c>
      <c r="G16" s="18">
        <v>7</v>
      </c>
    </row>
    <row r="17" spans="1:18" ht="33" x14ac:dyDescent="0.25">
      <c r="A17" s="101" t="str">
        <f>Source!G20</f>
        <v>Благоустройство территории, прилегающей к ГБОУ Школа № 1788 по адресу: г. Москва, пос. Внуковское, ул. Летчика Грицевца, д. 5, к. 1</v>
      </c>
      <c r="B17" s="101"/>
      <c r="C17" s="101"/>
      <c r="D17" s="101"/>
      <c r="E17" s="101"/>
      <c r="F17" s="101"/>
      <c r="G17" s="101"/>
      <c r="R17" s="57" t="str">
        <f>Source!G20</f>
        <v>Благоустройство территории, прилегающей к ГБОУ Школа № 1788 по адресу: г. Москва, пос. Внуковское, ул. Летчика Грицевца, д. 5, к. 1</v>
      </c>
    </row>
    <row r="18" spans="1:18" ht="16.5" x14ac:dyDescent="0.25">
      <c r="A18" s="101" t="str">
        <f>Source!G24</f>
        <v>Ремонт асфальтобетонного покрытия тротуаров (155,5 м2)</v>
      </c>
      <c r="B18" s="101"/>
      <c r="C18" s="101"/>
      <c r="D18" s="101"/>
      <c r="E18" s="101"/>
      <c r="F18" s="101"/>
      <c r="G18" s="101"/>
    </row>
    <row r="19" spans="1:18" ht="42.75" x14ac:dyDescent="0.25">
      <c r="A19" s="58" t="str">
        <f>Source!E28</f>
        <v>1</v>
      </c>
      <c r="B19" s="59" t="str">
        <f>Source!F28</f>
        <v>2.1-3301-2-1/1</v>
      </c>
      <c r="C19" s="42" t="str">
        <f>Source!G28</f>
        <v>Исправление профиля щебеночных оснований с добавлением нового материала</v>
      </c>
      <c r="D19" s="61" t="str">
        <f>Source!H28</f>
        <v>1000 м2</v>
      </c>
      <c r="E19" s="60"/>
      <c r="F19" s="44"/>
      <c r="G19" s="62">
        <f>Source!I28</f>
        <v>4.6649999999999997E-2</v>
      </c>
    </row>
    <row r="20" spans="1:18" x14ac:dyDescent="0.2">
      <c r="A20" s="51"/>
      <c r="B20" s="51"/>
      <c r="C20" s="63" t="str">
        <f>"Объем: "&amp;Source!I28&amp;"=("&amp;Source!I32&amp;"*"&amp;"0,3)/"&amp;"10"</f>
        <v>Объем: 0,04665=(1,555*0,3)/10</v>
      </c>
      <c r="D20" s="51"/>
      <c r="E20" s="51"/>
      <c r="F20" s="51"/>
      <c r="G20" s="51"/>
    </row>
    <row r="21" spans="1:18" ht="14.25" x14ac:dyDescent="0.2">
      <c r="A21" s="58">
        <v>1.1000000000000001</v>
      </c>
      <c r="B21" s="42" t="str">
        <f>SmtRes!I1</f>
        <v>9999990008</v>
      </c>
      <c r="C21" s="42" t="str">
        <f>SmtRes!K1</f>
        <v>Трудозатраты рабочих</v>
      </c>
      <c r="D21" s="43" t="str">
        <f>SmtRes!O1</f>
        <v>чел.-ч.</v>
      </c>
      <c r="E21" s="60">
        <f>SmtRes!AT1</f>
        <v>87.29</v>
      </c>
      <c r="F21" s="44" t="str">
        <f>SmtRes!AU1</f>
        <v/>
      </c>
      <c r="G21" s="60">
        <f>SmtRes!Y1*Source!I28</f>
        <v>4.0720784999999999</v>
      </c>
    </row>
    <row r="22" spans="1:18" ht="28.5" x14ac:dyDescent="0.2">
      <c r="A22" s="58">
        <v>1.2</v>
      </c>
      <c r="B22" s="42" t="str">
        <f>SmtRes!I2</f>
        <v>22.1-2-1</v>
      </c>
      <c r="C22" s="42" t="str">
        <f>SmtRes!K2</f>
        <v>Тракторы на гусеничном ходу, мощность до 60 (81) кВт (л.с.)</v>
      </c>
      <c r="D22" s="43" t="str">
        <f>SmtRes!O2</f>
        <v>маш.-ч</v>
      </c>
      <c r="E22" s="60">
        <f>SmtRes!AT2</f>
        <v>1.59</v>
      </c>
      <c r="F22" s="44" t="str">
        <f>SmtRes!AU2</f>
        <v/>
      </c>
      <c r="G22" s="60">
        <f>SmtRes!Y2*Source!I28</f>
        <v>7.4173500000000003E-2</v>
      </c>
    </row>
    <row r="23" spans="1:18" ht="28.5" x14ac:dyDescent="0.2">
      <c r="A23" s="58">
        <v>1.3</v>
      </c>
      <c r="B23" s="42" t="str">
        <f>SmtRes!I3</f>
        <v>22.1-5-17</v>
      </c>
      <c r="C23" s="42" t="str">
        <f>SmtRes!K3</f>
        <v>Поливомоечные машины, емкость цистерны до 5000 л</v>
      </c>
      <c r="D23" s="43" t="str">
        <f>SmtRes!O3</f>
        <v>маш.-ч</v>
      </c>
      <c r="E23" s="60">
        <f>SmtRes!AT3</f>
        <v>5.15</v>
      </c>
      <c r="F23" s="44" t="str">
        <f>SmtRes!AU3</f>
        <v/>
      </c>
      <c r="G23" s="60">
        <f>SmtRes!Y3*Source!I28</f>
        <v>0.2402475</v>
      </c>
    </row>
    <row r="24" spans="1:18" ht="28.5" x14ac:dyDescent="0.2">
      <c r="A24" s="58">
        <v>1.4</v>
      </c>
      <c r="B24" s="42" t="str">
        <f>SmtRes!I4</f>
        <v>22.1-5-2</v>
      </c>
      <c r="C24" s="42" t="str">
        <f>SmtRes!K4</f>
        <v>Катки самоходные вибрационные, масса до 8 т</v>
      </c>
      <c r="D24" s="43" t="str">
        <f>SmtRes!O4</f>
        <v>маш.-ч</v>
      </c>
      <c r="E24" s="60">
        <f>SmtRes!AT4</f>
        <v>11.26</v>
      </c>
      <c r="F24" s="44" t="str">
        <f>SmtRes!AU4</f>
        <v/>
      </c>
      <c r="G24" s="60">
        <f>SmtRes!Y4*Source!I28</f>
        <v>0.52527899999999994</v>
      </c>
    </row>
    <row r="25" spans="1:18" ht="28.5" x14ac:dyDescent="0.2">
      <c r="A25" s="58">
        <v>1.5</v>
      </c>
      <c r="B25" s="42" t="str">
        <f>SmtRes!I5</f>
        <v>22.1-5-3</v>
      </c>
      <c r="C25" s="42" t="str">
        <f>SmtRes!K5</f>
        <v>Катки самоходные вибрационные, масса более 8 т</v>
      </c>
      <c r="D25" s="43" t="str">
        <f>SmtRes!O5</f>
        <v>маш.-ч</v>
      </c>
      <c r="E25" s="60">
        <f>SmtRes!AT5</f>
        <v>32.19</v>
      </c>
      <c r="F25" s="44" t="str">
        <f>SmtRes!AU5</f>
        <v/>
      </c>
      <c r="G25" s="60">
        <f>SmtRes!Y5*Source!I28</f>
        <v>1.5016634999999998</v>
      </c>
    </row>
    <row r="26" spans="1:18" ht="28.5" x14ac:dyDescent="0.2">
      <c r="A26" s="58">
        <v>1.6</v>
      </c>
      <c r="B26" s="42" t="str">
        <f>SmtRes!I6</f>
        <v>22.1-5-47</v>
      </c>
      <c r="C26" s="42" t="str">
        <f>SmtRes!K6</f>
        <v>Автогрейдеры, мощность 66-88 кВт (90-120 л.с.)</v>
      </c>
      <c r="D26" s="43" t="str">
        <f>SmtRes!O6</f>
        <v>маш.-ч</v>
      </c>
      <c r="E26" s="60">
        <f>SmtRes!AT6</f>
        <v>5.81</v>
      </c>
      <c r="F26" s="44" t="str">
        <f>SmtRes!AU6</f>
        <v/>
      </c>
      <c r="G26" s="60">
        <f>SmtRes!Y6*Source!I28</f>
        <v>0.27103649999999996</v>
      </c>
    </row>
    <row r="27" spans="1:18" ht="42.75" x14ac:dyDescent="0.2">
      <c r="A27" s="58">
        <v>1.7</v>
      </c>
      <c r="B27" s="42" t="str">
        <f>SmtRes!I7</f>
        <v>21.1-12-29</v>
      </c>
      <c r="C27" s="42" t="str">
        <f>SmtRes!K7</f>
        <v>Щебень из естественного камня для строительных работ, марка 600-400, фракция 5-10 мм</v>
      </c>
      <c r="D27" s="43" t="str">
        <f>SmtRes!O7</f>
        <v>м3</v>
      </c>
      <c r="E27" s="60">
        <f>SmtRes!AT7</f>
        <v>66.5</v>
      </c>
      <c r="F27" s="44" t="str">
        <f>SmtRes!AU7</f>
        <v/>
      </c>
      <c r="G27" s="60">
        <f>SmtRes!Y7*Source!I28</f>
        <v>3.1022249999999998</v>
      </c>
    </row>
    <row r="28" spans="1:18" ht="14.25" x14ac:dyDescent="0.2">
      <c r="A28" s="58">
        <v>1.8</v>
      </c>
      <c r="B28" s="42" t="str">
        <f>SmtRes!I10</f>
        <v>21.1-25-13</v>
      </c>
      <c r="C28" s="42" t="str">
        <f>SmtRes!K10</f>
        <v>Вода</v>
      </c>
      <c r="D28" s="43" t="str">
        <f>SmtRes!O10</f>
        <v>м3</v>
      </c>
      <c r="E28" s="60">
        <f>SmtRes!AT10</f>
        <v>25</v>
      </c>
      <c r="F28" s="44" t="str">
        <f>SmtRes!AU10</f>
        <v/>
      </c>
      <c r="G28" s="60">
        <f>SmtRes!Y10*Source!I28</f>
        <v>1.16625</v>
      </c>
    </row>
    <row r="29" spans="1:18" ht="30" x14ac:dyDescent="0.25">
      <c r="A29" s="58" t="str">
        <f>Source!E32</f>
        <v>2</v>
      </c>
      <c r="B29" s="59" t="str">
        <f>Source!F32</f>
        <v>2.1-3103-18-1/1</v>
      </c>
      <c r="C29" s="42" t="str">
        <f>Source!G32</f>
        <v>Устройство покрытий из асфальтобетонных смесей вручную, толщина 4 см (5 см)</v>
      </c>
      <c r="D29" s="61" t="str">
        <f>Source!H32</f>
        <v>100 м2</v>
      </c>
      <c r="E29" s="60"/>
      <c r="F29" s="44"/>
      <c r="G29" s="62">
        <f>Source!I32</f>
        <v>1.5549999999999999</v>
      </c>
    </row>
    <row r="30" spans="1:18" x14ac:dyDescent="0.2">
      <c r="A30" s="51"/>
      <c r="B30" s="51"/>
      <c r="C30" s="63" t="str">
        <f>"Объем: "&amp;Source!I32&amp;"=155,5/"&amp;"100"</f>
        <v>Объем: 1,555=155,5/100</v>
      </c>
      <c r="D30" s="51"/>
      <c r="E30" s="51"/>
      <c r="F30" s="51"/>
      <c r="G30" s="51"/>
    </row>
    <row r="31" spans="1:18" ht="14.25" x14ac:dyDescent="0.2">
      <c r="A31" s="58">
        <v>2.1</v>
      </c>
      <c r="B31" s="42" t="str">
        <f>SmtRes!I11</f>
        <v>9999990008</v>
      </c>
      <c r="C31" s="42" t="str">
        <f>SmtRes!K11</f>
        <v>Трудозатраты рабочих</v>
      </c>
      <c r="D31" s="43" t="str">
        <f>SmtRes!O11</f>
        <v>чел.-ч.</v>
      </c>
      <c r="E31" s="60">
        <f>SmtRes!AT11</f>
        <v>13.57</v>
      </c>
      <c r="F31" s="44" t="str">
        <f>SmtRes!AU11</f>
        <v/>
      </c>
      <c r="G31" s="60">
        <f>SmtRes!Y11*Source!I32</f>
        <v>21.10135</v>
      </c>
    </row>
    <row r="32" spans="1:18" ht="28.5" x14ac:dyDescent="0.2">
      <c r="A32" s="58">
        <v>2.2000000000000002</v>
      </c>
      <c r="B32" s="42" t="str">
        <f>SmtRes!I12</f>
        <v>22.1-5-4</v>
      </c>
      <c r="C32" s="42" t="str">
        <f>SmtRes!K12</f>
        <v>Катки дорожные самоходные статические, масса до 5 т</v>
      </c>
      <c r="D32" s="43" t="str">
        <f>SmtRes!O12</f>
        <v>маш.-ч</v>
      </c>
      <c r="E32" s="60">
        <f>SmtRes!AT12</f>
        <v>0.46</v>
      </c>
      <c r="F32" s="44" t="str">
        <f>SmtRes!AU12</f>
        <v/>
      </c>
      <c r="G32" s="60">
        <f>SmtRes!Y12*Source!I32</f>
        <v>0.71530000000000005</v>
      </c>
    </row>
    <row r="33" spans="1:7" ht="28.5" x14ac:dyDescent="0.2">
      <c r="A33" s="58">
        <v>2.2999999999999998</v>
      </c>
      <c r="B33" s="42" t="str">
        <f>SmtRes!I13</f>
        <v>22.1-5-5</v>
      </c>
      <c r="C33" s="42" t="str">
        <f>SmtRes!K13</f>
        <v>Катки дорожные самоходные статические, масса до 10 т</v>
      </c>
      <c r="D33" s="43" t="str">
        <f>SmtRes!O13</f>
        <v>маш.-ч</v>
      </c>
      <c r="E33" s="60">
        <f>SmtRes!AT13</f>
        <v>1.39</v>
      </c>
      <c r="F33" s="44" t="str">
        <f>SmtRes!AU13</f>
        <v/>
      </c>
      <c r="G33" s="60">
        <f>SmtRes!Y13*Source!I32</f>
        <v>2.1614499999999999</v>
      </c>
    </row>
    <row r="34" spans="1:7" ht="28.5" x14ac:dyDescent="0.2">
      <c r="A34" s="58">
        <v>2.4</v>
      </c>
      <c r="B34" s="42" t="str">
        <f>SmtRes!I15</f>
        <v>21.3-3-34</v>
      </c>
      <c r="C34" s="42" t="str">
        <f>SmtRes!K15</f>
        <v>Смеси асфальтобетонные дорожные горячие песчаные, тип Д, марка III</v>
      </c>
      <c r="D34" s="43" t="str">
        <f>SmtRes!O15</f>
        <v>т</v>
      </c>
      <c r="E34" s="60">
        <f>SmtRes!AT15</f>
        <v>11.67</v>
      </c>
      <c r="F34" s="44" t="str">
        <f>SmtRes!AU15</f>
        <v/>
      </c>
      <c r="G34" s="60">
        <f>SmtRes!Y15*Source!I32</f>
        <v>18.146850000000001</v>
      </c>
    </row>
    <row r="35" spans="1:7" ht="16.5" x14ac:dyDescent="0.25">
      <c r="A35" s="101" t="str">
        <f>Source!G66</f>
        <v>Ремонт асфальтобетонного покрытия площадок (392 м2)</v>
      </c>
      <c r="B35" s="101"/>
      <c r="C35" s="101"/>
      <c r="D35" s="101"/>
      <c r="E35" s="101"/>
      <c r="F35" s="101"/>
      <c r="G35" s="101"/>
    </row>
    <row r="36" spans="1:7" ht="42.75" x14ac:dyDescent="0.25">
      <c r="A36" s="58" t="str">
        <f>Source!E70</f>
        <v>3</v>
      </c>
      <c r="B36" s="59" t="str">
        <f>Source!F70</f>
        <v>2.1-3301-2-1/1</v>
      </c>
      <c r="C36" s="42" t="str">
        <f>Source!G70</f>
        <v>Исправление профиля щебеночных оснований с добавлением нового материала</v>
      </c>
      <c r="D36" s="61" t="str">
        <f>Source!H70</f>
        <v>1000 м2</v>
      </c>
      <c r="E36" s="60"/>
      <c r="F36" s="44"/>
      <c r="G36" s="62">
        <f>Source!I70</f>
        <v>0.1176</v>
      </c>
    </row>
    <row r="37" spans="1:7" x14ac:dyDescent="0.2">
      <c r="A37" s="51"/>
      <c r="B37" s="51"/>
      <c r="C37" s="63" t="str">
        <f>"Объем: "&amp;Source!I70&amp;"=("&amp;Source!I74&amp;"*"&amp;"0,3)/"&amp;"10"</f>
        <v>Объем: 0,1176=(3,92*0,3)/10</v>
      </c>
      <c r="D37" s="51"/>
      <c r="E37" s="51"/>
      <c r="F37" s="51"/>
      <c r="G37" s="51"/>
    </row>
    <row r="38" spans="1:7" ht="14.25" x14ac:dyDescent="0.2">
      <c r="A38" s="58">
        <v>3.1</v>
      </c>
      <c r="B38" s="42" t="str">
        <f>SmtRes!I16</f>
        <v>9999990008</v>
      </c>
      <c r="C38" s="42" t="str">
        <f>SmtRes!K16</f>
        <v>Трудозатраты рабочих</v>
      </c>
      <c r="D38" s="43" t="str">
        <f>SmtRes!O16</f>
        <v>чел.-ч.</v>
      </c>
      <c r="E38" s="60">
        <f>SmtRes!AT16</f>
        <v>87.29</v>
      </c>
      <c r="F38" s="44" t="str">
        <f>SmtRes!AU16</f>
        <v/>
      </c>
      <c r="G38" s="60">
        <f>SmtRes!Y16*Source!I70</f>
        <v>10.265304</v>
      </c>
    </row>
    <row r="39" spans="1:7" ht="28.5" x14ac:dyDescent="0.2">
      <c r="A39" s="58">
        <v>3.2</v>
      </c>
      <c r="B39" s="42" t="str">
        <f>SmtRes!I17</f>
        <v>22.1-2-1</v>
      </c>
      <c r="C39" s="42" t="str">
        <f>SmtRes!K17</f>
        <v>Тракторы на гусеничном ходу, мощность до 60 (81) кВт (л.с.)</v>
      </c>
      <c r="D39" s="43" t="str">
        <f>SmtRes!O17</f>
        <v>маш.-ч</v>
      </c>
      <c r="E39" s="60">
        <f>SmtRes!AT17</f>
        <v>1.59</v>
      </c>
      <c r="F39" s="44" t="str">
        <f>SmtRes!AU17</f>
        <v/>
      </c>
      <c r="G39" s="60">
        <f>SmtRes!Y17*Source!I70</f>
        <v>0.18698400000000001</v>
      </c>
    </row>
    <row r="40" spans="1:7" ht="28.5" x14ac:dyDescent="0.2">
      <c r="A40" s="58">
        <v>3.3</v>
      </c>
      <c r="B40" s="42" t="str">
        <f>SmtRes!I18</f>
        <v>22.1-5-17</v>
      </c>
      <c r="C40" s="42" t="str">
        <f>SmtRes!K18</f>
        <v>Поливомоечные машины, емкость цистерны до 5000 л</v>
      </c>
      <c r="D40" s="43" t="str">
        <f>SmtRes!O18</f>
        <v>маш.-ч</v>
      </c>
      <c r="E40" s="60">
        <f>SmtRes!AT18</f>
        <v>5.15</v>
      </c>
      <c r="F40" s="44" t="str">
        <f>SmtRes!AU18</f>
        <v/>
      </c>
      <c r="G40" s="60">
        <f>SmtRes!Y18*Source!I70</f>
        <v>0.60564000000000007</v>
      </c>
    </row>
    <row r="41" spans="1:7" ht="28.5" x14ac:dyDescent="0.2">
      <c r="A41" s="58">
        <v>3.4</v>
      </c>
      <c r="B41" s="42" t="str">
        <f>SmtRes!I19</f>
        <v>22.1-5-2</v>
      </c>
      <c r="C41" s="42" t="str">
        <f>SmtRes!K19</f>
        <v>Катки самоходные вибрационные, масса до 8 т</v>
      </c>
      <c r="D41" s="43" t="str">
        <f>SmtRes!O19</f>
        <v>маш.-ч</v>
      </c>
      <c r="E41" s="60">
        <f>SmtRes!AT19</f>
        <v>11.26</v>
      </c>
      <c r="F41" s="44" t="str">
        <f>SmtRes!AU19</f>
        <v/>
      </c>
      <c r="G41" s="60">
        <f>SmtRes!Y19*Source!I70</f>
        <v>1.324176</v>
      </c>
    </row>
    <row r="42" spans="1:7" ht="28.5" x14ac:dyDescent="0.2">
      <c r="A42" s="58">
        <v>3.5</v>
      </c>
      <c r="B42" s="42" t="str">
        <f>SmtRes!I20</f>
        <v>22.1-5-3</v>
      </c>
      <c r="C42" s="42" t="str">
        <f>SmtRes!K20</f>
        <v>Катки самоходные вибрационные, масса более 8 т</v>
      </c>
      <c r="D42" s="43" t="str">
        <f>SmtRes!O20</f>
        <v>маш.-ч</v>
      </c>
      <c r="E42" s="60">
        <f>SmtRes!AT20</f>
        <v>32.19</v>
      </c>
      <c r="F42" s="44" t="str">
        <f>SmtRes!AU20</f>
        <v/>
      </c>
      <c r="G42" s="60">
        <f>SmtRes!Y20*Source!I70</f>
        <v>3.7855439999999998</v>
      </c>
    </row>
    <row r="43" spans="1:7" ht="28.5" x14ac:dyDescent="0.2">
      <c r="A43" s="58">
        <v>3.6</v>
      </c>
      <c r="B43" s="42" t="str">
        <f>SmtRes!I21</f>
        <v>22.1-5-47</v>
      </c>
      <c r="C43" s="42" t="str">
        <f>SmtRes!K21</f>
        <v>Автогрейдеры, мощность 66-88 кВт (90-120 л.с.)</v>
      </c>
      <c r="D43" s="43" t="str">
        <f>SmtRes!O21</f>
        <v>маш.-ч</v>
      </c>
      <c r="E43" s="60">
        <f>SmtRes!AT21</f>
        <v>5.81</v>
      </c>
      <c r="F43" s="44" t="str">
        <f>SmtRes!AU21</f>
        <v/>
      </c>
      <c r="G43" s="60">
        <f>SmtRes!Y21*Source!I70</f>
        <v>0.68325599999999997</v>
      </c>
    </row>
    <row r="44" spans="1:7" ht="42.75" x14ac:dyDescent="0.2">
      <c r="A44" s="58">
        <v>3.7</v>
      </c>
      <c r="B44" s="42" t="str">
        <f>SmtRes!I22</f>
        <v>21.1-12-29</v>
      </c>
      <c r="C44" s="42" t="str">
        <f>SmtRes!K22</f>
        <v>Щебень из естественного камня для строительных работ, марка 600-400, фракция 5-10 мм</v>
      </c>
      <c r="D44" s="43" t="str">
        <f>SmtRes!O22</f>
        <v>м3</v>
      </c>
      <c r="E44" s="60">
        <f>SmtRes!AT22</f>
        <v>66.5</v>
      </c>
      <c r="F44" s="44" t="str">
        <f>SmtRes!AU22</f>
        <v/>
      </c>
      <c r="G44" s="60">
        <f>SmtRes!Y22*Source!I70</f>
        <v>7.8203999999999994</v>
      </c>
    </row>
    <row r="45" spans="1:7" ht="14.25" x14ac:dyDescent="0.2">
      <c r="A45" s="58">
        <v>3.8</v>
      </c>
      <c r="B45" s="42" t="str">
        <f>SmtRes!I25</f>
        <v>21.1-25-13</v>
      </c>
      <c r="C45" s="42" t="str">
        <f>SmtRes!K25</f>
        <v>Вода</v>
      </c>
      <c r="D45" s="43" t="str">
        <f>SmtRes!O25</f>
        <v>м3</v>
      </c>
      <c r="E45" s="60">
        <f>SmtRes!AT25</f>
        <v>25</v>
      </c>
      <c r="F45" s="44" t="str">
        <f>SmtRes!AU25</f>
        <v/>
      </c>
      <c r="G45" s="60">
        <f>SmtRes!Y25*Source!I70</f>
        <v>2.94</v>
      </c>
    </row>
    <row r="46" spans="1:7" ht="30" x14ac:dyDescent="0.25">
      <c r="A46" s="58" t="str">
        <f>Source!E74</f>
        <v>4</v>
      </c>
      <c r="B46" s="59" t="str">
        <f>Source!F74</f>
        <v>2.1-3103-18-1/1</v>
      </c>
      <c r="C46" s="42" t="str">
        <f>Source!G74</f>
        <v>Устройство покрытий из асфальтобетонных смесей вручную, толщина 4 см (5 см)</v>
      </c>
      <c r="D46" s="61" t="str">
        <f>Source!H74</f>
        <v>100 м2</v>
      </c>
      <c r="E46" s="60"/>
      <c r="F46" s="44"/>
      <c r="G46" s="62">
        <f>Source!I74</f>
        <v>3.92</v>
      </c>
    </row>
    <row r="47" spans="1:7" x14ac:dyDescent="0.2">
      <c r="A47" s="51"/>
      <c r="B47" s="51"/>
      <c r="C47" s="63" t="str">
        <f>"Объем: "&amp;Source!I74&amp;"=392/"&amp;"100"</f>
        <v>Объем: 3,92=392/100</v>
      </c>
      <c r="D47" s="51"/>
      <c r="E47" s="51"/>
      <c r="F47" s="51"/>
      <c r="G47" s="51"/>
    </row>
    <row r="48" spans="1:7" ht="14.25" x14ac:dyDescent="0.2">
      <c r="A48" s="58">
        <v>4.0999999999999996</v>
      </c>
      <c r="B48" s="42" t="str">
        <f>SmtRes!I26</f>
        <v>9999990008</v>
      </c>
      <c r="C48" s="42" t="str">
        <f>SmtRes!K26</f>
        <v>Трудозатраты рабочих</v>
      </c>
      <c r="D48" s="43" t="str">
        <f>SmtRes!O26</f>
        <v>чел.-ч.</v>
      </c>
      <c r="E48" s="60">
        <f>SmtRes!AT26</f>
        <v>13.57</v>
      </c>
      <c r="F48" s="44" t="str">
        <f>SmtRes!AU26</f>
        <v/>
      </c>
      <c r="G48" s="60">
        <f>SmtRes!Y26*Source!I74</f>
        <v>53.194400000000002</v>
      </c>
    </row>
    <row r="49" spans="1:7" ht="28.5" x14ac:dyDescent="0.2">
      <c r="A49" s="58">
        <v>4.2</v>
      </c>
      <c r="B49" s="42" t="str">
        <f>SmtRes!I27</f>
        <v>22.1-5-4</v>
      </c>
      <c r="C49" s="42" t="str">
        <f>SmtRes!K27</f>
        <v>Катки дорожные самоходные статические, масса до 5 т</v>
      </c>
      <c r="D49" s="43" t="str">
        <f>SmtRes!O27</f>
        <v>маш.-ч</v>
      </c>
      <c r="E49" s="60">
        <f>SmtRes!AT27</f>
        <v>0.46</v>
      </c>
      <c r="F49" s="44" t="str">
        <f>SmtRes!AU27</f>
        <v/>
      </c>
      <c r="G49" s="60">
        <f>SmtRes!Y27*Source!I74</f>
        <v>1.8032000000000001</v>
      </c>
    </row>
    <row r="50" spans="1:7" ht="28.5" x14ac:dyDescent="0.2">
      <c r="A50" s="58">
        <v>4.3</v>
      </c>
      <c r="B50" s="42" t="str">
        <f>SmtRes!I28</f>
        <v>22.1-5-5</v>
      </c>
      <c r="C50" s="42" t="str">
        <f>SmtRes!K28</f>
        <v>Катки дорожные самоходные статические, масса до 10 т</v>
      </c>
      <c r="D50" s="43" t="str">
        <f>SmtRes!O28</f>
        <v>маш.-ч</v>
      </c>
      <c r="E50" s="60">
        <f>SmtRes!AT28</f>
        <v>1.39</v>
      </c>
      <c r="F50" s="44" t="str">
        <f>SmtRes!AU28</f>
        <v/>
      </c>
      <c r="G50" s="60">
        <f>SmtRes!Y28*Source!I74</f>
        <v>5.4487999999999994</v>
      </c>
    </row>
    <row r="51" spans="1:7" ht="28.5" x14ac:dyDescent="0.2">
      <c r="A51" s="58">
        <v>4.4000000000000004</v>
      </c>
      <c r="B51" s="42" t="str">
        <f>SmtRes!I30</f>
        <v>21.3-3-34</v>
      </c>
      <c r="C51" s="42" t="str">
        <f>SmtRes!K30</f>
        <v>Смеси асфальтобетонные дорожные горячие песчаные, тип Д, марка III</v>
      </c>
      <c r="D51" s="43" t="str">
        <f>SmtRes!O30</f>
        <v>т</v>
      </c>
      <c r="E51" s="60">
        <f>SmtRes!AT30</f>
        <v>11.67</v>
      </c>
      <c r="F51" s="44" t="str">
        <f>SmtRes!AU30</f>
        <v/>
      </c>
      <c r="G51" s="60">
        <f>SmtRes!Y30*Source!I74</f>
        <v>45.746400000000001</v>
      </c>
    </row>
    <row r="52" spans="1:7" ht="16.5" x14ac:dyDescent="0.25">
      <c r="A52" s="101" t="str">
        <f>Source!G108</f>
        <v>Ремонт веранд (280 м2)</v>
      </c>
      <c r="B52" s="101"/>
      <c r="C52" s="101"/>
      <c r="D52" s="101"/>
      <c r="E52" s="101"/>
      <c r="F52" s="101"/>
      <c r="G52" s="101"/>
    </row>
    <row r="53" spans="1:7" ht="30" x14ac:dyDescent="0.25">
      <c r="A53" s="58" t="str">
        <f>Source!E112</f>
        <v>5</v>
      </c>
      <c r="B53" s="59" t="str">
        <f>Source!F112</f>
        <v>1.10-3404-2-1/1</v>
      </c>
      <c r="C53" s="42" t="str">
        <f>Source!G112</f>
        <v>Разборка дощатых покрытий</v>
      </c>
      <c r="D53" s="61" t="str">
        <f>Source!H112</f>
        <v>100 м2</v>
      </c>
      <c r="E53" s="60"/>
      <c r="F53" s="44"/>
      <c r="G53" s="62">
        <f>Source!I112</f>
        <v>2.8</v>
      </c>
    </row>
    <row r="54" spans="1:7" x14ac:dyDescent="0.2">
      <c r="A54" s="51"/>
      <c r="B54" s="51"/>
      <c r="C54" s="63" t="str">
        <f>"Объем: "&amp;Source!I112&amp;"=280/"&amp;"100"</f>
        <v>Объем: 2,8=280/100</v>
      </c>
      <c r="D54" s="51"/>
      <c r="E54" s="51"/>
      <c r="F54" s="51"/>
      <c r="G54" s="51"/>
    </row>
    <row r="55" spans="1:7" ht="14.25" x14ac:dyDescent="0.2">
      <c r="A55" s="58">
        <v>5.0999999999999996</v>
      </c>
      <c r="B55" s="42" t="str">
        <f>SmtRes!I31</f>
        <v>9999990008</v>
      </c>
      <c r="C55" s="42" t="str">
        <f>SmtRes!K31</f>
        <v>Трудозатраты рабочих</v>
      </c>
      <c r="D55" s="43" t="str">
        <f>SmtRes!O31</f>
        <v>чел.-ч.</v>
      </c>
      <c r="E55" s="60">
        <f>SmtRes!AT31</f>
        <v>33.6</v>
      </c>
      <c r="F55" s="44" t="str">
        <f>SmtRes!AU31</f>
        <v/>
      </c>
      <c r="G55" s="60">
        <f>SmtRes!Y31*Source!I112</f>
        <v>94.08</v>
      </c>
    </row>
    <row r="56" spans="1:7" ht="30" x14ac:dyDescent="0.25">
      <c r="A56" s="58" t="str">
        <f>Source!E114</f>
        <v>6</v>
      </c>
      <c r="B56" s="59" t="str">
        <f>Source!F114</f>
        <v>1.49-9101-7-1/1</v>
      </c>
      <c r="C56" s="42" t="str">
        <f>Source!G114</f>
        <v>Механизированная погрузка строительного мусора в автомобили-самосвалы</v>
      </c>
      <c r="D56" s="61" t="str">
        <f>Source!H114</f>
        <v>т</v>
      </c>
      <c r="E56" s="60"/>
      <c r="F56" s="44"/>
      <c r="G56" s="62">
        <f>Source!I114</f>
        <v>2.016</v>
      </c>
    </row>
    <row r="57" spans="1:7" ht="28.5" x14ac:dyDescent="0.2">
      <c r="A57" s="58">
        <v>6.1</v>
      </c>
      <c r="B57" s="42" t="str">
        <f>SmtRes!I33</f>
        <v>22.1-1-5</v>
      </c>
      <c r="C57" s="42" t="str">
        <f>SmtRes!K33</f>
        <v>Экскаваторы на гусеничном ходу гидравлические, объем ковша до 0,65 м3</v>
      </c>
      <c r="D57" s="43" t="str">
        <f>SmtRes!O33</f>
        <v>маш.-ч</v>
      </c>
      <c r="E57" s="60">
        <f>SmtRes!AT33</f>
        <v>5.3699999999999998E-2</v>
      </c>
      <c r="F57" s="44" t="str">
        <f>SmtRes!AU33</f>
        <v/>
      </c>
      <c r="G57" s="60">
        <f>SmtRes!Y33*Source!I114</f>
        <v>0.1082592</v>
      </c>
    </row>
    <row r="58" spans="1:7" ht="30" x14ac:dyDescent="0.25">
      <c r="A58" s="58" t="str">
        <f>Source!E115</f>
        <v>7</v>
      </c>
      <c r="B58" s="59" t="str">
        <f>Source!F115</f>
        <v>2.12-3105-5-1/1</v>
      </c>
      <c r="C58" s="42" t="str">
        <f>Source!G115</f>
        <v>Погрузка вручную строительного мусора в самосвал</v>
      </c>
      <c r="D58" s="61" t="str">
        <f>Source!H115</f>
        <v>т</v>
      </c>
      <c r="E58" s="60"/>
      <c r="F58" s="44"/>
      <c r="G58" s="62">
        <f>Source!I115</f>
        <v>0.224</v>
      </c>
    </row>
    <row r="59" spans="1:7" ht="14.25" x14ac:dyDescent="0.2">
      <c r="A59" s="58">
        <v>7.1</v>
      </c>
      <c r="B59" s="42" t="str">
        <f>SmtRes!I34</f>
        <v>9999990008</v>
      </c>
      <c r="C59" s="42" t="str">
        <f>SmtRes!K34</f>
        <v>Трудозатраты рабочих</v>
      </c>
      <c r="D59" s="43" t="str">
        <f>SmtRes!O34</f>
        <v>чел.-ч.</v>
      </c>
      <c r="E59" s="60">
        <f>SmtRes!AT34</f>
        <v>1.1200000000000001</v>
      </c>
      <c r="F59" s="44" t="str">
        <f>SmtRes!AU34</f>
        <v/>
      </c>
      <c r="G59" s="60">
        <f>SmtRes!Y34*Source!I115</f>
        <v>0.25088000000000005</v>
      </c>
    </row>
    <row r="60" spans="1:7" ht="14.25" x14ac:dyDescent="0.2">
      <c r="A60" s="58">
        <v>7.2</v>
      </c>
      <c r="B60" s="42" t="str">
        <f>SmtRes!I35</f>
        <v>22.1-17-76</v>
      </c>
      <c r="C60" s="42" t="str">
        <f>SmtRes!K35</f>
        <v>Спецфургон типа ДКТ</v>
      </c>
      <c r="D60" s="43" t="str">
        <f>SmtRes!O35</f>
        <v>маш.-ч</v>
      </c>
      <c r="E60" s="60">
        <f>SmtRes!AT35</f>
        <v>0.38</v>
      </c>
      <c r="F60" s="44" t="str">
        <f>SmtRes!AU35</f>
        <v/>
      </c>
      <c r="G60" s="60">
        <f>SmtRes!Y35*Source!I115</f>
        <v>8.5120000000000001E-2</v>
      </c>
    </row>
    <row r="61" spans="1:7" ht="57" x14ac:dyDescent="0.25">
      <c r="A61" s="58" t="str">
        <f>Source!E116</f>
        <v>8</v>
      </c>
      <c r="B61" s="59" t="str">
        <f>Source!F116</f>
        <v>1.49-9201-1-2/1</v>
      </c>
      <c r="C61" s="42" t="str">
        <f>Source!G116</f>
        <v>Перевозка строительного мусора автосамосвалами грузоподъемностью до 10 т на расстояние 1 км - при механизированной погрузке</v>
      </c>
      <c r="D61" s="61" t="str">
        <f>Source!H116</f>
        <v>т</v>
      </c>
      <c r="E61" s="60"/>
      <c r="F61" s="44"/>
      <c r="G61" s="62">
        <f>Source!I116</f>
        <v>2.016</v>
      </c>
    </row>
    <row r="62" spans="1:7" x14ac:dyDescent="0.2">
      <c r="A62" s="51"/>
      <c r="B62" s="51"/>
      <c r="C62" s="63" t="str">
        <f>"Объем: "&amp;Source!I116&amp;"="&amp;Source!I118&amp;"*"&amp;"0,9"</f>
        <v>Объем: 2,016=2,24*0,9</v>
      </c>
      <c r="D62" s="51"/>
      <c r="E62" s="51"/>
      <c r="F62" s="51"/>
      <c r="G62" s="51"/>
    </row>
    <row r="63" spans="1:7" ht="28.5" x14ac:dyDescent="0.2">
      <c r="A63" s="58">
        <v>8.1</v>
      </c>
      <c r="B63" s="42" t="str">
        <f>SmtRes!I36</f>
        <v>22.1-18-12</v>
      </c>
      <c r="C63" s="42" t="str">
        <f>SmtRes!K36</f>
        <v>Автомобили-самосвалы, грузоподъемность до 7 т</v>
      </c>
      <c r="D63" s="43" t="str">
        <f>SmtRes!O36</f>
        <v>маш.-ч</v>
      </c>
      <c r="E63" s="60">
        <f>SmtRes!AT36</f>
        <v>0.02</v>
      </c>
      <c r="F63" s="44" t="str">
        <f>SmtRes!AU36</f>
        <v/>
      </c>
      <c r="G63" s="60">
        <f>SmtRes!Y36*Source!I116</f>
        <v>4.0320000000000002E-2</v>
      </c>
    </row>
    <row r="64" spans="1:7" ht="28.5" x14ac:dyDescent="0.2">
      <c r="A64" s="58">
        <v>8.1999999999999993</v>
      </c>
      <c r="B64" s="42" t="str">
        <f>SmtRes!I37</f>
        <v>22.1-18-13</v>
      </c>
      <c r="C64" s="42" t="str">
        <f>SmtRes!K37</f>
        <v>Автомобили-самосвалы, грузоподъемность до 10 т</v>
      </c>
      <c r="D64" s="43" t="str">
        <f>SmtRes!O37</f>
        <v>маш.-ч</v>
      </c>
      <c r="E64" s="60">
        <f>SmtRes!AT37</f>
        <v>1.7999999999999999E-2</v>
      </c>
      <c r="F64" s="44" t="str">
        <f>SmtRes!AU37</f>
        <v/>
      </c>
      <c r="G64" s="60">
        <f>SmtRes!Y37*Source!I116</f>
        <v>3.6288000000000001E-2</v>
      </c>
    </row>
    <row r="65" spans="1:7" ht="42.75" x14ac:dyDescent="0.25">
      <c r="A65" s="58" t="str">
        <f>Source!E117</f>
        <v>9</v>
      </c>
      <c r="B65" s="59" t="str">
        <f>Source!F117</f>
        <v>1.49-9201-1-1/1</v>
      </c>
      <c r="C65" s="42" t="str">
        <f>Source!G117</f>
        <v>Перевозка строительного мусора автосамосвалами грузоподъемностью до 10 т на расстояние 1 км - при погрузке вручную</v>
      </c>
      <c r="D65" s="61" t="str">
        <f>Source!H117</f>
        <v>т</v>
      </c>
      <c r="E65" s="60"/>
      <c r="F65" s="44"/>
      <c r="G65" s="62">
        <f>Source!I117</f>
        <v>0.224</v>
      </c>
    </row>
    <row r="66" spans="1:7" x14ac:dyDescent="0.2">
      <c r="A66" s="51"/>
      <c r="B66" s="51"/>
      <c r="C66" s="63" t="str">
        <f>"Объем: "&amp;Source!I117&amp;"="&amp;Source!I118&amp;"*"&amp;"0,1"</f>
        <v>Объем: 0,224=2,24*0,1</v>
      </c>
      <c r="D66" s="51"/>
      <c r="E66" s="51"/>
      <c r="F66" s="51"/>
      <c r="G66" s="51"/>
    </row>
    <row r="67" spans="1:7" ht="28.5" x14ac:dyDescent="0.2">
      <c r="A67" s="58">
        <v>9.1</v>
      </c>
      <c r="B67" s="42" t="str">
        <f>SmtRes!I38</f>
        <v>22.1-18-12</v>
      </c>
      <c r="C67" s="42" t="str">
        <f>SmtRes!K38</f>
        <v>Автомобили-самосвалы, грузоподъемность до 7 т</v>
      </c>
      <c r="D67" s="43" t="str">
        <f>SmtRes!O38</f>
        <v>маш.-ч</v>
      </c>
      <c r="E67" s="60">
        <f>SmtRes!AT38</f>
        <v>5.3999999999999999E-2</v>
      </c>
      <c r="F67" s="44" t="str">
        <f>SmtRes!AU38</f>
        <v/>
      </c>
      <c r="G67" s="60">
        <f>SmtRes!Y38*Source!I117</f>
        <v>1.2096000000000001E-2</v>
      </c>
    </row>
    <row r="68" spans="1:7" ht="28.5" x14ac:dyDescent="0.2">
      <c r="A68" s="58">
        <v>9.1999999999999993</v>
      </c>
      <c r="B68" s="42" t="str">
        <f>SmtRes!I39</f>
        <v>22.1-18-13</v>
      </c>
      <c r="C68" s="42" t="str">
        <f>SmtRes!K39</f>
        <v>Автомобили-самосвалы, грузоподъемность до 10 т</v>
      </c>
      <c r="D68" s="43" t="str">
        <f>SmtRes!O39</f>
        <v>маш.-ч</v>
      </c>
      <c r="E68" s="60">
        <f>SmtRes!AT39</f>
        <v>5.5E-2</v>
      </c>
      <c r="F68" s="44" t="str">
        <f>SmtRes!AU39</f>
        <v/>
      </c>
      <c r="G68" s="60">
        <f>SmtRes!Y39*Source!I117</f>
        <v>1.2320000000000001E-2</v>
      </c>
    </row>
    <row r="69" spans="1:7" ht="156.75" x14ac:dyDescent="0.25">
      <c r="A69" s="58" t="str">
        <f>Source!E118</f>
        <v>10</v>
      </c>
      <c r="B69" s="59" t="str">
        <f>Source!F118</f>
        <v>1.49-9201-1-3/1</v>
      </c>
      <c r="C69" s="42" t="s">
        <v>625</v>
      </c>
      <c r="D69" s="61" t="str">
        <f>Source!H118</f>
        <v>т</v>
      </c>
      <c r="E69" s="60"/>
      <c r="F69" s="44"/>
      <c r="G69" s="62">
        <f>Source!I118</f>
        <v>2.2400000000000002</v>
      </c>
    </row>
    <row r="70" spans="1:7" ht="28.5" x14ac:dyDescent="0.2">
      <c r="A70" s="58">
        <v>10.1</v>
      </c>
      <c r="B70" s="42" t="str">
        <f>SmtRes!I40</f>
        <v>22.1-18-12</v>
      </c>
      <c r="C70" s="42" t="str">
        <f>SmtRes!K40</f>
        <v>Автомобили-самосвалы, грузоподъемность до 7 т</v>
      </c>
      <c r="D70" s="43" t="str">
        <f>SmtRes!O40</f>
        <v>маш.-ч</v>
      </c>
      <c r="E70" s="60">
        <f>SmtRes!AT40</f>
        <v>0.01</v>
      </c>
      <c r="F70" s="44" t="str">
        <f>SmtRes!AU40</f>
        <v>*51</v>
      </c>
      <c r="G70" s="60">
        <f>SmtRes!Y40*Source!I118</f>
        <v>1.1424000000000001</v>
      </c>
    </row>
    <row r="71" spans="1:7" ht="28.5" x14ac:dyDescent="0.2">
      <c r="A71" s="58">
        <v>10.199999999999999</v>
      </c>
      <c r="B71" s="42" t="str">
        <f>SmtRes!I41</f>
        <v>22.1-18-13</v>
      </c>
      <c r="C71" s="42" t="str">
        <f>SmtRes!K41</f>
        <v>Автомобили-самосвалы, грузоподъемность до 10 т</v>
      </c>
      <c r="D71" s="43" t="str">
        <f>SmtRes!O41</f>
        <v>маш.-ч</v>
      </c>
      <c r="E71" s="60">
        <f>SmtRes!AT41</f>
        <v>8.0000000000000002E-3</v>
      </c>
      <c r="F71" s="44" t="str">
        <f>SmtRes!AU41</f>
        <v>*51</v>
      </c>
      <c r="G71" s="60">
        <f>SmtRes!Y41*Source!I118</f>
        <v>0.91392000000000018</v>
      </c>
    </row>
    <row r="72" spans="1:7" ht="28.5" x14ac:dyDescent="0.25">
      <c r="A72" s="58" t="str">
        <f>Source!E119</f>
        <v>11</v>
      </c>
      <c r="B72" s="59" t="str">
        <f>Source!F119</f>
        <v>21.25-0-1</v>
      </c>
      <c r="C72" s="42" t="str">
        <f>Source!G119</f>
        <v>Содержание свалки отходов строительства и сноса</v>
      </c>
      <c r="D72" s="61" t="str">
        <f>Source!H119</f>
        <v>т</v>
      </c>
      <c r="E72" s="60"/>
      <c r="F72" s="44"/>
      <c r="G72" s="62">
        <f>Source!I119</f>
        <v>2.2400000000000002</v>
      </c>
    </row>
    <row r="73" spans="1:7" x14ac:dyDescent="0.2">
      <c r="A73" s="51"/>
      <c r="B73" s="51"/>
      <c r="C73" s="63" t="str">
        <f>"Объем: "&amp;Source!I119&amp;"="&amp;Source!I112&amp;"*"&amp;"0,8"</f>
        <v>Объем: 2,24=2,8*0,8</v>
      </c>
      <c r="D73" s="51"/>
      <c r="E73" s="51"/>
      <c r="F73" s="51"/>
      <c r="G73" s="51"/>
    </row>
    <row r="74" spans="1:7" ht="30" x14ac:dyDescent="0.25">
      <c r="A74" s="58" t="str">
        <f>Source!E120</f>
        <v>12</v>
      </c>
      <c r="B74" s="59" t="str">
        <f>Source!F120</f>
        <v>1.10-3403-2-1/1</v>
      </c>
      <c r="C74" s="42" t="str">
        <f>Source!G120</f>
        <v>Устройство покрытий дощатых толщиной, мм 28</v>
      </c>
      <c r="D74" s="61" t="str">
        <f>Source!H120</f>
        <v>100 м2</v>
      </c>
      <c r="E74" s="60"/>
      <c r="F74" s="44"/>
      <c r="G74" s="62">
        <f>Source!I120</f>
        <v>2.8</v>
      </c>
    </row>
    <row r="75" spans="1:7" x14ac:dyDescent="0.2">
      <c r="A75" s="51"/>
      <c r="B75" s="51"/>
      <c r="C75" s="63" t="str">
        <f>"Объем: "&amp;Source!I120&amp;"=280/"&amp;"100"</f>
        <v>Объем: 2,8=280/100</v>
      </c>
      <c r="D75" s="51"/>
      <c r="E75" s="51"/>
      <c r="F75" s="51"/>
      <c r="G75" s="51"/>
    </row>
    <row r="76" spans="1:7" ht="14.25" x14ac:dyDescent="0.2">
      <c r="A76" s="58">
        <v>12.1</v>
      </c>
      <c r="B76" s="42" t="str">
        <f>SmtRes!I42</f>
        <v>9999990008</v>
      </c>
      <c r="C76" s="42" t="str">
        <f>SmtRes!K42</f>
        <v>Трудозатраты рабочих</v>
      </c>
      <c r="D76" s="43" t="str">
        <f>SmtRes!O42</f>
        <v>чел.-ч.</v>
      </c>
      <c r="E76" s="60">
        <f>SmtRes!AT42</f>
        <v>62.9</v>
      </c>
      <c r="F76" s="44" t="str">
        <f>SmtRes!AU42</f>
        <v/>
      </c>
      <c r="G76" s="60">
        <f>SmtRes!Y42*Source!I120</f>
        <v>176.11999999999998</v>
      </c>
    </row>
    <row r="77" spans="1:7" ht="14.25" x14ac:dyDescent="0.2">
      <c r="A77" s="58">
        <v>12.2</v>
      </c>
      <c r="B77" s="42" t="str">
        <f>SmtRes!I43</f>
        <v>22.1-30-30</v>
      </c>
      <c r="C77" s="42" t="str">
        <f>SmtRes!K43</f>
        <v>Рубанки ручные электрические</v>
      </c>
      <c r="D77" s="43" t="str">
        <f>SmtRes!O43</f>
        <v>маш.-ч</v>
      </c>
      <c r="E77" s="60">
        <f>SmtRes!AT43</f>
        <v>4.3099999999999996</v>
      </c>
      <c r="F77" s="44" t="str">
        <f>SmtRes!AU43</f>
        <v/>
      </c>
      <c r="G77" s="60">
        <f>SmtRes!Y43*Source!I120</f>
        <v>12.067999999999998</v>
      </c>
    </row>
    <row r="78" spans="1:7" ht="28.5" x14ac:dyDescent="0.2">
      <c r="A78" s="58">
        <v>12.3</v>
      </c>
      <c r="B78" s="42" t="str">
        <f>SmtRes!I46</f>
        <v>цена поставщика</v>
      </c>
      <c r="C78" s="42" t="str">
        <f>SmtRes!K46</f>
        <v>Доска террасная ДПК, размер 28х140х4000 мм.</v>
      </c>
      <c r="D78" s="43" t="str">
        <f>SmtRes!O46</f>
        <v>м2</v>
      </c>
      <c r="E78" s="60">
        <f>SmtRes!AT46</f>
        <v>100</v>
      </c>
      <c r="F78" s="44" t="str">
        <f>SmtRes!AU46</f>
        <v/>
      </c>
      <c r="G78" s="60">
        <f>SmtRes!Y46*Source!I120</f>
        <v>280</v>
      </c>
    </row>
    <row r="79" spans="1:7" ht="28.5" x14ac:dyDescent="0.2">
      <c r="A79" s="58">
        <v>12.4</v>
      </c>
      <c r="B79" s="42" t="str">
        <f>SmtRes!I47</f>
        <v>цена поставщика</v>
      </c>
      <c r="C79" s="42" t="str">
        <f>SmtRes!K47</f>
        <v>Клипса монтажная стартовая 8мм</v>
      </c>
      <c r="D79" s="43" t="str">
        <f>SmtRes!O47</f>
        <v>шт.</v>
      </c>
      <c r="E79" s="60">
        <f>SmtRes!AT47</f>
        <v>385.71428600000002</v>
      </c>
      <c r="F79" s="44" t="str">
        <f>SmtRes!AU47</f>
        <v/>
      </c>
      <c r="G79" s="60">
        <f>SmtRes!Y47*Source!I120</f>
        <v>1080.0000008</v>
      </c>
    </row>
    <row r="80" spans="1:7" ht="28.5" x14ac:dyDescent="0.2">
      <c r="A80" s="58">
        <v>12.5</v>
      </c>
      <c r="B80" s="42" t="str">
        <f>SmtRes!I48</f>
        <v>цена поставщика</v>
      </c>
      <c r="C80" s="42" t="str">
        <f>SmtRes!K48</f>
        <v>Клипса монтажная 3Д 7мм</v>
      </c>
      <c r="D80" s="43" t="str">
        <f>SmtRes!O48</f>
        <v>шт.</v>
      </c>
      <c r="E80" s="60">
        <f>SmtRes!AT48</f>
        <v>1604.2857140000001</v>
      </c>
      <c r="F80" s="44" t="str">
        <f>SmtRes!AU48</f>
        <v/>
      </c>
      <c r="G80" s="60">
        <f>SmtRes!Y48*Source!I120</f>
        <v>4491.9999992000003</v>
      </c>
    </row>
    <row r="81" spans="1:7" ht="16.5" x14ac:dyDescent="0.25">
      <c r="A81" s="101" t="str">
        <f>Source!G157</f>
        <v>Ремонт металлического ограждения (330 мп)</v>
      </c>
      <c r="B81" s="101"/>
      <c r="C81" s="101"/>
      <c r="D81" s="101"/>
      <c r="E81" s="101"/>
      <c r="F81" s="101"/>
      <c r="G81" s="101"/>
    </row>
    <row r="82" spans="1:7" ht="30" x14ac:dyDescent="0.25">
      <c r="A82" s="58" t="str">
        <f>Source!E161</f>
        <v>13</v>
      </c>
      <c r="B82" s="59" t="str">
        <f>Source!F161</f>
        <v>1.13-3204-1-1/1</v>
      </c>
      <c r="C82" s="42" t="str">
        <f>Source!G161</f>
        <v>Расчистка поверхностей от старых покрасок (шпателем, щетками и т.д.)</v>
      </c>
      <c r="D82" s="61" t="str">
        <f>Source!H161</f>
        <v>м2</v>
      </c>
      <c r="E82" s="60"/>
      <c r="F82" s="44"/>
      <c r="G82" s="62">
        <f>Source!I161</f>
        <v>396</v>
      </c>
    </row>
    <row r="83" spans="1:7" ht="14.25" x14ac:dyDescent="0.2">
      <c r="A83" s="58">
        <v>13.1</v>
      </c>
      <c r="B83" s="42" t="str">
        <f>SmtRes!I49</f>
        <v>9999990008</v>
      </c>
      <c r="C83" s="42" t="str">
        <f>SmtRes!K49</f>
        <v>Трудозатраты рабочих</v>
      </c>
      <c r="D83" s="43" t="str">
        <f>SmtRes!O49</f>
        <v>чел.-ч.</v>
      </c>
      <c r="E83" s="60">
        <f>SmtRes!AT49</f>
        <v>0.6</v>
      </c>
      <c r="F83" s="44" t="str">
        <f>SmtRes!AU49</f>
        <v/>
      </c>
      <c r="G83" s="60">
        <f>SmtRes!Y49*Source!I161</f>
        <v>237.6</v>
      </c>
    </row>
    <row r="84" spans="1:7" ht="42.75" x14ac:dyDescent="0.25">
      <c r="A84" s="58" t="str">
        <f>Source!E162</f>
        <v>14</v>
      </c>
      <c r="B84" s="59" t="str">
        <f>Source!F162</f>
        <v>1.14-3203-14-7/1</v>
      </c>
      <c r="C84" s="42" t="str">
        <f>Source!G162</f>
        <v>Окраска масляными составами за два раза металлических поверхностей решеток и оград</v>
      </c>
      <c r="D84" s="61" t="str">
        <f>Source!H162</f>
        <v>100 м2</v>
      </c>
      <c r="E84" s="60"/>
      <c r="F84" s="44"/>
      <c r="G84" s="62">
        <f>Source!I162</f>
        <v>6.6</v>
      </c>
    </row>
    <row r="85" spans="1:7" x14ac:dyDescent="0.2">
      <c r="A85" s="51"/>
      <c r="B85" s="51"/>
      <c r="C85" s="63" t="str">
        <f>"Объем: "&amp;Source!I162&amp;"=660/"&amp;"100"</f>
        <v>Объем: 6,6=660/100</v>
      </c>
      <c r="D85" s="51"/>
      <c r="E85" s="51"/>
      <c r="F85" s="51"/>
      <c r="G85" s="51"/>
    </row>
    <row r="86" spans="1:7" ht="14.25" x14ac:dyDescent="0.2">
      <c r="A86" s="58">
        <v>14.1</v>
      </c>
      <c r="B86" s="42" t="str">
        <f>SmtRes!I50</f>
        <v>9999990008</v>
      </c>
      <c r="C86" s="42" t="str">
        <f>SmtRes!K50</f>
        <v>Трудозатраты рабочих</v>
      </c>
      <c r="D86" s="43" t="str">
        <f>SmtRes!O50</f>
        <v>чел.-ч.</v>
      </c>
      <c r="E86" s="60">
        <f>SmtRes!AT50</f>
        <v>73.8</v>
      </c>
      <c r="F86" s="44" t="str">
        <f>SmtRes!AU50</f>
        <v/>
      </c>
      <c r="G86" s="60">
        <f>SmtRes!Y50*Source!I162</f>
        <v>487.07999999999993</v>
      </c>
    </row>
    <row r="87" spans="1:7" ht="42.75" x14ac:dyDescent="0.2">
      <c r="A87" s="58">
        <v>14.2</v>
      </c>
      <c r="B87" s="42" t="str">
        <f>SmtRes!I51</f>
        <v>21.1-6-44</v>
      </c>
      <c r="C87" s="42" t="str">
        <f>SmtRes!K51</f>
        <v>Краски масляные жидкотертые цветные (готовые к употреблению) для наружных и внутренних работ, марка МА-15</v>
      </c>
      <c r="D87" s="43" t="str">
        <f>SmtRes!O51</f>
        <v>т</v>
      </c>
      <c r="E87" s="60">
        <f>SmtRes!AT51</f>
        <v>1.1299999999999999E-2</v>
      </c>
      <c r="F87" s="44" t="str">
        <f>SmtRes!AU51</f>
        <v/>
      </c>
      <c r="G87" s="60">
        <f>SmtRes!Y51*Source!I162</f>
        <v>7.4579999999999994E-2</v>
      </c>
    </row>
    <row r="88" spans="1:7" ht="28.5" x14ac:dyDescent="0.2">
      <c r="A88" s="58">
        <v>14.3</v>
      </c>
      <c r="B88" s="42" t="str">
        <f>SmtRes!I52</f>
        <v>21.1-6-90</v>
      </c>
      <c r="C88" s="42" t="str">
        <f>SmtRes!K52</f>
        <v>Олифа для окраски комбинированная "Оксоль"</v>
      </c>
      <c r="D88" s="43" t="str">
        <f>SmtRes!O52</f>
        <v>кг</v>
      </c>
      <c r="E88" s="60">
        <f>SmtRes!AT52</f>
        <v>6.8</v>
      </c>
      <c r="F88" s="44" t="str">
        <f>SmtRes!AU52</f>
        <v/>
      </c>
      <c r="G88" s="60">
        <f>SmtRes!Y52*Source!I162</f>
        <v>44.879999999999995</v>
      </c>
    </row>
    <row r="89" spans="1:7" ht="16.5" x14ac:dyDescent="0.25">
      <c r="A89" s="101" t="str">
        <f>Source!G194</f>
        <v>Ремонт покрытия из брусчатки (1484 м2)</v>
      </c>
      <c r="B89" s="101"/>
      <c r="C89" s="101"/>
      <c r="D89" s="101"/>
      <c r="E89" s="101"/>
      <c r="F89" s="101"/>
      <c r="G89" s="101"/>
    </row>
    <row r="90" spans="1:7" ht="42.75" x14ac:dyDescent="0.25">
      <c r="A90" s="58" t="str">
        <f>Source!E198</f>
        <v>15</v>
      </c>
      <c r="B90" s="59" t="str">
        <f>Source!F198</f>
        <v>2.1-3301-2-1/1</v>
      </c>
      <c r="C90" s="42" t="str">
        <f>Source!G198</f>
        <v>Исправление профиля щебеночных оснований с добавлением нового материала</v>
      </c>
      <c r="D90" s="61" t="str">
        <f>Source!H198</f>
        <v>1000 м2</v>
      </c>
      <c r="E90" s="60"/>
      <c r="F90" s="44"/>
      <c r="G90" s="62">
        <f>Source!I198</f>
        <v>0.44519999999999998</v>
      </c>
    </row>
    <row r="91" spans="1:7" x14ac:dyDescent="0.2">
      <c r="A91" s="51"/>
      <c r="B91" s="51"/>
      <c r="C91" s="63" t="str">
        <f>"Объем: "&amp;Source!I198&amp;"=("&amp;Source!I202&amp;"*"&amp;"0,3)/"&amp;"10"</f>
        <v>Объем: 0,4452=(14,84*0,3)/10</v>
      </c>
      <c r="D91" s="51"/>
      <c r="E91" s="51"/>
      <c r="F91" s="51"/>
      <c r="G91" s="51"/>
    </row>
    <row r="92" spans="1:7" ht="14.25" x14ac:dyDescent="0.2">
      <c r="A92" s="58">
        <v>15.1</v>
      </c>
      <c r="B92" s="42" t="str">
        <f>SmtRes!I53</f>
        <v>9999990008</v>
      </c>
      <c r="C92" s="42" t="str">
        <f>SmtRes!K53</f>
        <v>Трудозатраты рабочих</v>
      </c>
      <c r="D92" s="43" t="str">
        <f>SmtRes!O53</f>
        <v>чел.-ч.</v>
      </c>
      <c r="E92" s="60">
        <f>SmtRes!AT53</f>
        <v>87.29</v>
      </c>
      <c r="F92" s="44" t="str">
        <f>SmtRes!AU53</f>
        <v/>
      </c>
      <c r="G92" s="60">
        <f>SmtRes!Y53*Source!I198</f>
        <v>38.861508000000001</v>
      </c>
    </row>
    <row r="93" spans="1:7" ht="28.5" x14ac:dyDescent="0.2">
      <c r="A93" s="58">
        <v>15.2</v>
      </c>
      <c r="B93" s="42" t="str">
        <f>SmtRes!I54</f>
        <v>22.1-2-1</v>
      </c>
      <c r="C93" s="42" t="str">
        <f>SmtRes!K54</f>
        <v>Тракторы на гусеничном ходу, мощность до 60 (81) кВт (л.с.)</v>
      </c>
      <c r="D93" s="43" t="str">
        <f>SmtRes!O54</f>
        <v>маш.-ч</v>
      </c>
      <c r="E93" s="60">
        <f>SmtRes!AT54</f>
        <v>1.59</v>
      </c>
      <c r="F93" s="44" t="str">
        <f>SmtRes!AU54</f>
        <v/>
      </c>
      <c r="G93" s="60">
        <f>SmtRes!Y54*Source!I198</f>
        <v>0.70786800000000005</v>
      </c>
    </row>
    <row r="94" spans="1:7" ht="28.5" x14ac:dyDescent="0.2">
      <c r="A94" s="58">
        <v>15.3</v>
      </c>
      <c r="B94" s="42" t="str">
        <f>SmtRes!I55</f>
        <v>22.1-5-17</v>
      </c>
      <c r="C94" s="42" t="str">
        <f>SmtRes!K55</f>
        <v>Поливомоечные машины, емкость цистерны до 5000 л</v>
      </c>
      <c r="D94" s="43" t="str">
        <f>SmtRes!O55</f>
        <v>маш.-ч</v>
      </c>
      <c r="E94" s="60">
        <f>SmtRes!AT55</f>
        <v>5.15</v>
      </c>
      <c r="F94" s="44" t="str">
        <f>SmtRes!AU55</f>
        <v/>
      </c>
      <c r="G94" s="60">
        <f>SmtRes!Y55*Source!I198</f>
        <v>2.29278</v>
      </c>
    </row>
    <row r="95" spans="1:7" ht="28.5" x14ac:dyDescent="0.2">
      <c r="A95" s="58">
        <v>15.4</v>
      </c>
      <c r="B95" s="42" t="str">
        <f>SmtRes!I56</f>
        <v>22.1-5-2</v>
      </c>
      <c r="C95" s="42" t="str">
        <f>SmtRes!K56</f>
        <v>Катки самоходные вибрационные, масса до 8 т</v>
      </c>
      <c r="D95" s="43" t="str">
        <f>SmtRes!O56</f>
        <v>маш.-ч</v>
      </c>
      <c r="E95" s="60">
        <f>SmtRes!AT56</f>
        <v>11.26</v>
      </c>
      <c r="F95" s="44" t="str">
        <f>SmtRes!AU56</f>
        <v/>
      </c>
      <c r="G95" s="60">
        <f>SmtRes!Y56*Source!I198</f>
        <v>5.0129519999999994</v>
      </c>
    </row>
    <row r="96" spans="1:7" ht="28.5" x14ac:dyDescent="0.2">
      <c r="A96" s="58">
        <v>15.5</v>
      </c>
      <c r="B96" s="42" t="str">
        <f>SmtRes!I57</f>
        <v>22.1-5-3</v>
      </c>
      <c r="C96" s="42" t="str">
        <f>SmtRes!K57</f>
        <v>Катки самоходные вибрационные, масса более 8 т</v>
      </c>
      <c r="D96" s="43" t="str">
        <f>SmtRes!O57</f>
        <v>маш.-ч</v>
      </c>
      <c r="E96" s="60">
        <f>SmtRes!AT57</f>
        <v>32.19</v>
      </c>
      <c r="F96" s="44" t="str">
        <f>SmtRes!AU57</f>
        <v/>
      </c>
      <c r="G96" s="60">
        <f>SmtRes!Y57*Source!I198</f>
        <v>14.330987999999998</v>
      </c>
    </row>
    <row r="97" spans="1:7" ht="28.5" x14ac:dyDescent="0.2">
      <c r="A97" s="58">
        <v>15.6</v>
      </c>
      <c r="B97" s="42" t="str">
        <f>SmtRes!I58</f>
        <v>22.1-5-47</v>
      </c>
      <c r="C97" s="42" t="str">
        <f>SmtRes!K58</f>
        <v>Автогрейдеры, мощность 66-88 кВт (90-120 л.с.)</v>
      </c>
      <c r="D97" s="43" t="str">
        <f>SmtRes!O58</f>
        <v>маш.-ч</v>
      </c>
      <c r="E97" s="60">
        <f>SmtRes!AT58</f>
        <v>5.81</v>
      </c>
      <c r="F97" s="44" t="str">
        <f>SmtRes!AU58</f>
        <v/>
      </c>
      <c r="G97" s="60">
        <f>SmtRes!Y58*Source!I198</f>
        <v>2.5866119999999997</v>
      </c>
    </row>
    <row r="98" spans="1:7" ht="42.75" x14ac:dyDescent="0.2">
      <c r="A98" s="58">
        <v>15.7</v>
      </c>
      <c r="B98" s="42" t="str">
        <f>SmtRes!I59</f>
        <v>21.1-12-29</v>
      </c>
      <c r="C98" s="42" t="str">
        <f>SmtRes!K59</f>
        <v>Щебень из естественного камня для строительных работ, марка 600-400, фракция 5-10 мм</v>
      </c>
      <c r="D98" s="43" t="str">
        <f>SmtRes!O59</f>
        <v>м3</v>
      </c>
      <c r="E98" s="60">
        <f>SmtRes!AT59</f>
        <v>66.5</v>
      </c>
      <c r="F98" s="44" t="str">
        <f>SmtRes!AU59</f>
        <v/>
      </c>
      <c r="G98" s="60">
        <f>SmtRes!Y59*Source!I198</f>
        <v>29.605799999999999</v>
      </c>
    </row>
    <row r="99" spans="1:7" ht="14.25" x14ac:dyDescent="0.2">
      <c r="A99" s="58">
        <v>15.8</v>
      </c>
      <c r="B99" s="42" t="str">
        <f>SmtRes!I62</f>
        <v>21.1-25-13</v>
      </c>
      <c r="C99" s="42" t="str">
        <f>SmtRes!K62</f>
        <v>Вода</v>
      </c>
      <c r="D99" s="43" t="str">
        <f>SmtRes!O62</f>
        <v>м3</v>
      </c>
      <c r="E99" s="60">
        <f>SmtRes!AT62</f>
        <v>25</v>
      </c>
      <c r="F99" s="44" t="str">
        <f>SmtRes!AU62</f>
        <v/>
      </c>
      <c r="G99" s="60">
        <f>SmtRes!Y62*Source!I198</f>
        <v>11.129999999999999</v>
      </c>
    </row>
    <row r="100" spans="1:7" ht="42.75" x14ac:dyDescent="0.25">
      <c r="A100" s="58" t="str">
        <f>Source!E202</f>
        <v>16</v>
      </c>
      <c r="B100" s="59" t="str">
        <f>Source!F202</f>
        <v>2.1-3103-17-1/1</v>
      </c>
      <c r="C100" s="42" t="str">
        <f>Source!G202</f>
        <v>Устройство покрытий тротуаров из бетонной плитки типа "Брусчатка" рядовым или паркетным мощением</v>
      </c>
      <c r="D100" s="61" t="str">
        <f>Source!H202</f>
        <v>100 м2</v>
      </c>
      <c r="E100" s="60"/>
      <c r="F100" s="44"/>
      <c r="G100" s="62">
        <f>Source!I202</f>
        <v>14.84</v>
      </c>
    </row>
    <row r="101" spans="1:7" x14ac:dyDescent="0.2">
      <c r="A101" s="51"/>
      <c r="B101" s="51"/>
      <c r="C101" s="63" t="str">
        <f>"Объем: "&amp;Source!I202&amp;"=1484/"&amp;"100"</f>
        <v>Объем: 14,84=1484/100</v>
      </c>
      <c r="D101" s="51"/>
      <c r="E101" s="51"/>
      <c r="F101" s="51"/>
      <c r="G101" s="51"/>
    </row>
    <row r="102" spans="1:7" ht="14.25" x14ac:dyDescent="0.2">
      <c r="A102" s="58">
        <v>16.100000000000001</v>
      </c>
      <c r="B102" s="42" t="str">
        <f>SmtRes!I63</f>
        <v>9999990008</v>
      </c>
      <c r="C102" s="42" t="str">
        <f>SmtRes!K63</f>
        <v>Трудозатраты рабочих</v>
      </c>
      <c r="D102" s="43" t="str">
        <f>SmtRes!O63</f>
        <v>чел.-ч.</v>
      </c>
      <c r="E102" s="60">
        <f>SmtRes!AT63</f>
        <v>134.08000000000001</v>
      </c>
      <c r="F102" s="44" t="str">
        <f>SmtRes!AU63</f>
        <v/>
      </c>
      <c r="G102" s="60">
        <f>SmtRes!Y63*Source!I202</f>
        <v>1989.7472000000002</v>
      </c>
    </row>
    <row r="103" spans="1:7" ht="28.5" x14ac:dyDescent="0.2">
      <c r="A103" s="58">
        <v>16.2</v>
      </c>
      <c r="B103" s="42" t="str">
        <f>SmtRes!I64</f>
        <v>22.1-17-82</v>
      </c>
      <c r="C103" s="42" t="str">
        <f>SmtRes!K64</f>
        <v>Виброплиты для уплотнения песка, гравия и бетона</v>
      </c>
      <c r="D103" s="43" t="str">
        <f>SmtRes!O64</f>
        <v>маш.-ч</v>
      </c>
      <c r="E103" s="60">
        <f>SmtRes!AT64</f>
        <v>4.0999999999999996</v>
      </c>
      <c r="F103" s="44" t="str">
        <f>SmtRes!AU64</f>
        <v/>
      </c>
      <c r="G103" s="60">
        <f>SmtRes!Y64*Source!I202</f>
        <v>60.843999999999994</v>
      </c>
    </row>
    <row r="104" spans="1:7" ht="28.5" x14ac:dyDescent="0.2">
      <c r="A104" s="58">
        <v>16.3</v>
      </c>
      <c r="B104" s="42" t="str">
        <f>SmtRes!I65</f>
        <v>22.1-30-27</v>
      </c>
      <c r="C104" s="42" t="str">
        <f>SmtRes!K65</f>
        <v>Пилы дисковые электрические для резки пиломатериалов</v>
      </c>
      <c r="D104" s="43" t="str">
        <f>SmtRes!O65</f>
        <v>маш.-ч</v>
      </c>
      <c r="E104" s="60">
        <f>SmtRes!AT65</f>
        <v>2.1800000000000002</v>
      </c>
      <c r="F104" s="44" t="str">
        <f>SmtRes!AU65</f>
        <v/>
      </c>
      <c r="G104" s="60">
        <f>SmtRes!Y65*Source!I202</f>
        <v>32.351199999999999</v>
      </c>
    </row>
    <row r="105" spans="1:7" ht="14.25" x14ac:dyDescent="0.2">
      <c r="A105" s="58">
        <v>16.399999999999999</v>
      </c>
      <c r="B105" s="42" t="str">
        <f>SmtRes!I66</f>
        <v>21.1-12-11</v>
      </c>
      <c r="C105" s="42" t="str">
        <f>SmtRes!K66</f>
        <v>Песок для строительных работ, рядовой</v>
      </c>
      <c r="D105" s="43" t="str">
        <f>SmtRes!O66</f>
        <v>м3</v>
      </c>
      <c r="E105" s="60">
        <f>SmtRes!AT66</f>
        <v>0.21</v>
      </c>
      <c r="F105" s="44" t="str">
        <f>SmtRes!AU66</f>
        <v/>
      </c>
      <c r="G105" s="60">
        <f>SmtRes!Y66*Source!I202</f>
        <v>3.1164000000000001</v>
      </c>
    </row>
    <row r="106" spans="1:7" ht="42.75" x14ac:dyDescent="0.2">
      <c r="A106" s="58">
        <v>16.5</v>
      </c>
      <c r="B106" s="42" t="str">
        <f>SmtRes!I67</f>
        <v>21.3-2-52</v>
      </c>
      <c r="C106" s="42" t="str">
        <f>SmtRes!K67</f>
        <v>Смеси сухие монтажно-кладочные цементно-песчаные: В12,5 (М150), F100, крупность заполнителя не более 3,5 мм</v>
      </c>
      <c r="D106" s="43" t="str">
        <f>SmtRes!O67</f>
        <v>т</v>
      </c>
      <c r="E106" s="60">
        <f>SmtRes!AT67</f>
        <v>8.5299999999999994</v>
      </c>
      <c r="F106" s="44" t="str">
        <f>SmtRes!AU67</f>
        <v/>
      </c>
      <c r="G106" s="60">
        <f>SmtRes!Y67*Source!I202</f>
        <v>126.58519999999999</v>
      </c>
    </row>
    <row r="107" spans="1:7" ht="42.75" x14ac:dyDescent="0.2">
      <c r="A107" s="58">
        <v>16.600000000000001</v>
      </c>
      <c r="B107" s="42" t="str">
        <f>SmtRes!I68</f>
        <v>21.5-3-76</v>
      </c>
      <c r="C107" s="42" t="str">
        <f>SmtRes!K68</f>
        <v>Плиты бетонные тротуарные, толщина 70 мм, цвет: разного цвета (Брусчатка Бр 20.10.7, цветная)</v>
      </c>
      <c r="D107" s="43" t="str">
        <f>SmtRes!O68</f>
        <v>м2</v>
      </c>
      <c r="E107" s="60">
        <f>SmtRes!AT68</f>
        <v>105</v>
      </c>
      <c r="F107" s="44" t="str">
        <f>SmtRes!AU68</f>
        <v/>
      </c>
      <c r="G107" s="60">
        <f>SmtRes!Y68*Source!I202</f>
        <v>1558.2</v>
      </c>
    </row>
    <row r="108" spans="1:7" ht="28.5" x14ac:dyDescent="0.2">
      <c r="A108" s="58">
        <v>16.7</v>
      </c>
      <c r="B108" s="42" t="str">
        <f>SmtRes!I69</f>
        <v>21.7-3-11</v>
      </c>
      <c r="C108" s="42" t="str">
        <f>SmtRes!K69</f>
        <v>Диск отрезной с алмазным покрытием DC-D C1, диаметр 230 мм</v>
      </c>
      <c r="D108" s="43" t="str">
        <f>SmtRes!O69</f>
        <v>шт.</v>
      </c>
      <c r="E108" s="60">
        <f>SmtRes!AT69</f>
        <v>1.5</v>
      </c>
      <c r="F108" s="44" t="str">
        <f>SmtRes!AU69</f>
        <v/>
      </c>
      <c r="G108" s="60">
        <f>SmtRes!Y69*Source!I202</f>
        <v>22.259999999999998</v>
      </c>
    </row>
    <row r="109" spans="1:7" ht="16.5" x14ac:dyDescent="0.25">
      <c r="A109" s="101" t="str">
        <f>Source!G235</f>
        <v>Ремонт покрытия из резиновой крошки (392 м2)</v>
      </c>
      <c r="B109" s="101"/>
      <c r="C109" s="101"/>
      <c r="D109" s="101"/>
      <c r="E109" s="101"/>
      <c r="F109" s="101"/>
      <c r="G109" s="101"/>
    </row>
    <row r="110" spans="1:7" ht="42.75" x14ac:dyDescent="0.25">
      <c r="A110" s="58" t="str">
        <f>Source!E239</f>
        <v>17</v>
      </c>
      <c r="B110" s="59" t="str">
        <f>Source!F239</f>
        <v>5.3-3103-11-1/1</v>
      </c>
      <c r="C110" s="42" t="str">
        <f>Source!G239</f>
        <v>Устройство наливного полиуретанового покрытия спортивных площадок и беговых дорожек толщиной 10 мм</v>
      </c>
      <c r="D110" s="61" t="str">
        <f>Source!H239</f>
        <v>100 м2</v>
      </c>
      <c r="E110" s="60"/>
      <c r="F110" s="44"/>
      <c r="G110" s="62">
        <f>Source!I239</f>
        <v>3.92</v>
      </c>
    </row>
    <row r="111" spans="1:7" x14ac:dyDescent="0.2">
      <c r="A111" s="51"/>
      <c r="B111" s="51"/>
      <c r="C111" s="63" t="str">
        <f>"Объем: "&amp;Source!I239&amp;"=392/"&amp;"100"</f>
        <v>Объем: 3,92=392/100</v>
      </c>
      <c r="D111" s="51"/>
      <c r="E111" s="51"/>
      <c r="F111" s="51"/>
      <c r="G111" s="51"/>
    </row>
    <row r="112" spans="1:7" ht="14.25" x14ac:dyDescent="0.2">
      <c r="A112" s="58">
        <v>17.100000000000001</v>
      </c>
      <c r="B112" s="42" t="str">
        <f>SmtRes!I70</f>
        <v>9999990008</v>
      </c>
      <c r="C112" s="42" t="str">
        <f>SmtRes!K70</f>
        <v>Трудозатраты рабочих</v>
      </c>
      <c r="D112" s="43" t="str">
        <f>SmtRes!O70</f>
        <v>чел.-ч.</v>
      </c>
      <c r="E112" s="60">
        <f>SmtRes!AT70</f>
        <v>18.440000000000001</v>
      </c>
      <c r="F112" s="44" t="str">
        <f>SmtRes!AU70</f>
        <v/>
      </c>
      <c r="G112" s="60">
        <f>SmtRes!Y70*Source!I239</f>
        <v>72.284800000000004</v>
      </c>
    </row>
    <row r="113" spans="1:7" ht="42.75" x14ac:dyDescent="0.2">
      <c r="A113" s="58">
        <v>17.2</v>
      </c>
      <c r="B113" s="42" t="str">
        <f>SmtRes!I71</f>
        <v>22.1-17-168</v>
      </c>
      <c r="C113" s="42" t="str">
        <f>SmtRes!K71</f>
        <v>Укладчики полимерных покрытий на игровых и спортивных площадках, производительность 10-50 м2/ч</v>
      </c>
      <c r="D113" s="43" t="str">
        <f>SmtRes!O71</f>
        <v>маш.-ч</v>
      </c>
      <c r="E113" s="60">
        <f>SmtRes!AT71</f>
        <v>2.64</v>
      </c>
      <c r="F113" s="44" t="str">
        <f>SmtRes!AU71</f>
        <v/>
      </c>
      <c r="G113" s="60">
        <f>SmtRes!Y71*Source!I239</f>
        <v>10.348800000000001</v>
      </c>
    </row>
    <row r="114" spans="1:7" ht="28.5" x14ac:dyDescent="0.2">
      <c r="A114" s="58">
        <v>17.3</v>
      </c>
      <c r="B114" s="42" t="str">
        <f>SmtRes!I72</f>
        <v>22.1-30-102</v>
      </c>
      <c r="C114" s="42" t="str">
        <f>SmtRes!K72</f>
        <v>Дрели электрические, двухскоростные, мощностью 600 Вт</v>
      </c>
      <c r="D114" s="43" t="str">
        <f>SmtRes!O72</f>
        <v>маш.-ч</v>
      </c>
      <c r="E114" s="60">
        <f>SmtRes!AT72</f>
        <v>1.18</v>
      </c>
      <c r="F114" s="44" t="str">
        <f>SmtRes!AU72</f>
        <v/>
      </c>
      <c r="G114" s="60">
        <f>SmtRes!Y72*Source!I239</f>
        <v>4.6255999999999995</v>
      </c>
    </row>
    <row r="115" spans="1:7" ht="28.5" x14ac:dyDescent="0.2">
      <c r="A115" s="58">
        <v>17.399999999999999</v>
      </c>
      <c r="B115" s="42" t="str">
        <f>SmtRes!I73</f>
        <v>22.1-4-8</v>
      </c>
      <c r="C115" s="42" t="str">
        <f>SmtRes!K73</f>
        <v>Погрузчики на автомобильном ходу, грузоподъемность до 1 т</v>
      </c>
      <c r="D115" s="43" t="str">
        <f>SmtRes!O73</f>
        <v>маш.-ч</v>
      </c>
      <c r="E115" s="60">
        <f>SmtRes!AT73</f>
        <v>0.01</v>
      </c>
      <c r="F115" s="44" t="str">
        <f>SmtRes!AU73</f>
        <v/>
      </c>
      <c r="G115" s="60">
        <f>SmtRes!Y73*Source!I239</f>
        <v>3.9199999999999999E-2</v>
      </c>
    </row>
    <row r="116" spans="1:7" ht="28.5" x14ac:dyDescent="0.2">
      <c r="A116" s="58">
        <v>17.5</v>
      </c>
      <c r="B116" s="42" t="str">
        <f>SmtRes!I74</f>
        <v>22.1-6-68</v>
      </c>
      <c r="C116" s="42" t="str">
        <f>SmtRes!K74</f>
        <v>Растворосмесители стационарные, емкость до 250 л</v>
      </c>
      <c r="D116" s="43" t="str">
        <f>SmtRes!O74</f>
        <v>маш.-ч</v>
      </c>
      <c r="E116" s="60">
        <f>SmtRes!AT74</f>
        <v>2.64</v>
      </c>
      <c r="F116" s="44" t="str">
        <f>SmtRes!AU74</f>
        <v/>
      </c>
      <c r="G116" s="60">
        <f>SmtRes!Y74*Source!I239</f>
        <v>10.348800000000001</v>
      </c>
    </row>
    <row r="117" spans="1:7" ht="28.5" x14ac:dyDescent="0.2">
      <c r="A117" s="58">
        <v>17.600000000000001</v>
      </c>
      <c r="B117" s="42" t="str">
        <f>SmtRes!I75</f>
        <v>21.1-25-255</v>
      </c>
      <c r="C117" s="42" t="str">
        <f>SmtRes!K75</f>
        <v>Пленка полиэтиленовая, толщина 0,12 - 0,15 мм</v>
      </c>
      <c r="D117" s="43" t="str">
        <f>SmtRes!O75</f>
        <v>м2</v>
      </c>
      <c r="E117" s="60">
        <f>SmtRes!AT75</f>
        <v>5.6</v>
      </c>
      <c r="F117" s="44" t="str">
        <f>SmtRes!AU75</f>
        <v/>
      </c>
      <c r="G117" s="60">
        <f>SmtRes!Y75*Source!I239</f>
        <v>21.951999999999998</v>
      </c>
    </row>
    <row r="118" spans="1:7" ht="14.25" x14ac:dyDescent="0.2">
      <c r="A118" s="58">
        <v>17.7</v>
      </c>
      <c r="B118" s="42" t="str">
        <f>SmtRes!I76</f>
        <v>21.1-25-343</v>
      </c>
      <c r="C118" s="42" t="str">
        <f>SmtRes!K76</f>
        <v>Скипидар живичный</v>
      </c>
      <c r="D118" s="43" t="str">
        <f>SmtRes!O76</f>
        <v>т</v>
      </c>
      <c r="E118" s="60">
        <f>SmtRes!AT76</f>
        <v>3.15E-3</v>
      </c>
      <c r="F118" s="44" t="str">
        <f>SmtRes!AU76</f>
        <v/>
      </c>
      <c r="G118" s="60">
        <f>SmtRes!Y76*Source!I239</f>
        <v>1.2348E-2</v>
      </c>
    </row>
    <row r="119" spans="1:7" ht="28.5" x14ac:dyDescent="0.2">
      <c r="A119" s="58">
        <v>17.8</v>
      </c>
      <c r="B119" s="42" t="str">
        <f>SmtRes!I77</f>
        <v>21.1-25-769</v>
      </c>
      <c r="C119" s="42" t="str">
        <f>SmtRes!K77</f>
        <v>Крошка резиновая гранулированная, фракция 2-3 мм</v>
      </c>
      <c r="D119" s="43" t="str">
        <f>SmtRes!O77</f>
        <v>кг</v>
      </c>
      <c r="E119" s="60">
        <f>SmtRes!AT77</f>
        <v>735</v>
      </c>
      <c r="F119" s="44" t="str">
        <f>SmtRes!AU77</f>
        <v/>
      </c>
      <c r="G119" s="60">
        <f>SmtRes!Y77*Source!I239</f>
        <v>2881.2</v>
      </c>
    </row>
    <row r="120" spans="1:7" ht="57" x14ac:dyDescent="0.2">
      <c r="A120" s="58">
        <v>17.899999999999999</v>
      </c>
      <c r="B120" s="42" t="str">
        <f>SmtRes!I78</f>
        <v>21.1-25-776</v>
      </c>
      <c r="C120" s="42" t="str">
        <f>SmtRes!K78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D120" s="43" t="str">
        <f>SmtRes!O78</f>
        <v>кг</v>
      </c>
      <c r="E120" s="60">
        <f>SmtRes!AT78</f>
        <v>241.5</v>
      </c>
      <c r="F120" s="44" t="str">
        <f>SmtRes!AU78</f>
        <v/>
      </c>
      <c r="G120" s="60">
        <f>SmtRes!Y78*Source!I239</f>
        <v>946.68</v>
      </c>
    </row>
    <row r="121" spans="1:7" ht="156.75" x14ac:dyDescent="0.25">
      <c r="A121" s="58" t="str">
        <f>Source!E241</f>
        <v>18</v>
      </c>
      <c r="B121" s="59" t="str">
        <f>Source!F241</f>
        <v>5.3-3103-11-2/1</v>
      </c>
      <c r="C121" s="42" t="s">
        <v>626</v>
      </c>
      <c r="D121" s="61" t="str">
        <f>Source!H241</f>
        <v>100 м2</v>
      </c>
      <c r="E121" s="60"/>
      <c r="F121" s="44"/>
      <c r="G121" s="62">
        <f>Source!I241</f>
        <v>3.92</v>
      </c>
    </row>
    <row r="122" spans="1:7" ht="14.25" x14ac:dyDescent="0.2">
      <c r="A122" s="58">
        <v>18.100000000000001</v>
      </c>
      <c r="B122" s="42" t="str">
        <f>SmtRes!I80</f>
        <v>9999990008</v>
      </c>
      <c r="C122" s="42" t="str">
        <f>SmtRes!K80</f>
        <v>Трудозатраты рабочих</v>
      </c>
      <c r="D122" s="43" t="str">
        <f>SmtRes!O80</f>
        <v>чел.-ч.</v>
      </c>
      <c r="E122" s="60">
        <f>SmtRes!AT80</f>
        <v>2.65</v>
      </c>
      <c r="F122" s="44" t="str">
        <f>SmtRes!AU80</f>
        <v>*5</v>
      </c>
      <c r="G122" s="60">
        <f>SmtRes!Y80*Source!I241</f>
        <v>51.94</v>
      </c>
    </row>
    <row r="123" spans="1:7" ht="42.75" x14ac:dyDescent="0.2">
      <c r="A123" s="58">
        <v>18.2</v>
      </c>
      <c r="B123" s="42" t="str">
        <f>SmtRes!I81</f>
        <v>22.1-17-168</v>
      </c>
      <c r="C123" s="42" t="str">
        <f>SmtRes!K81</f>
        <v>Укладчики полимерных покрытий на игровых и спортивных площадках, производительность 10-50 м2/ч</v>
      </c>
      <c r="D123" s="43" t="str">
        <f>SmtRes!O81</f>
        <v>маш.-ч</v>
      </c>
      <c r="E123" s="60">
        <f>SmtRes!AT81</f>
        <v>0.5</v>
      </c>
      <c r="F123" s="44" t="str">
        <f>SmtRes!AU81</f>
        <v>*5</v>
      </c>
      <c r="G123" s="60">
        <f>SmtRes!Y81*Source!I241</f>
        <v>9.8000000000000007</v>
      </c>
    </row>
    <row r="124" spans="1:7" ht="28.5" x14ac:dyDescent="0.2">
      <c r="A124" s="58">
        <v>18.3</v>
      </c>
      <c r="B124" s="42" t="str">
        <f>SmtRes!I82</f>
        <v>22.1-6-68</v>
      </c>
      <c r="C124" s="42" t="str">
        <f>SmtRes!K82</f>
        <v>Растворосмесители стационарные, емкость до 250 л</v>
      </c>
      <c r="D124" s="43" t="str">
        <f>SmtRes!O82</f>
        <v>маш.-ч</v>
      </c>
      <c r="E124" s="60">
        <f>SmtRes!AT82</f>
        <v>0.5</v>
      </c>
      <c r="F124" s="44" t="str">
        <f>SmtRes!AU82</f>
        <v>*5</v>
      </c>
      <c r="G124" s="60">
        <f>SmtRes!Y82*Source!I241</f>
        <v>9.8000000000000007</v>
      </c>
    </row>
    <row r="125" spans="1:7" ht="28.5" x14ac:dyDescent="0.2">
      <c r="A125" s="58">
        <v>18.399999999999999</v>
      </c>
      <c r="B125" s="42" t="str">
        <f>SmtRes!I83</f>
        <v>21.1-25-769</v>
      </c>
      <c r="C125" s="42" t="str">
        <f>SmtRes!K83</f>
        <v>Крошка резиновая гранулированная, фракция 2-3 мм</v>
      </c>
      <c r="D125" s="43" t="str">
        <f>SmtRes!O83</f>
        <v>кг</v>
      </c>
      <c r="E125" s="60">
        <f>SmtRes!AT83</f>
        <v>147</v>
      </c>
      <c r="F125" s="44" t="str">
        <f>SmtRes!AU83</f>
        <v>*5</v>
      </c>
      <c r="G125" s="60">
        <f>SmtRes!Y83*Source!I241</f>
        <v>2881.2</v>
      </c>
    </row>
    <row r="126" spans="1:7" ht="57" x14ac:dyDescent="0.2">
      <c r="A126" s="58">
        <v>18.5</v>
      </c>
      <c r="B126" s="42" t="str">
        <f>SmtRes!I84</f>
        <v>21.1-25-776</v>
      </c>
      <c r="C126" s="42" t="str">
        <f>SmtRes!K84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D126" s="43" t="str">
        <f>SmtRes!O84</f>
        <v>кг</v>
      </c>
      <c r="E126" s="60">
        <f>SmtRes!AT84</f>
        <v>42</v>
      </c>
      <c r="F126" s="44" t="str">
        <f>SmtRes!AU84</f>
        <v>*5</v>
      </c>
      <c r="G126" s="60">
        <f>SmtRes!Y84*Source!I241</f>
        <v>823.19999999999993</v>
      </c>
    </row>
    <row r="127" spans="1:7" ht="28.5" x14ac:dyDescent="0.2">
      <c r="A127" s="58">
        <v>18.600000000000001</v>
      </c>
      <c r="B127" s="42" t="str">
        <f>SmtRes!I86</f>
        <v>21.1-6-156</v>
      </c>
      <c r="C127" s="42" t="str">
        <f>SmtRes!K86</f>
        <v>Пигменты сухие красного цвета, железоокисные</v>
      </c>
      <c r="D127" s="43" t="str">
        <f>SmtRes!O86</f>
        <v>кг</v>
      </c>
      <c r="E127" s="60">
        <f>SmtRes!AT86</f>
        <v>52.5</v>
      </c>
      <c r="F127" s="44" t="str">
        <f>SmtRes!AU86</f>
        <v/>
      </c>
      <c r="G127" s="60">
        <f>SmtRes!Y86*Source!I241</f>
        <v>205.79999999999998</v>
      </c>
    </row>
    <row r="128" spans="1:7" ht="16.5" x14ac:dyDescent="0.25">
      <c r="A128" s="101" t="str">
        <f>Source!G275</f>
        <v>Замена бортовых камней бетонных Бр 100.20.8 (538,5 мп)</v>
      </c>
      <c r="B128" s="101"/>
      <c r="C128" s="101"/>
      <c r="D128" s="101"/>
      <c r="E128" s="101"/>
      <c r="F128" s="101"/>
      <c r="G128" s="101"/>
    </row>
    <row r="129" spans="1:7" ht="28.5" x14ac:dyDescent="0.25">
      <c r="A129" s="58" t="str">
        <f>Source!E283</f>
        <v>21</v>
      </c>
      <c r="B129" s="59" t="str">
        <f>Source!F283</f>
        <v>2.1-3204-6-1/1</v>
      </c>
      <c r="C129" s="42" t="str">
        <f>Source!G283</f>
        <v>Разборка бортовых камней на бетонном основании</v>
      </c>
      <c r="D129" s="61" t="str">
        <f>Source!H283</f>
        <v>100 м</v>
      </c>
      <c r="E129" s="60"/>
      <c r="F129" s="44"/>
      <c r="G129" s="62">
        <f>Source!I283</f>
        <v>5.3849999999999998</v>
      </c>
    </row>
    <row r="130" spans="1:7" x14ac:dyDescent="0.2">
      <c r="A130" s="51"/>
      <c r="B130" s="51"/>
      <c r="C130" s="63" t="str">
        <f>"Объем: "&amp;Source!I283&amp;"=538,5/"&amp;"100"</f>
        <v>Объем: 5,385=538,5/100</v>
      </c>
      <c r="D130" s="51"/>
      <c r="E130" s="51"/>
      <c r="F130" s="51"/>
      <c r="G130" s="51"/>
    </row>
    <row r="131" spans="1:7" ht="14.25" x14ac:dyDescent="0.2">
      <c r="A131" s="58">
        <v>21.1</v>
      </c>
      <c r="B131" s="42" t="str">
        <f>SmtRes!I105</f>
        <v>9999990008</v>
      </c>
      <c r="C131" s="42" t="str">
        <f>SmtRes!K105</f>
        <v>Трудозатраты рабочих</v>
      </c>
      <c r="D131" s="43" t="str">
        <f>SmtRes!O105</f>
        <v>чел.-ч.</v>
      </c>
      <c r="E131" s="60">
        <f>SmtRes!AT105</f>
        <v>76.7</v>
      </c>
      <c r="F131" s="44" t="str">
        <f>SmtRes!AU105</f>
        <v/>
      </c>
      <c r="G131" s="60">
        <f>SmtRes!Y105*Source!I283</f>
        <v>413.02949999999998</v>
      </c>
    </row>
    <row r="132" spans="1:7" ht="42.75" x14ac:dyDescent="0.25">
      <c r="A132" s="58" t="str">
        <f>Source!E285</f>
        <v>22</v>
      </c>
      <c r="B132" s="59" t="str">
        <f>Source!F285</f>
        <v>2.1-3203-1-5/2</v>
      </c>
      <c r="C132" s="42" t="str">
        <f>Source!G285</f>
        <v>Установка бортовых камней бетонных газонных и садовых при цементобетонных покрытиях</v>
      </c>
      <c r="D132" s="61" t="str">
        <f>Source!H285</f>
        <v>100 м</v>
      </c>
      <c r="E132" s="60"/>
      <c r="F132" s="44"/>
      <c r="G132" s="62">
        <f>Source!I285</f>
        <v>5.3849999999999998</v>
      </c>
    </row>
    <row r="133" spans="1:7" x14ac:dyDescent="0.2">
      <c r="A133" s="51"/>
      <c r="B133" s="51"/>
      <c r="C133" s="63" t="str">
        <f>"Объем: "&amp;Source!I285&amp;"=538,5/"&amp;"100"</f>
        <v>Объем: 5,385=538,5/100</v>
      </c>
      <c r="D133" s="51"/>
      <c r="E133" s="51"/>
      <c r="F133" s="51"/>
      <c r="G133" s="51"/>
    </row>
    <row r="134" spans="1:7" ht="14.25" x14ac:dyDescent="0.2">
      <c r="A134" s="58">
        <v>22.1</v>
      </c>
      <c r="B134" s="42" t="str">
        <f>SmtRes!I107</f>
        <v>9999990008</v>
      </c>
      <c r="C134" s="42" t="str">
        <f>SmtRes!K107</f>
        <v>Трудозатраты рабочих</v>
      </c>
      <c r="D134" s="43" t="str">
        <f>SmtRes!O107</f>
        <v>чел.-ч.</v>
      </c>
      <c r="E134" s="60">
        <f>SmtRes!AT107</f>
        <v>72.95</v>
      </c>
      <c r="F134" s="44" t="str">
        <f>SmtRes!AU107</f>
        <v/>
      </c>
      <c r="G134" s="60">
        <f>SmtRes!Y107*Source!I285</f>
        <v>392.83575000000002</v>
      </c>
    </row>
    <row r="135" spans="1:7" ht="28.5" x14ac:dyDescent="0.2">
      <c r="A135" s="58">
        <v>22.2</v>
      </c>
      <c r="B135" s="42" t="str">
        <f>SmtRes!I108</f>
        <v>22.1-4-12</v>
      </c>
      <c r="C135" s="42" t="str">
        <f>SmtRes!K108</f>
        <v>Погрузчики на автомобильном ходу, грузоподъемность до 5 т</v>
      </c>
      <c r="D135" s="43" t="str">
        <f>SmtRes!O108</f>
        <v>маш.-ч</v>
      </c>
      <c r="E135" s="60">
        <f>SmtRes!AT108</f>
        <v>0.26</v>
      </c>
      <c r="F135" s="44" t="str">
        <f>SmtRes!AU108</f>
        <v/>
      </c>
      <c r="G135" s="60">
        <f>SmtRes!Y108*Source!I285</f>
        <v>1.4000999999999999</v>
      </c>
    </row>
    <row r="136" spans="1:7" ht="42.75" x14ac:dyDescent="0.2">
      <c r="A136" s="58">
        <v>22.3</v>
      </c>
      <c r="B136" s="42" t="str">
        <f>SmtRes!I109</f>
        <v>21.3-1-69</v>
      </c>
      <c r="C136" s="42" t="str">
        <f>SmtRes!K109</f>
        <v>Смеси бетонные, БСГ, тяжелого бетона на гранитном щебне, класс прочности: В15 (М200); П3, фракция 5-20, F50-100, W0-2</v>
      </c>
      <c r="D136" s="43" t="str">
        <f>SmtRes!O109</f>
        <v>м3</v>
      </c>
      <c r="E136" s="60">
        <f>SmtRes!AT109</f>
        <v>4.3</v>
      </c>
      <c r="F136" s="44" t="str">
        <f>SmtRes!AU109</f>
        <v/>
      </c>
      <c r="G136" s="60">
        <f>SmtRes!Y109*Source!I285</f>
        <v>23.155499999999996</v>
      </c>
    </row>
    <row r="137" spans="1:7" ht="14.25" x14ac:dyDescent="0.2">
      <c r="A137" s="58">
        <v>22.4</v>
      </c>
      <c r="B137" s="42" t="str">
        <f>SmtRes!I110</f>
        <v>21.3-2-15</v>
      </c>
      <c r="C137" s="42" t="str">
        <f>SmtRes!K110</f>
        <v>Растворы цементные, марка 100</v>
      </c>
      <c r="D137" s="43" t="str">
        <f>SmtRes!O110</f>
        <v>м3</v>
      </c>
      <c r="E137" s="60">
        <f>SmtRes!AT110</f>
        <v>0.02</v>
      </c>
      <c r="F137" s="44" t="str">
        <f>SmtRes!AU110</f>
        <v/>
      </c>
      <c r="G137" s="60">
        <f>SmtRes!Y110*Source!I285</f>
        <v>0.1077</v>
      </c>
    </row>
    <row r="138" spans="1:7" ht="28.5" x14ac:dyDescent="0.2">
      <c r="A138" s="58">
        <v>22.5</v>
      </c>
      <c r="B138" s="42" t="str">
        <f>SmtRes!I111</f>
        <v>21.5-3-12</v>
      </c>
      <c r="C138" s="42" t="str">
        <f>SmtRes!K111</f>
        <v>Камни бетонные бортовые, марка БР60.20.8</v>
      </c>
      <c r="D138" s="43" t="str">
        <f>SmtRes!O111</f>
        <v>м3</v>
      </c>
      <c r="E138" s="60">
        <f>SmtRes!AT111</f>
        <v>1.6</v>
      </c>
      <c r="F138" s="44" t="str">
        <f>SmtRes!AU111</f>
        <v/>
      </c>
      <c r="G138" s="60">
        <f>SmtRes!Y111*Source!I285</f>
        <v>8.6159999999999997</v>
      </c>
    </row>
    <row r="139" spans="1:7" ht="57" x14ac:dyDescent="0.25">
      <c r="A139" s="58" t="str">
        <f>Source!E286</f>
        <v>23</v>
      </c>
      <c r="B139" s="59" t="str">
        <f>Source!F286</f>
        <v>1.49-9201-1-2/1</v>
      </c>
      <c r="C139" s="42" t="str">
        <f>Source!G286</f>
        <v>Перевозка строительного мусора автосамосвалами грузоподъемностью до 10 т на расстояние 1 км - при механизированной погрузке</v>
      </c>
      <c r="D139" s="61" t="str">
        <f>Source!H286</f>
        <v>т</v>
      </c>
      <c r="E139" s="60"/>
      <c r="F139" s="44"/>
      <c r="G139" s="62">
        <f>Source!I286</f>
        <v>68.859071999999998</v>
      </c>
    </row>
    <row r="140" spans="1:7" x14ac:dyDescent="0.2">
      <c r="A140" s="51"/>
      <c r="B140" s="51"/>
      <c r="C140" s="63" t="str">
        <f>"Объем: "&amp;Source!I286&amp;"="&amp;Source!I288&amp;"*"&amp;"0,9"</f>
        <v>Объем: 68,859072=76,51008*0,9</v>
      </c>
      <c r="D140" s="51"/>
      <c r="E140" s="51"/>
      <c r="F140" s="51"/>
      <c r="G140" s="51"/>
    </row>
    <row r="141" spans="1:7" ht="28.5" x14ac:dyDescent="0.2">
      <c r="A141" s="58">
        <v>23.1</v>
      </c>
      <c r="B141" s="42" t="str">
        <f>SmtRes!I112</f>
        <v>22.1-18-12</v>
      </c>
      <c r="C141" s="42" t="str">
        <f>SmtRes!K112</f>
        <v>Автомобили-самосвалы, грузоподъемность до 7 т</v>
      </c>
      <c r="D141" s="43" t="str">
        <f>SmtRes!O112</f>
        <v>маш.-ч</v>
      </c>
      <c r="E141" s="60">
        <f>SmtRes!AT112</f>
        <v>0.02</v>
      </c>
      <c r="F141" s="44" t="str">
        <f>SmtRes!AU112</f>
        <v/>
      </c>
      <c r="G141" s="60">
        <f>SmtRes!Y112*Source!I286</f>
        <v>1.37718144</v>
      </c>
    </row>
    <row r="142" spans="1:7" ht="28.5" x14ac:dyDescent="0.2">
      <c r="A142" s="58">
        <v>23.2</v>
      </c>
      <c r="B142" s="42" t="str">
        <f>SmtRes!I113</f>
        <v>22.1-18-13</v>
      </c>
      <c r="C142" s="42" t="str">
        <f>SmtRes!K113</f>
        <v>Автомобили-самосвалы, грузоподъемность до 10 т</v>
      </c>
      <c r="D142" s="43" t="str">
        <f>SmtRes!O113</f>
        <v>маш.-ч</v>
      </c>
      <c r="E142" s="60">
        <f>SmtRes!AT113</f>
        <v>1.7999999999999999E-2</v>
      </c>
      <c r="F142" s="44" t="str">
        <f>SmtRes!AU113</f>
        <v/>
      </c>
      <c r="G142" s="60">
        <f>SmtRes!Y113*Source!I286</f>
        <v>1.2394632959999998</v>
      </c>
    </row>
    <row r="143" spans="1:7" ht="42.75" x14ac:dyDescent="0.25">
      <c r="A143" s="58" t="str">
        <f>Source!E287</f>
        <v>24</v>
      </c>
      <c r="B143" s="59" t="str">
        <f>Source!F287</f>
        <v>1.49-9201-1-1/1</v>
      </c>
      <c r="C143" s="42" t="str">
        <f>Source!G287</f>
        <v>Перевозка строительного мусора автосамосвалами грузоподъемностью до 10 т на расстояние 1 км - при погрузке вручную</v>
      </c>
      <c r="D143" s="61" t="str">
        <f>Source!H287</f>
        <v>т</v>
      </c>
      <c r="E143" s="60"/>
      <c r="F143" s="44"/>
      <c r="G143" s="62">
        <f>Source!I287</f>
        <v>7.651008</v>
      </c>
    </row>
    <row r="144" spans="1:7" x14ac:dyDescent="0.2">
      <c r="A144" s="51"/>
      <c r="B144" s="51"/>
      <c r="C144" s="63" t="str">
        <f>"Объем: "&amp;Source!I287&amp;"="&amp;Source!I288&amp;"*"&amp;"0,1"</f>
        <v>Объем: 7,651008=76,51008*0,1</v>
      </c>
      <c r="D144" s="51"/>
      <c r="E144" s="51"/>
      <c r="F144" s="51"/>
      <c r="G144" s="51"/>
    </row>
    <row r="145" spans="1:7" ht="28.5" x14ac:dyDescent="0.2">
      <c r="A145" s="58">
        <v>24.1</v>
      </c>
      <c r="B145" s="42" t="str">
        <f>SmtRes!I114</f>
        <v>22.1-18-12</v>
      </c>
      <c r="C145" s="42" t="str">
        <f>SmtRes!K114</f>
        <v>Автомобили-самосвалы, грузоподъемность до 7 т</v>
      </c>
      <c r="D145" s="43" t="str">
        <f>SmtRes!O114</f>
        <v>маш.-ч</v>
      </c>
      <c r="E145" s="60">
        <f>SmtRes!AT114</f>
        <v>5.3999999999999999E-2</v>
      </c>
      <c r="F145" s="44" t="str">
        <f>SmtRes!AU114</f>
        <v/>
      </c>
      <c r="G145" s="60">
        <f>SmtRes!Y114*Source!I287</f>
        <v>0.41315443200000002</v>
      </c>
    </row>
    <row r="146" spans="1:7" ht="28.5" x14ac:dyDescent="0.2">
      <c r="A146" s="58">
        <v>24.2</v>
      </c>
      <c r="B146" s="42" t="str">
        <f>SmtRes!I115</f>
        <v>22.1-18-13</v>
      </c>
      <c r="C146" s="42" t="str">
        <f>SmtRes!K115</f>
        <v>Автомобили-самосвалы, грузоподъемность до 10 т</v>
      </c>
      <c r="D146" s="43" t="str">
        <f>SmtRes!O115</f>
        <v>маш.-ч</v>
      </c>
      <c r="E146" s="60">
        <f>SmtRes!AT115</f>
        <v>5.5E-2</v>
      </c>
      <c r="F146" s="44" t="str">
        <f>SmtRes!AU115</f>
        <v/>
      </c>
      <c r="G146" s="60">
        <f>SmtRes!Y115*Source!I287</f>
        <v>0.42080544000000003</v>
      </c>
    </row>
    <row r="147" spans="1:7" ht="156.75" x14ac:dyDescent="0.25">
      <c r="A147" s="58" t="str">
        <f>Source!E288</f>
        <v>25</v>
      </c>
      <c r="B147" s="59" t="str">
        <f>Source!F288</f>
        <v>1.49-9201-1-3/1</v>
      </c>
      <c r="C147" s="42" t="s">
        <v>625</v>
      </c>
      <c r="D147" s="61" t="str">
        <f>Source!H288</f>
        <v>т</v>
      </c>
      <c r="E147" s="60"/>
      <c r="F147" s="44"/>
      <c r="G147" s="62">
        <f>Source!I288</f>
        <v>76.510080000000002</v>
      </c>
    </row>
    <row r="148" spans="1:7" x14ac:dyDescent="0.2">
      <c r="A148" s="51"/>
      <c r="B148" s="51"/>
      <c r="C148" s="63" t="str">
        <f>"Объем: "&amp;Source!I288&amp;"="&amp;Source!I283&amp;"*"&amp;"14,208"</f>
        <v>Объем: 76,51008=5,385*14,208</v>
      </c>
      <c r="D148" s="51"/>
      <c r="E148" s="51"/>
      <c r="F148" s="51"/>
      <c r="G148" s="51"/>
    </row>
    <row r="149" spans="1:7" ht="28.5" x14ac:dyDescent="0.2">
      <c r="A149" s="58">
        <v>25.1</v>
      </c>
      <c r="B149" s="42" t="str">
        <f>SmtRes!I116</f>
        <v>22.1-18-12</v>
      </c>
      <c r="C149" s="42" t="str">
        <f>SmtRes!K116</f>
        <v>Автомобили-самосвалы, грузоподъемность до 7 т</v>
      </c>
      <c r="D149" s="43" t="str">
        <f>SmtRes!O116</f>
        <v>маш.-ч</v>
      </c>
      <c r="E149" s="60">
        <f>SmtRes!AT116</f>
        <v>0.01</v>
      </c>
      <c r="F149" s="44" t="str">
        <f>SmtRes!AU116</f>
        <v>*51</v>
      </c>
      <c r="G149" s="60">
        <f>SmtRes!Y116*Source!I288</f>
        <v>39.0201408</v>
      </c>
    </row>
    <row r="150" spans="1:7" ht="28.5" x14ac:dyDescent="0.2">
      <c r="A150" s="58">
        <v>25.2</v>
      </c>
      <c r="B150" s="42" t="str">
        <f>SmtRes!I117</f>
        <v>22.1-18-13</v>
      </c>
      <c r="C150" s="42" t="str">
        <f>SmtRes!K117</f>
        <v>Автомобили-самосвалы, грузоподъемность до 10 т</v>
      </c>
      <c r="D150" s="43" t="str">
        <f>SmtRes!O117</f>
        <v>маш.-ч</v>
      </c>
      <c r="E150" s="60">
        <f>SmtRes!AT117</f>
        <v>8.0000000000000002E-3</v>
      </c>
      <c r="F150" s="44" t="str">
        <f>SmtRes!AU117</f>
        <v>*51</v>
      </c>
      <c r="G150" s="60">
        <f>SmtRes!Y117*Source!I288</f>
        <v>31.216112640000002</v>
      </c>
    </row>
    <row r="151" spans="1:7" ht="85.5" x14ac:dyDescent="0.25">
      <c r="A151" s="58" t="str">
        <f>Source!E289</f>
        <v>26</v>
      </c>
      <c r="B151" s="59" t="str">
        <f>Source!F289</f>
        <v>21.25-0-5</v>
      </c>
      <c r="C151" s="42" t="str">
        <f>Source!G289</f>
        <v>Стоимость приемки отходов строительства и сноса (боя кирпичной кладки, бетонных и железобетонных изделий, отходов бетона и железобетона, асфальтобетона в кусковой форме) для переработки дробильными комплексами</v>
      </c>
      <c r="D151" s="61" t="str">
        <f>Source!H289</f>
        <v>т</v>
      </c>
      <c r="E151" s="60"/>
      <c r="F151" s="44"/>
      <c r="G151" s="62">
        <f>Source!I289</f>
        <v>76.510080000000002</v>
      </c>
    </row>
    <row r="152" spans="1:7" ht="16.5" x14ac:dyDescent="0.25">
      <c r="A152" s="101" t="str">
        <f>Source!G321</f>
        <v>Замена бортовых камней бетонных Бр 100.30.15 (265 мп)</v>
      </c>
      <c r="B152" s="101"/>
      <c r="C152" s="101"/>
      <c r="D152" s="101"/>
      <c r="E152" s="101"/>
      <c r="F152" s="101"/>
      <c r="G152" s="101"/>
    </row>
    <row r="153" spans="1:7" ht="28.5" x14ac:dyDescent="0.25">
      <c r="A153" s="58" t="str">
        <f>Source!E329</f>
        <v>29</v>
      </c>
      <c r="B153" s="59" t="str">
        <f>Source!F329</f>
        <v>2.1-3202-1-1/1</v>
      </c>
      <c r="C153" s="42" t="str">
        <f>Source!G329</f>
        <v>Замена бортового камня бетонного во дворовых территориях</v>
      </c>
      <c r="D153" s="61" t="str">
        <f>Source!H329</f>
        <v>м</v>
      </c>
      <c r="E153" s="60"/>
      <c r="F153" s="44"/>
      <c r="G153" s="62">
        <f>Source!I329</f>
        <v>265</v>
      </c>
    </row>
    <row r="154" spans="1:7" ht="14.25" x14ac:dyDescent="0.2">
      <c r="A154" s="58">
        <v>29.1</v>
      </c>
      <c r="B154" s="42" t="str">
        <f>SmtRes!I136</f>
        <v>9999990008</v>
      </c>
      <c r="C154" s="42" t="str">
        <f>SmtRes!K136</f>
        <v>Трудозатраты рабочих</v>
      </c>
      <c r="D154" s="43" t="str">
        <f>SmtRes!O136</f>
        <v>чел.-ч.</v>
      </c>
      <c r="E154" s="60">
        <f>SmtRes!AT136</f>
        <v>0.66</v>
      </c>
      <c r="F154" s="44" t="str">
        <f>SmtRes!AU136</f>
        <v/>
      </c>
      <c r="G154" s="60">
        <f>SmtRes!Y136*Source!I329</f>
        <v>174.9</v>
      </c>
    </row>
    <row r="155" spans="1:7" ht="28.5" x14ac:dyDescent="0.2">
      <c r="A155" s="58">
        <v>29.2</v>
      </c>
      <c r="B155" s="42" t="str">
        <f>SmtRes!I137</f>
        <v>22.1-10-4</v>
      </c>
      <c r="C155" s="42" t="str">
        <f>SmtRes!K137</f>
        <v>Компрессоры с дизельным двигателем прицепные до 2,5 м3/мин</v>
      </c>
      <c r="D155" s="43" t="str">
        <f>SmtRes!O137</f>
        <v>маш.-ч</v>
      </c>
      <c r="E155" s="60">
        <f>SmtRes!AT137</f>
        <v>0.13200000000000001</v>
      </c>
      <c r="F155" s="44" t="str">
        <f>SmtRes!AU137</f>
        <v/>
      </c>
      <c r="G155" s="60">
        <f>SmtRes!Y137*Source!I329</f>
        <v>34.980000000000004</v>
      </c>
    </row>
    <row r="156" spans="1:7" ht="28.5" x14ac:dyDescent="0.2">
      <c r="A156" s="58">
        <v>29.3</v>
      </c>
      <c r="B156" s="42" t="str">
        <f>SmtRes!I138</f>
        <v>22.1-18-27</v>
      </c>
      <c r="C156" s="42" t="str">
        <f>SmtRes!K138</f>
        <v>Автомобили грузовые для аварийно-ремонтных работ, грузоподъемность до 7 т</v>
      </c>
      <c r="D156" s="43" t="str">
        <f>SmtRes!O138</f>
        <v>маш.-ч</v>
      </c>
      <c r="E156" s="60">
        <f>SmtRes!AT138</f>
        <v>0.05</v>
      </c>
      <c r="F156" s="44" t="str">
        <f>SmtRes!AU138</f>
        <v/>
      </c>
      <c r="G156" s="60">
        <f>SmtRes!Y138*Source!I329</f>
        <v>13.25</v>
      </c>
    </row>
    <row r="157" spans="1:7" ht="14.25" x14ac:dyDescent="0.2">
      <c r="A157" s="58">
        <v>29.4</v>
      </c>
      <c r="B157" s="42" t="str">
        <f>SmtRes!I139</f>
        <v>22.1-30-54</v>
      </c>
      <c r="C157" s="42" t="str">
        <f>SmtRes!K139</f>
        <v>Молотки отбойные</v>
      </c>
      <c r="D157" s="43" t="str">
        <f>SmtRes!O139</f>
        <v>маш.-ч</v>
      </c>
      <c r="E157" s="60">
        <f>SmtRes!AT139</f>
        <v>0.13200000000000001</v>
      </c>
      <c r="F157" s="44" t="str">
        <f>SmtRes!AU139</f>
        <v/>
      </c>
      <c r="G157" s="60">
        <f>SmtRes!Y139*Source!I329</f>
        <v>34.980000000000004</v>
      </c>
    </row>
    <row r="158" spans="1:7" ht="42.75" x14ac:dyDescent="0.2">
      <c r="A158" s="58">
        <v>29.5</v>
      </c>
      <c r="B158" s="42" t="str">
        <f>SmtRes!I140</f>
        <v>22.1-4-1</v>
      </c>
      <c r="C158" s="42" t="str">
        <f>SmtRes!K140</f>
        <v>Погрузчики универсальные на пневмоколесном ходу, грузоподъемность до 1 т</v>
      </c>
      <c r="D158" s="43" t="str">
        <f>SmtRes!O140</f>
        <v>маш.-ч</v>
      </c>
      <c r="E158" s="60">
        <f>SmtRes!AT140</f>
        <v>8.8999999999999996E-2</v>
      </c>
      <c r="F158" s="44" t="str">
        <f>SmtRes!AU140</f>
        <v/>
      </c>
      <c r="G158" s="60">
        <f>SmtRes!Y140*Source!I329</f>
        <v>23.584999999999997</v>
      </c>
    </row>
    <row r="159" spans="1:7" ht="57" x14ac:dyDescent="0.2">
      <c r="A159" s="58">
        <v>29.6</v>
      </c>
      <c r="B159" s="42" t="str">
        <f>SmtRes!I141</f>
        <v>21.3-1-36</v>
      </c>
      <c r="C159" s="42" t="str">
        <f>SmtRes!K141</f>
        <v>Смеси бетонные, БСГ, тяжелого бетона на гранитном щебне фракция 20-40 для инженерных коммуникаций и дорог, класс прочности: В15 (М200); П1, F100, W2</v>
      </c>
      <c r="D159" s="43" t="str">
        <f>SmtRes!O141</f>
        <v>м3</v>
      </c>
      <c r="E159" s="60">
        <f>SmtRes!AT141</f>
        <v>5.8999999999999997E-2</v>
      </c>
      <c r="F159" s="44" t="str">
        <f>SmtRes!AU141</f>
        <v/>
      </c>
      <c r="G159" s="60">
        <f>SmtRes!Y141*Source!I329</f>
        <v>15.635</v>
      </c>
    </row>
    <row r="160" spans="1:7" ht="14.25" x14ac:dyDescent="0.2">
      <c r="A160" s="58">
        <v>29.7</v>
      </c>
      <c r="B160" s="42" t="str">
        <f>SmtRes!I142</f>
        <v>21.3-2-15</v>
      </c>
      <c r="C160" s="42" t="str">
        <f>SmtRes!K142</f>
        <v>Растворы цементные, марка 100</v>
      </c>
      <c r="D160" s="43" t="str">
        <f>SmtRes!O142</f>
        <v>м3</v>
      </c>
      <c r="E160" s="60">
        <f>SmtRes!AT142</f>
        <v>5.9999999999999995E-4</v>
      </c>
      <c r="F160" s="44" t="str">
        <f>SmtRes!AU142</f>
        <v/>
      </c>
      <c r="G160" s="60">
        <f>SmtRes!Y142*Source!I329</f>
        <v>0.15899999999999997</v>
      </c>
    </row>
    <row r="161" spans="1:7" ht="28.5" x14ac:dyDescent="0.2">
      <c r="A161" s="58">
        <v>29.8</v>
      </c>
      <c r="B161" s="42" t="str">
        <f>SmtRes!I143</f>
        <v>21.5-3-13</v>
      </c>
      <c r="C161" s="42" t="str">
        <f>SmtRes!K143</f>
        <v>Камни бетонные бортовые, марка БР 100.30.15</v>
      </c>
      <c r="D161" s="43" t="str">
        <f>SmtRes!O143</f>
        <v>м3</v>
      </c>
      <c r="E161" s="60">
        <f>SmtRes!AT143</f>
        <v>4.36E-2</v>
      </c>
      <c r="F161" s="44" t="str">
        <f>SmtRes!AU143</f>
        <v/>
      </c>
      <c r="G161" s="60">
        <f>SmtRes!Y143*Source!I329</f>
        <v>11.554</v>
      </c>
    </row>
    <row r="162" spans="1:7" ht="57" x14ac:dyDescent="0.25">
      <c r="A162" s="58" t="str">
        <f>Source!E331</f>
        <v>30</v>
      </c>
      <c r="B162" s="59" t="str">
        <f>Source!F331</f>
        <v>1.49-9201-1-2/1</v>
      </c>
      <c r="C162" s="42" t="str">
        <f>Source!G331</f>
        <v>Перевозка строительного мусора автосамосвалами грузоподъемностью до 10 т на расстояние 1 км - при механизированной погрузке</v>
      </c>
      <c r="D162" s="61" t="str">
        <f>Source!H331</f>
        <v>т</v>
      </c>
      <c r="E162" s="60"/>
      <c r="F162" s="44"/>
      <c r="G162" s="62">
        <f>Source!I331</f>
        <v>58.670999999999999</v>
      </c>
    </row>
    <row r="163" spans="1:7" x14ac:dyDescent="0.2">
      <c r="A163" s="51"/>
      <c r="B163" s="51"/>
      <c r="C163" s="63" t="str">
        <f>"Объем: "&amp;Source!I331&amp;"="&amp;Source!I333&amp;"*"&amp;"0,9"</f>
        <v>Объем: 58,671=65,19*0,9</v>
      </c>
      <c r="D163" s="51"/>
      <c r="E163" s="51"/>
      <c r="F163" s="51"/>
      <c r="G163" s="51"/>
    </row>
    <row r="164" spans="1:7" ht="28.5" x14ac:dyDescent="0.2">
      <c r="A164" s="58">
        <v>30.1</v>
      </c>
      <c r="B164" s="42" t="str">
        <f>SmtRes!I145</f>
        <v>22.1-18-12</v>
      </c>
      <c r="C164" s="42" t="str">
        <f>SmtRes!K145</f>
        <v>Автомобили-самосвалы, грузоподъемность до 7 т</v>
      </c>
      <c r="D164" s="43" t="str">
        <f>SmtRes!O145</f>
        <v>маш.-ч</v>
      </c>
      <c r="E164" s="60">
        <f>SmtRes!AT145</f>
        <v>0.02</v>
      </c>
      <c r="F164" s="44" t="str">
        <f>SmtRes!AU145</f>
        <v/>
      </c>
      <c r="G164" s="60">
        <f>SmtRes!Y145*Source!I331</f>
        <v>1.1734199999999999</v>
      </c>
    </row>
    <row r="165" spans="1:7" ht="28.5" x14ac:dyDescent="0.2">
      <c r="A165" s="58">
        <v>30.2</v>
      </c>
      <c r="B165" s="42" t="str">
        <f>SmtRes!I146</f>
        <v>22.1-18-13</v>
      </c>
      <c r="C165" s="42" t="str">
        <f>SmtRes!K146</f>
        <v>Автомобили-самосвалы, грузоподъемность до 10 т</v>
      </c>
      <c r="D165" s="43" t="str">
        <f>SmtRes!O146</f>
        <v>маш.-ч</v>
      </c>
      <c r="E165" s="60">
        <f>SmtRes!AT146</f>
        <v>1.7999999999999999E-2</v>
      </c>
      <c r="F165" s="44" t="str">
        <f>SmtRes!AU146</f>
        <v/>
      </c>
      <c r="G165" s="60">
        <f>SmtRes!Y146*Source!I331</f>
        <v>1.0560779999999999</v>
      </c>
    </row>
    <row r="166" spans="1:7" ht="42.75" x14ac:dyDescent="0.25">
      <c r="A166" s="58" t="str">
        <f>Source!E332</f>
        <v>31</v>
      </c>
      <c r="B166" s="59" t="str">
        <f>Source!F332</f>
        <v>1.49-9201-1-1/1</v>
      </c>
      <c r="C166" s="42" t="str">
        <f>Source!G332</f>
        <v>Перевозка строительного мусора автосамосвалами грузоподъемностью до 10 т на расстояние 1 км - при погрузке вручную</v>
      </c>
      <c r="D166" s="61" t="str">
        <f>Source!H332</f>
        <v>т</v>
      </c>
      <c r="E166" s="60"/>
      <c r="F166" s="44"/>
      <c r="G166" s="62">
        <f>Source!I332</f>
        <v>6.5190000000000001</v>
      </c>
    </row>
    <row r="167" spans="1:7" x14ac:dyDescent="0.2">
      <c r="A167" s="51"/>
      <c r="B167" s="51"/>
      <c r="C167" s="63" t="str">
        <f>"Объем: "&amp;Source!I332&amp;"="&amp;Source!I333&amp;"*"&amp;"0,1"</f>
        <v>Объем: 6,519=65,19*0,1</v>
      </c>
      <c r="D167" s="51"/>
      <c r="E167" s="51"/>
      <c r="F167" s="51"/>
      <c r="G167" s="51"/>
    </row>
    <row r="168" spans="1:7" ht="28.5" x14ac:dyDescent="0.2">
      <c r="A168" s="58">
        <v>31.1</v>
      </c>
      <c r="B168" s="42" t="str">
        <f>SmtRes!I147</f>
        <v>22.1-18-12</v>
      </c>
      <c r="C168" s="42" t="str">
        <f>SmtRes!K147</f>
        <v>Автомобили-самосвалы, грузоподъемность до 7 т</v>
      </c>
      <c r="D168" s="43" t="str">
        <f>SmtRes!O147</f>
        <v>маш.-ч</v>
      </c>
      <c r="E168" s="60">
        <f>SmtRes!AT147</f>
        <v>5.3999999999999999E-2</v>
      </c>
      <c r="F168" s="44" t="str">
        <f>SmtRes!AU147</f>
        <v/>
      </c>
      <c r="G168" s="60">
        <f>SmtRes!Y147*Source!I332</f>
        <v>0.35202600000000001</v>
      </c>
    </row>
    <row r="169" spans="1:7" ht="28.5" x14ac:dyDescent="0.2">
      <c r="A169" s="58">
        <v>31.2</v>
      </c>
      <c r="B169" s="42" t="str">
        <f>SmtRes!I148</f>
        <v>22.1-18-13</v>
      </c>
      <c r="C169" s="42" t="str">
        <f>SmtRes!K148</f>
        <v>Автомобили-самосвалы, грузоподъемность до 10 т</v>
      </c>
      <c r="D169" s="43" t="str">
        <f>SmtRes!O148</f>
        <v>маш.-ч</v>
      </c>
      <c r="E169" s="60">
        <f>SmtRes!AT148</f>
        <v>5.5E-2</v>
      </c>
      <c r="F169" s="44" t="str">
        <f>SmtRes!AU148</f>
        <v/>
      </c>
      <c r="G169" s="60">
        <f>SmtRes!Y148*Source!I332</f>
        <v>0.358545</v>
      </c>
    </row>
    <row r="170" spans="1:7" ht="156.75" x14ac:dyDescent="0.25">
      <c r="A170" s="58" t="str">
        <f>Source!E333</f>
        <v>32</v>
      </c>
      <c r="B170" s="59" t="str">
        <f>Source!F333</f>
        <v>1.49-9201-1-3/1</v>
      </c>
      <c r="C170" s="42" t="s">
        <v>625</v>
      </c>
      <c r="D170" s="61" t="str">
        <f>Source!H333</f>
        <v>т</v>
      </c>
      <c r="E170" s="60"/>
      <c r="F170" s="44"/>
      <c r="G170" s="62">
        <f>Source!I333</f>
        <v>65.19</v>
      </c>
    </row>
    <row r="171" spans="1:7" ht="28.5" x14ac:dyDescent="0.2">
      <c r="A171" s="58">
        <v>32.1</v>
      </c>
      <c r="B171" s="42" t="str">
        <f>SmtRes!I149</f>
        <v>22.1-18-12</v>
      </c>
      <c r="C171" s="42" t="str">
        <f>SmtRes!K149</f>
        <v>Автомобили-самосвалы, грузоподъемность до 7 т</v>
      </c>
      <c r="D171" s="43" t="str">
        <f>SmtRes!O149</f>
        <v>маш.-ч</v>
      </c>
      <c r="E171" s="60">
        <f>SmtRes!AT149</f>
        <v>0.01</v>
      </c>
      <c r="F171" s="44" t="str">
        <f>SmtRes!AU149</f>
        <v>*51</v>
      </c>
      <c r="G171" s="60">
        <f>SmtRes!Y149*Source!I333</f>
        <v>33.246899999999997</v>
      </c>
    </row>
    <row r="172" spans="1:7" ht="28.5" x14ac:dyDescent="0.2">
      <c r="A172" s="58">
        <v>32.200000000000003</v>
      </c>
      <c r="B172" s="42" t="str">
        <f>SmtRes!I150</f>
        <v>22.1-18-13</v>
      </c>
      <c r="C172" s="42" t="str">
        <f>SmtRes!K150</f>
        <v>Автомобили-самосвалы, грузоподъемность до 10 т</v>
      </c>
      <c r="D172" s="43" t="str">
        <f>SmtRes!O150</f>
        <v>маш.-ч</v>
      </c>
      <c r="E172" s="60">
        <f>SmtRes!AT150</f>
        <v>8.0000000000000002E-3</v>
      </c>
      <c r="F172" s="44" t="str">
        <f>SmtRes!AU150</f>
        <v>*51</v>
      </c>
      <c r="G172" s="60">
        <f>SmtRes!Y150*Source!I333</f>
        <v>26.597519999999999</v>
      </c>
    </row>
    <row r="173" spans="1:7" ht="85.5" x14ac:dyDescent="0.25">
      <c r="A173" s="58" t="str">
        <f>Source!E334</f>
        <v>33</v>
      </c>
      <c r="B173" s="59" t="str">
        <f>Source!F334</f>
        <v>21.25-0-5</v>
      </c>
      <c r="C173" s="42" t="str">
        <f>Source!G334</f>
        <v>Стоимость приемки отходов строительства и сноса (боя кирпичной кладки, бетонных и железобетонных изделий, отходов бетона и железобетона, асфальтобетона в кусковой форме) для переработки дробильными комплексами</v>
      </c>
      <c r="D173" s="61" t="str">
        <f>Source!H334</f>
        <v>т</v>
      </c>
      <c r="E173" s="60"/>
      <c r="F173" s="44"/>
      <c r="G173" s="62">
        <f>Source!I334</f>
        <v>65.19</v>
      </c>
    </row>
    <row r="174" spans="1:7" x14ac:dyDescent="0.2">
      <c r="A174" s="51"/>
      <c r="B174" s="51"/>
      <c r="C174" s="63" t="str">
        <f>"Объем: "&amp;Source!I334&amp;"="&amp;Source!I329&amp;"*"&amp;"0,246"</f>
        <v>Объем: 65,19=265*0,246</v>
      </c>
      <c r="D174" s="51"/>
      <c r="E174" s="51"/>
      <c r="F174" s="51"/>
      <c r="G174" s="51"/>
    </row>
    <row r="175" spans="1:7" ht="16.5" x14ac:dyDescent="0.25">
      <c r="A175" s="101" t="str">
        <f>Source!G367</f>
        <v>Устройство газона (1000 м2)</v>
      </c>
      <c r="B175" s="101"/>
      <c r="C175" s="101"/>
      <c r="D175" s="101"/>
      <c r="E175" s="101"/>
      <c r="F175" s="101"/>
      <c r="G175" s="101"/>
    </row>
    <row r="176" spans="1:7" ht="57" x14ac:dyDescent="0.25">
      <c r="A176" s="58" t="str">
        <f>Source!E371</f>
        <v>35</v>
      </c>
      <c r="B176" s="59" t="str">
        <f>Source!F371</f>
        <v>2.49-3101-3-3/1</v>
      </c>
      <c r="C176" s="42" t="str">
        <f>Source!G371</f>
        <v>Разработка грунта с погрузкой на автомобили-самосвалы экскаваторами с ковшом вместимостью 0,5 м3, группа грунтов 1-3</v>
      </c>
      <c r="D176" s="61" t="str">
        <f>Source!H371</f>
        <v>100 м3</v>
      </c>
      <c r="E176" s="60"/>
      <c r="F176" s="44"/>
      <c r="G176" s="62">
        <f>Source!I371</f>
        <v>0.75</v>
      </c>
    </row>
    <row r="177" spans="1:7" x14ac:dyDescent="0.2">
      <c r="A177" s="51"/>
      <c r="B177" s="51"/>
      <c r="C177" s="63" t="str">
        <f>"Объем: "&amp;Source!I371&amp;"=("&amp;Source!I375&amp;"*"&amp;"0,75)/"&amp;"100"</f>
        <v>Объем: 0,75=(100*0,75)/100</v>
      </c>
      <c r="D177" s="51"/>
      <c r="E177" s="51"/>
      <c r="F177" s="51"/>
      <c r="G177" s="51"/>
    </row>
    <row r="178" spans="1:7" ht="14.25" x14ac:dyDescent="0.2">
      <c r="A178" s="58">
        <v>35.1</v>
      </c>
      <c r="B178" s="42" t="str">
        <f>SmtRes!I155</f>
        <v>9999990008</v>
      </c>
      <c r="C178" s="42" t="str">
        <f>SmtRes!K155</f>
        <v>Трудозатраты рабочих</v>
      </c>
      <c r="D178" s="43" t="str">
        <f>SmtRes!O155</f>
        <v>чел.-ч.</v>
      </c>
      <c r="E178" s="60">
        <f>SmtRes!AT155</f>
        <v>1.59</v>
      </c>
      <c r="F178" s="44" t="str">
        <f>SmtRes!AU155</f>
        <v/>
      </c>
      <c r="G178" s="60">
        <f>SmtRes!Y155*Source!I371</f>
        <v>1.1925000000000001</v>
      </c>
    </row>
    <row r="179" spans="1:7" ht="28.5" x14ac:dyDescent="0.2">
      <c r="A179" s="58">
        <v>35.200000000000003</v>
      </c>
      <c r="B179" s="42" t="str">
        <f>SmtRes!I156</f>
        <v>22.1-1-4</v>
      </c>
      <c r="C179" s="42" t="str">
        <f>SmtRes!K156</f>
        <v>Экскаваторы на гусеничном ходу гидравлические, объем ковша до 0,5 м3</v>
      </c>
      <c r="D179" s="43" t="str">
        <f>SmtRes!O156</f>
        <v>маш.-ч</v>
      </c>
      <c r="E179" s="60">
        <f>SmtRes!AT156</f>
        <v>4.9800000000000004</v>
      </c>
      <c r="F179" s="44" t="str">
        <f>SmtRes!AU156</f>
        <v/>
      </c>
      <c r="G179" s="60">
        <f>SmtRes!Y156*Source!I371</f>
        <v>3.7350000000000003</v>
      </c>
    </row>
    <row r="180" spans="1:7" ht="28.5" x14ac:dyDescent="0.2">
      <c r="A180" s="58">
        <v>35.299999999999997</v>
      </c>
      <c r="B180" s="42" t="str">
        <f>SmtRes!I157</f>
        <v>22.1-1-44</v>
      </c>
      <c r="C180" s="42" t="str">
        <f>SmtRes!K157</f>
        <v>Бульдозеры гусеничные, мощность до 79 кВт (108 л.с.)</v>
      </c>
      <c r="D180" s="43" t="str">
        <f>SmtRes!O157</f>
        <v>маш.-ч</v>
      </c>
      <c r="E180" s="60">
        <f>SmtRes!AT157</f>
        <v>1.25</v>
      </c>
      <c r="F180" s="44" t="str">
        <f>SmtRes!AU157</f>
        <v/>
      </c>
      <c r="G180" s="60">
        <f>SmtRes!Y157*Source!I371</f>
        <v>0.9375</v>
      </c>
    </row>
    <row r="181" spans="1:7" ht="42.75" x14ac:dyDescent="0.25">
      <c r="A181" s="58" t="str">
        <f>Source!E372</f>
        <v>36</v>
      </c>
      <c r="B181" s="59" t="str">
        <f>Source!F372</f>
        <v>1.1-3303-2-1/1</v>
      </c>
      <c r="C181" s="42" t="str">
        <f>Source!G372</f>
        <v>Разработка грунта вручную в траншеях глубиной до 2 м без креплений с откосами группа грунтов 1-3</v>
      </c>
      <c r="D181" s="61" t="str">
        <f>Source!H372</f>
        <v>100 м3</v>
      </c>
      <c r="E181" s="60"/>
      <c r="F181" s="44"/>
      <c r="G181" s="62">
        <f>Source!I372</f>
        <v>0.25</v>
      </c>
    </row>
    <row r="182" spans="1:7" x14ac:dyDescent="0.2">
      <c r="A182" s="51"/>
      <c r="B182" s="51"/>
      <c r="C182" s="63" t="str">
        <f>"Объем: "&amp;Source!I372&amp;"=("&amp;Source!I375&amp;"*"&amp;"0,25)/"&amp;"100"</f>
        <v>Объем: 0,25=(100*0,25)/100</v>
      </c>
      <c r="D182" s="51"/>
      <c r="E182" s="51"/>
      <c r="F182" s="51"/>
      <c r="G182" s="51"/>
    </row>
    <row r="183" spans="1:7" ht="14.25" x14ac:dyDescent="0.2">
      <c r="A183" s="58">
        <v>36.1</v>
      </c>
      <c r="B183" s="42" t="str">
        <f>SmtRes!I158</f>
        <v>9999990008</v>
      </c>
      <c r="C183" s="42" t="str">
        <f>SmtRes!K158</f>
        <v>Трудозатраты рабочих</v>
      </c>
      <c r="D183" s="43" t="str">
        <f>SmtRes!O158</f>
        <v>чел.-ч.</v>
      </c>
      <c r="E183" s="60">
        <f>SmtRes!AT158</f>
        <v>221.6</v>
      </c>
      <c r="F183" s="44" t="str">
        <f>SmtRes!AU158</f>
        <v/>
      </c>
      <c r="G183" s="60">
        <f>SmtRes!Y158*Source!I372</f>
        <v>55.4</v>
      </c>
    </row>
    <row r="184" spans="1:7" ht="57" x14ac:dyDescent="0.25">
      <c r="A184" s="58" t="str">
        <f>Source!E373</f>
        <v>37</v>
      </c>
      <c r="B184" s="59" t="str">
        <f>Source!F373</f>
        <v>2.49-3101-3-3/1</v>
      </c>
      <c r="C184" s="42" t="str">
        <f>Source!G373</f>
        <v>Разработка грунта с погрузкой на автомобили-самосвалы экскаваторами с ковшом вместимостью 0,5 м3, группа грунтов 1-3</v>
      </c>
      <c r="D184" s="61" t="str">
        <f>Source!H373</f>
        <v>100 м3</v>
      </c>
      <c r="E184" s="60"/>
      <c r="F184" s="44"/>
      <c r="G184" s="62">
        <f>Source!I373</f>
        <v>0.22500000000000001</v>
      </c>
    </row>
    <row r="185" spans="1:7" x14ac:dyDescent="0.2">
      <c r="A185" s="51"/>
      <c r="B185" s="51"/>
      <c r="C185" s="63" t="str">
        <f>"Объем: "&amp;Source!I373&amp;"="&amp;Source!I372&amp;"*"&amp;"0,9"</f>
        <v>Объем: 0,225=0,25*0,9</v>
      </c>
      <c r="D185" s="51"/>
      <c r="E185" s="51"/>
      <c r="F185" s="51"/>
      <c r="G185" s="51"/>
    </row>
    <row r="186" spans="1:7" ht="14.25" x14ac:dyDescent="0.2">
      <c r="A186" s="58">
        <v>37.1</v>
      </c>
      <c r="B186" s="42" t="str">
        <f>SmtRes!I159</f>
        <v>9999990008</v>
      </c>
      <c r="C186" s="42" t="str">
        <f>SmtRes!K159</f>
        <v>Трудозатраты рабочих</v>
      </c>
      <c r="D186" s="43" t="str">
        <f>SmtRes!O159</f>
        <v>чел.-ч.</v>
      </c>
      <c r="E186" s="60">
        <f>SmtRes!AT159</f>
        <v>1.59</v>
      </c>
      <c r="F186" s="44" t="str">
        <f>SmtRes!AU159</f>
        <v/>
      </c>
      <c r="G186" s="60">
        <f>SmtRes!Y159*Source!I373</f>
        <v>0.35775000000000001</v>
      </c>
    </row>
    <row r="187" spans="1:7" ht="28.5" x14ac:dyDescent="0.2">
      <c r="A187" s="58">
        <v>37.200000000000003</v>
      </c>
      <c r="B187" s="42" t="str">
        <f>SmtRes!I160</f>
        <v>22.1-1-4</v>
      </c>
      <c r="C187" s="42" t="str">
        <f>SmtRes!K160</f>
        <v>Экскаваторы на гусеничном ходу гидравлические, объем ковша до 0,5 м3</v>
      </c>
      <c r="D187" s="43" t="str">
        <f>SmtRes!O160</f>
        <v>маш.-ч</v>
      </c>
      <c r="E187" s="60">
        <f>SmtRes!AT160</f>
        <v>4.9800000000000004</v>
      </c>
      <c r="F187" s="44" t="str">
        <f>SmtRes!AU160</f>
        <v/>
      </c>
      <c r="G187" s="60">
        <f>SmtRes!Y160*Source!I373</f>
        <v>1.1205000000000001</v>
      </c>
    </row>
    <row r="188" spans="1:7" ht="28.5" x14ac:dyDescent="0.2">
      <c r="A188" s="58">
        <v>37.299999999999997</v>
      </c>
      <c r="B188" s="42" t="str">
        <f>SmtRes!I161</f>
        <v>22.1-1-44</v>
      </c>
      <c r="C188" s="42" t="str">
        <f>SmtRes!K161</f>
        <v>Бульдозеры гусеничные, мощность до 79 кВт (108 л.с.)</v>
      </c>
      <c r="D188" s="43" t="str">
        <f>SmtRes!O161</f>
        <v>маш.-ч</v>
      </c>
      <c r="E188" s="60">
        <f>SmtRes!AT161</f>
        <v>1.25</v>
      </c>
      <c r="F188" s="44" t="str">
        <f>SmtRes!AU161</f>
        <v/>
      </c>
      <c r="G188" s="60">
        <f>SmtRes!Y161*Source!I373</f>
        <v>0.28125</v>
      </c>
    </row>
    <row r="189" spans="1:7" ht="28.5" x14ac:dyDescent="0.25">
      <c r="A189" s="58" t="str">
        <f>Source!E374</f>
        <v>38</v>
      </c>
      <c r="B189" s="59" t="str">
        <f>Source!F374</f>
        <v>1.1-3101-6-1/1</v>
      </c>
      <c r="C189" s="42" t="str">
        <f>Source!G374</f>
        <v>Погрузка грунта вручную в автомобили-самосвалы с выгрузкой</v>
      </c>
      <c r="D189" s="61" t="str">
        <f>Source!H374</f>
        <v>100 м3</v>
      </c>
      <c r="E189" s="60"/>
      <c r="F189" s="44"/>
      <c r="G189" s="62">
        <f>Source!I374</f>
        <v>2.5000000000000001E-2</v>
      </c>
    </row>
    <row r="190" spans="1:7" x14ac:dyDescent="0.2">
      <c r="A190" s="51"/>
      <c r="B190" s="51"/>
      <c r="C190" s="63" t="str">
        <f>"Объем: "&amp;Source!I374&amp;"=("&amp;Source!I372&amp;"*"&amp;"0,1)"</f>
        <v>Объем: 0,025=(0,25*0,1)</v>
      </c>
      <c r="D190" s="51"/>
      <c r="E190" s="51"/>
      <c r="F190" s="51"/>
      <c r="G190" s="51"/>
    </row>
    <row r="191" spans="1:7" ht="14.25" x14ac:dyDescent="0.2">
      <c r="A191" s="58">
        <v>38.1</v>
      </c>
      <c r="B191" s="42" t="str">
        <f>SmtRes!I162</f>
        <v>9999990008</v>
      </c>
      <c r="C191" s="42" t="str">
        <f>SmtRes!K162</f>
        <v>Трудозатраты рабочих</v>
      </c>
      <c r="D191" s="43" t="str">
        <f>SmtRes!O162</f>
        <v>чел.-ч.</v>
      </c>
      <c r="E191" s="60">
        <f>SmtRes!AT162</f>
        <v>83</v>
      </c>
      <c r="F191" s="44" t="str">
        <f>SmtRes!AU162</f>
        <v/>
      </c>
      <c r="G191" s="60">
        <f>SmtRes!Y162*Source!I374</f>
        <v>2.0750000000000002</v>
      </c>
    </row>
    <row r="192" spans="1:7" ht="42.75" x14ac:dyDescent="0.25">
      <c r="A192" s="58" t="str">
        <f>Source!E375</f>
        <v>39</v>
      </c>
      <c r="B192" s="59" t="str">
        <f>Source!F375</f>
        <v>2.49-3401-1-1/1</v>
      </c>
      <c r="C192" s="42" t="str">
        <f>Source!G375</f>
        <v>Перевозка грунта автосамосвалами грузоподъемностью до 10 т на расстояние 1 км</v>
      </c>
      <c r="D192" s="61" t="str">
        <f>Source!H375</f>
        <v>м3</v>
      </c>
      <c r="E192" s="60"/>
      <c r="F192" s="44"/>
      <c r="G192" s="62">
        <f>Source!I375</f>
        <v>100</v>
      </c>
    </row>
    <row r="193" spans="1:7" x14ac:dyDescent="0.2">
      <c r="A193" s="51"/>
      <c r="B193" s="51"/>
      <c r="C193" s="63" t="str">
        <f>"Объем: "&amp;Source!I375&amp;"="&amp;Source!I381&amp;"*"&amp;"0,1*"&amp;"100"</f>
        <v>Объем: 100=10*0,1*100</v>
      </c>
      <c r="D193" s="51"/>
      <c r="E193" s="51"/>
      <c r="F193" s="51"/>
      <c r="G193" s="51"/>
    </row>
    <row r="194" spans="1:7" ht="28.5" x14ac:dyDescent="0.2">
      <c r="A194" s="58">
        <v>39.1</v>
      </c>
      <c r="B194" s="42" t="str">
        <f>SmtRes!I163</f>
        <v>22.1-18-13</v>
      </c>
      <c r="C194" s="42" t="str">
        <f>SmtRes!K163</f>
        <v>Автомобили-самосвалы, грузоподъемность до 10 т</v>
      </c>
      <c r="D194" s="43" t="str">
        <f>SmtRes!O163</f>
        <v>маш.-ч</v>
      </c>
      <c r="E194" s="60">
        <f>SmtRes!AT163</f>
        <v>3.1E-2</v>
      </c>
      <c r="F194" s="44" t="str">
        <f>SmtRes!AU163</f>
        <v/>
      </c>
      <c r="G194" s="60">
        <f>SmtRes!Y163*Source!I375</f>
        <v>3.1</v>
      </c>
    </row>
    <row r="195" spans="1:7" ht="156.75" x14ac:dyDescent="0.25">
      <c r="A195" s="58" t="str">
        <f>Source!E376</f>
        <v>40</v>
      </c>
      <c r="B195" s="59" t="str">
        <f>Source!F376</f>
        <v>2.49-3401-1-2/1</v>
      </c>
      <c r="C195" s="42" t="s">
        <v>627</v>
      </c>
      <c r="D195" s="61" t="str">
        <f>Source!H376</f>
        <v>м3</v>
      </c>
      <c r="E195" s="60"/>
      <c r="F195" s="44"/>
      <c r="G195" s="62">
        <f>Source!I376</f>
        <v>100</v>
      </c>
    </row>
    <row r="196" spans="1:7" ht="28.5" x14ac:dyDescent="0.2">
      <c r="A196" s="58">
        <v>40.1</v>
      </c>
      <c r="B196" s="42" t="str">
        <f>SmtRes!I164</f>
        <v>22.1-18-13</v>
      </c>
      <c r="C196" s="42" t="str">
        <f>SmtRes!K164</f>
        <v>Автомобили-самосвалы, грузоподъемность до 10 т</v>
      </c>
      <c r="D196" s="43" t="str">
        <f>SmtRes!O164</f>
        <v>маш.-ч</v>
      </c>
      <c r="E196" s="60">
        <f>SmtRes!AT164</f>
        <v>0.01</v>
      </c>
      <c r="F196" s="44" t="str">
        <f>SmtRes!AU164</f>
        <v>*53</v>
      </c>
      <c r="G196" s="60">
        <f>SmtRes!Y164*Source!I376</f>
        <v>53</v>
      </c>
    </row>
    <row r="197" spans="1:7" ht="71.25" x14ac:dyDescent="0.25">
      <c r="A197" s="58" t="str">
        <f>Source!E377</f>
        <v>41</v>
      </c>
      <c r="B197" s="59" t="str">
        <f>Source!F377</f>
        <v>21.25-0-2</v>
      </c>
      <c r="C197" s="42" t="str">
        <f>Source!G377</f>
        <v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v>
      </c>
      <c r="D197" s="61" t="str">
        <f>Source!H377</f>
        <v>т</v>
      </c>
      <c r="E197" s="60"/>
      <c r="F197" s="44"/>
      <c r="G197" s="62">
        <f>Source!I377</f>
        <v>140</v>
      </c>
    </row>
    <row r="198" spans="1:7" x14ac:dyDescent="0.2">
      <c r="A198" s="51"/>
      <c r="B198" s="51"/>
      <c r="C198" s="63" t="str">
        <f>"Объем: "&amp;Source!I377&amp;"="&amp;Source!I376&amp;"*"&amp;"1,4"</f>
        <v>Объем: 140=100*1,4</v>
      </c>
      <c r="D198" s="51"/>
      <c r="E198" s="51"/>
      <c r="F198" s="51"/>
      <c r="G198" s="51"/>
    </row>
    <row r="199" spans="1:7" ht="57" x14ac:dyDescent="0.25">
      <c r="A199" s="58" t="str">
        <f>Source!E378</f>
        <v>42</v>
      </c>
      <c r="B199" s="59" t="str">
        <f>Source!F378</f>
        <v>5.4-3203-3-3/1</v>
      </c>
      <c r="C199" s="42" t="str">
        <f>Source!G378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D199" s="61" t="str">
        <f>Source!H378</f>
        <v>100 м2</v>
      </c>
      <c r="E199" s="60"/>
      <c r="F199" s="44"/>
      <c r="G199" s="62">
        <f>Source!I378</f>
        <v>7.5</v>
      </c>
    </row>
    <row r="200" spans="1:7" x14ac:dyDescent="0.2">
      <c r="A200" s="51"/>
      <c r="B200" s="51"/>
      <c r="C200" s="63" t="str">
        <f>"Объем: "&amp;Source!I378&amp;"="&amp;Source!I380&amp;"*"&amp;"0,75"</f>
        <v>Объем: 7,5=10*0,75</v>
      </c>
      <c r="D200" s="51"/>
      <c r="E200" s="51"/>
      <c r="F200" s="51"/>
      <c r="G200" s="51"/>
    </row>
    <row r="201" spans="1:7" ht="14.25" x14ac:dyDescent="0.2">
      <c r="A201" s="58">
        <v>42.1</v>
      </c>
      <c r="B201" s="42" t="str">
        <f>SmtRes!I165</f>
        <v>9999990008</v>
      </c>
      <c r="C201" s="42" t="str">
        <f>SmtRes!K165</f>
        <v>Трудозатраты рабочих</v>
      </c>
      <c r="D201" s="43" t="str">
        <f>SmtRes!O165</f>
        <v>чел.-ч.</v>
      </c>
      <c r="E201" s="60">
        <f>SmtRes!AT165</f>
        <v>30.8</v>
      </c>
      <c r="F201" s="44" t="str">
        <f>SmtRes!AU165</f>
        <v/>
      </c>
      <c r="G201" s="60">
        <f>SmtRes!Y165*Source!I378</f>
        <v>231</v>
      </c>
    </row>
    <row r="202" spans="1:7" ht="14.25" x14ac:dyDescent="0.2">
      <c r="A202" s="58">
        <v>42.2</v>
      </c>
      <c r="B202" s="42" t="str">
        <f>SmtRes!I166</f>
        <v>22.1-17-39</v>
      </c>
      <c r="C202" s="42" t="str">
        <f>SmtRes!K166</f>
        <v>Плуги выкопочные (без трактора)</v>
      </c>
      <c r="D202" s="43" t="str">
        <f>SmtRes!O166</f>
        <v>маш.-ч</v>
      </c>
      <c r="E202" s="60">
        <f>SmtRes!AT166</f>
        <v>0.06</v>
      </c>
      <c r="F202" s="44" t="str">
        <f>SmtRes!AU166</f>
        <v/>
      </c>
      <c r="G202" s="60">
        <f>SmtRes!Y166*Source!I378</f>
        <v>0.44999999999999996</v>
      </c>
    </row>
    <row r="203" spans="1:7" ht="28.5" x14ac:dyDescent="0.2">
      <c r="A203" s="58">
        <v>42.3</v>
      </c>
      <c r="B203" s="42" t="str">
        <f>SmtRes!I167</f>
        <v>22.1-2-7</v>
      </c>
      <c r="C203" s="42" t="str">
        <f>SmtRes!K167</f>
        <v>Тракторы на пневмоколесном ходу, мощность до 60 (81) кВт (л.с.)</v>
      </c>
      <c r="D203" s="43" t="str">
        <f>SmtRes!O167</f>
        <v>маш.-ч</v>
      </c>
      <c r="E203" s="60">
        <f>SmtRes!AT167</f>
        <v>0.06</v>
      </c>
      <c r="F203" s="44" t="str">
        <f>SmtRes!AU167</f>
        <v/>
      </c>
      <c r="G203" s="60">
        <f>SmtRes!Y167*Source!I378</f>
        <v>0.44999999999999996</v>
      </c>
    </row>
    <row r="204" spans="1:7" ht="14.25" x14ac:dyDescent="0.2">
      <c r="A204" s="58">
        <v>42.4</v>
      </c>
      <c r="B204" s="42" t="str">
        <f>SmtRes!I168</f>
        <v>21.4-6-5</v>
      </c>
      <c r="C204" s="42" t="str">
        <f>SmtRes!K168</f>
        <v>Земля растительная</v>
      </c>
      <c r="D204" s="43" t="str">
        <f>SmtRes!O168</f>
        <v>м3</v>
      </c>
      <c r="E204" s="60">
        <f>SmtRes!AT168</f>
        <v>15</v>
      </c>
      <c r="F204" s="44" t="str">
        <f>SmtRes!AU168</f>
        <v/>
      </c>
      <c r="G204" s="60">
        <f>SmtRes!Y168*Source!I378</f>
        <v>112.5</v>
      </c>
    </row>
    <row r="205" spans="1:7" ht="57" x14ac:dyDescent="0.25">
      <c r="A205" s="58" t="str">
        <f>Source!E379</f>
        <v>43</v>
      </c>
      <c r="B205" s="59" t="str">
        <f>Source!F379</f>
        <v>5.4-3203-3-4/1</v>
      </c>
      <c r="C205" s="42" t="str">
        <f>Source!G379</f>
        <v>Подготовка почвы для устройства партерного и обыкновенного газонов с внесением растительной земли слоем 15 см вручную</v>
      </c>
      <c r="D205" s="61" t="str">
        <f>Source!H379</f>
        <v>100 м2</v>
      </c>
      <c r="E205" s="60"/>
      <c r="F205" s="44"/>
      <c r="G205" s="62">
        <f>Source!I379</f>
        <v>2.5</v>
      </c>
    </row>
    <row r="206" spans="1:7" x14ac:dyDescent="0.2">
      <c r="A206" s="51"/>
      <c r="B206" s="51"/>
      <c r="C206" s="63" t="str">
        <f>"Объем: "&amp;Source!I379&amp;"="&amp;Source!I380&amp;"*"&amp;"0,25"</f>
        <v>Объем: 2,5=10*0,25</v>
      </c>
      <c r="D206" s="51"/>
      <c r="E206" s="51"/>
      <c r="F206" s="51"/>
      <c r="G206" s="51"/>
    </row>
    <row r="207" spans="1:7" ht="14.25" x14ac:dyDescent="0.2">
      <c r="A207" s="58">
        <v>43.1</v>
      </c>
      <c r="B207" s="42" t="str">
        <f>SmtRes!I169</f>
        <v>9999990008</v>
      </c>
      <c r="C207" s="42" t="str">
        <f>SmtRes!K169</f>
        <v>Трудозатраты рабочих</v>
      </c>
      <c r="D207" s="43" t="str">
        <f>SmtRes!O169</f>
        <v>чел.-ч.</v>
      </c>
      <c r="E207" s="60">
        <f>SmtRes!AT169</f>
        <v>46</v>
      </c>
      <c r="F207" s="44" t="str">
        <f>SmtRes!AU169</f>
        <v/>
      </c>
      <c r="G207" s="60">
        <f>SmtRes!Y169*Source!I379</f>
        <v>115</v>
      </c>
    </row>
    <row r="208" spans="1:7" ht="14.25" x14ac:dyDescent="0.2">
      <c r="A208" s="58">
        <v>43.2</v>
      </c>
      <c r="B208" s="42" t="str">
        <f>SmtRes!I170</f>
        <v>21.4-6-5</v>
      </c>
      <c r="C208" s="42" t="str">
        <f>SmtRes!K170</f>
        <v>Земля растительная</v>
      </c>
      <c r="D208" s="43" t="str">
        <f>SmtRes!O170</f>
        <v>м3</v>
      </c>
      <c r="E208" s="60">
        <f>SmtRes!AT170</f>
        <v>15</v>
      </c>
      <c r="F208" s="44" t="str">
        <f>SmtRes!AU170</f>
        <v/>
      </c>
      <c r="G208" s="60">
        <f>SmtRes!Y170*Source!I379</f>
        <v>37.5</v>
      </c>
    </row>
    <row r="209" spans="1:7" ht="156.75" x14ac:dyDescent="0.25">
      <c r="A209" s="58" t="str">
        <f>Source!E380</f>
        <v>44</v>
      </c>
      <c r="B209" s="59" t="str">
        <f>Source!F380</f>
        <v>5.4-3203-3-5/1</v>
      </c>
      <c r="C209" s="42" t="s">
        <v>628</v>
      </c>
      <c r="D209" s="61" t="str">
        <f>Source!H380</f>
        <v>100 м2</v>
      </c>
      <c r="E209" s="60"/>
      <c r="F209" s="44"/>
      <c r="G209" s="62">
        <f>Source!I380</f>
        <v>10</v>
      </c>
    </row>
    <row r="210" spans="1:7" ht="14.25" x14ac:dyDescent="0.2">
      <c r="A210" s="58">
        <v>44.1</v>
      </c>
      <c r="B210" s="42" t="str">
        <f>SmtRes!I171</f>
        <v>9999990008</v>
      </c>
      <c r="C210" s="42" t="str">
        <f>SmtRes!K171</f>
        <v>Трудозатраты рабочих</v>
      </c>
      <c r="D210" s="43" t="str">
        <f>SmtRes!O171</f>
        <v>чел.-ч.</v>
      </c>
      <c r="E210" s="60">
        <f>SmtRes!AT171</f>
        <v>6.29</v>
      </c>
      <c r="F210" s="44" t="str">
        <f>SmtRes!AU171</f>
        <v>*-1</v>
      </c>
      <c r="G210" s="60">
        <f>SmtRes!Y171*Source!I380</f>
        <v>-62.9</v>
      </c>
    </row>
    <row r="211" spans="1:7" ht="14.25" x14ac:dyDescent="0.2">
      <c r="A211" s="58">
        <v>44.2</v>
      </c>
      <c r="B211" s="42" t="str">
        <f>SmtRes!I172</f>
        <v>21.4-6-5</v>
      </c>
      <c r="C211" s="42" t="str">
        <f>SmtRes!K172</f>
        <v>Земля растительная</v>
      </c>
      <c r="D211" s="43" t="str">
        <f>SmtRes!O172</f>
        <v>м3</v>
      </c>
      <c r="E211" s="60">
        <f>SmtRes!AT172</f>
        <v>5</v>
      </c>
      <c r="F211" s="44" t="str">
        <f>SmtRes!AU172</f>
        <v>*-1</v>
      </c>
      <c r="G211" s="60">
        <f>SmtRes!Y172*Source!I380</f>
        <v>-50</v>
      </c>
    </row>
    <row r="212" spans="1:7" ht="42.75" x14ac:dyDescent="0.25">
      <c r="A212" s="58" t="str">
        <f>Source!E381</f>
        <v>45</v>
      </c>
      <c r="B212" s="59" t="str">
        <f>Source!F381</f>
        <v>5.4-3203-12-1/1</v>
      </c>
      <c r="C212" s="42" t="str">
        <f>Source!G381</f>
        <v>Сплошная укладка готового газона в рулонах на горизонтальных поверхностях или откосах с уклоном на круче 1:2</v>
      </c>
      <c r="D212" s="61" t="str">
        <f>Source!H381</f>
        <v>100 м2</v>
      </c>
      <c r="E212" s="60"/>
      <c r="F212" s="44"/>
      <c r="G212" s="62">
        <f>Source!I381</f>
        <v>10</v>
      </c>
    </row>
    <row r="213" spans="1:7" x14ac:dyDescent="0.2">
      <c r="A213" s="51"/>
      <c r="B213" s="51"/>
      <c r="C213" s="63" t="str">
        <f>"Объем: "&amp;Source!I381&amp;"=1000/"&amp;"100"</f>
        <v>Объем: 10=1000/100</v>
      </c>
      <c r="D213" s="51"/>
      <c r="E213" s="51"/>
      <c r="F213" s="51"/>
      <c r="G213" s="51"/>
    </row>
    <row r="214" spans="1:7" ht="14.25" x14ac:dyDescent="0.2">
      <c r="A214" s="58">
        <v>45.1</v>
      </c>
      <c r="B214" s="42" t="str">
        <f>SmtRes!I173</f>
        <v>9999990008</v>
      </c>
      <c r="C214" s="42" t="str">
        <f>SmtRes!K173</f>
        <v>Трудозатраты рабочих</v>
      </c>
      <c r="D214" s="43" t="str">
        <f>SmtRes!O173</f>
        <v>чел.-ч.</v>
      </c>
      <c r="E214" s="60">
        <f>SmtRes!AT173</f>
        <v>13.42</v>
      </c>
      <c r="F214" s="44" t="str">
        <f>SmtRes!AU173</f>
        <v/>
      </c>
      <c r="G214" s="60">
        <f>SmtRes!Y173*Source!I381</f>
        <v>134.19999999999999</v>
      </c>
    </row>
    <row r="215" spans="1:7" ht="28.5" x14ac:dyDescent="0.2">
      <c r="A215" s="58">
        <v>45.2</v>
      </c>
      <c r="B215" s="42" t="str">
        <f>SmtRes!I174</f>
        <v>21.1-9-39</v>
      </c>
      <c r="C215" s="42" t="str">
        <f>SmtRes!K174</f>
        <v>Доски хвойных пород, необрезные, длина 2-6,5 м, сорт III, толщина 13-16 мм</v>
      </c>
      <c r="D215" s="43" t="str">
        <f>SmtRes!O174</f>
        <v>м3</v>
      </c>
      <c r="E215" s="60">
        <f>SmtRes!AT174</f>
        <v>1.4E-2</v>
      </c>
      <c r="F215" s="44" t="str">
        <f>SmtRes!AU174</f>
        <v/>
      </c>
      <c r="G215" s="60">
        <f>SmtRes!Y174*Source!I381</f>
        <v>0.14000000000000001</v>
      </c>
    </row>
    <row r="216" spans="1:7" ht="28.5" x14ac:dyDescent="0.2">
      <c r="A216" s="58">
        <v>45.3</v>
      </c>
      <c r="B216" s="42" t="str">
        <f>SmtRes!I175</f>
        <v>21.4-6-3</v>
      </c>
      <c r="C216" s="42" t="str">
        <f>SmtRes!K175</f>
        <v>Газон готовый в рулоне, размер рулона: длина 2,0 м, ширина 0,4 м</v>
      </c>
      <c r="D216" s="43" t="str">
        <f>SmtRes!O175</f>
        <v>м2</v>
      </c>
      <c r="E216" s="60">
        <f>SmtRes!AT175</f>
        <v>107</v>
      </c>
      <c r="F216" s="44" t="str">
        <f>SmtRes!AU175</f>
        <v/>
      </c>
      <c r="G216" s="60">
        <f>SmtRes!Y175*Source!I381</f>
        <v>1070</v>
      </c>
    </row>
    <row r="217" spans="1:7" ht="16.5" x14ac:dyDescent="0.25">
      <c r="A217" s="101" t="str">
        <f>Source!G413</f>
        <v>Устройство асфальтобетонного покрытия площадок (828 м2)</v>
      </c>
      <c r="B217" s="101"/>
      <c r="C217" s="101"/>
      <c r="D217" s="101"/>
      <c r="E217" s="101"/>
      <c r="F217" s="101"/>
      <c r="G217" s="101"/>
    </row>
    <row r="218" spans="1:7" ht="28.5" x14ac:dyDescent="0.25">
      <c r="A218" s="58" t="str">
        <f>Source!E419</f>
        <v>47</v>
      </c>
      <c r="B218" s="59" t="str">
        <f>Source!F419</f>
        <v>2.1-3303-1-1/1</v>
      </c>
      <c r="C218" s="42" t="str">
        <f>Source!G419</f>
        <v>Устройство подстилающих и выравнивающих слоев оснований из песка</v>
      </c>
      <c r="D218" s="61" t="str">
        <f>Source!H419</f>
        <v>100 м3</v>
      </c>
      <c r="E218" s="60"/>
      <c r="F218" s="44"/>
      <c r="G218" s="62">
        <f>Source!I419</f>
        <v>1.242</v>
      </c>
    </row>
    <row r="219" spans="1:7" x14ac:dyDescent="0.2">
      <c r="A219" s="51"/>
      <c r="B219" s="51"/>
      <c r="C219" s="63" t="str">
        <f>"Объем: "&amp;Source!I419&amp;"=("&amp;Source!I426&amp;"*"&amp;"0,15)"</f>
        <v>Объем: 1,242=(8,28*0,15)</v>
      </c>
      <c r="D219" s="51"/>
      <c r="E219" s="51"/>
      <c r="F219" s="51"/>
      <c r="G219" s="51"/>
    </row>
    <row r="220" spans="1:7" ht="14.25" x14ac:dyDescent="0.2">
      <c r="A220" s="58">
        <v>47.1</v>
      </c>
      <c r="B220" s="42" t="str">
        <f>SmtRes!I181</f>
        <v>9999990008</v>
      </c>
      <c r="C220" s="42" t="str">
        <f>SmtRes!K181</f>
        <v>Трудозатраты рабочих</v>
      </c>
      <c r="D220" s="43" t="str">
        <f>SmtRes!O181</f>
        <v>чел.-ч.</v>
      </c>
      <c r="E220" s="60">
        <f>SmtRes!AT181</f>
        <v>16.559999999999999</v>
      </c>
      <c r="F220" s="44" t="str">
        <f>SmtRes!AU181</f>
        <v/>
      </c>
      <c r="G220" s="60">
        <f>SmtRes!Y181*Source!I419</f>
        <v>20.567519999999998</v>
      </c>
    </row>
    <row r="221" spans="1:7" ht="28.5" x14ac:dyDescent="0.2">
      <c r="A221" s="58">
        <v>47.2</v>
      </c>
      <c r="B221" s="42" t="str">
        <f>SmtRes!I182</f>
        <v>22.1-2-1</v>
      </c>
      <c r="C221" s="42" t="str">
        <f>SmtRes!K182</f>
        <v>Тракторы на гусеничном ходу, мощность до 60 (81) кВт (л.с.)</v>
      </c>
      <c r="D221" s="43" t="str">
        <f>SmtRes!O182</f>
        <v>маш.-ч</v>
      </c>
      <c r="E221" s="60">
        <f>SmtRes!AT182</f>
        <v>2.08</v>
      </c>
      <c r="F221" s="44" t="str">
        <f>SmtRes!AU182</f>
        <v/>
      </c>
      <c r="G221" s="60">
        <f>SmtRes!Y182*Source!I419</f>
        <v>2.5833599999999999</v>
      </c>
    </row>
    <row r="222" spans="1:7" ht="28.5" x14ac:dyDescent="0.2">
      <c r="A222" s="58">
        <v>47.3</v>
      </c>
      <c r="B222" s="42" t="str">
        <f>SmtRes!I183</f>
        <v>22.1-5-15</v>
      </c>
      <c r="C222" s="42" t="str">
        <f>SmtRes!K183</f>
        <v>Катки прицепные пневмоколесные, масса до 50 т</v>
      </c>
      <c r="D222" s="43" t="str">
        <f>SmtRes!O183</f>
        <v>маш.-ч</v>
      </c>
      <c r="E222" s="60">
        <f>SmtRes!AT183</f>
        <v>2.08</v>
      </c>
      <c r="F222" s="44" t="str">
        <f>SmtRes!AU183</f>
        <v/>
      </c>
      <c r="G222" s="60">
        <f>SmtRes!Y183*Source!I419</f>
        <v>2.5833599999999999</v>
      </c>
    </row>
    <row r="223" spans="1:7" ht="28.5" x14ac:dyDescent="0.2">
      <c r="A223" s="58">
        <v>47.4</v>
      </c>
      <c r="B223" s="42" t="str">
        <f>SmtRes!I184</f>
        <v>22.1-5-18</v>
      </c>
      <c r="C223" s="42" t="str">
        <f>SmtRes!K184</f>
        <v>Поливомоечные машины, емкость цистерны более 5000 л</v>
      </c>
      <c r="D223" s="43" t="str">
        <f>SmtRes!O184</f>
        <v>маш.-ч</v>
      </c>
      <c r="E223" s="60">
        <f>SmtRes!AT184</f>
        <v>0.81</v>
      </c>
      <c r="F223" s="44" t="str">
        <f>SmtRes!AU184</f>
        <v/>
      </c>
      <c r="G223" s="60">
        <f>SmtRes!Y184*Source!I419</f>
        <v>1.0060200000000001</v>
      </c>
    </row>
    <row r="224" spans="1:7" ht="28.5" x14ac:dyDescent="0.2">
      <c r="A224" s="58">
        <v>47.5</v>
      </c>
      <c r="B224" s="42" t="str">
        <f>SmtRes!I185</f>
        <v>22.1-5-48</v>
      </c>
      <c r="C224" s="42" t="str">
        <f>SmtRes!K185</f>
        <v>Автогрейдеры, мощность 99-147 кВт (130-200 л.с.)</v>
      </c>
      <c r="D224" s="43" t="str">
        <f>SmtRes!O185</f>
        <v>маш.-ч</v>
      </c>
      <c r="E224" s="60">
        <f>SmtRes!AT185</f>
        <v>1.94</v>
      </c>
      <c r="F224" s="44" t="str">
        <f>SmtRes!AU185</f>
        <v/>
      </c>
      <c r="G224" s="60">
        <f>SmtRes!Y185*Source!I419</f>
        <v>2.4094799999999998</v>
      </c>
    </row>
    <row r="225" spans="1:7" ht="28.5" x14ac:dyDescent="0.2">
      <c r="A225" s="58">
        <v>47.6</v>
      </c>
      <c r="B225" s="42" t="str">
        <f>SmtRes!I186</f>
        <v>22.1-5-7</v>
      </c>
      <c r="C225" s="42" t="str">
        <f>SmtRes!K186</f>
        <v>Катки дорожные самоходные на пневмоколесном ходу, масса до 16 т</v>
      </c>
      <c r="D225" s="43" t="str">
        <f>SmtRes!O186</f>
        <v>маш.-ч</v>
      </c>
      <c r="E225" s="60">
        <f>SmtRes!AT186</f>
        <v>0.65</v>
      </c>
      <c r="F225" s="44" t="str">
        <f>SmtRes!AU186</f>
        <v/>
      </c>
      <c r="G225" s="60">
        <f>SmtRes!Y186*Source!I419</f>
        <v>0.80730000000000002</v>
      </c>
    </row>
    <row r="226" spans="1:7" ht="14.25" x14ac:dyDescent="0.2">
      <c r="A226" s="58">
        <v>47.7</v>
      </c>
      <c r="B226" s="42" t="str">
        <f>SmtRes!I187</f>
        <v>21.1-12-10</v>
      </c>
      <c r="C226" s="42" t="str">
        <f>SmtRes!K187</f>
        <v>Песок для дорожных работ, рядовой</v>
      </c>
      <c r="D226" s="43" t="str">
        <f>SmtRes!O187</f>
        <v>м3</v>
      </c>
      <c r="E226" s="60">
        <f>SmtRes!AT187</f>
        <v>110</v>
      </c>
      <c r="F226" s="44" t="str">
        <f>SmtRes!AU187</f>
        <v/>
      </c>
      <c r="G226" s="60">
        <f>SmtRes!Y187*Source!I419</f>
        <v>136.62</v>
      </c>
    </row>
    <row r="227" spans="1:7" ht="14.25" x14ac:dyDescent="0.2">
      <c r="A227" s="58">
        <v>47.8</v>
      </c>
      <c r="B227" s="42" t="str">
        <f>SmtRes!I188</f>
        <v>21.1-25-13</v>
      </c>
      <c r="C227" s="42" t="str">
        <f>SmtRes!K188</f>
        <v>Вода</v>
      </c>
      <c r="D227" s="43" t="str">
        <f>SmtRes!O188</f>
        <v>м3</v>
      </c>
      <c r="E227" s="60">
        <f>SmtRes!AT188</f>
        <v>5</v>
      </c>
      <c r="F227" s="44" t="str">
        <f>SmtRes!AU188</f>
        <v/>
      </c>
      <c r="G227" s="60">
        <f>SmtRes!Y188*Source!I419</f>
        <v>6.21</v>
      </c>
    </row>
    <row r="228" spans="1:7" ht="28.5" x14ac:dyDescent="0.25">
      <c r="A228" s="58" t="str">
        <f>Source!E420</f>
        <v>48</v>
      </c>
      <c r="B228" s="59" t="str">
        <f>Source!F420</f>
        <v>2.1-3303-1-2/1</v>
      </c>
      <c r="C228" s="42" t="str">
        <f>Source!G420</f>
        <v>Устройство подстилающих и выравнивающих слоев оснований из щебня</v>
      </c>
      <c r="D228" s="61" t="str">
        <f>Source!H420</f>
        <v>100 м3</v>
      </c>
      <c r="E228" s="60"/>
      <c r="F228" s="44"/>
      <c r="G228" s="62">
        <f>Source!I420</f>
        <v>0.82799999999999996</v>
      </c>
    </row>
    <row r="229" spans="1:7" x14ac:dyDescent="0.2">
      <c r="A229" s="51"/>
      <c r="B229" s="51"/>
      <c r="C229" s="63" t="str">
        <f>"Объем: "&amp;Source!I420&amp;"=("&amp;Source!I426&amp;"*"&amp;"0,1)"</f>
        <v>Объем: 0,828=(8,28*0,1)</v>
      </c>
      <c r="D229" s="51"/>
      <c r="E229" s="51"/>
      <c r="F229" s="51"/>
      <c r="G229" s="51"/>
    </row>
    <row r="230" spans="1:7" ht="14.25" x14ac:dyDescent="0.2">
      <c r="A230" s="58">
        <v>48.1</v>
      </c>
      <c r="B230" s="42" t="str">
        <f>SmtRes!I189</f>
        <v>9999990008</v>
      </c>
      <c r="C230" s="42" t="str">
        <f>SmtRes!K189</f>
        <v>Трудозатраты рабочих</v>
      </c>
      <c r="D230" s="43" t="str">
        <f>SmtRes!O189</f>
        <v>чел.-ч.</v>
      </c>
      <c r="E230" s="60">
        <f>SmtRes!AT189</f>
        <v>24.84</v>
      </c>
      <c r="F230" s="44" t="str">
        <f>SmtRes!AU189</f>
        <v/>
      </c>
      <c r="G230" s="60">
        <f>SmtRes!Y189*Source!I420</f>
        <v>20.567519999999998</v>
      </c>
    </row>
    <row r="231" spans="1:7" ht="28.5" x14ac:dyDescent="0.2">
      <c r="A231" s="58">
        <v>48.2</v>
      </c>
      <c r="B231" s="42" t="str">
        <f>SmtRes!I190</f>
        <v>22.1-1-43</v>
      </c>
      <c r="C231" s="42" t="str">
        <f>SmtRes!K190</f>
        <v>Бульдозеры гусеничные, мощность до 59 кВт (80 л.с.)</v>
      </c>
      <c r="D231" s="43" t="str">
        <f>SmtRes!O190</f>
        <v>маш.-ч</v>
      </c>
      <c r="E231" s="60">
        <f>SmtRes!AT190</f>
        <v>2.94</v>
      </c>
      <c r="F231" s="44" t="str">
        <f>SmtRes!AU190</f>
        <v/>
      </c>
      <c r="G231" s="60">
        <f>SmtRes!Y190*Source!I420</f>
        <v>2.43432</v>
      </c>
    </row>
    <row r="232" spans="1:7" ht="28.5" x14ac:dyDescent="0.2">
      <c r="A232" s="58">
        <v>48.3</v>
      </c>
      <c r="B232" s="42" t="str">
        <f>SmtRes!I191</f>
        <v>22.1-5-18</v>
      </c>
      <c r="C232" s="42" t="str">
        <f>SmtRes!K191</f>
        <v>Поливомоечные машины, емкость цистерны более 5000 л</v>
      </c>
      <c r="D232" s="43" t="str">
        <f>SmtRes!O191</f>
        <v>маш.-ч</v>
      </c>
      <c r="E232" s="60">
        <f>SmtRes!AT191</f>
        <v>1.1399999999999999</v>
      </c>
      <c r="F232" s="44" t="str">
        <f>SmtRes!AU191</f>
        <v/>
      </c>
      <c r="G232" s="60">
        <f>SmtRes!Y191*Source!I420</f>
        <v>0.94391999999999987</v>
      </c>
    </row>
    <row r="233" spans="1:7" ht="28.5" x14ac:dyDescent="0.2">
      <c r="A233" s="58">
        <v>48.4</v>
      </c>
      <c r="B233" s="42" t="str">
        <f>SmtRes!I192</f>
        <v>22.1-5-2</v>
      </c>
      <c r="C233" s="42" t="str">
        <f>SmtRes!K192</f>
        <v>Катки самоходные вибрационные, масса до 8 т</v>
      </c>
      <c r="D233" s="43" t="str">
        <f>SmtRes!O192</f>
        <v>маш.-ч</v>
      </c>
      <c r="E233" s="60">
        <f>SmtRes!AT192</f>
        <v>8.9600000000000009</v>
      </c>
      <c r="F233" s="44" t="str">
        <f>SmtRes!AU192</f>
        <v/>
      </c>
      <c r="G233" s="60">
        <f>SmtRes!Y192*Source!I420</f>
        <v>7.4188800000000006</v>
      </c>
    </row>
    <row r="234" spans="1:7" ht="28.5" x14ac:dyDescent="0.2">
      <c r="A234" s="58">
        <v>48.5</v>
      </c>
      <c r="B234" s="42" t="str">
        <f>SmtRes!I193</f>
        <v>22.1-5-3</v>
      </c>
      <c r="C234" s="42" t="str">
        <f>SmtRes!K193</f>
        <v>Катки самоходные вибрационные, масса более 8 т</v>
      </c>
      <c r="D234" s="43" t="str">
        <f>SmtRes!O193</f>
        <v>маш.-ч</v>
      </c>
      <c r="E234" s="60">
        <f>SmtRes!AT193</f>
        <v>18.25</v>
      </c>
      <c r="F234" s="44" t="str">
        <f>SmtRes!AU193</f>
        <v/>
      </c>
      <c r="G234" s="60">
        <f>SmtRes!Y193*Source!I420</f>
        <v>15.110999999999999</v>
      </c>
    </row>
    <row r="235" spans="1:7" ht="28.5" x14ac:dyDescent="0.2">
      <c r="A235" s="58">
        <v>48.6</v>
      </c>
      <c r="B235" s="42" t="str">
        <f>SmtRes!I194</f>
        <v>22.1-5-48</v>
      </c>
      <c r="C235" s="42" t="str">
        <f>SmtRes!K194</f>
        <v>Автогрейдеры, мощность 99-147 кВт (130-200 л.с.)</v>
      </c>
      <c r="D235" s="43" t="str">
        <f>SmtRes!O194</f>
        <v>маш.-ч</v>
      </c>
      <c r="E235" s="60">
        <f>SmtRes!AT194</f>
        <v>2.2400000000000002</v>
      </c>
      <c r="F235" s="44" t="str">
        <f>SmtRes!AU194</f>
        <v/>
      </c>
      <c r="G235" s="60">
        <f>SmtRes!Y194*Source!I420</f>
        <v>1.8547200000000001</v>
      </c>
    </row>
    <row r="236" spans="1:7" ht="28.5" x14ac:dyDescent="0.2">
      <c r="A236" s="58">
        <v>48.7</v>
      </c>
      <c r="B236" s="42" t="str">
        <f>SmtRes!I195</f>
        <v>22.1-5-7</v>
      </c>
      <c r="C236" s="42" t="str">
        <f>SmtRes!K195</f>
        <v>Катки дорожные самоходные на пневмоколесном ходу, масса до 16 т</v>
      </c>
      <c r="D236" s="43" t="str">
        <f>SmtRes!O195</f>
        <v>маш.-ч</v>
      </c>
      <c r="E236" s="60">
        <f>SmtRes!AT195</f>
        <v>0.65</v>
      </c>
      <c r="F236" s="44" t="str">
        <f>SmtRes!AU195</f>
        <v/>
      </c>
      <c r="G236" s="60">
        <f>SmtRes!Y195*Source!I420</f>
        <v>0.53820000000000001</v>
      </c>
    </row>
    <row r="237" spans="1:7" ht="42.75" x14ac:dyDescent="0.2">
      <c r="A237" s="58">
        <v>48.8</v>
      </c>
      <c r="B237" s="42" t="str">
        <f>SmtRes!I196</f>
        <v>21.1-12-31</v>
      </c>
      <c r="C237" s="42" t="str">
        <f>SmtRes!K196</f>
        <v>Щебень из естественного камня для строительных работ, марка 600-400, фракция 20-40 мм</v>
      </c>
      <c r="D237" s="43" t="str">
        <f>SmtRes!O196</f>
        <v>м3</v>
      </c>
      <c r="E237" s="60">
        <f>SmtRes!AT196</f>
        <v>126</v>
      </c>
      <c r="F237" s="44" t="str">
        <f>SmtRes!AU196</f>
        <v/>
      </c>
      <c r="G237" s="60">
        <f>SmtRes!Y196*Source!I420</f>
        <v>104.32799999999999</v>
      </c>
    </row>
    <row r="238" spans="1:7" ht="14.25" x14ac:dyDescent="0.2">
      <c r="A238" s="58">
        <v>48.9</v>
      </c>
      <c r="B238" s="42" t="str">
        <f>SmtRes!I198</f>
        <v>21.1-25-13</v>
      </c>
      <c r="C238" s="42" t="str">
        <f>SmtRes!K198</f>
        <v>Вода</v>
      </c>
      <c r="D238" s="43" t="str">
        <f>SmtRes!O198</f>
        <v>м3</v>
      </c>
      <c r="E238" s="60">
        <f>SmtRes!AT198</f>
        <v>7</v>
      </c>
      <c r="F238" s="44" t="str">
        <f>SmtRes!AU198</f>
        <v/>
      </c>
      <c r="G238" s="60">
        <f>SmtRes!Y198*Source!I420</f>
        <v>5.7959999999999994</v>
      </c>
    </row>
    <row r="239" spans="1:7" ht="28.5" x14ac:dyDescent="0.25">
      <c r="A239" s="58" t="str">
        <f>Source!E423</f>
        <v>49</v>
      </c>
      <c r="B239" s="59" t="str">
        <f>Source!F423</f>
        <v>2.1-3303-1-2/1</v>
      </c>
      <c r="C239" s="42" t="str">
        <f>Source!G423</f>
        <v>Устройство подстилающих и выравнивающих слоев оснований из щебня</v>
      </c>
      <c r="D239" s="61" t="str">
        <f>Source!H423</f>
        <v>100 м3</v>
      </c>
      <c r="E239" s="60"/>
      <c r="F239" s="44"/>
      <c r="G239" s="62">
        <f>Source!I423</f>
        <v>0.24840000000000001</v>
      </c>
    </row>
    <row r="240" spans="1:7" x14ac:dyDescent="0.2">
      <c r="A240" s="51"/>
      <c r="B240" s="51"/>
      <c r="C240" s="63" t="str">
        <f>"Объем: "&amp;Source!I423&amp;"=("&amp;Source!I426&amp;"*"&amp;"0,03)"</f>
        <v>Объем: 0,2484=(8,28*0,03)</v>
      </c>
      <c r="D240" s="51"/>
      <c r="E240" s="51"/>
      <c r="F240" s="51"/>
      <c r="G240" s="51"/>
    </row>
    <row r="241" spans="1:7" ht="14.25" x14ac:dyDescent="0.2">
      <c r="A241" s="58">
        <v>49.1</v>
      </c>
      <c r="B241" s="42" t="str">
        <f>SmtRes!I199</f>
        <v>9999990008</v>
      </c>
      <c r="C241" s="42" t="str">
        <f>SmtRes!K199</f>
        <v>Трудозатраты рабочих</v>
      </c>
      <c r="D241" s="43" t="str">
        <f>SmtRes!O199</f>
        <v>чел.-ч.</v>
      </c>
      <c r="E241" s="60">
        <f>SmtRes!AT199</f>
        <v>24.84</v>
      </c>
      <c r="F241" s="44" t="str">
        <f>SmtRes!AU199</f>
        <v/>
      </c>
      <c r="G241" s="60">
        <f>SmtRes!Y199*Source!I423</f>
        <v>6.1702560000000002</v>
      </c>
    </row>
    <row r="242" spans="1:7" ht="28.5" x14ac:dyDescent="0.2">
      <c r="A242" s="58">
        <v>49.2</v>
      </c>
      <c r="B242" s="42" t="str">
        <f>SmtRes!I200</f>
        <v>22.1-1-43</v>
      </c>
      <c r="C242" s="42" t="str">
        <f>SmtRes!K200</f>
        <v>Бульдозеры гусеничные, мощность до 59 кВт (80 л.с.)</v>
      </c>
      <c r="D242" s="43" t="str">
        <f>SmtRes!O200</f>
        <v>маш.-ч</v>
      </c>
      <c r="E242" s="60">
        <f>SmtRes!AT200</f>
        <v>2.94</v>
      </c>
      <c r="F242" s="44" t="str">
        <f>SmtRes!AU200</f>
        <v/>
      </c>
      <c r="G242" s="60">
        <f>SmtRes!Y200*Source!I423</f>
        <v>0.73029600000000006</v>
      </c>
    </row>
    <row r="243" spans="1:7" ht="28.5" x14ac:dyDescent="0.2">
      <c r="A243" s="58">
        <v>49.3</v>
      </c>
      <c r="B243" s="42" t="str">
        <f>SmtRes!I201</f>
        <v>22.1-5-18</v>
      </c>
      <c r="C243" s="42" t="str">
        <f>SmtRes!K201</f>
        <v>Поливомоечные машины, емкость цистерны более 5000 л</v>
      </c>
      <c r="D243" s="43" t="str">
        <f>SmtRes!O201</f>
        <v>маш.-ч</v>
      </c>
      <c r="E243" s="60">
        <f>SmtRes!AT201</f>
        <v>1.1399999999999999</v>
      </c>
      <c r="F243" s="44" t="str">
        <f>SmtRes!AU201</f>
        <v/>
      </c>
      <c r="G243" s="60">
        <f>SmtRes!Y201*Source!I423</f>
        <v>0.28317599999999998</v>
      </c>
    </row>
    <row r="244" spans="1:7" ht="28.5" x14ac:dyDescent="0.2">
      <c r="A244" s="58">
        <v>49.4</v>
      </c>
      <c r="B244" s="42" t="str">
        <f>SmtRes!I202</f>
        <v>22.1-5-2</v>
      </c>
      <c r="C244" s="42" t="str">
        <f>SmtRes!K202</f>
        <v>Катки самоходные вибрационные, масса до 8 т</v>
      </c>
      <c r="D244" s="43" t="str">
        <f>SmtRes!O202</f>
        <v>маш.-ч</v>
      </c>
      <c r="E244" s="60">
        <f>SmtRes!AT202</f>
        <v>8.9600000000000009</v>
      </c>
      <c r="F244" s="44" t="str">
        <f>SmtRes!AU202</f>
        <v/>
      </c>
      <c r="G244" s="60">
        <f>SmtRes!Y202*Source!I423</f>
        <v>2.2256640000000001</v>
      </c>
    </row>
    <row r="245" spans="1:7" ht="28.5" x14ac:dyDescent="0.2">
      <c r="A245" s="58">
        <v>49.5</v>
      </c>
      <c r="B245" s="42" t="str">
        <f>SmtRes!I203</f>
        <v>22.1-5-3</v>
      </c>
      <c r="C245" s="42" t="str">
        <f>SmtRes!K203</f>
        <v>Катки самоходные вибрационные, масса более 8 т</v>
      </c>
      <c r="D245" s="43" t="str">
        <f>SmtRes!O203</f>
        <v>маш.-ч</v>
      </c>
      <c r="E245" s="60">
        <f>SmtRes!AT203</f>
        <v>18.25</v>
      </c>
      <c r="F245" s="44" t="str">
        <f>SmtRes!AU203</f>
        <v/>
      </c>
      <c r="G245" s="60">
        <f>SmtRes!Y203*Source!I423</f>
        <v>4.5333000000000006</v>
      </c>
    </row>
    <row r="246" spans="1:7" ht="28.5" x14ac:dyDescent="0.2">
      <c r="A246" s="58">
        <v>49.6</v>
      </c>
      <c r="B246" s="42" t="str">
        <f>SmtRes!I204</f>
        <v>22.1-5-48</v>
      </c>
      <c r="C246" s="42" t="str">
        <f>SmtRes!K204</f>
        <v>Автогрейдеры, мощность 99-147 кВт (130-200 л.с.)</v>
      </c>
      <c r="D246" s="43" t="str">
        <f>SmtRes!O204</f>
        <v>маш.-ч</v>
      </c>
      <c r="E246" s="60">
        <f>SmtRes!AT204</f>
        <v>2.2400000000000002</v>
      </c>
      <c r="F246" s="44" t="str">
        <f>SmtRes!AU204</f>
        <v/>
      </c>
      <c r="G246" s="60">
        <f>SmtRes!Y204*Source!I423</f>
        <v>0.55641600000000002</v>
      </c>
    </row>
    <row r="247" spans="1:7" ht="28.5" x14ac:dyDescent="0.2">
      <c r="A247" s="58">
        <v>49.7</v>
      </c>
      <c r="B247" s="42" t="str">
        <f>SmtRes!I205</f>
        <v>22.1-5-7</v>
      </c>
      <c r="C247" s="42" t="str">
        <f>SmtRes!K205</f>
        <v>Катки дорожные самоходные на пневмоколесном ходу, масса до 16 т</v>
      </c>
      <c r="D247" s="43" t="str">
        <f>SmtRes!O205</f>
        <v>маш.-ч</v>
      </c>
      <c r="E247" s="60">
        <f>SmtRes!AT205</f>
        <v>0.65</v>
      </c>
      <c r="F247" s="44" t="str">
        <f>SmtRes!AU205</f>
        <v/>
      </c>
      <c r="G247" s="60">
        <f>SmtRes!Y205*Source!I423</f>
        <v>0.16146000000000002</v>
      </c>
    </row>
    <row r="248" spans="1:7" ht="42.75" x14ac:dyDescent="0.2">
      <c r="A248" s="58">
        <v>49.8</v>
      </c>
      <c r="B248" s="42" t="str">
        <f>SmtRes!I206</f>
        <v>21.1-12-29</v>
      </c>
      <c r="C248" s="42" t="str">
        <f>SmtRes!K206</f>
        <v>Щебень из естественного камня для строительных работ, марка 600-400, фракция 5-10 мм</v>
      </c>
      <c r="D248" s="43" t="str">
        <f>SmtRes!O206</f>
        <v>м3</v>
      </c>
      <c r="E248" s="60">
        <f>SmtRes!AT206</f>
        <v>126</v>
      </c>
      <c r="F248" s="44" t="str">
        <f>SmtRes!AU206</f>
        <v/>
      </c>
      <c r="G248" s="60">
        <f>SmtRes!Y206*Source!I423</f>
        <v>31.298400000000001</v>
      </c>
    </row>
    <row r="249" spans="1:7" ht="14.25" x14ac:dyDescent="0.2">
      <c r="A249" s="58">
        <v>49.9</v>
      </c>
      <c r="B249" s="42" t="str">
        <f>SmtRes!I208</f>
        <v>21.1-25-13</v>
      </c>
      <c r="C249" s="42" t="str">
        <f>SmtRes!K208</f>
        <v>Вода</v>
      </c>
      <c r="D249" s="43" t="str">
        <f>SmtRes!O208</f>
        <v>м3</v>
      </c>
      <c r="E249" s="60">
        <f>SmtRes!AT208</f>
        <v>7</v>
      </c>
      <c r="F249" s="44" t="str">
        <f>SmtRes!AU208</f>
        <v/>
      </c>
      <c r="G249" s="60">
        <f>SmtRes!Y208*Source!I423</f>
        <v>1.7388000000000001</v>
      </c>
    </row>
    <row r="250" spans="1:7" ht="30" x14ac:dyDescent="0.25">
      <c r="A250" s="58" t="str">
        <f>Source!E426</f>
        <v>50</v>
      </c>
      <c r="B250" s="59" t="str">
        <f>Source!F426</f>
        <v>2.1-3103-18-1/1</v>
      </c>
      <c r="C250" s="42" t="str">
        <f>Source!G426</f>
        <v>Устройство покрытий из асфальтобетонных смесей вручную, толщина 4 см (5 см)</v>
      </c>
      <c r="D250" s="61" t="str">
        <f>Source!H426</f>
        <v>100 м2</v>
      </c>
      <c r="E250" s="60"/>
      <c r="F250" s="44"/>
      <c r="G250" s="62">
        <f>Source!I426</f>
        <v>8.2799999999999994</v>
      </c>
    </row>
    <row r="251" spans="1:7" x14ac:dyDescent="0.2">
      <c r="A251" s="51"/>
      <c r="B251" s="51"/>
      <c r="C251" s="63" t="str">
        <f>"Объем: "&amp;Source!I426&amp;"=828/"&amp;"100"</f>
        <v>Объем: 8,28=828/100</v>
      </c>
      <c r="D251" s="51"/>
      <c r="E251" s="51"/>
      <c r="F251" s="51"/>
      <c r="G251" s="51"/>
    </row>
    <row r="252" spans="1:7" ht="14.25" x14ac:dyDescent="0.2">
      <c r="A252" s="58">
        <v>50.1</v>
      </c>
      <c r="B252" s="42" t="str">
        <f>SmtRes!I209</f>
        <v>9999990008</v>
      </c>
      <c r="C252" s="42" t="str">
        <f>SmtRes!K209</f>
        <v>Трудозатраты рабочих</v>
      </c>
      <c r="D252" s="43" t="str">
        <f>SmtRes!O209</f>
        <v>чел.-ч.</v>
      </c>
      <c r="E252" s="60">
        <f>SmtRes!AT209</f>
        <v>13.57</v>
      </c>
      <c r="F252" s="44" t="str">
        <f>SmtRes!AU209</f>
        <v/>
      </c>
      <c r="G252" s="60">
        <f>SmtRes!Y209*Source!I426</f>
        <v>112.3596</v>
      </c>
    </row>
    <row r="253" spans="1:7" ht="28.5" x14ac:dyDescent="0.2">
      <c r="A253" s="58">
        <v>50.2</v>
      </c>
      <c r="B253" s="42" t="str">
        <f>SmtRes!I210</f>
        <v>22.1-5-4</v>
      </c>
      <c r="C253" s="42" t="str">
        <f>SmtRes!K210</f>
        <v>Катки дорожные самоходные статические, масса до 5 т</v>
      </c>
      <c r="D253" s="43" t="str">
        <f>SmtRes!O210</f>
        <v>маш.-ч</v>
      </c>
      <c r="E253" s="60">
        <f>SmtRes!AT210</f>
        <v>0.46</v>
      </c>
      <c r="F253" s="44" t="str">
        <f>SmtRes!AU210</f>
        <v/>
      </c>
      <c r="G253" s="60">
        <f>SmtRes!Y210*Source!I426</f>
        <v>3.8087999999999997</v>
      </c>
    </row>
    <row r="254" spans="1:7" ht="28.5" x14ac:dyDescent="0.2">
      <c r="A254" s="58">
        <v>50.3</v>
      </c>
      <c r="B254" s="42" t="str">
        <f>SmtRes!I211</f>
        <v>22.1-5-5</v>
      </c>
      <c r="C254" s="42" t="str">
        <f>SmtRes!K211</f>
        <v>Катки дорожные самоходные статические, масса до 10 т</v>
      </c>
      <c r="D254" s="43" t="str">
        <f>SmtRes!O211</f>
        <v>маш.-ч</v>
      </c>
      <c r="E254" s="60">
        <f>SmtRes!AT211</f>
        <v>1.39</v>
      </c>
      <c r="F254" s="44" t="str">
        <f>SmtRes!AU211</f>
        <v/>
      </c>
      <c r="G254" s="60">
        <f>SmtRes!Y211*Source!I426</f>
        <v>11.509199999999998</v>
      </c>
    </row>
    <row r="255" spans="1:7" ht="28.5" x14ac:dyDescent="0.2">
      <c r="A255" s="58">
        <v>50.4</v>
      </c>
      <c r="B255" s="42" t="str">
        <f>SmtRes!I213</f>
        <v>21.3-3-34</v>
      </c>
      <c r="C255" s="42" t="str">
        <f>SmtRes!K213</f>
        <v>Смеси асфальтобетонные дорожные горячие песчаные, тип Д, марка III</v>
      </c>
      <c r="D255" s="43" t="str">
        <f>SmtRes!O213</f>
        <v>т</v>
      </c>
      <c r="E255" s="60">
        <f>SmtRes!AT213</f>
        <v>11.67</v>
      </c>
      <c r="F255" s="44" t="str">
        <f>SmtRes!AU213</f>
        <v/>
      </c>
      <c r="G255" s="60">
        <f>SmtRes!Y213*Source!I426</f>
        <v>96.627599999999987</v>
      </c>
    </row>
    <row r="256" spans="1:7" ht="16.5" x14ac:dyDescent="0.25">
      <c r="A256" s="101" t="str">
        <f>Source!G460</f>
        <v>Устройство покрытия из резиновой крошки (828 м2)</v>
      </c>
      <c r="B256" s="101"/>
      <c r="C256" s="101"/>
      <c r="D256" s="101"/>
      <c r="E256" s="101"/>
      <c r="F256" s="101"/>
      <c r="G256" s="101"/>
    </row>
    <row r="257" spans="1:7" ht="42.75" x14ac:dyDescent="0.25">
      <c r="A257" s="58" t="str">
        <f>Source!E464</f>
        <v>51</v>
      </c>
      <c r="B257" s="59" t="str">
        <f>Source!F464</f>
        <v>5.3-3103-11-1/1</v>
      </c>
      <c r="C257" s="42" t="str">
        <f>Source!G464</f>
        <v>Устройство наливного полиуретанового покрытия спортивных площадок и беговых дорожек толщиной 10 мм</v>
      </c>
      <c r="D257" s="61" t="str">
        <f>Source!H464</f>
        <v>100 м2</v>
      </c>
      <c r="E257" s="60"/>
      <c r="F257" s="44"/>
      <c r="G257" s="62">
        <f>Source!I464</f>
        <v>8.2799999999999994</v>
      </c>
    </row>
    <row r="258" spans="1:7" x14ac:dyDescent="0.2">
      <c r="A258" s="51"/>
      <c r="B258" s="51"/>
      <c r="C258" s="63" t="str">
        <f>"Объем: "&amp;Source!I464&amp;"=828/"&amp;"100"</f>
        <v>Объем: 8,28=828/100</v>
      </c>
      <c r="D258" s="51"/>
      <c r="E258" s="51"/>
      <c r="F258" s="51"/>
      <c r="G258" s="51"/>
    </row>
    <row r="259" spans="1:7" ht="14.25" x14ac:dyDescent="0.2">
      <c r="A259" s="58">
        <v>51.1</v>
      </c>
      <c r="B259" s="42" t="str">
        <f>SmtRes!I214</f>
        <v>9999990008</v>
      </c>
      <c r="C259" s="42" t="str">
        <f>SmtRes!K214</f>
        <v>Трудозатраты рабочих</v>
      </c>
      <c r="D259" s="43" t="str">
        <f>SmtRes!O214</f>
        <v>чел.-ч.</v>
      </c>
      <c r="E259" s="60">
        <f>SmtRes!AT214</f>
        <v>18.440000000000001</v>
      </c>
      <c r="F259" s="44" t="str">
        <f>SmtRes!AU214</f>
        <v/>
      </c>
      <c r="G259" s="60">
        <f>SmtRes!Y214*Source!I464</f>
        <v>152.6832</v>
      </c>
    </row>
    <row r="260" spans="1:7" ht="42.75" x14ac:dyDescent="0.2">
      <c r="A260" s="58">
        <v>51.2</v>
      </c>
      <c r="B260" s="42" t="str">
        <f>SmtRes!I215</f>
        <v>22.1-17-168</v>
      </c>
      <c r="C260" s="42" t="str">
        <f>SmtRes!K215</f>
        <v>Укладчики полимерных покрытий на игровых и спортивных площадках, производительность 10-50 м2/ч</v>
      </c>
      <c r="D260" s="43" t="str">
        <f>SmtRes!O215</f>
        <v>маш.-ч</v>
      </c>
      <c r="E260" s="60">
        <f>SmtRes!AT215</f>
        <v>2.64</v>
      </c>
      <c r="F260" s="44" t="str">
        <f>SmtRes!AU215</f>
        <v/>
      </c>
      <c r="G260" s="60">
        <f>SmtRes!Y215*Source!I464</f>
        <v>21.859199999999998</v>
      </c>
    </row>
    <row r="261" spans="1:7" ht="28.5" x14ac:dyDescent="0.2">
      <c r="A261" s="58">
        <v>51.3</v>
      </c>
      <c r="B261" s="42" t="str">
        <f>SmtRes!I216</f>
        <v>22.1-30-102</v>
      </c>
      <c r="C261" s="42" t="str">
        <f>SmtRes!K216</f>
        <v>Дрели электрические, двухскоростные, мощностью 600 Вт</v>
      </c>
      <c r="D261" s="43" t="str">
        <f>SmtRes!O216</f>
        <v>маш.-ч</v>
      </c>
      <c r="E261" s="60">
        <f>SmtRes!AT216</f>
        <v>1.18</v>
      </c>
      <c r="F261" s="44" t="str">
        <f>SmtRes!AU216</f>
        <v/>
      </c>
      <c r="G261" s="60">
        <f>SmtRes!Y216*Source!I464</f>
        <v>9.7703999999999986</v>
      </c>
    </row>
    <row r="262" spans="1:7" ht="28.5" x14ac:dyDescent="0.2">
      <c r="A262" s="58">
        <v>51.4</v>
      </c>
      <c r="B262" s="42" t="str">
        <f>SmtRes!I217</f>
        <v>22.1-4-8</v>
      </c>
      <c r="C262" s="42" t="str">
        <f>SmtRes!K217</f>
        <v>Погрузчики на автомобильном ходу, грузоподъемность до 1 т</v>
      </c>
      <c r="D262" s="43" t="str">
        <f>SmtRes!O217</f>
        <v>маш.-ч</v>
      </c>
      <c r="E262" s="60">
        <f>SmtRes!AT217</f>
        <v>0.01</v>
      </c>
      <c r="F262" s="44" t="str">
        <f>SmtRes!AU217</f>
        <v/>
      </c>
      <c r="G262" s="60">
        <f>SmtRes!Y217*Source!I464</f>
        <v>8.2799999999999999E-2</v>
      </c>
    </row>
    <row r="263" spans="1:7" ht="28.5" x14ac:dyDescent="0.2">
      <c r="A263" s="58">
        <v>51.5</v>
      </c>
      <c r="B263" s="42" t="str">
        <f>SmtRes!I218</f>
        <v>22.1-6-68</v>
      </c>
      <c r="C263" s="42" t="str">
        <f>SmtRes!K218</f>
        <v>Растворосмесители стационарные, емкость до 250 л</v>
      </c>
      <c r="D263" s="43" t="str">
        <f>SmtRes!O218</f>
        <v>маш.-ч</v>
      </c>
      <c r="E263" s="60">
        <f>SmtRes!AT218</f>
        <v>2.64</v>
      </c>
      <c r="F263" s="44" t="str">
        <f>SmtRes!AU218</f>
        <v/>
      </c>
      <c r="G263" s="60">
        <f>SmtRes!Y218*Source!I464</f>
        <v>21.859199999999998</v>
      </c>
    </row>
    <row r="264" spans="1:7" ht="28.5" x14ac:dyDescent="0.2">
      <c r="A264" s="58">
        <v>51.6</v>
      </c>
      <c r="B264" s="42" t="str">
        <f>SmtRes!I219</f>
        <v>21.1-25-255</v>
      </c>
      <c r="C264" s="42" t="str">
        <f>SmtRes!K219</f>
        <v>Пленка полиэтиленовая, толщина 0,12 - 0,15 мм</v>
      </c>
      <c r="D264" s="43" t="str">
        <f>SmtRes!O219</f>
        <v>м2</v>
      </c>
      <c r="E264" s="60">
        <f>SmtRes!AT219</f>
        <v>5.6</v>
      </c>
      <c r="F264" s="44" t="str">
        <f>SmtRes!AU219</f>
        <v/>
      </c>
      <c r="G264" s="60">
        <f>SmtRes!Y219*Source!I464</f>
        <v>46.367999999999995</v>
      </c>
    </row>
    <row r="265" spans="1:7" ht="14.25" x14ac:dyDescent="0.2">
      <c r="A265" s="58">
        <v>51.7</v>
      </c>
      <c r="B265" s="42" t="str">
        <f>SmtRes!I220</f>
        <v>21.1-25-343</v>
      </c>
      <c r="C265" s="42" t="str">
        <f>SmtRes!K220</f>
        <v>Скипидар живичный</v>
      </c>
      <c r="D265" s="43" t="str">
        <f>SmtRes!O220</f>
        <v>т</v>
      </c>
      <c r="E265" s="60">
        <f>SmtRes!AT220</f>
        <v>3.15E-3</v>
      </c>
      <c r="F265" s="44" t="str">
        <f>SmtRes!AU220</f>
        <v/>
      </c>
      <c r="G265" s="60">
        <f>SmtRes!Y220*Source!I464</f>
        <v>2.6081999999999998E-2</v>
      </c>
    </row>
    <row r="266" spans="1:7" ht="28.5" x14ac:dyDescent="0.2">
      <c r="A266" s="58">
        <v>51.8</v>
      </c>
      <c r="B266" s="42" t="str">
        <f>SmtRes!I221</f>
        <v>21.1-25-769</v>
      </c>
      <c r="C266" s="42" t="str">
        <f>SmtRes!K221</f>
        <v>Крошка резиновая гранулированная, фракция 2-3 мм</v>
      </c>
      <c r="D266" s="43" t="str">
        <f>SmtRes!O221</f>
        <v>кг</v>
      </c>
      <c r="E266" s="60">
        <f>SmtRes!AT221</f>
        <v>735</v>
      </c>
      <c r="F266" s="44" t="str">
        <f>SmtRes!AU221</f>
        <v/>
      </c>
      <c r="G266" s="60">
        <f>SmtRes!Y221*Source!I464</f>
        <v>6085.7999999999993</v>
      </c>
    </row>
    <row r="267" spans="1:7" ht="57" x14ac:dyDescent="0.2">
      <c r="A267" s="58">
        <v>51.9</v>
      </c>
      <c r="B267" s="42" t="str">
        <f>SmtRes!I222</f>
        <v>21.1-25-776</v>
      </c>
      <c r="C267" s="42" t="str">
        <f>SmtRes!K222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D267" s="43" t="str">
        <f>SmtRes!O222</f>
        <v>кг</v>
      </c>
      <c r="E267" s="60">
        <f>SmtRes!AT222</f>
        <v>241.5</v>
      </c>
      <c r="F267" s="44" t="str">
        <f>SmtRes!AU222</f>
        <v/>
      </c>
      <c r="G267" s="60">
        <f>SmtRes!Y222*Source!I464</f>
        <v>1999.62</v>
      </c>
    </row>
    <row r="268" spans="1:7" ht="156.75" x14ac:dyDescent="0.25">
      <c r="A268" s="58" t="str">
        <f>Source!E466</f>
        <v>52</v>
      </c>
      <c r="B268" s="59" t="str">
        <f>Source!F466</f>
        <v>5.3-3103-11-2/1</v>
      </c>
      <c r="C268" s="42" t="s">
        <v>626</v>
      </c>
      <c r="D268" s="61" t="str">
        <f>Source!H466</f>
        <v>100 м2</v>
      </c>
      <c r="E268" s="60"/>
      <c r="F268" s="44"/>
      <c r="G268" s="62">
        <f>Source!I466</f>
        <v>8.2799999999999994</v>
      </c>
    </row>
    <row r="269" spans="1:7" ht="14.25" x14ac:dyDescent="0.2">
      <c r="A269" s="58">
        <v>52.1</v>
      </c>
      <c r="B269" s="42" t="str">
        <f>SmtRes!I224</f>
        <v>9999990008</v>
      </c>
      <c r="C269" s="42" t="str">
        <f>SmtRes!K224</f>
        <v>Трудозатраты рабочих</v>
      </c>
      <c r="D269" s="43" t="str">
        <f>SmtRes!O224</f>
        <v>чел.-ч.</v>
      </c>
      <c r="E269" s="60">
        <f>SmtRes!AT224</f>
        <v>2.65</v>
      </c>
      <c r="F269" s="44" t="str">
        <f>SmtRes!AU224</f>
        <v>*5</v>
      </c>
      <c r="G269" s="60">
        <f>SmtRes!Y224*Source!I466</f>
        <v>109.71</v>
      </c>
    </row>
    <row r="270" spans="1:7" ht="42.75" x14ac:dyDescent="0.2">
      <c r="A270" s="58">
        <v>52.2</v>
      </c>
      <c r="B270" s="42" t="str">
        <f>SmtRes!I225</f>
        <v>22.1-17-168</v>
      </c>
      <c r="C270" s="42" t="str">
        <f>SmtRes!K225</f>
        <v>Укладчики полимерных покрытий на игровых и спортивных площадках, производительность 10-50 м2/ч</v>
      </c>
      <c r="D270" s="43" t="str">
        <f>SmtRes!O225</f>
        <v>маш.-ч</v>
      </c>
      <c r="E270" s="60">
        <f>SmtRes!AT225</f>
        <v>0.5</v>
      </c>
      <c r="F270" s="44" t="str">
        <f>SmtRes!AU225</f>
        <v>*5</v>
      </c>
      <c r="G270" s="60">
        <f>SmtRes!Y225*Source!I466</f>
        <v>20.7</v>
      </c>
    </row>
    <row r="271" spans="1:7" ht="28.5" x14ac:dyDescent="0.2">
      <c r="A271" s="58">
        <v>52.3</v>
      </c>
      <c r="B271" s="42" t="str">
        <f>SmtRes!I226</f>
        <v>22.1-6-68</v>
      </c>
      <c r="C271" s="42" t="str">
        <f>SmtRes!K226</f>
        <v>Растворосмесители стационарные, емкость до 250 л</v>
      </c>
      <c r="D271" s="43" t="str">
        <f>SmtRes!O226</f>
        <v>маш.-ч</v>
      </c>
      <c r="E271" s="60">
        <f>SmtRes!AT226</f>
        <v>0.5</v>
      </c>
      <c r="F271" s="44" t="str">
        <f>SmtRes!AU226</f>
        <v>*5</v>
      </c>
      <c r="G271" s="60">
        <f>SmtRes!Y226*Source!I466</f>
        <v>20.7</v>
      </c>
    </row>
    <row r="272" spans="1:7" ht="28.5" x14ac:dyDescent="0.2">
      <c r="A272" s="58">
        <v>52.4</v>
      </c>
      <c r="B272" s="42" t="str">
        <f>SmtRes!I227</f>
        <v>21.1-25-769</v>
      </c>
      <c r="C272" s="42" t="str">
        <f>SmtRes!K227</f>
        <v>Крошка резиновая гранулированная, фракция 2-3 мм</v>
      </c>
      <c r="D272" s="43" t="str">
        <f>SmtRes!O227</f>
        <v>кг</v>
      </c>
      <c r="E272" s="60">
        <f>SmtRes!AT227</f>
        <v>147</v>
      </c>
      <c r="F272" s="44" t="str">
        <f>SmtRes!AU227</f>
        <v>*5</v>
      </c>
      <c r="G272" s="60">
        <f>SmtRes!Y227*Source!I466</f>
        <v>6085.7999999999993</v>
      </c>
    </row>
    <row r="273" spans="1:7" ht="57" x14ac:dyDescent="0.2">
      <c r="A273" s="58">
        <v>52.5</v>
      </c>
      <c r="B273" s="42" t="str">
        <f>SmtRes!I228</f>
        <v>21.1-25-776</v>
      </c>
      <c r="C273" s="42" t="str">
        <f>SmtRes!K228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D273" s="43" t="str">
        <f>SmtRes!O228</f>
        <v>кг</v>
      </c>
      <c r="E273" s="60">
        <f>SmtRes!AT228</f>
        <v>42</v>
      </c>
      <c r="F273" s="44" t="str">
        <f>SmtRes!AU228</f>
        <v>*5</v>
      </c>
      <c r="G273" s="60">
        <f>SmtRes!Y228*Source!I466</f>
        <v>1738.8</v>
      </c>
    </row>
    <row r="274" spans="1:7" ht="28.5" x14ac:dyDescent="0.2">
      <c r="A274" s="58">
        <v>52.6</v>
      </c>
      <c r="B274" s="42" t="str">
        <f>SmtRes!I230</f>
        <v>21.1-6-156</v>
      </c>
      <c r="C274" s="42" t="str">
        <f>SmtRes!K230</f>
        <v>Пигменты сухие красного цвета, железоокисные</v>
      </c>
      <c r="D274" s="43" t="str">
        <f>SmtRes!O230</f>
        <v>кг</v>
      </c>
      <c r="E274" s="60">
        <f>SmtRes!AT230</f>
        <v>52.5</v>
      </c>
      <c r="F274" s="44" t="str">
        <f>SmtRes!AU230</f>
        <v/>
      </c>
      <c r="G274" s="60">
        <f>SmtRes!Y230*Source!I466</f>
        <v>434.7</v>
      </c>
    </row>
    <row r="277" spans="1:7" ht="14.25" x14ac:dyDescent="0.2">
      <c r="A277" s="100" t="s">
        <v>556</v>
      </c>
      <c r="B277" s="100"/>
      <c r="C277" s="35" t="str">
        <f>IF(Source!AC12&lt;&gt;"", Source!AC12," ")</f>
        <v xml:space="preserve"> </v>
      </c>
      <c r="D277" s="35"/>
      <c r="E277" s="35"/>
      <c r="F277" s="35" t="str">
        <f>IF(Source!AB12&lt;&gt;"", Source!AB12," ")</f>
        <v xml:space="preserve"> </v>
      </c>
      <c r="G277" s="11"/>
    </row>
    <row r="278" spans="1:7" ht="14.25" x14ac:dyDescent="0.2">
      <c r="A278" s="11"/>
      <c r="B278" s="11"/>
      <c r="C278" s="69" t="s">
        <v>629</v>
      </c>
      <c r="D278" s="69"/>
      <c r="E278" s="69"/>
      <c r="F278" s="69"/>
      <c r="G278" s="11"/>
    </row>
    <row r="279" spans="1:7" ht="14.25" x14ac:dyDescent="0.2">
      <c r="A279" s="11"/>
      <c r="B279" s="11"/>
      <c r="C279" s="11"/>
      <c r="D279" s="11"/>
      <c r="E279" s="11"/>
      <c r="F279" s="11"/>
      <c r="G279" s="11"/>
    </row>
    <row r="280" spans="1:7" ht="14.25" x14ac:dyDescent="0.2">
      <c r="A280" s="100" t="s">
        <v>558</v>
      </c>
      <c r="B280" s="100"/>
      <c r="C280" s="35" t="str">
        <f>IF(Source!AE12&lt;&gt;"", Source!AE12," ")</f>
        <v xml:space="preserve"> </v>
      </c>
      <c r="D280" s="35"/>
      <c r="E280" s="35"/>
      <c r="F280" s="35" t="str">
        <f>IF(Source!AD12&lt;&gt;"", Source!AD12," ")</f>
        <v xml:space="preserve"> </v>
      </c>
      <c r="G280" s="11"/>
    </row>
    <row r="281" spans="1:7" ht="14.25" x14ac:dyDescent="0.2">
      <c r="A281" s="11"/>
      <c r="B281" s="11"/>
      <c r="C281" s="69" t="s">
        <v>629</v>
      </c>
      <c r="D281" s="69"/>
      <c r="E281" s="69"/>
      <c r="F281" s="69"/>
      <c r="G281" s="11"/>
    </row>
  </sheetData>
  <mergeCells count="22">
    <mergeCell ref="A89:G89"/>
    <mergeCell ref="A3:G3"/>
    <mergeCell ref="A4:G4"/>
    <mergeCell ref="A6:G6"/>
    <mergeCell ref="A8:G8"/>
    <mergeCell ref="A9:G9"/>
    <mergeCell ref="A11:B11"/>
    <mergeCell ref="A17:G17"/>
    <mergeCell ref="A18:G18"/>
    <mergeCell ref="A35:G35"/>
    <mergeCell ref="A52:G52"/>
    <mergeCell ref="A81:G81"/>
    <mergeCell ref="A277:B277"/>
    <mergeCell ref="C278:F278"/>
    <mergeCell ref="A280:B280"/>
    <mergeCell ref="C281:F281"/>
    <mergeCell ref="A109:G109"/>
    <mergeCell ref="A128:G128"/>
    <mergeCell ref="A152:G152"/>
    <mergeCell ref="A175:G175"/>
    <mergeCell ref="A217:G217"/>
    <mergeCell ref="A256:G256"/>
  </mergeCells>
  <pageMargins left="0.4" right="0.2" top="0.2" bottom="0.4" header="0.2" footer="0.2"/>
  <pageSetup paperSize="9" scale="83" fitToHeight="0" orientation="portrait" r:id="rId1"/>
  <headerFooter>
    <oddHeader>&amp;L&amp;8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576"/>
  <sheetViews>
    <sheetView topLeftCell="A96" workbookViewId="0">
      <selection activeCell="F126" sqref="F126"/>
    </sheetView>
  </sheetViews>
  <sheetFormatPr defaultColWidth="9.140625" defaultRowHeight="12.75" x14ac:dyDescent="0.2"/>
  <cols>
    <col min="1" max="5" width="9.140625" customWidth="1"/>
    <col min="6" max="6" width="13.7109375" customWidth="1"/>
    <col min="7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62074</v>
      </c>
      <c r="M1">
        <v>10</v>
      </c>
      <c r="N1">
        <v>11</v>
      </c>
      <c r="O1">
        <v>2</v>
      </c>
      <c r="P1">
        <v>0</v>
      </c>
      <c r="Q1">
        <v>3</v>
      </c>
    </row>
    <row r="12" spans="1:133" x14ac:dyDescent="0.2">
      <c r="A12" s="1">
        <v>1</v>
      </c>
      <c r="B12" s="1">
        <v>572</v>
      </c>
      <c r="C12" s="1">
        <v>0</v>
      </c>
      <c r="D12" s="1">
        <f>ROW(A530)</f>
        <v>530</v>
      </c>
      <c r="E12" s="1">
        <v>0</v>
      </c>
      <c r="F12" s="1" t="s">
        <v>3</v>
      </c>
      <c r="G12" s="1" t="s">
        <v>4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5</v>
      </c>
      <c r="BI12" s="1" t="s">
        <v>6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2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7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16777224</v>
      </c>
      <c r="CI12" s="1" t="s">
        <v>3</v>
      </c>
      <c r="CJ12" s="1" t="s">
        <v>3</v>
      </c>
      <c r="CK12" s="1">
        <v>3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B530</f>
        <v>572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/>
      </c>
      <c r="G18" s="2" t="str">
        <f t="shared" si="0"/>
        <v>ГБОУ Школа № 1788 г. Москва, пос. Внуковское, ул. Летчика Грицевца, д. 5, к. 1_(Рем)</v>
      </c>
      <c r="H18" s="2"/>
      <c r="I18" s="2"/>
      <c r="J18" s="2"/>
      <c r="K18" s="2"/>
      <c r="L18" s="2"/>
      <c r="M18" s="2"/>
      <c r="N18" s="2"/>
      <c r="O18" s="2">
        <f t="shared" ref="O18:AT18" si="1">O530</f>
        <v>6435953.29</v>
      </c>
      <c r="P18" s="2">
        <f t="shared" si="1"/>
        <v>4861585.33</v>
      </c>
      <c r="Q18" s="2">
        <f t="shared" si="1"/>
        <v>584319.49</v>
      </c>
      <c r="R18" s="2">
        <f t="shared" si="1"/>
        <v>327732.03999999998</v>
      </c>
      <c r="S18" s="2">
        <f t="shared" si="1"/>
        <v>990048.47</v>
      </c>
      <c r="T18" s="2">
        <f t="shared" si="1"/>
        <v>0</v>
      </c>
      <c r="U18" s="2">
        <f t="shared" si="1"/>
        <v>5115.7461165000004</v>
      </c>
      <c r="V18" s="2">
        <f t="shared" si="1"/>
        <v>0</v>
      </c>
      <c r="W18" s="2">
        <f t="shared" si="1"/>
        <v>0</v>
      </c>
      <c r="X18" s="2">
        <f t="shared" si="1"/>
        <v>693033.96</v>
      </c>
      <c r="Y18" s="2">
        <f t="shared" si="1"/>
        <v>99004.87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7376978.5899999999</v>
      </c>
      <c r="AS18" s="2">
        <f t="shared" si="1"/>
        <v>245000</v>
      </c>
      <c r="AT18" s="2">
        <f t="shared" si="1"/>
        <v>0</v>
      </c>
      <c r="AU18" s="2">
        <f t="shared" ref="AU18:BZ18" si="2">AU530</f>
        <v>7131978.5899999999</v>
      </c>
      <c r="AV18" s="2">
        <f t="shared" si="2"/>
        <v>4861585.33</v>
      </c>
      <c r="AW18" s="2">
        <f t="shared" si="2"/>
        <v>4861585.33</v>
      </c>
      <c r="AX18" s="2">
        <f t="shared" si="2"/>
        <v>0</v>
      </c>
      <c r="AY18" s="2">
        <f t="shared" si="2"/>
        <v>4861585.33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CA530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DG530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EM530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FS530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ROW(A500)</f>
        <v>500</v>
      </c>
      <c r="E20" s="1"/>
      <c r="F20" s="1" t="s">
        <v>11</v>
      </c>
      <c r="G20" s="1" t="s">
        <v>12</v>
      </c>
      <c r="H20" s="1" t="s">
        <v>3</v>
      </c>
      <c r="I20" s="1">
        <v>0</v>
      </c>
      <c r="J20" s="1" t="s">
        <v>3</v>
      </c>
      <c r="K20" s="1">
        <v>-1</v>
      </c>
      <c r="L20" s="1" t="s">
        <v>3</v>
      </c>
      <c r="M20" s="1" t="s">
        <v>3</v>
      </c>
      <c r="N20" s="1"/>
      <c r="O20" s="1"/>
      <c r="P20" s="1"/>
      <c r="Q20" s="1"/>
      <c r="R20" s="1"/>
      <c r="S20" s="1">
        <v>0</v>
      </c>
      <c r="T20" s="1"/>
      <c r="U20" s="1" t="s">
        <v>3</v>
      </c>
      <c r="V20" s="1">
        <v>7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</row>
    <row r="22" spans="1:245" x14ac:dyDescent="0.2">
      <c r="A22" s="2">
        <v>52</v>
      </c>
      <c r="B22" s="2">
        <f t="shared" ref="B22:G22" si="7">B500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Благоустройство территории, прилегающей к ГБОУ Школа № 1788 по адресу: г. Москва, пос. Внуковское, ул. Летчика Грицевца, д. 5, к. 1</v>
      </c>
      <c r="H22" s="2"/>
      <c r="I22" s="2"/>
      <c r="J22" s="2"/>
      <c r="K22" s="2"/>
      <c r="L22" s="2"/>
      <c r="M22" s="2"/>
      <c r="N22" s="2"/>
      <c r="O22" s="2">
        <f t="shared" ref="O22:AT22" si="8">O500</f>
        <v>6435953.29</v>
      </c>
      <c r="P22" s="2">
        <f t="shared" si="8"/>
        <v>4861585.33</v>
      </c>
      <c r="Q22" s="2">
        <f t="shared" si="8"/>
        <v>584319.49</v>
      </c>
      <c r="R22" s="2">
        <f t="shared" si="8"/>
        <v>327732.03999999998</v>
      </c>
      <c r="S22" s="2">
        <f t="shared" si="8"/>
        <v>990048.47</v>
      </c>
      <c r="T22" s="2">
        <f t="shared" si="8"/>
        <v>0</v>
      </c>
      <c r="U22" s="2">
        <f t="shared" si="8"/>
        <v>5115.7461165000004</v>
      </c>
      <c r="V22" s="2">
        <f t="shared" si="8"/>
        <v>0</v>
      </c>
      <c r="W22" s="2">
        <f t="shared" si="8"/>
        <v>0</v>
      </c>
      <c r="X22" s="2">
        <f t="shared" si="8"/>
        <v>693033.96</v>
      </c>
      <c r="Y22" s="2">
        <f t="shared" si="8"/>
        <v>99004.87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7376978.5899999999</v>
      </c>
      <c r="AS22" s="2">
        <f t="shared" si="8"/>
        <v>245000</v>
      </c>
      <c r="AT22" s="2">
        <f t="shared" si="8"/>
        <v>0</v>
      </c>
      <c r="AU22" s="2">
        <f t="shared" ref="AU22:BZ22" si="9">AU500</f>
        <v>7131978.5899999999</v>
      </c>
      <c r="AV22" s="2">
        <f t="shared" si="9"/>
        <v>4861585.33</v>
      </c>
      <c r="AW22" s="2">
        <f t="shared" si="9"/>
        <v>4861585.33</v>
      </c>
      <c r="AX22" s="2">
        <f t="shared" si="9"/>
        <v>0</v>
      </c>
      <c r="AY22" s="2">
        <f t="shared" si="9"/>
        <v>4861585.33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CA500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DG500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EM500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FS500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ROW(A36)</f>
        <v>36</v>
      </c>
      <c r="E24" s="1"/>
      <c r="F24" s="1" t="s">
        <v>13</v>
      </c>
      <c r="G24" s="1" t="s">
        <v>14</v>
      </c>
      <c r="H24" s="1" t="s">
        <v>3</v>
      </c>
      <c r="I24" s="1">
        <v>0</v>
      </c>
      <c r="J24" s="1"/>
      <c r="K24" s="1">
        <v>-1</v>
      </c>
      <c r="L24" s="1"/>
      <c r="M24" s="1" t="s">
        <v>3</v>
      </c>
      <c r="N24" s="1"/>
      <c r="O24" s="1"/>
      <c r="P24" s="1"/>
      <c r="Q24" s="1"/>
      <c r="R24" s="1"/>
      <c r="S24" s="1">
        <v>0</v>
      </c>
      <c r="T24" s="1"/>
      <c r="U24" s="1" t="s">
        <v>3</v>
      </c>
      <c r="V24" s="1">
        <v>7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B36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Ремонт асфальтобетонного покрытия тротуаров (155,5 м2)</v>
      </c>
      <c r="H26" s="2"/>
      <c r="I26" s="2"/>
      <c r="J26" s="2"/>
      <c r="K26" s="2"/>
      <c r="L26" s="2"/>
      <c r="M26" s="2"/>
      <c r="N26" s="2"/>
      <c r="O26" s="2">
        <f t="shared" ref="O26:AT26" si="15">O36</f>
        <v>64100.29</v>
      </c>
      <c r="P26" s="2">
        <f t="shared" si="15"/>
        <v>52347.5</v>
      </c>
      <c r="Q26" s="2">
        <f t="shared" si="15"/>
        <v>6423.61</v>
      </c>
      <c r="R26" s="2">
        <f t="shared" si="15"/>
        <v>3081.74</v>
      </c>
      <c r="S26" s="2">
        <f t="shared" si="15"/>
        <v>5329.18</v>
      </c>
      <c r="T26" s="2">
        <f t="shared" si="15"/>
        <v>0</v>
      </c>
      <c r="U26" s="2">
        <f t="shared" si="15"/>
        <v>25.1734285</v>
      </c>
      <c r="V26" s="2">
        <f t="shared" si="15"/>
        <v>0</v>
      </c>
      <c r="W26" s="2">
        <f t="shared" si="15"/>
        <v>0</v>
      </c>
      <c r="X26" s="2">
        <f t="shared" si="15"/>
        <v>3730.43</v>
      </c>
      <c r="Y26" s="2">
        <f t="shared" si="15"/>
        <v>532.91999999999996</v>
      </c>
      <c r="Z26" s="2">
        <f t="shared" si="15"/>
        <v>0</v>
      </c>
      <c r="AA26" s="2">
        <f t="shared" si="15"/>
        <v>0</v>
      </c>
      <c r="AB26" s="2">
        <f t="shared" si="15"/>
        <v>64100.29</v>
      </c>
      <c r="AC26" s="2">
        <f t="shared" si="15"/>
        <v>52347.5</v>
      </c>
      <c r="AD26" s="2">
        <f t="shared" si="15"/>
        <v>6423.61</v>
      </c>
      <c r="AE26" s="2">
        <f t="shared" si="15"/>
        <v>3081.74</v>
      </c>
      <c r="AF26" s="2">
        <f t="shared" si="15"/>
        <v>5329.18</v>
      </c>
      <c r="AG26" s="2">
        <f t="shared" si="15"/>
        <v>0</v>
      </c>
      <c r="AH26" s="2">
        <f t="shared" si="15"/>
        <v>25.1734285</v>
      </c>
      <c r="AI26" s="2">
        <f t="shared" si="15"/>
        <v>0</v>
      </c>
      <c r="AJ26" s="2">
        <f t="shared" si="15"/>
        <v>0</v>
      </c>
      <c r="AK26" s="2">
        <f t="shared" si="15"/>
        <v>3730.43</v>
      </c>
      <c r="AL26" s="2">
        <f t="shared" si="15"/>
        <v>532.91999999999996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71691.92</v>
      </c>
      <c r="AS26" s="2">
        <f t="shared" si="15"/>
        <v>0</v>
      </c>
      <c r="AT26" s="2">
        <f t="shared" si="15"/>
        <v>0</v>
      </c>
      <c r="AU26" s="2">
        <f t="shared" ref="AU26:BZ26" si="16">AU36</f>
        <v>71691.92</v>
      </c>
      <c r="AV26" s="2">
        <f t="shared" si="16"/>
        <v>52347.5</v>
      </c>
      <c r="AW26" s="2">
        <f t="shared" si="16"/>
        <v>52347.5</v>
      </c>
      <c r="AX26" s="2">
        <f t="shared" si="16"/>
        <v>0</v>
      </c>
      <c r="AY26" s="2">
        <f t="shared" si="16"/>
        <v>52347.5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CA36</f>
        <v>71691.92</v>
      </c>
      <c r="CB26" s="2">
        <f t="shared" si="17"/>
        <v>0</v>
      </c>
      <c r="CC26" s="2">
        <f t="shared" si="17"/>
        <v>0</v>
      </c>
      <c r="CD26" s="2">
        <f t="shared" si="17"/>
        <v>71691.92</v>
      </c>
      <c r="CE26" s="2">
        <f t="shared" si="17"/>
        <v>52347.5</v>
      </c>
      <c r="CF26" s="2">
        <f t="shared" si="17"/>
        <v>52347.5</v>
      </c>
      <c r="CG26" s="2">
        <f t="shared" si="17"/>
        <v>0</v>
      </c>
      <c r="CH26" s="2">
        <f t="shared" si="17"/>
        <v>52347.5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DG36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EM36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FS36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1</v>
      </c>
      <c r="C28">
        <f>ROW(SmtRes!A10)</f>
        <v>10</v>
      </c>
      <c r="D28">
        <f>ROW(EtalonRes!A9)</f>
        <v>9</v>
      </c>
      <c r="E28" t="s">
        <v>15</v>
      </c>
      <c r="F28" t="s">
        <v>16</v>
      </c>
      <c r="G28" t="s">
        <v>17</v>
      </c>
      <c r="H28" t="s">
        <v>18</v>
      </c>
      <c r="I28">
        <f>ROUND((I32*0.3)/10,9)</f>
        <v>4.6649999999999997E-2</v>
      </c>
      <c r="J28">
        <v>0</v>
      </c>
      <c r="O28">
        <f t="shared" ref="O28:O34" si="21">ROUND(CP28,2)</f>
        <v>10461.64</v>
      </c>
      <c r="P28">
        <f t="shared" ref="P28:P34" si="22">ROUND(CQ28*I28,2)</f>
        <v>5697.51</v>
      </c>
      <c r="Q28">
        <f t="shared" ref="Q28:Q34" si="23">ROUND(CR28*I28,2)</f>
        <v>4029.98</v>
      </c>
      <c r="R28">
        <f t="shared" ref="R28:R34" si="24">ROUND(CS28*I28,2)</f>
        <v>1631.41</v>
      </c>
      <c r="S28">
        <f t="shared" ref="S28:S34" si="25">ROUND(CT28*I28,2)</f>
        <v>734.15</v>
      </c>
      <c r="T28">
        <f t="shared" ref="T28:T34" si="26">ROUND(CU28*I28,2)</f>
        <v>0</v>
      </c>
      <c r="U28">
        <f t="shared" ref="U28:U34" si="27">CV28*I28</f>
        <v>4.0720784999999999</v>
      </c>
      <c r="V28">
        <f t="shared" ref="V28:V34" si="28">CW28*I28</f>
        <v>0</v>
      </c>
      <c r="W28">
        <f t="shared" ref="W28:W34" si="29">ROUND(CX28*I28,2)</f>
        <v>0</v>
      </c>
      <c r="X28">
        <f t="shared" ref="X28:Y34" si="30">ROUND(CY28,2)</f>
        <v>513.91</v>
      </c>
      <c r="Y28">
        <f t="shared" si="30"/>
        <v>73.42</v>
      </c>
      <c r="AA28">
        <v>56440881</v>
      </c>
      <c r="AB28">
        <f t="shared" ref="AB28:AB34" si="31">ROUND((AC28+AD28+AF28),2)</f>
        <v>224258.21</v>
      </c>
      <c r="AC28">
        <f t="shared" ref="AC28:AC34" si="32">ROUND((ES28),2)</f>
        <v>122133.21</v>
      </c>
      <c r="AD28">
        <f t="shared" ref="AD28:AD34" si="33">ROUND((((ET28)-(EU28))+AE28),2)</f>
        <v>86387.49</v>
      </c>
      <c r="AE28">
        <f t="shared" ref="AE28:AF34" si="34">ROUND((EU28),2)</f>
        <v>34971.35</v>
      </c>
      <c r="AF28">
        <f t="shared" si="34"/>
        <v>15737.51</v>
      </c>
      <c r="AG28">
        <f t="shared" ref="AG28:AG34" si="35">ROUND((AP28),2)</f>
        <v>0</v>
      </c>
      <c r="AH28">
        <f t="shared" ref="AH28:AI34" si="36">(EW28)</f>
        <v>87.29</v>
      </c>
      <c r="AI28">
        <f t="shared" si="36"/>
        <v>0</v>
      </c>
      <c r="AJ28">
        <f t="shared" ref="AJ28:AJ34" si="37">(AS28)</f>
        <v>0</v>
      </c>
      <c r="AK28">
        <v>224258.21</v>
      </c>
      <c r="AL28">
        <v>122133.21</v>
      </c>
      <c r="AM28">
        <v>86387.49</v>
      </c>
      <c r="AN28">
        <v>34971.35</v>
      </c>
      <c r="AO28">
        <v>15737.51</v>
      </c>
      <c r="AP28">
        <v>0</v>
      </c>
      <c r="AQ28">
        <v>87.29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19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34" si="38">(P28+Q28+S28)</f>
        <v>10461.64</v>
      </c>
      <c r="CQ28">
        <f t="shared" ref="CQ28:CQ34" si="39">(AC28*BC28*AW28)</f>
        <v>122133.21</v>
      </c>
      <c r="CR28">
        <f t="shared" ref="CR28:CR34" si="40">((((ET28)*BB28-(EU28)*BS28)+AE28*BS28)*AV28)</f>
        <v>86387.49</v>
      </c>
      <c r="CS28">
        <f t="shared" ref="CS28:CS34" si="41">(AE28*BS28*AV28)</f>
        <v>34971.35</v>
      </c>
      <c r="CT28">
        <f t="shared" ref="CT28:CT34" si="42">(AF28*BA28*AV28)</f>
        <v>15737.51</v>
      </c>
      <c r="CU28">
        <f t="shared" ref="CU28:CU34" si="43">AG28</f>
        <v>0</v>
      </c>
      <c r="CV28">
        <f t="shared" ref="CV28:CV34" si="44">(AH28*AV28)</f>
        <v>87.29</v>
      </c>
      <c r="CW28">
        <f t="shared" ref="CW28:CX34" si="45">AI28</f>
        <v>0</v>
      </c>
      <c r="CX28">
        <f t="shared" si="45"/>
        <v>0</v>
      </c>
      <c r="CY28">
        <f t="shared" ref="CY28:CY34" si="46">((S28*BZ28)/100)</f>
        <v>513.90499999999997</v>
      </c>
      <c r="CZ28">
        <f t="shared" ref="CZ28:CZ34" si="47">((S28*CA28)/100)</f>
        <v>73.415000000000006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1005</v>
      </c>
      <c r="DV28" t="s">
        <v>18</v>
      </c>
      <c r="DW28" t="s">
        <v>18</v>
      </c>
      <c r="DX28">
        <v>1000</v>
      </c>
      <c r="DZ28" t="s">
        <v>3</v>
      </c>
      <c r="EA28" t="s">
        <v>3</v>
      </c>
      <c r="EB28" t="s">
        <v>3</v>
      </c>
      <c r="EC28" t="s">
        <v>3</v>
      </c>
      <c r="EE28">
        <v>54545671</v>
      </c>
      <c r="EF28">
        <v>1</v>
      </c>
      <c r="EG28" t="s">
        <v>20</v>
      </c>
      <c r="EH28">
        <v>0</v>
      </c>
      <c r="EI28" t="s">
        <v>3</v>
      </c>
      <c r="EJ28">
        <v>4</v>
      </c>
      <c r="EK28">
        <v>0</v>
      </c>
      <c r="EL28" t="s">
        <v>21</v>
      </c>
      <c r="EM28" t="s">
        <v>22</v>
      </c>
      <c r="EO28" t="s">
        <v>3</v>
      </c>
      <c r="EQ28">
        <v>0</v>
      </c>
      <c r="ER28">
        <v>224258.21</v>
      </c>
      <c r="ES28">
        <v>122133.21</v>
      </c>
      <c r="ET28">
        <v>86387.49</v>
      </c>
      <c r="EU28">
        <v>34971.35</v>
      </c>
      <c r="EV28">
        <v>15737.51</v>
      </c>
      <c r="EW28">
        <v>87.29</v>
      </c>
      <c r="EX28">
        <v>0</v>
      </c>
      <c r="EY28">
        <v>0</v>
      </c>
      <c r="FQ28">
        <v>0</v>
      </c>
      <c r="FR28">
        <f t="shared" ref="FR28:FR34" si="48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-24945221</v>
      </c>
      <c r="GG28">
        <v>2</v>
      </c>
      <c r="GH28">
        <v>1</v>
      </c>
      <c r="GI28">
        <v>-2</v>
      </c>
      <c r="GJ28">
        <v>0</v>
      </c>
      <c r="GK28">
        <f>ROUND(R28*(R12)/100,2)</f>
        <v>1761.92</v>
      </c>
      <c r="GL28">
        <f t="shared" ref="GL28:GL34" si="49">ROUND(IF(AND(BH28=3,BI28=3,FS28&lt;&gt;0),P28,0),2)</f>
        <v>0</v>
      </c>
      <c r="GM28">
        <f t="shared" ref="GM28:GM34" si="50">ROUND(O28+X28+Y28+GK28,2)+GX28</f>
        <v>12810.89</v>
      </c>
      <c r="GN28">
        <f t="shared" ref="GN28:GN34" si="51">IF(OR(BI28=0,BI28=1),ROUND(O28+X28+Y28+GK28,2),0)</f>
        <v>0</v>
      </c>
      <c r="GO28">
        <f t="shared" ref="GO28:GO34" si="52">IF(BI28=2,ROUND(O28+X28+Y28+GK28,2),0)</f>
        <v>0</v>
      </c>
      <c r="GP28">
        <f t="shared" ref="GP28:GP34" si="53">IF(BI28=4,ROUND(O28+X28+Y28+GK28,2)+GX28,0)</f>
        <v>12810.89</v>
      </c>
      <c r="GR28">
        <v>0</v>
      </c>
      <c r="GS28">
        <v>3</v>
      </c>
      <c r="GT28">
        <v>0</v>
      </c>
      <c r="GU28" t="s">
        <v>3</v>
      </c>
      <c r="GV28">
        <f t="shared" ref="GV28:GV34" si="54">ROUND((GT28),2)</f>
        <v>0</v>
      </c>
      <c r="GW28">
        <v>1</v>
      </c>
      <c r="GX28">
        <f t="shared" ref="GX28:GX34" si="55">ROUND(HC28*I28,2)</f>
        <v>0</v>
      </c>
      <c r="HA28">
        <v>0</v>
      </c>
      <c r="HB28">
        <v>0</v>
      </c>
      <c r="HC28">
        <f t="shared" ref="HC28:HC34" si="56">GV28*GW28</f>
        <v>0</v>
      </c>
      <c r="HE28" t="s">
        <v>3</v>
      </c>
      <c r="HF28" t="s">
        <v>3</v>
      </c>
      <c r="IK28">
        <v>0</v>
      </c>
    </row>
    <row r="29" spans="1:245" x14ac:dyDescent="0.2">
      <c r="A29">
        <v>18</v>
      </c>
      <c r="B29">
        <v>1</v>
      </c>
      <c r="C29">
        <v>8</v>
      </c>
      <c r="E29" t="s">
        <v>23</v>
      </c>
      <c r="F29" t="s">
        <v>24</v>
      </c>
      <c r="G29" t="s">
        <v>25</v>
      </c>
      <c r="H29" t="s">
        <v>26</v>
      </c>
      <c r="I29">
        <f>I28*J29</f>
        <v>-0.53647499999999992</v>
      </c>
      <c r="J29">
        <v>-11.499999999999998</v>
      </c>
      <c r="O29">
        <f t="shared" si="21"/>
        <v>-1023.74</v>
      </c>
      <c r="P29">
        <f t="shared" si="22"/>
        <v>-1023.74</v>
      </c>
      <c r="Q29">
        <f t="shared" si="23"/>
        <v>0</v>
      </c>
      <c r="R29">
        <f t="shared" si="24"/>
        <v>0</v>
      </c>
      <c r="S29">
        <f t="shared" si="25"/>
        <v>0</v>
      </c>
      <c r="T29">
        <f t="shared" si="26"/>
        <v>0</v>
      </c>
      <c r="U29">
        <f t="shared" si="27"/>
        <v>0</v>
      </c>
      <c r="V29">
        <f t="shared" si="28"/>
        <v>0</v>
      </c>
      <c r="W29">
        <f t="shared" si="29"/>
        <v>0</v>
      </c>
      <c r="X29">
        <f t="shared" si="30"/>
        <v>0</v>
      </c>
      <c r="Y29">
        <f t="shared" si="30"/>
        <v>0</v>
      </c>
      <c r="AA29">
        <v>56440881</v>
      </c>
      <c r="AB29">
        <f t="shared" si="31"/>
        <v>1908.27</v>
      </c>
      <c r="AC29">
        <f t="shared" si="32"/>
        <v>1908.27</v>
      </c>
      <c r="AD29">
        <f t="shared" si="33"/>
        <v>0</v>
      </c>
      <c r="AE29">
        <f t="shared" si="34"/>
        <v>0</v>
      </c>
      <c r="AF29">
        <f t="shared" si="34"/>
        <v>0</v>
      </c>
      <c r="AG29">
        <f t="shared" si="35"/>
        <v>0</v>
      </c>
      <c r="AH29">
        <f t="shared" si="36"/>
        <v>0</v>
      </c>
      <c r="AI29">
        <f t="shared" si="36"/>
        <v>0</v>
      </c>
      <c r="AJ29">
        <f t="shared" si="37"/>
        <v>0</v>
      </c>
      <c r="AK29">
        <v>1908.27</v>
      </c>
      <c r="AL29">
        <v>1908.27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3</v>
      </c>
      <c r="BI29">
        <v>4</v>
      </c>
      <c r="BJ29" t="s">
        <v>27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38"/>
        <v>-1023.74</v>
      </c>
      <c r="CQ29">
        <f t="shared" si="39"/>
        <v>1908.27</v>
      </c>
      <c r="CR29">
        <f t="shared" si="40"/>
        <v>0</v>
      </c>
      <c r="CS29">
        <f t="shared" si="41"/>
        <v>0</v>
      </c>
      <c r="CT29">
        <f t="shared" si="42"/>
        <v>0</v>
      </c>
      <c r="CU29">
        <f t="shared" si="43"/>
        <v>0</v>
      </c>
      <c r="CV29">
        <f t="shared" si="44"/>
        <v>0</v>
      </c>
      <c r="CW29">
        <f t="shared" si="45"/>
        <v>0</v>
      </c>
      <c r="CX29">
        <f t="shared" si="45"/>
        <v>0</v>
      </c>
      <c r="CY29">
        <f t="shared" si="46"/>
        <v>0</v>
      </c>
      <c r="CZ29">
        <f t="shared" si="47"/>
        <v>0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1007</v>
      </c>
      <c r="DV29" t="s">
        <v>26</v>
      </c>
      <c r="DW29" t="s">
        <v>26</v>
      </c>
      <c r="DX29">
        <v>1</v>
      </c>
      <c r="DZ29" t="s">
        <v>3</v>
      </c>
      <c r="EA29" t="s">
        <v>3</v>
      </c>
      <c r="EB29" t="s">
        <v>3</v>
      </c>
      <c r="EC29" t="s">
        <v>3</v>
      </c>
      <c r="EE29">
        <v>54545671</v>
      </c>
      <c r="EF29">
        <v>1</v>
      </c>
      <c r="EG29" t="s">
        <v>20</v>
      </c>
      <c r="EH29">
        <v>0</v>
      </c>
      <c r="EI29" t="s">
        <v>3</v>
      </c>
      <c r="EJ29">
        <v>4</v>
      </c>
      <c r="EK29">
        <v>0</v>
      </c>
      <c r="EL29" t="s">
        <v>21</v>
      </c>
      <c r="EM29" t="s">
        <v>22</v>
      </c>
      <c r="EO29" t="s">
        <v>3</v>
      </c>
      <c r="EQ29">
        <v>0</v>
      </c>
      <c r="ER29">
        <v>1908.27</v>
      </c>
      <c r="ES29">
        <v>1908.27</v>
      </c>
      <c r="ET29">
        <v>0</v>
      </c>
      <c r="EU29">
        <v>0</v>
      </c>
      <c r="EV29">
        <v>0</v>
      </c>
      <c r="EW29">
        <v>0</v>
      </c>
      <c r="EX29">
        <v>0</v>
      </c>
      <c r="FQ29">
        <v>0</v>
      </c>
      <c r="FR29">
        <f t="shared" si="48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-1830627637</v>
      </c>
      <c r="GG29">
        <v>2</v>
      </c>
      <c r="GH29">
        <v>1</v>
      </c>
      <c r="GI29">
        <v>-2</v>
      </c>
      <c r="GJ29">
        <v>0</v>
      </c>
      <c r="GK29">
        <f>ROUND(R29*(R12)/100,2)</f>
        <v>0</v>
      </c>
      <c r="GL29">
        <f t="shared" si="49"/>
        <v>0</v>
      </c>
      <c r="GM29">
        <f t="shared" si="50"/>
        <v>-1023.74</v>
      </c>
      <c r="GN29">
        <f t="shared" si="51"/>
        <v>0</v>
      </c>
      <c r="GO29">
        <f t="shared" si="52"/>
        <v>0</v>
      </c>
      <c r="GP29">
        <f t="shared" si="53"/>
        <v>-1023.74</v>
      </c>
      <c r="GR29">
        <v>0</v>
      </c>
      <c r="GS29">
        <v>3</v>
      </c>
      <c r="GT29">
        <v>0</v>
      </c>
      <c r="GU29" t="s">
        <v>3</v>
      </c>
      <c r="GV29">
        <f t="shared" si="54"/>
        <v>0</v>
      </c>
      <c r="GW29">
        <v>1</v>
      </c>
      <c r="GX29">
        <f t="shared" si="55"/>
        <v>0</v>
      </c>
      <c r="HA29">
        <v>0</v>
      </c>
      <c r="HB29">
        <v>0</v>
      </c>
      <c r="HC29">
        <f t="shared" si="56"/>
        <v>0</v>
      </c>
      <c r="HE29" t="s">
        <v>3</v>
      </c>
      <c r="HF29" t="s">
        <v>3</v>
      </c>
      <c r="IK29">
        <v>0</v>
      </c>
    </row>
    <row r="30" spans="1:245" x14ac:dyDescent="0.2">
      <c r="A30">
        <v>18</v>
      </c>
      <c r="B30">
        <v>1</v>
      </c>
      <c r="C30">
        <v>9</v>
      </c>
      <c r="E30" t="s">
        <v>28</v>
      </c>
      <c r="F30" t="s">
        <v>29</v>
      </c>
      <c r="G30" t="s">
        <v>30</v>
      </c>
      <c r="H30" t="s">
        <v>26</v>
      </c>
      <c r="I30">
        <f>I28*J30</f>
        <v>-2.56575</v>
      </c>
      <c r="J30">
        <v>-55</v>
      </c>
      <c r="O30">
        <f t="shared" si="21"/>
        <v>-4634.4399999999996</v>
      </c>
      <c r="P30">
        <f t="shared" si="22"/>
        <v>-4634.4399999999996</v>
      </c>
      <c r="Q30">
        <f t="shared" si="23"/>
        <v>0</v>
      </c>
      <c r="R30">
        <f t="shared" si="24"/>
        <v>0</v>
      </c>
      <c r="S30">
        <f t="shared" si="25"/>
        <v>0</v>
      </c>
      <c r="T30">
        <f t="shared" si="26"/>
        <v>0</v>
      </c>
      <c r="U30">
        <f t="shared" si="27"/>
        <v>0</v>
      </c>
      <c r="V30">
        <f t="shared" si="28"/>
        <v>0</v>
      </c>
      <c r="W30">
        <f t="shared" si="29"/>
        <v>0</v>
      </c>
      <c r="X30">
        <f t="shared" si="30"/>
        <v>0</v>
      </c>
      <c r="Y30">
        <f t="shared" si="30"/>
        <v>0</v>
      </c>
      <c r="AA30">
        <v>56440881</v>
      </c>
      <c r="AB30">
        <f t="shared" si="31"/>
        <v>1806.27</v>
      </c>
      <c r="AC30">
        <f t="shared" si="32"/>
        <v>1806.27</v>
      </c>
      <c r="AD30">
        <f t="shared" si="33"/>
        <v>0</v>
      </c>
      <c r="AE30">
        <f t="shared" si="34"/>
        <v>0</v>
      </c>
      <c r="AF30">
        <f t="shared" si="34"/>
        <v>0</v>
      </c>
      <c r="AG30">
        <f t="shared" si="35"/>
        <v>0</v>
      </c>
      <c r="AH30">
        <f t="shared" si="36"/>
        <v>0</v>
      </c>
      <c r="AI30">
        <f t="shared" si="36"/>
        <v>0</v>
      </c>
      <c r="AJ30">
        <f t="shared" si="37"/>
        <v>0</v>
      </c>
      <c r="AK30">
        <v>1806.27</v>
      </c>
      <c r="AL30">
        <v>1806.27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3</v>
      </c>
      <c r="BI30">
        <v>4</v>
      </c>
      <c r="BJ30" t="s">
        <v>31</v>
      </c>
      <c r="BM30">
        <v>0</v>
      </c>
      <c r="BN30">
        <v>0</v>
      </c>
      <c r="BO30" t="s">
        <v>3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38"/>
        <v>-4634.4399999999996</v>
      </c>
      <c r="CQ30">
        <f t="shared" si="39"/>
        <v>1806.27</v>
      </c>
      <c r="CR30">
        <f t="shared" si="40"/>
        <v>0</v>
      </c>
      <c r="CS30">
        <f t="shared" si="41"/>
        <v>0</v>
      </c>
      <c r="CT30">
        <f t="shared" si="42"/>
        <v>0</v>
      </c>
      <c r="CU30">
        <f t="shared" si="43"/>
        <v>0</v>
      </c>
      <c r="CV30">
        <f t="shared" si="44"/>
        <v>0</v>
      </c>
      <c r="CW30">
        <f t="shared" si="45"/>
        <v>0</v>
      </c>
      <c r="CX30">
        <f t="shared" si="45"/>
        <v>0</v>
      </c>
      <c r="CY30">
        <f t="shared" si="46"/>
        <v>0</v>
      </c>
      <c r="CZ30">
        <f t="shared" si="47"/>
        <v>0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1007</v>
      </c>
      <c r="DV30" t="s">
        <v>26</v>
      </c>
      <c r="DW30" t="s">
        <v>26</v>
      </c>
      <c r="DX30">
        <v>1</v>
      </c>
      <c r="DZ30" t="s">
        <v>3</v>
      </c>
      <c r="EA30" t="s">
        <v>3</v>
      </c>
      <c r="EB30" t="s">
        <v>3</v>
      </c>
      <c r="EC30" t="s">
        <v>3</v>
      </c>
      <c r="EE30">
        <v>54545671</v>
      </c>
      <c r="EF30">
        <v>1</v>
      </c>
      <c r="EG30" t="s">
        <v>20</v>
      </c>
      <c r="EH30">
        <v>0</v>
      </c>
      <c r="EI30" t="s">
        <v>3</v>
      </c>
      <c r="EJ30">
        <v>4</v>
      </c>
      <c r="EK30">
        <v>0</v>
      </c>
      <c r="EL30" t="s">
        <v>21</v>
      </c>
      <c r="EM30" t="s">
        <v>22</v>
      </c>
      <c r="EO30" t="s">
        <v>3</v>
      </c>
      <c r="EQ30">
        <v>0</v>
      </c>
      <c r="ER30">
        <v>1806.27</v>
      </c>
      <c r="ES30">
        <v>1806.27</v>
      </c>
      <c r="ET30">
        <v>0</v>
      </c>
      <c r="EU30">
        <v>0</v>
      </c>
      <c r="EV30">
        <v>0</v>
      </c>
      <c r="EW30">
        <v>0</v>
      </c>
      <c r="EX30">
        <v>0</v>
      </c>
      <c r="FQ30">
        <v>0</v>
      </c>
      <c r="FR30">
        <f t="shared" si="48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407286016</v>
      </c>
      <c r="GG30">
        <v>2</v>
      </c>
      <c r="GH30">
        <v>1</v>
      </c>
      <c r="GI30">
        <v>-2</v>
      </c>
      <c r="GJ30">
        <v>0</v>
      </c>
      <c r="GK30">
        <f>ROUND(R30*(R12)/100,2)</f>
        <v>0</v>
      </c>
      <c r="GL30">
        <f t="shared" si="49"/>
        <v>0</v>
      </c>
      <c r="GM30">
        <f t="shared" si="50"/>
        <v>-4634.4399999999996</v>
      </c>
      <c r="GN30">
        <f t="shared" si="51"/>
        <v>0</v>
      </c>
      <c r="GO30">
        <f t="shared" si="52"/>
        <v>0</v>
      </c>
      <c r="GP30">
        <f t="shared" si="53"/>
        <v>-4634.4399999999996</v>
      </c>
      <c r="GR30">
        <v>0</v>
      </c>
      <c r="GS30">
        <v>3</v>
      </c>
      <c r="GT30">
        <v>0</v>
      </c>
      <c r="GU30" t="s">
        <v>3</v>
      </c>
      <c r="GV30">
        <f t="shared" si="54"/>
        <v>0</v>
      </c>
      <c r="GW30">
        <v>1</v>
      </c>
      <c r="GX30">
        <f t="shared" si="55"/>
        <v>0</v>
      </c>
      <c r="HA30">
        <v>0</v>
      </c>
      <c r="HB30">
        <v>0</v>
      </c>
      <c r="HC30">
        <f t="shared" si="56"/>
        <v>0</v>
      </c>
      <c r="HE30" t="s">
        <v>3</v>
      </c>
      <c r="HF30" t="s">
        <v>3</v>
      </c>
      <c r="IK30">
        <v>0</v>
      </c>
    </row>
    <row r="31" spans="1:245" x14ac:dyDescent="0.2">
      <c r="A31">
        <v>18</v>
      </c>
      <c r="B31">
        <v>1</v>
      </c>
      <c r="C31">
        <v>7</v>
      </c>
      <c r="E31" t="s">
        <v>32</v>
      </c>
      <c r="F31" t="s">
        <v>33</v>
      </c>
      <c r="G31" t="s">
        <v>34</v>
      </c>
      <c r="H31" t="s">
        <v>26</v>
      </c>
      <c r="I31">
        <f>I28*J31</f>
        <v>3.1022249999999998</v>
      </c>
      <c r="J31">
        <v>66.5</v>
      </c>
      <c r="O31">
        <f t="shared" si="21"/>
        <v>4614.62</v>
      </c>
      <c r="P31">
        <f t="shared" si="22"/>
        <v>4614.62</v>
      </c>
      <c r="Q31">
        <f t="shared" si="23"/>
        <v>0</v>
      </c>
      <c r="R31">
        <f t="shared" si="24"/>
        <v>0</v>
      </c>
      <c r="S31">
        <f t="shared" si="25"/>
        <v>0</v>
      </c>
      <c r="T31">
        <f t="shared" si="26"/>
        <v>0</v>
      </c>
      <c r="U31">
        <f t="shared" si="27"/>
        <v>0</v>
      </c>
      <c r="V31">
        <f t="shared" si="28"/>
        <v>0</v>
      </c>
      <c r="W31">
        <f t="shared" si="29"/>
        <v>0</v>
      </c>
      <c r="X31">
        <f t="shared" si="30"/>
        <v>0</v>
      </c>
      <c r="Y31">
        <f t="shared" si="30"/>
        <v>0</v>
      </c>
      <c r="AA31">
        <v>56440881</v>
      </c>
      <c r="AB31">
        <f t="shared" si="31"/>
        <v>1487.52</v>
      </c>
      <c r="AC31">
        <f t="shared" si="32"/>
        <v>1487.52</v>
      </c>
      <c r="AD31">
        <f t="shared" si="33"/>
        <v>0</v>
      </c>
      <c r="AE31">
        <f t="shared" si="34"/>
        <v>0</v>
      </c>
      <c r="AF31">
        <f t="shared" si="34"/>
        <v>0</v>
      </c>
      <c r="AG31">
        <f t="shared" si="35"/>
        <v>0</v>
      </c>
      <c r="AH31">
        <f t="shared" si="36"/>
        <v>0</v>
      </c>
      <c r="AI31">
        <f t="shared" si="36"/>
        <v>0</v>
      </c>
      <c r="AJ31">
        <f t="shared" si="37"/>
        <v>0</v>
      </c>
      <c r="AK31">
        <v>1487.52</v>
      </c>
      <c r="AL31">
        <v>1487.52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3</v>
      </c>
      <c r="BI31">
        <v>4</v>
      </c>
      <c r="BJ31" t="s">
        <v>35</v>
      </c>
      <c r="BM31">
        <v>0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70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38"/>
        <v>4614.62</v>
      </c>
      <c r="CQ31">
        <f t="shared" si="39"/>
        <v>1487.52</v>
      </c>
      <c r="CR31">
        <f t="shared" si="40"/>
        <v>0</v>
      </c>
      <c r="CS31">
        <f t="shared" si="41"/>
        <v>0</v>
      </c>
      <c r="CT31">
        <f t="shared" si="42"/>
        <v>0</v>
      </c>
      <c r="CU31">
        <f t="shared" si="43"/>
        <v>0</v>
      </c>
      <c r="CV31">
        <f t="shared" si="44"/>
        <v>0</v>
      </c>
      <c r="CW31">
        <f t="shared" si="45"/>
        <v>0</v>
      </c>
      <c r="CX31">
        <f t="shared" si="45"/>
        <v>0</v>
      </c>
      <c r="CY31">
        <f t="shared" si="46"/>
        <v>0</v>
      </c>
      <c r="CZ31">
        <f t="shared" si="47"/>
        <v>0</v>
      </c>
      <c r="DC31" t="s">
        <v>3</v>
      </c>
      <c r="DD31" t="s">
        <v>3</v>
      </c>
      <c r="DE31" t="s">
        <v>3</v>
      </c>
      <c r="DF31" t="s">
        <v>3</v>
      </c>
      <c r="DG31" t="s">
        <v>3</v>
      </c>
      <c r="DH31" t="s">
        <v>3</v>
      </c>
      <c r="DI31" t="s">
        <v>3</v>
      </c>
      <c r="DJ31" t="s">
        <v>3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1007</v>
      </c>
      <c r="DV31" t="s">
        <v>26</v>
      </c>
      <c r="DW31" t="s">
        <v>26</v>
      </c>
      <c r="DX31">
        <v>1</v>
      </c>
      <c r="DZ31" t="s">
        <v>3</v>
      </c>
      <c r="EA31" t="s">
        <v>3</v>
      </c>
      <c r="EB31" t="s">
        <v>3</v>
      </c>
      <c r="EC31" t="s">
        <v>3</v>
      </c>
      <c r="EE31">
        <v>54545671</v>
      </c>
      <c r="EF31">
        <v>1</v>
      </c>
      <c r="EG31" t="s">
        <v>20</v>
      </c>
      <c r="EH31">
        <v>0</v>
      </c>
      <c r="EI31" t="s">
        <v>3</v>
      </c>
      <c r="EJ31">
        <v>4</v>
      </c>
      <c r="EK31">
        <v>0</v>
      </c>
      <c r="EL31" t="s">
        <v>21</v>
      </c>
      <c r="EM31" t="s">
        <v>22</v>
      </c>
      <c r="EO31" t="s">
        <v>3</v>
      </c>
      <c r="EQ31">
        <v>0</v>
      </c>
      <c r="ER31">
        <v>1487.52</v>
      </c>
      <c r="ES31">
        <v>1487.52</v>
      </c>
      <c r="ET31">
        <v>0</v>
      </c>
      <c r="EU31">
        <v>0</v>
      </c>
      <c r="EV31">
        <v>0</v>
      </c>
      <c r="EW31">
        <v>0</v>
      </c>
      <c r="EX31">
        <v>0</v>
      </c>
      <c r="FQ31">
        <v>0</v>
      </c>
      <c r="FR31">
        <f t="shared" si="48"/>
        <v>0</v>
      </c>
      <c r="FS31">
        <v>0</v>
      </c>
      <c r="FX31">
        <v>70</v>
      </c>
      <c r="FY31">
        <v>10</v>
      </c>
      <c r="GA31" t="s">
        <v>3</v>
      </c>
      <c r="GD31">
        <v>0</v>
      </c>
      <c r="GF31">
        <v>2025333854</v>
      </c>
      <c r="GG31">
        <v>2</v>
      </c>
      <c r="GH31">
        <v>1</v>
      </c>
      <c r="GI31">
        <v>-2</v>
      </c>
      <c r="GJ31">
        <v>0</v>
      </c>
      <c r="GK31">
        <f>ROUND(R31*(R12)/100,2)</f>
        <v>0</v>
      </c>
      <c r="GL31">
        <f t="shared" si="49"/>
        <v>0</v>
      </c>
      <c r="GM31">
        <f t="shared" si="50"/>
        <v>4614.62</v>
      </c>
      <c r="GN31">
        <f t="shared" si="51"/>
        <v>0</v>
      </c>
      <c r="GO31">
        <f t="shared" si="52"/>
        <v>0</v>
      </c>
      <c r="GP31">
        <f t="shared" si="53"/>
        <v>4614.62</v>
      </c>
      <c r="GR31">
        <v>0</v>
      </c>
      <c r="GS31">
        <v>3</v>
      </c>
      <c r="GT31">
        <v>0</v>
      </c>
      <c r="GU31" t="s">
        <v>3</v>
      </c>
      <c r="GV31">
        <f t="shared" si="54"/>
        <v>0</v>
      </c>
      <c r="GW31">
        <v>1</v>
      </c>
      <c r="GX31">
        <f t="shared" si="55"/>
        <v>0</v>
      </c>
      <c r="HA31">
        <v>0</v>
      </c>
      <c r="HB31">
        <v>0</v>
      </c>
      <c r="HC31">
        <f t="shared" si="56"/>
        <v>0</v>
      </c>
      <c r="HE31" t="s">
        <v>3</v>
      </c>
      <c r="HF31" t="s">
        <v>3</v>
      </c>
      <c r="IK31">
        <v>0</v>
      </c>
    </row>
    <row r="32" spans="1:245" x14ac:dyDescent="0.2">
      <c r="A32">
        <v>17</v>
      </c>
      <c r="B32">
        <v>1</v>
      </c>
      <c r="C32">
        <f>ROW(SmtRes!A15)</f>
        <v>15</v>
      </c>
      <c r="D32">
        <f>ROW(EtalonRes!A13)</f>
        <v>13</v>
      </c>
      <c r="E32" t="s">
        <v>36</v>
      </c>
      <c r="F32" t="s">
        <v>37</v>
      </c>
      <c r="G32" t="s">
        <v>38</v>
      </c>
      <c r="H32" t="s">
        <v>39</v>
      </c>
      <c r="I32">
        <f>ROUND(155.5/100,9)</f>
        <v>1.5549999999999999</v>
      </c>
      <c r="J32">
        <v>0</v>
      </c>
      <c r="O32">
        <f t="shared" si="21"/>
        <v>47622.19</v>
      </c>
      <c r="P32">
        <f t="shared" si="22"/>
        <v>40633.53</v>
      </c>
      <c r="Q32">
        <f t="shared" si="23"/>
        <v>2393.63</v>
      </c>
      <c r="R32">
        <f t="shared" si="24"/>
        <v>1450.33</v>
      </c>
      <c r="S32">
        <f t="shared" si="25"/>
        <v>4595.03</v>
      </c>
      <c r="T32">
        <f t="shared" si="26"/>
        <v>0</v>
      </c>
      <c r="U32">
        <f t="shared" si="27"/>
        <v>21.10135</v>
      </c>
      <c r="V32">
        <f t="shared" si="28"/>
        <v>0</v>
      </c>
      <c r="W32">
        <f t="shared" si="29"/>
        <v>0</v>
      </c>
      <c r="X32">
        <f t="shared" si="30"/>
        <v>3216.52</v>
      </c>
      <c r="Y32">
        <f t="shared" si="30"/>
        <v>459.5</v>
      </c>
      <c r="AA32">
        <v>56440881</v>
      </c>
      <c r="AB32">
        <f t="shared" si="31"/>
        <v>30625.200000000001</v>
      </c>
      <c r="AC32">
        <f t="shared" si="32"/>
        <v>26130.89</v>
      </c>
      <c r="AD32">
        <f t="shared" si="33"/>
        <v>1539.31</v>
      </c>
      <c r="AE32">
        <f t="shared" si="34"/>
        <v>932.69</v>
      </c>
      <c r="AF32">
        <f t="shared" si="34"/>
        <v>2955</v>
      </c>
      <c r="AG32">
        <f t="shared" si="35"/>
        <v>0</v>
      </c>
      <c r="AH32">
        <f t="shared" si="36"/>
        <v>13.57</v>
      </c>
      <c r="AI32">
        <f t="shared" si="36"/>
        <v>0</v>
      </c>
      <c r="AJ32">
        <f t="shared" si="37"/>
        <v>0</v>
      </c>
      <c r="AK32">
        <v>30625.200000000001</v>
      </c>
      <c r="AL32">
        <v>26130.89</v>
      </c>
      <c r="AM32">
        <v>1539.31</v>
      </c>
      <c r="AN32">
        <v>932.69</v>
      </c>
      <c r="AO32">
        <v>2955</v>
      </c>
      <c r="AP32">
        <v>0</v>
      </c>
      <c r="AQ32">
        <v>13.57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40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38"/>
        <v>47622.189999999995</v>
      </c>
      <c r="CQ32">
        <f t="shared" si="39"/>
        <v>26130.89</v>
      </c>
      <c r="CR32">
        <f t="shared" si="40"/>
        <v>1539.31</v>
      </c>
      <c r="CS32">
        <f t="shared" si="41"/>
        <v>932.69</v>
      </c>
      <c r="CT32">
        <f t="shared" si="42"/>
        <v>2955</v>
      </c>
      <c r="CU32">
        <f t="shared" si="43"/>
        <v>0</v>
      </c>
      <c r="CV32">
        <f t="shared" si="44"/>
        <v>13.57</v>
      </c>
      <c r="CW32">
        <f t="shared" si="45"/>
        <v>0</v>
      </c>
      <c r="CX32">
        <f t="shared" si="45"/>
        <v>0</v>
      </c>
      <c r="CY32">
        <f t="shared" si="46"/>
        <v>3216.5209999999997</v>
      </c>
      <c r="CZ32">
        <f t="shared" si="47"/>
        <v>459.50299999999993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1005</v>
      </c>
      <c r="DV32" t="s">
        <v>39</v>
      </c>
      <c r="DW32" t="s">
        <v>39</v>
      </c>
      <c r="DX32">
        <v>100</v>
      </c>
      <c r="DZ32" t="s">
        <v>3</v>
      </c>
      <c r="EA32" t="s">
        <v>3</v>
      </c>
      <c r="EB32" t="s">
        <v>3</v>
      </c>
      <c r="EC32" t="s">
        <v>3</v>
      </c>
      <c r="EE32">
        <v>54545671</v>
      </c>
      <c r="EF32">
        <v>1</v>
      </c>
      <c r="EG32" t="s">
        <v>20</v>
      </c>
      <c r="EH32">
        <v>0</v>
      </c>
      <c r="EI32" t="s">
        <v>3</v>
      </c>
      <c r="EJ32">
        <v>4</v>
      </c>
      <c r="EK32">
        <v>0</v>
      </c>
      <c r="EL32" t="s">
        <v>21</v>
      </c>
      <c r="EM32" t="s">
        <v>22</v>
      </c>
      <c r="EO32" t="s">
        <v>3</v>
      </c>
      <c r="EQ32">
        <v>0</v>
      </c>
      <c r="ER32">
        <v>30625.200000000001</v>
      </c>
      <c r="ES32">
        <v>26130.89</v>
      </c>
      <c r="ET32">
        <v>1539.31</v>
      </c>
      <c r="EU32">
        <v>932.69</v>
      </c>
      <c r="EV32">
        <v>2955</v>
      </c>
      <c r="EW32">
        <v>13.57</v>
      </c>
      <c r="EX32">
        <v>0</v>
      </c>
      <c r="EY32">
        <v>0</v>
      </c>
      <c r="FQ32">
        <v>0</v>
      </c>
      <c r="FR32">
        <f t="shared" si="48"/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1752731852</v>
      </c>
      <c r="GG32">
        <v>2</v>
      </c>
      <c r="GH32">
        <v>1</v>
      </c>
      <c r="GI32">
        <v>-2</v>
      </c>
      <c r="GJ32">
        <v>0</v>
      </c>
      <c r="GK32">
        <f>ROUND(R32*(R12)/100,2)</f>
        <v>1566.36</v>
      </c>
      <c r="GL32">
        <f t="shared" si="49"/>
        <v>0</v>
      </c>
      <c r="GM32">
        <f t="shared" si="50"/>
        <v>52864.57</v>
      </c>
      <c r="GN32">
        <f t="shared" si="51"/>
        <v>0</v>
      </c>
      <c r="GO32">
        <f t="shared" si="52"/>
        <v>0</v>
      </c>
      <c r="GP32">
        <f t="shared" si="53"/>
        <v>52864.57</v>
      </c>
      <c r="GR32">
        <v>0</v>
      </c>
      <c r="GS32">
        <v>3</v>
      </c>
      <c r="GT32">
        <v>0</v>
      </c>
      <c r="GU32" t="s">
        <v>3</v>
      </c>
      <c r="GV32">
        <f t="shared" si="54"/>
        <v>0</v>
      </c>
      <c r="GW32">
        <v>1</v>
      </c>
      <c r="GX32">
        <f t="shared" si="55"/>
        <v>0</v>
      </c>
      <c r="HA32">
        <v>0</v>
      </c>
      <c r="HB32">
        <v>0</v>
      </c>
      <c r="HC32">
        <f t="shared" si="56"/>
        <v>0</v>
      </c>
      <c r="HE32" t="s">
        <v>3</v>
      </c>
      <c r="HF32" t="s">
        <v>3</v>
      </c>
      <c r="IK32">
        <v>0</v>
      </c>
    </row>
    <row r="33" spans="1:245" x14ac:dyDescent="0.2">
      <c r="A33">
        <v>18</v>
      </c>
      <c r="B33">
        <v>1</v>
      </c>
      <c r="C33">
        <v>14</v>
      </c>
      <c r="E33" t="s">
        <v>41</v>
      </c>
      <c r="F33" t="s">
        <v>42</v>
      </c>
      <c r="G33" t="s">
        <v>43</v>
      </c>
      <c r="H33" t="s">
        <v>44</v>
      </c>
      <c r="I33">
        <f>I32*J33</f>
        <v>-14.896899999999999</v>
      </c>
      <c r="J33">
        <v>-9.58</v>
      </c>
      <c r="O33">
        <f t="shared" si="21"/>
        <v>-40633.53</v>
      </c>
      <c r="P33">
        <f t="shared" si="22"/>
        <v>-40633.53</v>
      </c>
      <c r="Q33">
        <f t="shared" si="23"/>
        <v>0</v>
      </c>
      <c r="R33">
        <f t="shared" si="24"/>
        <v>0</v>
      </c>
      <c r="S33">
        <f t="shared" si="25"/>
        <v>0</v>
      </c>
      <c r="T33">
        <f t="shared" si="26"/>
        <v>0</v>
      </c>
      <c r="U33">
        <f t="shared" si="27"/>
        <v>0</v>
      </c>
      <c r="V33">
        <f t="shared" si="28"/>
        <v>0</v>
      </c>
      <c r="W33">
        <f t="shared" si="29"/>
        <v>0</v>
      </c>
      <c r="X33">
        <f t="shared" si="30"/>
        <v>0</v>
      </c>
      <c r="Y33">
        <f t="shared" si="30"/>
        <v>0</v>
      </c>
      <c r="AA33">
        <v>56440881</v>
      </c>
      <c r="AB33">
        <f t="shared" si="31"/>
        <v>2727.65</v>
      </c>
      <c r="AC33">
        <f t="shared" si="32"/>
        <v>2727.65</v>
      </c>
      <c r="AD33">
        <f t="shared" si="33"/>
        <v>0</v>
      </c>
      <c r="AE33">
        <f t="shared" si="34"/>
        <v>0</v>
      </c>
      <c r="AF33">
        <f t="shared" si="34"/>
        <v>0</v>
      </c>
      <c r="AG33">
        <f t="shared" si="35"/>
        <v>0</v>
      </c>
      <c r="AH33">
        <f t="shared" si="36"/>
        <v>0</v>
      </c>
      <c r="AI33">
        <f t="shared" si="36"/>
        <v>0</v>
      </c>
      <c r="AJ33">
        <f t="shared" si="37"/>
        <v>0</v>
      </c>
      <c r="AK33">
        <v>2727.65</v>
      </c>
      <c r="AL33">
        <v>2727.65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3</v>
      </c>
      <c r="BI33">
        <v>4</v>
      </c>
      <c r="BJ33" t="s">
        <v>45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38"/>
        <v>-40633.53</v>
      </c>
      <c r="CQ33">
        <f t="shared" si="39"/>
        <v>2727.65</v>
      </c>
      <c r="CR33">
        <f t="shared" si="40"/>
        <v>0</v>
      </c>
      <c r="CS33">
        <f t="shared" si="41"/>
        <v>0</v>
      </c>
      <c r="CT33">
        <f t="shared" si="42"/>
        <v>0</v>
      </c>
      <c r="CU33">
        <f t="shared" si="43"/>
        <v>0</v>
      </c>
      <c r="CV33">
        <f t="shared" si="44"/>
        <v>0</v>
      </c>
      <c r="CW33">
        <f t="shared" si="45"/>
        <v>0</v>
      </c>
      <c r="CX33">
        <f t="shared" si="45"/>
        <v>0</v>
      </c>
      <c r="CY33">
        <f t="shared" si="46"/>
        <v>0</v>
      </c>
      <c r="CZ33">
        <f t="shared" si="47"/>
        <v>0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1009</v>
      </c>
      <c r="DV33" t="s">
        <v>44</v>
      </c>
      <c r="DW33" t="s">
        <v>44</v>
      </c>
      <c r="DX33">
        <v>1000</v>
      </c>
      <c r="DZ33" t="s">
        <v>3</v>
      </c>
      <c r="EA33" t="s">
        <v>3</v>
      </c>
      <c r="EB33" t="s">
        <v>3</v>
      </c>
      <c r="EC33" t="s">
        <v>3</v>
      </c>
      <c r="EE33">
        <v>54545671</v>
      </c>
      <c r="EF33">
        <v>1</v>
      </c>
      <c r="EG33" t="s">
        <v>20</v>
      </c>
      <c r="EH33">
        <v>0</v>
      </c>
      <c r="EI33" t="s">
        <v>3</v>
      </c>
      <c r="EJ33">
        <v>4</v>
      </c>
      <c r="EK33">
        <v>0</v>
      </c>
      <c r="EL33" t="s">
        <v>21</v>
      </c>
      <c r="EM33" t="s">
        <v>22</v>
      </c>
      <c r="EO33" t="s">
        <v>3</v>
      </c>
      <c r="EQ33">
        <v>0</v>
      </c>
      <c r="ER33">
        <v>2727.65</v>
      </c>
      <c r="ES33">
        <v>2727.65</v>
      </c>
      <c r="ET33">
        <v>0</v>
      </c>
      <c r="EU33">
        <v>0</v>
      </c>
      <c r="EV33">
        <v>0</v>
      </c>
      <c r="EW33">
        <v>0</v>
      </c>
      <c r="EX33">
        <v>0</v>
      </c>
      <c r="FQ33">
        <v>0</v>
      </c>
      <c r="FR33">
        <f t="shared" si="48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-652642392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49"/>
        <v>0</v>
      </c>
      <c r="GM33">
        <f t="shared" si="50"/>
        <v>-40633.53</v>
      </c>
      <c r="GN33">
        <f t="shared" si="51"/>
        <v>0</v>
      </c>
      <c r="GO33">
        <f t="shared" si="52"/>
        <v>0</v>
      </c>
      <c r="GP33">
        <f t="shared" si="53"/>
        <v>-40633.53</v>
      </c>
      <c r="GR33">
        <v>0</v>
      </c>
      <c r="GS33">
        <v>3</v>
      </c>
      <c r="GT33">
        <v>0</v>
      </c>
      <c r="GU33" t="s">
        <v>3</v>
      </c>
      <c r="GV33">
        <f t="shared" si="54"/>
        <v>0</v>
      </c>
      <c r="GW33">
        <v>1</v>
      </c>
      <c r="GX33">
        <f t="shared" si="55"/>
        <v>0</v>
      </c>
      <c r="HA33">
        <v>0</v>
      </c>
      <c r="HB33">
        <v>0</v>
      </c>
      <c r="HC33">
        <f t="shared" si="56"/>
        <v>0</v>
      </c>
      <c r="HE33" t="s">
        <v>3</v>
      </c>
      <c r="HF33" t="s">
        <v>3</v>
      </c>
      <c r="IK33">
        <v>0</v>
      </c>
    </row>
    <row r="34" spans="1:245" x14ac:dyDescent="0.2">
      <c r="A34">
        <v>18</v>
      </c>
      <c r="B34">
        <v>1</v>
      </c>
      <c r="C34">
        <v>15</v>
      </c>
      <c r="E34" t="s">
        <v>46</v>
      </c>
      <c r="F34" t="s">
        <v>47</v>
      </c>
      <c r="G34" t="s">
        <v>48</v>
      </c>
      <c r="H34" t="s">
        <v>44</v>
      </c>
      <c r="I34">
        <f>I32*J34</f>
        <v>18.146850000000001</v>
      </c>
      <c r="J34">
        <v>11.670000000000002</v>
      </c>
      <c r="O34">
        <f t="shared" si="21"/>
        <v>47693.55</v>
      </c>
      <c r="P34">
        <f t="shared" si="22"/>
        <v>47693.55</v>
      </c>
      <c r="Q34">
        <f t="shared" si="23"/>
        <v>0</v>
      </c>
      <c r="R34">
        <f t="shared" si="24"/>
        <v>0</v>
      </c>
      <c r="S34">
        <f t="shared" si="25"/>
        <v>0</v>
      </c>
      <c r="T34">
        <f t="shared" si="26"/>
        <v>0</v>
      </c>
      <c r="U34">
        <f t="shared" si="27"/>
        <v>0</v>
      </c>
      <c r="V34">
        <f t="shared" si="28"/>
        <v>0</v>
      </c>
      <c r="W34">
        <f t="shared" si="29"/>
        <v>0</v>
      </c>
      <c r="X34">
        <f t="shared" si="30"/>
        <v>0</v>
      </c>
      <c r="Y34">
        <f t="shared" si="30"/>
        <v>0</v>
      </c>
      <c r="AA34">
        <v>56440881</v>
      </c>
      <c r="AB34">
        <f t="shared" si="31"/>
        <v>2628.2</v>
      </c>
      <c r="AC34">
        <f t="shared" si="32"/>
        <v>2628.2</v>
      </c>
      <c r="AD34">
        <f t="shared" si="33"/>
        <v>0</v>
      </c>
      <c r="AE34">
        <f t="shared" si="34"/>
        <v>0</v>
      </c>
      <c r="AF34">
        <f t="shared" si="34"/>
        <v>0</v>
      </c>
      <c r="AG34">
        <f t="shared" si="35"/>
        <v>0</v>
      </c>
      <c r="AH34">
        <f t="shared" si="36"/>
        <v>0</v>
      </c>
      <c r="AI34">
        <f t="shared" si="36"/>
        <v>0</v>
      </c>
      <c r="AJ34">
        <f t="shared" si="37"/>
        <v>0</v>
      </c>
      <c r="AK34">
        <v>2628.2</v>
      </c>
      <c r="AL34">
        <v>2628.2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3</v>
      </c>
      <c r="BI34">
        <v>4</v>
      </c>
      <c r="BJ34" t="s">
        <v>49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38"/>
        <v>47693.55</v>
      </c>
      <c r="CQ34">
        <f t="shared" si="39"/>
        <v>2628.2</v>
      </c>
      <c r="CR34">
        <f t="shared" si="40"/>
        <v>0</v>
      </c>
      <c r="CS34">
        <f t="shared" si="41"/>
        <v>0</v>
      </c>
      <c r="CT34">
        <f t="shared" si="42"/>
        <v>0</v>
      </c>
      <c r="CU34">
        <f t="shared" si="43"/>
        <v>0</v>
      </c>
      <c r="CV34">
        <f t="shared" si="44"/>
        <v>0</v>
      </c>
      <c r="CW34">
        <f t="shared" si="45"/>
        <v>0</v>
      </c>
      <c r="CX34">
        <f t="shared" si="45"/>
        <v>0</v>
      </c>
      <c r="CY34">
        <f t="shared" si="46"/>
        <v>0</v>
      </c>
      <c r="CZ34">
        <f t="shared" si="47"/>
        <v>0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1009</v>
      </c>
      <c r="DV34" t="s">
        <v>44</v>
      </c>
      <c r="DW34" t="s">
        <v>44</v>
      </c>
      <c r="DX34">
        <v>1000</v>
      </c>
      <c r="DZ34" t="s">
        <v>3</v>
      </c>
      <c r="EA34" t="s">
        <v>3</v>
      </c>
      <c r="EB34" t="s">
        <v>3</v>
      </c>
      <c r="EC34" t="s">
        <v>3</v>
      </c>
      <c r="EE34">
        <v>54545671</v>
      </c>
      <c r="EF34">
        <v>1</v>
      </c>
      <c r="EG34" t="s">
        <v>20</v>
      </c>
      <c r="EH34">
        <v>0</v>
      </c>
      <c r="EI34" t="s">
        <v>3</v>
      </c>
      <c r="EJ34">
        <v>4</v>
      </c>
      <c r="EK34">
        <v>0</v>
      </c>
      <c r="EL34" t="s">
        <v>21</v>
      </c>
      <c r="EM34" t="s">
        <v>22</v>
      </c>
      <c r="EO34" t="s">
        <v>3</v>
      </c>
      <c r="EQ34">
        <v>0</v>
      </c>
      <c r="ER34">
        <v>2628.2</v>
      </c>
      <c r="ES34">
        <v>2628.2</v>
      </c>
      <c r="ET34">
        <v>0</v>
      </c>
      <c r="EU34">
        <v>0</v>
      </c>
      <c r="EV34">
        <v>0</v>
      </c>
      <c r="EW34">
        <v>0</v>
      </c>
      <c r="EX34">
        <v>0</v>
      </c>
      <c r="FQ34">
        <v>0</v>
      </c>
      <c r="FR34">
        <f t="shared" si="48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2011161814</v>
      </c>
      <c r="GG34">
        <v>2</v>
      </c>
      <c r="GH34">
        <v>1</v>
      </c>
      <c r="GI34">
        <v>-2</v>
      </c>
      <c r="GJ34">
        <v>0</v>
      </c>
      <c r="GK34">
        <f>ROUND(R34*(R12)/100,2)</f>
        <v>0</v>
      </c>
      <c r="GL34">
        <f t="shared" si="49"/>
        <v>0</v>
      </c>
      <c r="GM34">
        <f t="shared" si="50"/>
        <v>47693.55</v>
      </c>
      <c r="GN34">
        <f t="shared" si="51"/>
        <v>0</v>
      </c>
      <c r="GO34">
        <f t="shared" si="52"/>
        <v>0</v>
      </c>
      <c r="GP34">
        <f t="shared" si="53"/>
        <v>47693.55</v>
      </c>
      <c r="GR34">
        <v>0</v>
      </c>
      <c r="GS34">
        <v>3</v>
      </c>
      <c r="GT34">
        <v>0</v>
      </c>
      <c r="GU34" t="s">
        <v>3</v>
      </c>
      <c r="GV34">
        <f t="shared" si="54"/>
        <v>0</v>
      </c>
      <c r="GW34">
        <v>1</v>
      </c>
      <c r="GX34">
        <f t="shared" si="55"/>
        <v>0</v>
      </c>
      <c r="HA34">
        <v>0</v>
      </c>
      <c r="HB34">
        <v>0</v>
      </c>
      <c r="HC34">
        <f t="shared" si="56"/>
        <v>0</v>
      </c>
      <c r="HE34" t="s">
        <v>3</v>
      </c>
      <c r="HF34" t="s">
        <v>3</v>
      </c>
      <c r="IK34">
        <v>0</v>
      </c>
    </row>
    <row r="36" spans="1:245" x14ac:dyDescent="0.2">
      <c r="A36" s="2">
        <v>51</v>
      </c>
      <c r="B36" s="2">
        <f>B24</f>
        <v>1</v>
      </c>
      <c r="C36" s="2">
        <f>A24</f>
        <v>4</v>
      </c>
      <c r="D36" s="2">
        <f>ROW(A24)</f>
        <v>24</v>
      </c>
      <c r="E36" s="2"/>
      <c r="F36" s="2" t="str">
        <f>IF(F24&lt;&gt;"",F24,"")</f>
        <v>Новый раздел</v>
      </c>
      <c r="G36" s="2" t="str">
        <f>IF(G24&lt;&gt;"",G24,"")</f>
        <v>Ремонт асфальтобетонного покрытия тротуаров (155,5 м2)</v>
      </c>
      <c r="H36" s="2">
        <v>0</v>
      </c>
      <c r="I36" s="2"/>
      <c r="J36" s="2"/>
      <c r="K36" s="2"/>
      <c r="L36" s="2"/>
      <c r="M36" s="2"/>
      <c r="N36" s="2"/>
      <c r="O36" s="2">
        <f t="shared" ref="O36:T36" si="57">ROUND(AB36,2)</f>
        <v>64100.29</v>
      </c>
      <c r="P36" s="2">
        <f t="shared" si="57"/>
        <v>52347.5</v>
      </c>
      <c r="Q36" s="2">
        <f t="shared" si="57"/>
        <v>6423.61</v>
      </c>
      <c r="R36" s="2">
        <f t="shared" si="57"/>
        <v>3081.74</v>
      </c>
      <c r="S36" s="2">
        <f t="shared" si="57"/>
        <v>5329.18</v>
      </c>
      <c r="T36" s="2">
        <f t="shared" si="57"/>
        <v>0</v>
      </c>
      <c r="U36" s="2">
        <f>AH36</f>
        <v>25.1734285</v>
      </c>
      <c r="V36" s="2">
        <f>AI36</f>
        <v>0</v>
      </c>
      <c r="W36" s="2">
        <f>ROUND(AJ36,2)</f>
        <v>0</v>
      </c>
      <c r="X36" s="2">
        <f>ROUND(AK36,2)</f>
        <v>3730.43</v>
      </c>
      <c r="Y36" s="2">
        <f>ROUND(AL36,2)</f>
        <v>532.91999999999996</v>
      </c>
      <c r="Z36" s="2"/>
      <c r="AA36" s="2"/>
      <c r="AB36" s="2">
        <f>ROUND(SUMIF(AA28:AA34,"=56440881",O28:O34),2)</f>
        <v>64100.29</v>
      </c>
      <c r="AC36" s="2">
        <f>ROUND(SUMIF(AA28:AA34,"=56440881",P28:P34),2)</f>
        <v>52347.5</v>
      </c>
      <c r="AD36" s="2">
        <f>ROUND(SUMIF(AA28:AA34,"=56440881",Q28:Q34),2)</f>
        <v>6423.61</v>
      </c>
      <c r="AE36" s="2">
        <f>ROUND(SUMIF(AA28:AA34,"=56440881",R28:R34),2)</f>
        <v>3081.74</v>
      </c>
      <c r="AF36" s="2">
        <f>ROUND(SUMIF(AA28:AA34,"=56440881",S28:S34),2)</f>
        <v>5329.18</v>
      </c>
      <c r="AG36" s="2">
        <f>ROUND(SUMIF(AA28:AA34,"=56440881",T28:T34),2)</f>
        <v>0</v>
      </c>
      <c r="AH36" s="2">
        <f>SUMIF(AA28:AA34,"=56440881",U28:U34)</f>
        <v>25.1734285</v>
      </c>
      <c r="AI36" s="2">
        <f>SUMIF(AA28:AA34,"=56440881",V28:V34)</f>
        <v>0</v>
      </c>
      <c r="AJ36" s="2">
        <f>ROUND(SUMIF(AA28:AA34,"=56440881",W28:W34),2)</f>
        <v>0</v>
      </c>
      <c r="AK36" s="2">
        <f>ROUND(SUMIF(AA28:AA34,"=56440881",X28:X34),2)</f>
        <v>3730.43</v>
      </c>
      <c r="AL36" s="2">
        <f>ROUND(SUMIF(AA28:AA34,"=56440881",Y28:Y34),2)</f>
        <v>532.91999999999996</v>
      </c>
      <c r="AM36" s="2"/>
      <c r="AN36" s="2"/>
      <c r="AO36" s="2">
        <f t="shared" ref="AO36:BD36" si="58">ROUND(BX36,2)</f>
        <v>0</v>
      </c>
      <c r="AP36" s="2">
        <f t="shared" si="58"/>
        <v>0</v>
      </c>
      <c r="AQ36" s="2">
        <f t="shared" si="58"/>
        <v>0</v>
      </c>
      <c r="AR36" s="2">
        <f t="shared" si="58"/>
        <v>71691.92</v>
      </c>
      <c r="AS36" s="2">
        <f t="shared" si="58"/>
        <v>0</v>
      </c>
      <c r="AT36" s="2">
        <f t="shared" si="58"/>
        <v>0</v>
      </c>
      <c r="AU36" s="2">
        <f t="shared" si="58"/>
        <v>71691.92</v>
      </c>
      <c r="AV36" s="2">
        <f t="shared" si="58"/>
        <v>52347.5</v>
      </c>
      <c r="AW36" s="2">
        <f t="shared" si="58"/>
        <v>52347.5</v>
      </c>
      <c r="AX36" s="2">
        <f t="shared" si="58"/>
        <v>0</v>
      </c>
      <c r="AY36" s="2">
        <f t="shared" si="58"/>
        <v>52347.5</v>
      </c>
      <c r="AZ36" s="2">
        <f t="shared" si="58"/>
        <v>0</v>
      </c>
      <c r="BA36" s="2">
        <f t="shared" si="58"/>
        <v>0</v>
      </c>
      <c r="BB36" s="2">
        <f t="shared" si="58"/>
        <v>0</v>
      </c>
      <c r="BC36" s="2">
        <f t="shared" si="58"/>
        <v>0</v>
      </c>
      <c r="BD36" s="2">
        <f t="shared" si="58"/>
        <v>0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>
        <f>ROUND(SUMIF(AA28:AA34,"=56440881",FQ28:FQ34),2)</f>
        <v>0</v>
      </c>
      <c r="BY36" s="2">
        <f>ROUND(SUMIF(AA28:AA34,"=56440881",FR28:FR34),2)</f>
        <v>0</v>
      </c>
      <c r="BZ36" s="2">
        <f>ROUND(SUMIF(AA28:AA34,"=56440881",GL28:GL34),2)</f>
        <v>0</v>
      </c>
      <c r="CA36" s="2">
        <f>ROUND(SUMIF(AA28:AA34,"=56440881",GM28:GM34),2)</f>
        <v>71691.92</v>
      </c>
      <c r="CB36" s="2">
        <f>ROUND(SUMIF(AA28:AA34,"=56440881",GN28:GN34),2)</f>
        <v>0</v>
      </c>
      <c r="CC36" s="2">
        <f>ROUND(SUMIF(AA28:AA34,"=56440881",GO28:GO34),2)</f>
        <v>0</v>
      </c>
      <c r="CD36" s="2">
        <f>ROUND(SUMIF(AA28:AA34,"=56440881",GP28:GP34),2)</f>
        <v>71691.92</v>
      </c>
      <c r="CE36" s="2">
        <f>AC36-BX36</f>
        <v>52347.5</v>
      </c>
      <c r="CF36" s="2">
        <f>AC36-BY36</f>
        <v>52347.5</v>
      </c>
      <c r="CG36" s="2">
        <f>BX36-BZ36</f>
        <v>0</v>
      </c>
      <c r="CH36" s="2">
        <f>AC36-BX36-BY36+BZ36</f>
        <v>52347.5</v>
      </c>
      <c r="CI36" s="2">
        <f>BY36-BZ36</f>
        <v>0</v>
      </c>
      <c r="CJ36" s="2">
        <f>ROUND(SUMIF(AA28:AA34,"=56440881",GX28:GX34),2)</f>
        <v>0</v>
      </c>
      <c r="CK36" s="2">
        <f>ROUND(SUMIF(AA28:AA34,"=56440881",GY28:GY34),2)</f>
        <v>0</v>
      </c>
      <c r="CL36" s="2">
        <f>ROUND(SUMIF(AA28:AA34,"=56440881",GZ28:GZ34),2)</f>
        <v>0</v>
      </c>
      <c r="CM36" s="2">
        <f>ROUND(SUMIF(AA28:AA34,"=56440881",HD28:HD34),2)</f>
        <v>0</v>
      </c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>
        <v>0</v>
      </c>
    </row>
    <row r="38" spans="1:245" x14ac:dyDescent="0.2">
      <c r="A38" s="4">
        <v>50</v>
      </c>
      <c r="B38" s="4">
        <v>0</v>
      </c>
      <c r="C38" s="4">
        <v>0</v>
      </c>
      <c r="D38" s="4">
        <v>1</v>
      </c>
      <c r="E38" s="4">
        <v>201</v>
      </c>
      <c r="F38" s="4">
        <f>ROUND(Source!O36,O38)</f>
        <v>64100.29</v>
      </c>
      <c r="G38" s="4" t="s">
        <v>50</v>
      </c>
      <c r="H38" s="4" t="s">
        <v>51</v>
      </c>
      <c r="I38" s="4"/>
      <c r="J38" s="4"/>
      <c r="K38" s="4">
        <v>-201</v>
      </c>
      <c r="L38" s="4">
        <v>1</v>
      </c>
      <c r="M38" s="4">
        <v>3</v>
      </c>
      <c r="N38" s="4" t="s">
        <v>3</v>
      </c>
      <c r="O38" s="4">
        <v>2</v>
      </c>
      <c r="P38" s="4"/>
      <c r="Q38" s="4"/>
      <c r="R38" s="4"/>
      <c r="S38" s="4"/>
      <c r="T38" s="4"/>
      <c r="U38" s="4"/>
      <c r="V38" s="4"/>
      <c r="W38" s="4"/>
    </row>
    <row r="39" spans="1:245" x14ac:dyDescent="0.2">
      <c r="A39" s="4">
        <v>50</v>
      </c>
      <c r="B39" s="4">
        <v>0</v>
      </c>
      <c r="C39" s="4">
        <v>0</v>
      </c>
      <c r="D39" s="4">
        <v>1</v>
      </c>
      <c r="E39" s="4">
        <v>202</v>
      </c>
      <c r="F39" s="4">
        <f>ROUND(Source!P36,O39)</f>
        <v>52347.5</v>
      </c>
      <c r="G39" s="4" t="s">
        <v>52</v>
      </c>
      <c r="H39" s="4" t="s">
        <v>53</v>
      </c>
      <c r="I39" s="4"/>
      <c r="J39" s="4"/>
      <c r="K39" s="4">
        <v>-202</v>
      </c>
      <c r="L39" s="4">
        <v>2</v>
      </c>
      <c r="M39" s="4">
        <v>3</v>
      </c>
      <c r="N39" s="4" t="s">
        <v>3</v>
      </c>
      <c r="O39" s="4">
        <v>2</v>
      </c>
      <c r="P39" s="4"/>
      <c r="Q39" s="4"/>
      <c r="R39" s="4"/>
      <c r="S39" s="4"/>
      <c r="T39" s="4"/>
      <c r="U39" s="4"/>
      <c r="V39" s="4"/>
      <c r="W39" s="4"/>
    </row>
    <row r="40" spans="1:245" x14ac:dyDescent="0.2">
      <c r="A40" s="4">
        <v>50</v>
      </c>
      <c r="B40" s="4">
        <v>0</v>
      </c>
      <c r="C40" s="4">
        <v>0</v>
      </c>
      <c r="D40" s="4">
        <v>1</v>
      </c>
      <c r="E40" s="4">
        <v>222</v>
      </c>
      <c r="F40" s="4">
        <f>ROUND(Source!AO36,O40)</f>
        <v>0</v>
      </c>
      <c r="G40" s="4" t="s">
        <v>54</v>
      </c>
      <c r="H40" s="4" t="s">
        <v>55</v>
      </c>
      <c r="I40" s="4"/>
      <c r="J40" s="4"/>
      <c r="K40" s="4">
        <v>-222</v>
      </c>
      <c r="L40" s="4">
        <v>3</v>
      </c>
      <c r="M40" s="4">
        <v>3</v>
      </c>
      <c r="N40" s="4" t="s">
        <v>3</v>
      </c>
      <c r="O40" s="4">
        <v>2</v>
      </c>
      <c r="P40" s="4"/>
      <c r="Q40" s="4"/>
      <c r="R40" s="4"/>
      <c r="S40" s="4"/>
      <c r="T40" s="4"/>
      <c r="U40" s="4"/>
      <c r="V40" s="4"/>
      <c r="W40" s="4"/>
    </row>
    <row r="41" spans="1:245" x14ac:dyDescent="0.2">
      <c r="A41" s="4">
        <v>50</v>
      </c>
      <c r="B41" s="4">
        <v>0</v>
      </c>
      <c r="C41" s="4">
        <v>0</v>
      </c>
      <c r="D41" s="4">
        <v>1</v>
      </c>
      <c r="E41" s="4">
        <v>225</v>
      </c>
      <c r="F41" s="4">
        <f>ROUND(Source!AV36,O41)</f>
        <v>52347.5</v>
      </c>
      <c r="G41" s="4" t="s">
        <v>56</v>
      </c>
      <c r="H41" s="4" t="s">
        <v>57</v>
      </c>
      <c r="I41" s="4"/>
      <c r="J41" s="4"/>
      <c r="K41" s="4">
        <v>-225</v>
      </c>
      <c r="L41" s="4">
        <v>4</v>
      </c>
      <c r="M41" s="4">
        <v>3</v>
      </c>
      <c r="N41" s="4" t="s">
        <v>3</v>
      </c>
      <c r="O41" s="4">
        <v>2</v>
      </c>
      <c r="P41" s="4"/>
      <c r="Q41" s="4"/>
      <c r="R41" s="4"/>
      <c r="S41" s="4"/>
      <c r="T41" s="4"/>
      <c r="U41" s="4"/>
      <c r="V41" s="4"/>
      <c r="W41" s="4"/>
    </row>
    <row r="42" spans="1:245" x14ac:dyDescent="0.2">
      <c r="A42" s="4">
        <v>50</v>
      </c>
      <c r="B42" s="4">
        <v>0</v>
      </c>
      <c r="C42" s="4">
        <v>0</v>
      </c>
      <c r="D42" s="4">
        <v>1</v>
      </c>
      <c r="E42" s="4">
        <v>226</v>
      </c>
      <c r="F42" s="4">
        <f>ROUND(Source!AW36,O42)</f>
        <v>52347.5</v>
      </c>
      <c r="G42" s="4" t="s">
        <v>58</v>
      </c>
      <c r="H42" s="4" t="s">
        <v>59</v>
      </c>
      <c r="I42" s="4"/>
      <c r="J42" s="4"/>
      <c r="K42" s="4">
        <v>-226</v>
      </c>
      <c r="L42" s="4">
        <v>5</v>
      </c>
      <c r="M42" s="4">
        <v>3</v>
      </c>
      <c r="N42" s="4" t="s">
        <v>3</v>
      </c>
      <c r="O42" s="4">
        <v>2</v>
      </c>
      <c r="P42" s="4"/>
      <c r="Q42" s="4"/>
      <c r="R42" s="4"/>
      <c r="S42" s="4"/>
      <c r="T42" s="4"/>
      <c r="U42" s="4"/>
      <c r="V42" s="4"/>
      <c r="W42" s="4"/>
    </row>
    <row r="43" spans="1:245" x14ac:dyDescent="0.2">
      <c r="A43" s="4">
        <v>50</v>
      </c>
      <c r="B43" s="4">
        <v>0</v>
      </c>
      <c r="C43" s="4">
        <v>0</v>
      </c>
      <c r="D43" s="4">
        <v>1</v>
      </c>
      <c r="E43" s="4">
        <v>227</v>
      </c>
      <c r="F43" s="4">
        <f>ROUND(Source!AX36,O43)</f>
        <v>0</v>
      </c>
      <c r="G43" s="4" t="s">
        <v>60</v>
      </c>
      <c r="H43" s="4" t="s">
        <v>61</v>
      </c>
      <c r="I43" s="4"/>
      <c r="J43" s="4"/>
      <c r="K43" s="4">
        <v>-227</v>
      </c>
      <c r="L43" s="4">
        <v>6</v>
      </c>
      <c r="M43" s="4">
        <v>3</v>
      </c>
      <c r="N43" s="4" t="s">
        <v>3</v>
      </c>
      <c r="O43" s="4">
        <v>2</v>
      </c>
      <c r="P43" s="4"/>
      <c r="Q43" s="4"/>
      <c r="R43" s="4"/>
      <c r="S43" s="4"/>
      <c r="T43" s="4"/>
      <c r="U43" s="4"/>
      <c r="V43" s="4"/>
      <c r="W43" s="4"/>
    </row>
    <row r="44" spans="1:245" x14ac:dyDescent="0.2">
      <c r="A44" s="4">
        <v>50</v>
      </c>
      <c r="B44" s="4">
        <v>0</v>
      </c>
      <c r="C44" s="4">
        <v>0</v>
      </c>
      <c r="D44" s="4">
        <v>1</v>
      </c>
      <c r="E44" s="4">
        <v>228</v>
      </c>
      <c r="F44" s="4">
        <f>ROUND(Source!AY36,O44)</f>
        <v>52347.5</v>
      </c>
      <c r="G44" s="4" t="s">
        <v>62</v>
      </c>
      <c r="H44" s="4" t="s">
        <v>63</v>
      </c>
      <c r="I44" s="4"/>
      <c r="J44" s="4"/>
      <c r="K44" s="4">
        <v>-228</v>
      </c>
      <c r="L44" s="4">
        <v>7</v>
      </c>
      <c r="M44" s="4">
        <v>3</v>
      </c>
      <c r="N44" s="4" t="s">
        <v>3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45" x14ac:dyDescent="0.2">
      <c r="A45" s="4">
        <v>50</v>
      </c>
      <c r="B45" s="4">
        <v>0</v>
      </c>
      <c r="C45" s="4">
        <v>0</v>
      </c>
      <c r="D45" s="4">
        <v>1</v>
      </c>
      <c r="E45" s="4">
        <v>216</v>
      </c>
      <c r="F45" s="4">
        <f>ROUND(Source!AP36,O45)</f>
        <v>0</v>
      </c>
      <c r="G45" s="4" t="s">
        <v>64</v>
      </c>
      <c r="H45" s="4" t="s">
        <v>65</v>
      </c>
      <c r="I45" s="4"/>
      <c r="J45" s="4"/>
      <c r="K45" s="4">
        <v>-216</v>
      </c>
      <c r="L45" s="4">
        <v>8</v>
      </c>
      <c r="M45" s="4">
        <v>3</v>
      </c>
      <c r="N45" s="4" t="s">
        <v>3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45" x14ac:dyDescent="0.2">
      <c r="A46" s="4">
        <v>50</v>
      </c>
      <c r="B46" s="4">
        <v>0</v>
      </c>
      <c r="C46" s="4">
        <v>0</v>
      </c>
      <c r="D46" s="4">
        <v>1</v>
      </c>
      <c r="E46" s="4">
        <v>223</v>
      </c>
      <c r="F46" s="4">
        <f>ROUND(Source!AQ36,O46)</f>
        <v>0</v>
      </c>
      <c r="G46" s="4" t="s">
        <v>66</v>
      </c>
      <c r="H46" s="4" t="s">
        <v>67</v>
      </c>
      <c r="I46" s="4"/>
      <c r="J46" s="4"/>
      <c r="K46" s="4">
        <v>-223</v>
      </c>
      <c r="L46" s="4">
        <v>9</v>
      </c>
      <c r="M46" s="4">
        <v>3</v>
      </c>
      <c r="N46" s="4" t="s">
        <v>3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45" x14ac:dyDescent="0.2">
      <c r="A47" s="4">
        <v>50</v>
      </c>
      <c r="B47" s="4">
        <v>0</v>
      </c>
      <c r="C47" s="4">
        <v>0</v>
      </c>
      <c r="D47" s="4">
        <v>1</v>
      </c>
      <c r="E47" s="4">
        <v>229</v>
      </c>
      <c r="F47" s="4">
        <f>ROUND(Source!AZ36,O47)</f>
        <v>0</v>
      </c>
      <c r="G47" s="4" t="s">
        <v>68</v>
      </c>
      <c r="H47" s="4" t="s">
        <v>69</v>
      </c>
      <c r="I47" s="4"/>
      <c r="J47" s="4"/>
      <c r="K47" s="4">
        <v>-229</v>
      </c>
      <c r="L47" s="4">
        <v>10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203</v>
      </c>
      <c r="F48" s="4">
        <f>ROUND(Source!Q36,O48)</f>
        <v>6423.61</v>
      </c>
      <c r="G48" s="4" t="s">
        <v>70</v>
      </c>
      <c r="H48" s="4" t="s">
        <v>71</v>
      </c>
      <c r="I48" s="4"/>
      <c r="J48" s="4"/>
      <c r="K48" s="4">
        <v>-203</v>
      </c>
      <c r="L48" s="4">
        <v>11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231</v>
      </c>
      <c r="F49" s="4">
        <f>ROUND(Source!BB36,O49)</f>
        <v>0</v>
      </c>
      <c r="G49" s="4" t="s">
        <v>72</v>
      </c>
      <c r="H49" s="4" t="s">
        <v>73</v>
      </c>
      <c r="I49" s="4"/>
      <c r="J49" s="4"/>
      <c r="K49" s="4">
        <v>-231</v>
      </c>
      <c r="L49" s="4">
        <v>12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204</v>
      </c>
      <c r="F50" s="4">
        <f>ROUND(Source!R36,O50)</f>
        <v>3081.74</v>
      </c>
      <c r="G50" s="4" t="s">
        <v>74</v>
      </c>
      <c r="H50" s="4" t="s">
        <v>75</v>
      </c>
      <c r="I50" s="4"/>
      <c r="J50" s="4"/>
      <c r="K50" s="4">
        <v>-204</v>
      </c>
      <c r="L50" s="4">
        <v>13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205</v>
      </c>
      <c r="F51" s="4">
        <f>ROUND(Source!S36,O51)</f>
        <v>5329.18</v>
      </c>
      <c r="G51" s="4" t="s">
        <v>76</v>
      </c>
      <c r="H51" s="4" t="s">
        <v>77</v>
      </c>
      <c r="I51" s="4"/>
      <c r="J51" s="4"/>
      <c r="K51" s="4">
        <v>-205</v>
      </c>
      <c r="L51" s="4">
        <v>14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232</v>
      </c>
      <c r="F52" s="4">
        <f>ROUND(Source!BC36,O52)</f>
        <v>0</v>
      </c>
      <c r="G52" s="4" t="s">
        <v>78</v>
      </c>
      <c r="H52" s="4" t="s">
        <v>79</v>
      </c>
      <c r="I52" s="4"/>
      <c r="J52" s="4"/>
      <c r="K52" s="4">
        <v>-232</v>
      </c>
      <c r="L52" s="4">
        <v>15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214</v>
      </c>
      <c r="F53" s="4">
        <f>ROUND(Source!AS36,O53)</f>
        <v>0</v>
      </c>
      <c r="G53" s="4" t="s">
        <v>80</v>
      </c>
      <c r="H53" s="4" t="s">
        <v>81</v>
      </c>
      <c r="I53" s="4"/>
      <c r="J53" s="4"/>
      <c r="K53" s="4">
        <v>-214</v>
      </c>
      <c r="L53" s="4">
        <v>16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215</v>
      </c>
      <c r="F54" s="4">
        <f>ROUND(Source!AT36,O54)</f>
        <v>0</v>
      </c>
      <c r="G54" s="4" t="s">
        <v>82</v>
      </c>
      <c r="H54" s="4" t="s">
        <v>83</v>
      </c>
      <c r="I54" s="4"/>
      <c r="J54" s="4"/>
      <c r="K54" s="4">
        <v>-215</v>
      </c>
      <c r="L54" s="4">
        <v>17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217</v>
      </c>
      <c r="F55" s="4">
        <f>ROUND(Source!AU36,O55)</f>
        <v>71691.92</v>
      </c>
      <c r="G55" s="4" t="s">
        <v>84</v>
      </c>
      <c r="H55" s="4" t="s">
        <v>85</v>
      </c>
      <c r="I55" s="4"/>
      <c r="J55" s="4"/>
      <c r="K55" s="4">
        <v>-217</v>
      </c>
      <c r="L55" s="4">
        <v>18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230</v>
      </c>
      <c r="F56" s="4">
        <f>ROUND(Source!BA36,O56)</f>
        <v>0</v>
      </c>
      <c r="G56" s="4" t="s">
        <v>86</v>
      </c>
      <c r="H56" s="4" t="s">
        <v>87</v>
      </c>
      <c r="I56" s="4"/>
      <c r="J56" s="4"/>
      <c r="K56" s="4">
        <v>-230</v>
      </c>
      <c r="L56" s="4">
        <v>19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206</v>
      </c>
      <c r="F57" s="4">
        <f>ROUND(Source!T36,O57)</f>
        <v>0</v>
      </c>
      <c r="G57" s="4" t="s">
        <v>88</v>
      </c>
      <c r="H57" s="4" t="s">
        <v>89</v>
      </c>
      <c r="I57" s="4"/>
      <c r="J57" s="4"/>
      <c r="K57" s="4">
        <v>-206</v>
      </c>
      <c r="L57" s="4">
        <v>20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207</v>
      </c>
      <c r="F58" s="4">
        <f>Source!U36</f>
        <v>25.1734285</v>
      </c>
      <c r="G58" s="4" t="s">
        <v>90</v>
      </c>
      <c r="H58" s="4" t="s">
        <v>91</v>
      </c>
      <c r="I58" s="4"/>
      <c r="J58" s="4"/>
      <c r="K58" s="4">
        <v>-207</v>
      </c>
      <c r="L58" s="4">
        <v>21</v>
      </c>
      <c r="M58" s="4">
        <v>3</v>
      </c>
      <c r="N58" s="4" t="s">
        <v>3</v>
      </c>
      <c r="O58" s="4">
        <v>-1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208</v>
      </c>
      <c r="F59" s="4">
        <f>Source!V36</f>
        <v>0</v>
      </c>
      <c r="G59" s="4" t="s">
        <v>92</v>
      </c>
      <c r="H59" s="4" t="s">
        <v>93</v>
      </c>
      <c r="I59" s="4"/>
      <c r="J59" s="4"/>
      <c r="K59" s="4">
        <v>-208</v>
      </c>
      <c r="L59" s="4">
        <v>22</v>
      </c>
      <c r="M59" s="4">
        <v>3</v>
      </c>
      <c r="N59" s="4" t="s">
        <v>3</v>
      </c>
      <c r="O59" s="4">
        <v>-1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209</v>
      </c>
      <c r="F60" s="4">
        <f>ROUND(Source!W36,O60)</f>
        <v>0</v>
      </c>
      <c r="G60" s="4" t="s">
        <v>94</v>
      </c>
      <c r="H60" s="4" t="s">
        <v>95</v>
      </c>
      <c r="I60" s="4"/>
      <c r="J60" s="4"/>
      <c r="K60" s="4">
        <v>-209</v>
      </c>
      <c r="L60" s="4">
        <v>23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233</v>
      </c>
      <c r="F61" s="4">
        <f>ROUND(Source!BD36,O61)</f>
        <v>0</v>
      </c>
      <c r="G61" s="4" t="s">
        <v>96</v>
      </c>
      <c r="H61" s="4" t="s">
        <v>97</v>
      </c>
      <c r="I61" s="4"/>
      <c r="J61" s="4"/>
      <c r="K61" s="4">
        <v>-233</v>
      </c>
      <c r="L61" s="4">
        <v>24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210</v>
      </c>
      <c r="F62" s="4">
        <f>ROUND(Source!X36,O62)</f>
        <v>3730.43</v>
      </c>
      <c r="G62" s="4" t="s">
        <v>98</v>
      </c>
      <c r="H62" s="4" t="s">
        <v>99</v>
      </c>
      <c r="I62" s="4"/>
      <c r="J62" s="4"/>
      <c r="K62" s="4">
        <v>-210</v>
      </c>
      <c r="L62" s="4">
        <v>25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211</v>
      </c>
      <c r="F63" s="4">
        <f>ROUND(Source!Y36,O63)</f>
        <v>532.91999999999996</v>
      </c>
      <c r="G63" s="4" t="s">
        <v>100</v>
      </c>
      <c r="H63" s="4" t="s">
        <v>101</v>
      </c>
      <c r="I63" s="4"/>
      <c r="J63" s="4"/>
      <c r="K63" s="4">
        <v>-211</v>
      </c>
      <c r="L63" s="4">
        <v>26</v>
      </c>
      <c r="M63" s="4">
        <v>3</v>
      </c>
      <c r="N63" s="4" t="s">
        <v>3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224</v>
      </c>
      <c r="F64" s="4">
        <f>ROUND(Source!AR36,O64)</f>
        <v>71691.92</v>
      </c>
      <c r="G64" s="4" t="s">
        <v>102</v>
      </c>
      <c r="H64" s="4" t="s">
        <v>103</v>
      </c>
      <c r="I64" s="4"/>
      <c r="J64" s="4"/>
      <c r="K64" s="4">
        <v>-224</v>
      </c>
      <c r="L64" s="4">
        <v>27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6" spans="1:245" x14ac:dyDescent="0.2">
      <c r="A66" s="1">
        <v>4</v>
      </c>
      <c r="B66" s="1">
        <v>1</v>
      </c>
      <c r="C66" s="1"/>
      <c r="D66" s="1">
        <f>ROW(A78)</f>
        <v>78</v>
      </c>
      <c r="E66" s="1"/>
      <c r="F66" s="1" t="s">
        <v>13</v>
      </c>
      <c r="G66" s="1" t="s">
        <v>104</v>
      </c>
      <c r="H66" s="1" t="s">
        <v>3</v>
      </c>
      <c r="I66" s="1">
        <v>0</v>
      </c>
      <c r="J66" s="1"/>
      <c r="K66" s="1">
        <v>-1</v>
      </c>
      <c r="L66" s="1"/>
      <c r="M66" s="1" t="s">
        <v>3</v>
      </c>
      <c r="N66" s="1"/>
      <c r="O66" s="1"/>
      <c r="P66" s="1"/>
      <c r="Q66" s="1"/>
      <c r="R66" s="1"/>
      <c r="S66" s="1">
        <v>0</v>
      </c>
      <c r="T66" s="1"/>
      <c r="U66" s="1" t="s">
        <v>3</v>
      </c>
      <c r="V66" s="1">
        <v>7</v>
      </c>
      <c r="W66" s="1"/>
      <c r="X66" s="1"/>
      <c r="Y66" s="1"/>
      <c r="Z66" s="1"/>
      <c r="AA66" s="1"/>
      <c r="AB66" s="1" t="s">
        <v>3</v>
      </c>
      <c r="AC66" s="1" t="s">
        <v>3</v>
      </c>
      <c r="AD66" s="1" t="s">
        <v>3</v>
      </c>
      <c r="AE66" s="1" t="s">
        <v>3</v>
      </c>
      <c r="AF66" s="1" t="s">
        <v>3</v>
      </c>
      <c r="AG66" s="1" t="s">
        <v>3</v>
      </c>
      <c r="AH66" s="1"/>
      <c r="AI66" s="1"/>
      <c r="AJ66" s="1"/>
      <c r="AK66" s="1"/>
      <c r="AL66" s="1"/>
      <c r="AM66" s="1"/>
      <c r="AN66" s="1"/>
      <c r="AO66" s="1"/>
      <c r="AP66" s="1" t="s">
        <v>3</v>
      </c>
      <c r="AQ66" s="1" t="s">
        <v>3</v>
      </c>
      <c r="AR66" s="1" t="s">
        <v>3</v>
      </c>
      <c r="AS66" s="1"/>
      <c r="AT66" s="1"/>
      <c r="AU66" s="1"/>
      <c r="AV66" s="1"/>
      <c r="AW66" s="1"/>
      <c r="AX66" s="1"/>
      <c r="AY66" s="1"/>
      <c r="AZ66" s="1" t="s">
        <v>3</v>
      </c>
      <c r="BA66" s="1"/>
      <c r="BB66" s="1" t="s">
        <v>3</v>
      </c>
      <c r="BC66" s="1" t="s">
        <v>3</v>
      </c>
      <c r="BD66" s="1" t="s">
        <v>3</v>
      </c>
      <c r="BE66" s="1" t="s">
        <v>3</v>
      </c>
      <c r="BF66" s="1" t="s">
        <v>3</v>
      </c>
      <c r="BG66" s="1" t="s">
        <v>3</v>
      </c>
      <c r="BH66" s="1" t="s">
        <v>3</v>
      </c>
      <c r="BI66" s="1" t="s">
        <v>3</v>
      </c>
      <c r="BJ66" s="1" t="s">
        <v>3</v>
      </c>
      <c r="BK66" s="1" t="s">
        <v>3</v>
      </c>
      <c r="BL66" s="1" t="s">
        <v>3</v>
      </c>
      <c r="BM66" s="1" t="s">
        <v>3</v>
      </c>
      <c r="BN66" s="1" t="s">
        <v>3</v>
      </c>
      <c r="BO66" s="1" t="s">
        <v>3</v>
      </c>
      <c r="BP66" s="1" t="s">
        <v>3</v>
      </c>
      <c r="BQ66" s="1"/>
      <c r="BR66" s="1"/>
      <c r="BS66" s="1"/>
      <c r="BT66" s="1"/>
      <c r="BU66" s="1"/>
      <c r="BV66" s="1"/>
      <c r="BW66" s="1"/>
      <c r="BX66" s="1">
        <v>0</v>
      </c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>
        <v>0</v>
      </c>
    </row>
    <row r="68" spans="1:245" x14ac:dyDescent="0.2">
      <c r="A68" s="2">
        <v>52</v>
      </c>
      <c r="B68" s="2">
        <f t="shared" ref="B68:G68" si="59">B78</f>
        <v>1</v>
      </c>
      <c r="C68" s="2">
        <f t="shared" si="59"/>
        <v>4</v>
      </c>
      <c r="D68" s="2">
        <f t="shared" si="59"/>
        <v>66</v>
      </c>
      <c r="E68" s="2">
        <f t="shared" si="59"/>
        <v>0</v>
      </c>
      <c r="F68" s="2" t="str">
        <f t="shared" si="59"/>
        <v>Новый раздел</v>
      </c>
      <c r="G68" s="2" t="str">
        <f t="shared" si="59"/>
        <v>Ремонт асфальтобетонного покрытия площадок (392 м2)</v>
      </c>
      <c r="H68" s="2"/>
      <c r="I68" s="2"/>
      <c r="J68" s="2"/>
      <c r="K68" s="2"/>
      <c r="L68" s="2"/>
      <c r="M68" s="2"/>
      <c r="N68" s="2"/>
      <c r="O68" s="2">
        <f t="shared" ref="O68:AT68" si="60">O78</f>
        <v>161590.48000000001</v>
      </c>
      <c r="P68" s="2">
        <f t="shared" si="60"/>
        <v>131962.88</v>
      </c>
      <c r="Q68" s="2">
        <f t="shared" si="60"/>
        <v>16193.27</v>
      </c>
      <c r="R68" s="2">
        <f t="shared" si="60"/>
        <v>7768.77</v>
      </c>
      <c r="S68" s="2">
        <f t="shared" si="60"/>
        <v>13434.33</v>
      </c>
      <c r="T68" s="2">
        <f t="shared" si="60"/>
        <v>0</v>
      </c>
      <c r="U68" s="2">
        <f t="shared" si="60"/>
        <v>63.459704000000002</v>
      </c>
      <c r="V68" s="2">
        <f t="shared" si="60"/>
        <v>0</v>
      </c>
      <c r="W68" s="2">
        <f t="shared" si="60"/>
        <v>0</v>
      </c>
      <c r="X68" s="2">
        <f t="shared" si="60"/>
        <v>9404.0300000000007</v>
      </c>
      <c r="Y68" s="2">
        <f t="shared" si="60"/>
        <v>1343.43</v>
      </c>
      <c r="Z68" s="2">
        <f t="shared" si="60"/>
        <v>0</v>
      </c>
      <c r="AA68" s="2">
        <f t="shared" si="60"/>
        <v>0</v>
      </c>
      <c r="AB68" s="2">
        <f t="shared" si="60"/>
        <v>161590.48000000001</v>
      </c>
      <c r="AC68" s="2">
        <f t="shared" si="60"/>
        <v>131962.88</v>
      </c>
      <c r="AD68" s="2">
        <f t="shared" si="60"/>
        <v>16193.27</v>
      </c>
      <c r="AE68" s="2">
        <f t="shared" si="60"/>
        <v>7768.77</v>
      </c>
      <c r="AF68" s="2">
        <f t="shared" si="60"/>
        <v>13434.33</v>
      </c>
      <c r="AG68" s="2">
        <f t="shared" si="60"/>
        <v>0</v>
      </c>
      <c r="AH68" s="2">
        <f t="shared" si="60"/>
        <v>63.459704000000002</v>
      </c>
      <c r="AI68" s="2">
        <f t="shared" si="60"/>
        <v>0</v>
      </c>
      <c r="AJ68" s="2">
        <f t="shared" si="60"/>
        <v>0</v>
      </c>
      <c r="AK68" s="2">
        <f t="shared" si="60"/>
        <v>9404.0300000000007</v>
      </c>
      <c r="AL68" s="2">
        <f t="shared" si="60"/>
        <v>1343.43</v>
      </c>
      <c r="AM68" s="2">
        <f t="shared" si="60"/>
        <v>0</v>
      </c>
      <c r="AN68" s="2">
        <f t="shared" si="60"/>
        <v>0</v>
      </c>
      <c r="AO68" s="2">
        <f t="shared" si="60"/>
        <v>0</v>
      </c>
      <c r="AP68" s="2">
        <f t="shared" si="60"/>
        <v>0</v>
      </c>
      <c r="AQ68" s="2">
        <f t="shared" si="60"/>
        <v>0</v>
      </c>
      <c r="AR68" s="2">
        <f t="shared" si="60"/>
        <v>180728.21</v>
      </c>
      <c r="AS68" s="2">
        <f t="shared" si="60"/>
        <v>0</v>
      </c>
      <c r="AT68" s="2">
        <f t="shared" si="60"/>
        <v>0</v>
      </c>
      <c r="AU68" s="2">
        <f t="shared" ref="AU68:BZ68" si="61">AU78</f>
        <v>180728.21</v>
      </c>
      <c r="AV68" s="2">
        <f t="shared" si="61"/>
        <v>131962.88</v>
      </c>
      <c r="AW68" s="2">
        <f t="shared" si="61"/>
        <v>131962.88</v>
      </c>
      <c r="AX68" s="2">
        <f t="shared" si="61"/>
        <v>0</v>
      </c>
      <c r="AY68" s="2">
        <f t="shared" si="61"/>
        <v>131962.88</v>
      </c>
      <c r="AZ68" s="2">
        <f t="shared" si="61"/>
        <v>0</v>
      </c>
      <c r="BA68" s="2">
        <f t="shared" si="61"/>
        <v>0</v>
      </c>
      <c r="BB68" s="2">
        <f t="shared" si="61"/>
        <v>0</v>
      </c>
      <c r="BC68" s="2">
        <f t="shared" si="61"/>
        <v>0</v>
      </c>
      <c r="BD68" s="2">
        <f t="shared" si="61"/>
        <v>0</v>
      </c>
      <c r="BE68" s="2">
        <f t="shared" si="61"/>
        <v>0</v>
      </c>
      <c r="BF68" s="2">
        <f t="shared" si="61"/>
        <v>0</v>
      </c>
      <c r="BG68" s="2">
        <f t="shared" si="61"/>
        <v>0</v>
      </c>
      <c r="BH68" s="2">
        <f t="shared" si="61"/>
        <v>0</v>
      </c>
      <c r="BI68" s="2">
        <f t="shared" si="61"/>
        <v>0</v>
      </c>
      <c r="BJ68" s="2">
        <f t="shared" si="61"/>
        <v>0</v>
      </c>
      <c r="BK68" s="2">
        <f t="shared" si="61"/>
        <v>0</v>
      </c>
      <c r="BL68" s="2">
        <f t="shared" si="61"/>
        <v>0</v>
      </c>
      <c r="BM68" s="2">
        <f t="shared" si="61"/>
        <v>0</v>
      </c>
      <c r="BN68" s="2">
        <f t="shared" si="61"/>
        <v>0</v>
      </c>
      <c r="BO68" s="2">
        <f t="shared" si="61"/>
        <v>0</v>
      </c>
      <c r="BP68" s="2">
        <f t="shared" si="61"/>
        <v>0</v>
      </c>
      <c r="BQ68" s="2">
        <f t="shared" si="61"/>
        <v>0</v>
      </c>
      <c r="BR68" s="2">
        <f t="shared" si="61"/>
        <v>0</v>
      </c>
      <c r="BS68" s="2">
        <f t="shared" si="61"/>
        <v>0</v>
      </c>
      <c r="BT68" s="2">
        <f t="shared" si="61"/>
        <v>0</v>
      </c>
      <c r="BU68" s="2">
        <f t="shared" si="61"/>
        <v>0</v>
      </c>
      <c r="BV68" s="2">
        <f t="shared" si="61"/>
        <v>0</v>
      </c>
      <c r="BW68" s="2">
        <f t="shared" si="61"/>
        <v>0</v>
      </c>
      <c r="BX68" s="2">
        <f t="shared" si="61"/>
        <v>0</v>
      </c>
      <c r="BY68" s="2">
        <f t="shared" si="61"/>
        <v>0</v>
      </c>
      <c r="BZ68" s="2">
        <f t="shared" si="61"/>
        <v>0</v>
      </c>
      <c r="CA68" s="2">
        <f t="shared" ref="CA68:DF68" si="62">CA78</f>
        <v>180728.21</v>
      </c>
      <c r="CB68" s="2">
        <f t="shared" si="62"/>
        <v>0</v>
      </c>
      <c r="CC68" s="2">
        <f t="shared" si="62"/>
        <v>0</v>
      </c>
      <c r="CD68" s="2">
        <f t="shared" si="62"/>
        <v>180728.21</v>
      </c>
      <c r="CE68" s="2">
        <f t="shared" si="62"/>
        <v>131962.88</v>
      </c>
      <c r="CF68" s="2">
        <f t="shared" si="62"/>
        <v>131962.88</v>
      </c>
      <c r="CG68" s="2">
        <f t="shared" si="62"/>
        <v>0</v>
      </c>
      <c r="CH68" s="2">
        <f t="shared" si="62"/>
        <v>131962.88</v>
      </c>
      <c r="CI68" s="2">
        <f t="shared" si="62"/>
        <v>0</v>
      </c>
      <c r="CJ68" s="2">
        <f t="shared" si="62"/>
        <v>0</v>
      </c>
      <c r="CK68" s="2">
        <f t="shared" si="62"/>
        <v>0</v>
      </c>
      <c r="CL68" s="2">
        <f t="shared" si="62"/>
        <v>0</v>
      </c>
      <c r="CM68" s="2">
        <f t="shared" si="62"/>
        <v>0</v>
      </c>
      <c r="CN68" s="2">
        <f t="shared" si="62"/>
        <v>0</v>
      </c>
      <c r="CO68" s="2">
        <f t="shared" si="62"/>
        <v>0</v>
      </c>
      <c r="CP68" s="2">
        <f t="shared" si="62"/>
        <v>0</v>
      </c>
      <c r="CQ68" s="2">
        <f t="shared" si="62"/>
        <v>0</v>
      </c>
      <c r="CR68" s="2">
        <f t="shared" si="62"/>
        <v>0</v>
      </c>
      <c r="CS68" s="2">
        <f t="shared" si="62"/>
        <v>0</v>
      </c>
      <c r="CT68" s="2">
        <f t="shared" si="62"/>
        <v>0</v>
      </c>
      <c r="CU68" s="2">
        <f t="shared" si="62"/>
        <v>0</v>
      </c>
      <c r="CV68" s="2">
        <f t="shared" si="62"/>
        <v>0</v>
      </c>
      <c r="CW68" s="2">
        <f t="shared" si="62"/>
        <v>0</v>
      </c>
      <c r="CX68" s="2">
        <f t="shared" si="62"/>
        <v>0</v>
      </c>
      <c r="CY68" s="2">
        <f t="shared" si="62"/>
        <v>0</v>
      </c>
      <c r="CZ68" s="2">
        <f t="shared" si="62"/>
        <v>0</v>
      </c>
      <c r="DA68" s="2">
        <f t="shared" si="62"/>
        <v>0</v>
      </c>
      <c r="DB68" s="2">
        <f t="shared" si="62"/>
        <v>0</v>
      </c>
      <c r="DC68" s="2">
        <f t="shared" si="62"/>
        <v>0</v>
      </c>
      <c r="DD68" s="2">
        <f t="shared" si="62"/>
        <v>0</v>
      </c>
      <c r="DE68" s="2">
        <f t="shared" si="62"/>
        <v>0</v>
      </c>
      <c r="DF68" s="2">
        <f t="shared" si="62"/>
        <v>0</v>
      </c>
      <c r="DG68" s="3">
        <f t="shared" ref="DG68:EL68" si="63">DG78</f>
        <v>0</v>
      </c>
      <c r="DH68" s="3">
        <f t="shared" si="63"/>
        <v>0</v>
      </c>
      <c r="DI68" s="3">
        <f t="shared" si="63"/>
        <v>0</v>
      </c>
      <c r="DJ68" s="3">
        <f t="shared" si="63"/>
        <v>0</v>
      </c>
      <c r="DK68" s="3">
        <f t="shared" si="63"/>
        <v>0</v>
      </c>
      <c r="DL68" s="3">
        <f t="shared" si="63"/>
        <v>0</v>
      </c>
      <c r="DM68" s="3">
        <f t="shared" si="63"/>
        <v>0</v>
      </c>
      <c r="DN68" s="3">
        <f t="shared" si="63"/>
        <v>0</v>
      </c>
      <c r="DO68" s="3">
        <f t="shared" si="63"/>
        <v>0</v>
      </c>
      <c r="DP68" s="3">
        <f t="shared" si="63"/>
        <v>0</v>
      </c>
      <c r="DQ68" s="3">
        <f t="shared" si="63"/>
        <v>0</v>
      </c>
      <c r="DR68" s="3">
        <f t="shared" si="63"/>
        <v>0</v>
      </c>
      <c r="DS68" s="3">
        <f t="shared" si="63"/>
        <v>0</v>
      </c>
      <c r="DT68" s="3">
        <f t="shared" si="63"/>
        <v>0</v>
      </c>
      <c r="DU68" s="3">
        <f t="shared" si="63"/>
        <v>0</v>
      </c>
      <c r="DV68" s="3">
        <f t="shared" si="63"/>
        <v>0</v>
      </c>
      <c r="DW68" s="3">
        <f t="shared" si="63"/>
        <v>0</v>
      </c>
      <c r="DX68" s="3">
        <f t="shared" si="63"/>
        <v>0</v>
      </c>
      <c r="DY68" s="3">
        <f t="shared" si="63"/>
        <v>0</v>
      </c>
      <c r="DZ68" s="3">
        <f t="shared" si="63"/>
        <v>0</v>
      </c>
      <c r="EA68" s="3">
        <f t="shared" si="63"/>
        <v>0</v>
      </c>
      <c r="EB68" s="3">
        <f t="shared" si="63"/>
        <v>0</v>
      </c>
      <c r="EC68" s="3">
        <f t="shared" si="63"/>
        <v>0</v>
      </c>
      <c r="ED68" s="3">
        <f t="shared" si="63"/>
        <v>0</v>
      </c>
      <c r="EE68" s="3">
        <f t="shared" si="63"/>
        <v>0</v>
      </c>
      <c r="EF68" s="3">
        <f t="shared" si="63"/>
        <v>0</v>
      </c>
      <c r="EG68" s="3">
        <f t="shared" si="63"/>
        <v>0</v>
      </c>
      <c r="EH68" s="3">
        <f t="shared" si="63"/>
        <v>0</v>
      </c>
      <c r="EI68" s="3">
        <f t="shared" si="63"/>
        <v>0</v>
      </c>
      <c r="EJ68" s="3">
        <f t="shared" si="63"/>
        <v>0</v>
      </c>
      <c r="EK68" s="3">
        <f t="shared" si="63"/>
        <v>0</v>
      </c>
      <c r="EL68" s="3">
        <f t="shared" si="63"/>
        <v>0</v>
      </c>
      <c r="EM68" s="3">
        <f t="shared" ref="EM68:FR68" si="64">EM78</f>
        <v>0</v>
      </c>
      <c r="EN68" s="3">
        <f t="shared" si="64"/>
        <v>0</v>
      </c>
      <c r="EO68" s="3">
        <f t="shared" si="64"/>
        <v>0</v>
      </c>
      <c r="EP68" s="3">
        <f t="shared" si="64"/>
        <v>0</v>
      </c>
      <c r="EQ68" s="3">
        <f t="shared" si="64"/>
        <v>0</v>
      </c>
      <c r="ER68" s="3">
        <f t="shared" si="64"/>
        <v>0</v>
      </c>
      <c r="ES68" s="3">
        <f t="shared" si="64"/>
        <v>0</v>
      </c>
      <c r="ET68" s="3">
        <f t="shared" si="64"/>
        <v>0</v>
      </c>
      <c r="EU68" s="3">
        <f t="shared" si="64"/>
        <v>0</v>
      </c>
      <c r="EV68" s="3">
        <f t="shared" si="64"/>
        <v>0</v>
      </c>
      <c r="EW68" s="3">
        <f t="shared" si="64"/>
        <v>0</v>
      </c>
      <c r="EX68" s="3">
        <f t="shared" si="64"/>
        <v>0</v>
      </c>
      <c r="EY68" s="3">
        <f t="shared" si="64"/>
        <v>0</v>
      </c>
      <c r="EZ68" s="3">
        <f t="shared" si="64"/>
        <v>0</v>
      </c>
      <c r="FA68" s="3">
        <f t="shared" si="64"/>
        <v>0</v>
      </c>
      <c r="FB68" s="3">
        <f t="shared" si="64"/>
        <v>0</v>
      </c>
      <c r="FC68" s="3">
        <f t="shared" si="64"/>
        <v>0</v>
      </c>
      <c r="FD68" s="3">
        <f t="shared" si="64"/>
        <v>0</v>
      </c>
      <c r="FE68" s="3">
        <f t="shared" si="64"/>
        <v>0</v>
      </c>
      <c r="FF68" s="3">
        <f t="shared" si="64"/>
        <v>0</v>
      </c>
      <c r="FG68" s="3">
        <f t="shared" si="64"/>
        <v>0</v>
      </c>
      <c r="FH68" s="3">
        <f t="shared" si="64"/>
        <v>0</v>
      </c>
      <c r="FI68" s="3">
        <f t="shared" si="64"/>
        <v>0</v>
      </c>
      <c r="FJ68" s="3">
        <f t="shared" si="64"/>
        <v>0</v>
      </c>
      <c r="FK68" s="3">
        <f t="shared" si="64"/>
        <v>0</v>
      </c>
      <c r="FL68" s="3">
        <f t="shared" si="64"/>
        <v>0</v>
      </c>
      <c r="FM68" s="3">
        <f t="shared" si="64"/>
        <v>0</v>
      </c>
      <c r="FN68" s="3">
        <f t="shared" si="64"/>
        <v>0</v>
      </c>
      <c r="FO68" s="3">
        <f t="shared" si="64"/>
        <v>0</v>
      </c>
      <c r="FP68" s="3">
        <f t="shared" si="64"/>
        <v>0</v>
      </c>
      <c r="FQ68" s="3">
        <f t="shared" si="64"/>
        <v>0</v>
      </c>
      <c r="FR68" s="3">
        <f t="shared" si="64"/>
        <v>0</v>
      </c>
      <c r="FS68" s="3">
        <f t="shared" ref="FS68:GX68" si="65">FS78</f>
        <v>0</v>
      </c>
      <c r="FT68" s="3">
        <f t="shared" si="65"/>
        <v>0</v>
      </c>
      <c r="FU68" s="3">
        <f t="shared" si="65"/>
        <v>0</v>
      </c>
      <c r="FV68" s="3">
        <f t="shared" si="65"/>
        <v>0</v>
      </c>
      <c r="FW68" s="3">
        <f t="shared" si="65"/>
        <v>0</v>
      </c>
      <c r="FX68" s="3">
        <f t="shared" si="65"/>
        <v>0</v>
      </c>
      <c r="FY68" s="3">
        <f t="shared" si="65"/>
        <v>0</v>
      </c>
      <c r="FZ68" s="3">
        <f t="shared" si="65"/>
        <v>0</v>
      </c>
      <c r="GA68" s="3">
        <f t="shared" si="65"/>
        <v>0</v>
      </c>
      <c r="GB68" s="3">
        <f t="shared" si="65"/>
        <v>0</v>
      </c>
      <c r="GC68" s="3">
        <f t="shared" si="65"/>
        <v>0</v>
      </c>
      <c r="GD68" s="3">
        <f t="shared" si="65"/>
        <v>0</v>
      </c>
      <c r="GE68" s="3">
        <f t="shared" si="65"/>
        <v>0</v>
      </c>
      <c r="GF68" s="3">
        <f t="shared" si="65"/>
        <v>0</v>
      </c>
      <c r="GG68" s="3">
        <f t="shared" si="65"/>
        <v>0</v>
      </c>
      <c r="GH68" s="3">
        <f t="shared" si="65"/>
        <v>0</v>
      </c>
      <c r="GI68" s="3">
        <f t="shared" si="65"/>
        <v>0</v>
      </c>
      <c r="GJ68" s="3">
        <f t="shared" si="65"/>
        <v>0</v>
      </c>
      <c r="GK68" s="3">
        <f t="shared" si="65"/>
        <v>0</v>
      </c>
      <c r="GL68" s="3">
        <f t="shared" si="65"/>
        <v>0</v>
      </c>
      <c r="GM68" s="3">
        <f t="shared" si="65"/>
        <v>0</v>
      </c>
      <c r="GN68" s="3">
        <f t="shared" si="65"/>
        <v>0</v>
      </c>
      <c r="GO68" s="3">
        <f t="shared" si="65"/>
        <v>0</v>
      </c>
      <c r="GP68" s="3">
        <f t="shared" si="65"/>
        <v>0</v>
      </c>
      <c r="GQ68" s="3">
        <f t="shared" si="65"/>
        <v>0</v>
      </c>
      <c r="GR68" s="3">
        <f t="shared" si="65"/>
        <v>0</v>
      </c>
      <c r="GS68" s="3">
        <f t="shared" si="65"/>
        <v>0</v>
      </c>
      <c r="GT68" s="3">
        <f t="shared" si="65"/>
        <v>0</v>
      </c>
      <c r="GU68" s="3">
        <f t="shared" si="65"/>
        <v>0</v>
      </c>
      <c r="GV68" s="3">
        <f t="shared" si="65"/>
        <v>0</v>
      </c>
      <c r="GW68" s="3">
        <f t="shared" si="65"/>
        <v>0</v>
      </c>
      <c r="GX68" s="3">
        <f t="shared" si="65"/>
        <v>0</v>
      </c>
    </row>
    <row r="70" spans="1:245" x14ac:dyDescent="0.2">
      <c r="A70">
        <v>17</v>
      </c>
      <c r="B70">
        <v>1</v>
      </c>
      <c r="C70">
        <f>ROW(SmtRes!A25)</f>
        <v>25</v>
      </c>
      <c r="D70">
        <f>ROW(EtalonRes!A22)</f>
        <v>22</v>
      </c>
      <c r="E70" t="s">
        <v>105</v>
      </c>
      <c r="F70" t="s">
        <v>16</v>
      </c>
      <c r="G70" t="s">
        <v>17</v>
      </c>
      <c r="H70" t="s">
        <v>18</v>
      </c>
      <c r="I70">
        <f>ROUND((I74*0.3)/10,9)</f>
        <v>0.1176</v>
      </c>
      <c r="J70">
        <v>0</v>
      </c>
      <c r="O70">
        <f t="shared" ref="O70:O76" si="66">ROUND(CP70,2)</f>
        <v>26372.77</v>
      </c>
      <c r="P70">
        <f t="shared" ref="P70:P76" si="67">ROUND(CQ70*I70,2)</f>
        <v>14362.87</v>
      </c>
      <c r="Q70">
        <f t="shared" ref="Q70:Q76" si="68">ROUND(CR70*I70,2)</f>
        <v>10159.17</v>
      </c>
      <c r="R70">
        <f t="shared" ref="R70:R76" si="69">ROUND(CS70*I70,2)</f>
        <v>4112.63</v>
      </c>
      <c r="S70">
        <f t="shared" ref="S70:S76" si="70">ROUND(CT70*I70,2)</f>
        <v>1850.73</v>
      </c>
      <c r="T70">
        <f t="shared" ref="T70:T76" si="71">ROUND(CU70*I70,2)</f>
        <v>0</v>
      </c>
      <c r="U70">
        <f t="shared" ref="U70:U76" si="72">CV70*I70</f>
        <v>10.265304</v>
      </c>
      <c r="V70">
        <f t="shared" ref="V70:V76" si="73">CW70*I70</f>
        <v>0</v>
      </c>
      <c r="W70">
        <f t="shared" ref="W70:W76" si="74">ROUND(CX70*I70,2)</f>
        <v>0</v>
      </c>
      <c r="X70">
        <f t="shared" ref="X70:Y76" si="75">ROUND(CY70,2)</f>
        <v>1295.51</v>
      </c>
      <c r="Y70">
        <f t="shared" si="75"/>
        <v>185.07</v>
      </c>
      <c r="AA70">
        <v>56440881</v>
      </c>
      <c r="AB70">
        <f t="shared" ref="AB70:AB76" si="76">ROUND((AC70+AD70+AF70),2)</f>
        <v>224258.21</v>
      </c>
      <c r="AC70">
        <f t="shared" ref="AC70:AC76" si="77">ROUND((ES70),2)</f>
        <v>122133.21</v>
      </c>
      <c r="AD70">
        <f t="shared" ref="AD70:AD76" si="78">ROUND((((ET70)-(EU70))+AE70),2)</f>
        <v>86387.49</v>
      </c>
      <c r="AE70">
        <f t="shared" ref="AE70:AF76" si="79">ROUND((EU70),2)</f>
        <v>34971.35</v>
      </c>
      <c r="AF70">
        <f t="shared" si="79"/>
        <v>15737.51</v>
      </c>
      <c r="AG70">
        <f t="shared" ref="AG70:AG76" si="80">ROUND((AP70),2)</f>
        <v>0</v>
      </c>
      <c r="AH70">
        <f t="shared" ref="AH70:AI76" si="81">(EW70)</f>
        <v>87.29</v>
      </c>
      <c r="AI70">
        <f t="shared" si="81"/>
        <v>0</v>
      </c>
      <c r="AJ70">
        <f t="shared" ref="AJ70:AJ76" si="82">(AS70)</f>
        <v>0</v>
      </c>
      <c r="AK70">
        <v>224258.21</v>
      </c>
      <c r="AL70">
        <v>122133.21</v>
      </c>
      <c r="AM70">
        <v>86387.49</v>
      </c>
      <c r="AN70">
        <v>34971.35</v>
      </c>
      <c r="AO70">
        <v>15737.51</v>
      </c>
      <c r="AP70">
        <v>0</v>
      </c>
      <c r="AQ70">
        <v>87.29</v>
      </c>
      <c r="AR70">
        <v>0</v>
      </c>
      <c r="AS70">
        <v>0</v>
      </c>
      <c r="AT70">
        <v>70</v>
      </c>
      <c r="AU70">
        <v>10</v>
      </c>
      <c r="AV70">
        <v>1</v>
      </c>
      <c r="AW70">
        <v>1</v>
      </c>
      <c r="AZ70">
        <v>1</v>
      </c>
      <c r="BA70">
        <v>1</v>
      </c>
      <c r="BB70">
        <v>1</v>
      </c>
      <c r="BC70">
        <v>1</v>
      </c>
      <c r="BD70" t="s">
        <v>3</v>
      </c>
      <c r="BE70" t="s">
        <v>3</v>
      </c>
      <c r="BF70" t="s">
        <v>3</v>
      </c>
      <c r="BG70" t="s">
        <v>3</v>
      </c>
      <c r="BH70">
        <v>0</v>
      </c>
      <c r="BI70">
        <v>4</v>
      </c>
      <c r="BJ70" t="s">
        <v>19</v>
      </c>
      <c r="BM70">
        <v>0</v>
      </c>
      <c r="BN70">
        <v>0</v>
      </c>
      <c r="BO70" t="s">
        <v>3</v>
      </c>
      <c r="BP70">
        <v>0</v>
      </c>
      <c r="BQ70">
        <v>1</v>
      </c>
      <c r="BR70">
        <v>0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 t="s">
        <v>3</v>
      </c>
      <c r="BZ70">
        <v>70</v>
      </c>
      <c r="CA70">
        <v>10</v>
      </c>
      <c r="CE70">
        <v>0</v>
      </c>
      <c r="CF70">
        <v>0</v>
      </c>
      <c r="CG70">
        <v>0</v>
      </c>
      <c r="CM70">
        <v>0</v>
      </c>
      <c r="CN70" t="s">
        <v>3</v>
      </c>
      <c r="CO70">
        <v>0</v>
      </c>
      <c r="CP70">
        <f t="shared" ref="CP70:CP76" si="83">(P70+Q70+S70)</f>
        <v>26372.77</v>
      </c>
      <c r="CQ70">
        <f t="shared" ref="CQ70:CQ76" si="84">(AC70*BC70*AW70)</f>
        <v>122133.21</v>
      </c>
      <c r="CR70">
        <f t="shared" ref="CR70:CR76" si="85">((((ET70)*BB70-(EU70)*BS70)+AE70*BS70)*AV70)</f>
        <v>86387.49</v>
      </c>
      <c r="CS70">
        <f t="shared" ref="CS70:CS76" si="86">(AE70*BS70*AV70)</f>
        <v>34971.35</v>
      </c>
      <c r="CT70">
        <f t="shared" ref="CT70:CT76" si="87">(AF70*BA70*AV70)</f>
        <v>15737.51</v>
      </c>
      <c r="CU70">
        <f t="shared" ref="CU70:CU76" si="88">AG70</f>
        <v>0</v>
      </c>
      <c r="CV70">
        <f t="shared" ref="CV70:CV76" si="89">(AH70*AV70)</f>
        <v>87.29</v>
      </c>
      <c r="CW70">
        <f t="shared" ref="CW70:CX76" si="90">AI70</f>
        <v>0</v>
      </c>
      <c r="CX70">
        <f t="shared" si="90"/>
        <v>0</v>
      </c>
      <c r="CY70">
        <f t="shared" ref="CY70:CY76" si="91">((S70*BZ70)/100)</f>
        <v>1295.511</v>
      </c>
      <c r="CZ70">
        <f t="shared" ref="CZ70:CZ76" si="92">((S70*CA70)/100)</f>
        <v>185.07299999999998</v>
      </c>
      <c r="DC70" t="s">
        <v>3</v>
      </c>
      <c r="DD70" t="s">
        <v>3</v>
      </c>
      <c r="DE70" t="s">
        <v>3</v>
      </c>
      <c r="DF70" t="s">
        <v>3</v>
      </c>
      <c r="DG70" t="s">
        <v>3</v>
      </c>
      <c r="DH70" t="s">
        <v>3</v>
      </c>
      <c r="DI70" t="s">
        <v>3</v>
      </c>
      <c r="DJ70" t="s">
        <v>3</v>
      </c>
      <c r="DK70" t="s">
        <v>3</v>
      </c>
      <c r="DL70" t="s">
        <v>3</v>
      </c>
      <c r="DM70" t="s">
        <v>3</v>
      </c>
      <c r="DN70">
        <v>0</v>
      </c>
      <c r="DO70">
        <v>0</v>
      </c>
      <c r="DP70">
        <v>1</v>
      </c>
      <c r="DQ70">
        <v>1</v>
      </c>
      <c r="DU70">
        <v>1005</v>
      </c>
      <c r="DV70" t="s">
        <v>18</v>
      </c>
      <c r="DW70" t="s">
        <v>18</v>
      </c>
      <c r="DX70">
        <v>1000</v>
      </c>
      <c r="DZ70" t="s">
        <v>3</v>
      </c>
      <c r="EA70" t="s">
        <v>3</v>
      </c>
      <c r="EB70" t="s">
        <v>3</v>
      </c>
      <c r="EC70" t="s">
        <v>3</v>
      </c>
      <c r="EE70">
        <v>54545671</v>
      </c>
      <c r="EF70">
        <v>1</v>
      </c>
      <c r="EG70" t="s">
        <v>20</v>
      </c>
      <c r="EH70">
        <v>0</v>
      </c>
      <c r="EI70" t="s">
        <v>3</v>
      </c>
      <c r="EJ70">
        <v>4</v>
      </c>
      <c r="EK70">
        <v>0</v>
      </c>
      <c r="EL70" t="s">
        <v>21</v>
      </c>
      <c r="EM70" t="s">
        <v>22</v>
      </c>
      <c r="EO70" t="s">
        <v>3</v>
      </c>
      <c r="EQ70">
        <v>0</v>
      </c>
      <c r="ER70">
        <v>224258.21</v>
      </c>
      <c r="ES70">
        <v>122133.21</v>
      </c>
      <c r="ET70">
        <v>86387.49</v>
      </c>
      <c r="EU70">
        <v>34971.35</v>
      </c>
      <c r="EV70">
        <v>15737.51</v>
      </c>
      <c r="EW70">
        <v>87.29</v>
      </c>
      <c r="EX70">
        <v>0</v>
      </c>
      <c r="EY70">
        <v>0</v>
      </c>
      <c r="FQ70">
        <v>0</v>
      </c>
      <c r="FR70">
        <f t="shared" ref="FR70:FR76" si="93">ROUND(IF(AND(BH70=3,BI70=3),P70,0),2)</f>
        <v>0</v>
      </c>
      <c r="FS70">
        <v>0</v>
      </c>
      <c r="FX70">
        <v>70</v>
      </c>
      <c r="FY70">
        <v>10</v>
      </c>
      <c r="GA70" t="s">
        <v>3</v>
      </c>
      <c r="GD70">
        <v>0</v>
      </c>
      <c r="GF70">
        <v>-24945221</v>
      </c>
      <c r="GG70">
        <v>2</v>
      </c>
      <c r="GH70">
        <v>1</v>
      </c>
      <c r="GI70">
        <v>-2</v>
      </c>
      <c r="GJ70">
        <v>0</v>
      </c>
      <c r="GK70">
        <f>ROUND(R70*(R12)/100,2)</f>
        <v>4441.6400000000003</v>
      </c>
      <c r="GL70">
        <f t="shared" ref="GL70:GL76" si="94">ROUND(IF(AND(BH70=3,BI70=3,FS70&lt;&gt;0),P70,0),2)</f>
        <v>0</v>
      </c>
      <c r="GM70">
        <f t="shared" ref="GM70:GM76" si="95">ROUND(O70+X70+Y70+GK70,2)+GX70</f>
        <v>32294.99</v>
      </c>
      <c r="GN70">
        <f t="shared" ref="GN70:GN76" si="96">IF(OR(BI70=0,BI70=1),ROUND(O70+X70+Y70+GK70,2),0)</f>
        <v>0</v>
      </c>
      <c r="GO70">
        <f t="shared" ref="GO70:GO76" si="97">IF(BI70=2,ROUND(O70+X70+Y70+GK70,2),0)</f>
        <v>0</v>
      </c>
      <c r="GP70">
        <f t="shared" ref="GP70:GP76" si="98">IF(BI70=4,ROUND(O70+X70+Y70+GK70,2)+GX70,0)</f>
        <v>32294.99</v>
      </c>
      <c r="GR70">
        <v>0</v>
      </c>
      <c r="GS70">
        <v>3</v>
      </c>
      <c r="GT70">
        <v>0</v>
      </c>
      <c r="GU70" t="s">
        <v>3</v>
      </c>
      <c r="GV70">
        <f t="shared" ref="GV70:GV76" si="99">ROUND((GT70),2)</f>
        <v>0</v>
      </c>
      <c r="GW70">
        <v>1</v>
      </c>
      <c r="GX70">
        <f t="shared" ref="GX70:GX76" si="100">ROUND(HC70*I70,2)</f>
        <v>0</v>
      </c>
      <c r="HA70">
        <v>0</v>
      </c>
      <c r="HB70">
        <v>0</v>
      </c>
      <c r="HC70">
        <f t="shared" ref="HC70:HC76" si="101">GV70*GW70</f>
        <v>0</v>
      </c>
      <c r="HE70" t="s">
        <v>3</v>
      </c>
      <c r="HF70" t="s">
        <v>3</v>
      </c>
      <c r="IK70">
        <v>0</v>
      </c>
    </row>
    <row r="71" spans="1:245" x14ac:dyDescent="0.2">
      <c r="A71">
        <v>18</v>
      </c>
      <c r="B71">
        <v>1</v>
      </c>
      <c r="C71">
        <v>23</v>
      </c>
      <c r="E71" t="s">
        <v>106</v>
      </c>
      <c r="F71" t="s">
        <v>24</v>
      </c>
      <c r="G71" t="s">
        <v>25</v>
      </c>
      <c r="H71" t="s">
        <v>26</v>
      </c>
      <c r="I71">
        <f>I70*J71</f>
        <v>-1.3524</v>
      </c>
      <c r="J71">
        <v>-11.5</v>
      </c>
      <c r="O71">
        <f t="shared" si="66"/>
        <v>-2580.7399999999998</v>
      </c>
      <c r="P71">
        <f t="shared" si="67"/>
        <v>-2580.7399999999998</v>
      </c>
      <c r="Q71">
        <f t="shared" si="68"/>
        <v>0</v>
      </c>
      <c r="R71">
        <f t="shared" si="69"/>
        <v>0</v>
      </c>
      <c r="S71">
        <f t="shared" si="70"/>
        <v>0</v>
      </c>
      <c r="T71">
        <f t="shared" si="71"/>
        <v>0</v>
      </c>
      <c r="U71">
        <f t="shared" si="72"/>
        <v>0</v>
      </c>
      <c r="V71">
        <f t="shared" si="73"/>
        <v>0</v>
      </c>
      <c r="W71">
        <f t="shared" si="74"/>
        <v>0</v>
      </c>
      <c r="X71">
        <f t="shared" si="75"/>
        <v>0</v>
      </c>
      <c r="Y71">
        <f t="shared" si="75"/>
        <v>0</v>
      </c>
      <c r="AA71">
        <v>56440881</v>
      </c>
      <c r="AB71">
        <f t="shared" si="76"/>
        <v>1908.27</v>
      </c>
      <c r="AC71">
        <f t="shared" si="77"/>
        <v>1908.27</v>
      </c>
      <c r="AD71">
        <f t="shared" si="78"/>
        <v>0</v>
      </c>
      <c r="AE71">
        <f t="shared" si="79"/>
        <v>0</v>
      </c>
      <c r="AF71">
        <f t="shared" si="79"/>
        <v>0</v>
      </c>
      <c r="AG71">
        <f t="shared" si="80"/>
        <v>0</v>
      </c>
      <c r="AH71">
        <f t="shared" si="81"/>
        <v>0</v>
      </c>
      <c r="AI71">
        <f t="shared" si="81"/>
        <v>0</v>
      </c>
      <c r="AJ71">
        <f t="shared" si="82"/>
        <v>0</v>
      </c>
      <c r="AK71">
        <v>1908.27</v>
      </c>
      <c r="AL71">
        <v>1908.27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70</v>
      </c>
      <c r="AU71">
        <v>10</v>
      </c>
      <c r="AV71">
        <v>1</v>
      </c>
      <c r="AW71">
        <v>1</v>
      </c>
      <c r="AZ71">
        <v>1</v>
      </c>
      <c r="BA71">
        <v>1</v>
      </c>
      <c r="BB71">
        <v>1</v>
      </c>
      <c r="BC71">
        <v>1</v>
      </c>
      <c r="BD71" t="s">
        <v>3</v>
      </c>
      <c r="BE71" t="s">
        <v>3</v>
      </c>
      <c r="BF71" t="s">
        <v>3</v>
      </c>
      <c r="BG71" t="s">
        <v>3</v>
      </c>
      <c r="BH71">
        <v>3</v>
      </c>
      <c r="BI71">
        <v>4</v>
      </c>
      <c r="BJ71" t="s">
        <v>27</v>
      </c>
      <c r="BM71">
        <v>0</v>
      </c>
      <c r="BN71">
        <v>0</v>
      </c>
      <c r="BO71" t="s">
        <v>3</v>
      </c>
      <c r="BP71">
        <v>0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 t="s">
        <v>3</v>
      </c>
      <c r="BZ71">
        <v>70</v>
      </c>
      <c r="CA71">
        <v>10</v>
      </c>
      <c r="CE71">
        <v>0</v>
      </c>
      <c r="CF71">
        <v>0</v>
      </c>
      <c r="CG71">
        <v>0</v>
      </c>
      <c r="CM71">
        <v>0</v>
      </c>
      <c r="CN71" t="s">
        <v>3</v>
      </c>
      <c r="CO71">
        <v>0</v>
      </c>
      <c r="CP71">
        <f t="shared" si="83"/>
        <v>-2580.7399999999998</v>
      </c>
      <c r="CQ71">
        <f t="shared" si="84"/>
        <v>1908.27</v>
      </c>
      <c r="CR71">
        <f t="shared" si="85"/>
        <v>0</v>
      </c>
      <c r="CS71">
        <f t="shared" si="86"/>
        <v>0</v>
      </c>
      <c r="CT71">
        <f t="shared" si="87"/>
        <v>0</v>
      </c>
      <c r="CU71">
        <f t="shared" si="88"/>
        <v>0</v>
      </c>
      <c r="CV71">
        <f t="shared" si="89"/>
        <v>0</v>
      </c>
      <c r="CW71">
        <f t="shared" si="90"/>
        <v>0</v>
      </c>
      <c r="CX71">
        <f t="shared" si="90"/>
        <v>0</v>
      </c>
      <c r="CY71">
        <f t="shared" si="91"/>
        <v>0</v>
      </c>
      <c r="CZ71">
        <f t="shared" si="92"/>
        <v>0</v>
      </c>
      <c r="DC71" t="s">
        <v>3</v>
      </c>
      <c r="DD71" t="s">
        <v>3</v>
      </c>
      <c r="DE71" t="s">
        <v>3</v>
      </c>
      <c r="DF71" t="s">
        <v>3</v>
      </c>
      <c r="DG71" t="s">
        <v>3</v>
      </c>
      <c r="DH71" t="s">
        <v>3</v>
      </c>
      <c r="DI71" t="s">
        <v>3</v>
      </c>
      <c r="DJ71" t="s">
        <v>3</v>
      </c>
      <c r="DK71" t="s">
        <v>3</v>
      </c>
      <c r="DL71" t="s">
        <v>3</v>
      </c>
      <c r="DM71" t="s">
        <v>3</v>
      </c>
      <c r="DN71">
        <v>0</v>
      </c>
      <c r="DO71">
        <v>0</v>
      </c>
      <c r="DP71">
        <v>1</v>
      </c>
      <c r="DQ71">
        <v>1</v>
      </c>
      <c r="DU71">
        <v>1007</v>
      </c>
      <c r="DV71" t="s">
        <v>26</v>
      </c>
      <c r="DW71" t="s">
        <v>26</v>
      </c>
      <c r="DX71">
        <v>1</v>
      </c>
      <c r="DZ71" t="s">
        <v>3</v>
      </c>
      <c r="EA71" t="s">
        <v>3</v>
      </c>
      <c r="EB71" t="s">
        <v>3</v>
      </c>
      <c r="EC71" t="s">
        <v>3</v>
      </c>
      <c r="EE71">
        <v>54545671</v>
      </c>
      <c r="EF71">
        <v>1</v>
      </c>
      <c r="EG71" t="s">
        <v>20</v>
      </c>
      <c r="EH71">
        <v>0</v>
      </c>
      <c r="EI71" t="s">
        <v>3</v>
      </c>
      <c r="EJ71">
        <v>4</v>
      </c>
      <c r="EK71">
        <v>0</v>
      </c>
      <c r="EL71" t="s">
        <v>21</v>
      </c>
      <c r="EM71" t="s">
        <v>22</v>
      </c>
      <c r="EO71" t="s">
        <v>3</v>
      </c>
      <c r="EQ71">
        <v>32768</v>
      </c>
      <c r="ER71">
        <v>1908.27</v>
      </c>
      <c r="ES71">
        <v>1908.27</v>
      </c>
      <c r="ET71">
        <v>0</v>
      </c>
      <c r="EU71">
        <v>0</v>
      </c>
      <c r="EV71">
        <v>0</v>
      </c>
      <c r="EW71">
        <v>0</v>
      </c>
      <c r="EX71">
        <v>0</v>
      </c>
      <c r="FQ71">
        <v>0</v>
      </c>
      <c r="FR71">
        <f t="shared" si="93"/>
        <v>0</v>
      </c>
      <c r="FS71">
        <v>0</v>
      </c>
      <c r="FX71">
        <v>70</v>
      </c>
      <c r="FY71">
        <v>10</v>
      </c>
      <c r="GA71" t="s">
        <v>3</v>
      </c>
      <c r="GD71">
        <v>0</v>
      </c>
      <c r="GF71">
        <v>-1830627637</v>
      </c>
      <c r="GG71">
        <v>2</v>
      </c>
      <c r="GH71">
        <v>1</v>
      </c>
      <c r="GI71">
        <v>-2</v>
      </c>
      <c r="GJ71">
        <v>0</v>
      </c>
      <c r="GK71">
        <f>ROUND(R71*(R12)/100,2)</f>
        <v>0</v>
      </c>
      <c r="GL71">
        <f t="shared" si="94"/>
        <v>0</v>
      </c>
      <c r="GM71">
        <f t="shared" si="95"/>
        <v>-2580.7399999999998</v>
      </c>
      <c r="GN71">
        <f t="shared" si="96"/>
        <v>0</v>
      </c>
      <c r="GO71">
        <f t="shared" si="97"/>
        <v>0</v>
      </c>
      <c r="GP71">
        <f t="shared" si="98"/>
        <v>-2580.7399999999998</v>
      </c>
      <c r="GR71">
        <v>0</v>
      </c>
      <c r="GS71">
        <v>3</v>
      </c>
      <c r="GT71">
        <v>0</v>
      </c>
      <c r="GU71" t="s">
        <v>3</v>
      </c>
      <c r="GV71">
        <f t="shared" si="99"/>
        <v>0</v>
      </c>
      <c r="GW71">
        <v>1</v>
      </c>
      <c r="GX71">
        <f t="shared" si="100"/>
        <v>0</v>
      </c>
      <c r="HA71">
        <v>0</v>
      </c>
      <c r="HB71">
        <v>0</v>
      </c>
      <c r="HC71">
        <f t="shared" si="101"/>
        <v>0</v>
      </c>
      <c r="HE71" t="s">
        <v>3</v>
      </c>
      <c r="HF71" t="s">
        <v>3</v>
      </c>
      <c r="IK71">
        <v>0</v>
      </c>
    </row>
    <row r="72" spans="1:245" x14ac:dyDescent="0.2">
      <c r="A72">
        <v>18</v>
      </c>
      <c r="B72">
        <v>1</v>
      </c>
      <c r="C72">
        <v>24</v>
      </c>
      <c r="E72" t="s">
        <v>107</v>
      </c>
      <c r="F72" t="s">
        <v>29</v>
      </c>
      <c r="G72" t="s">
        <v>30</v>
      </c>
      <c r="H72" t="s">
        <v>26</v>
      </c>
      <c r="I72">
        <f>I70*J72</f>
        <v>-6.468</v>
      </c>
      <c r="J72">
        <v>-55</v>
      </c>
      <c r="O72">
        <f t="shared" si="66"/>
        <v>-11682.95</v>
      </c>
      <c r="P72">
        <f t="shared" si="67"/>
        <v>-11682.95</v>
      </c>
      <c r="Q72">
        <f t="shared" si="68"/>
        <v>0</v>
      </c>
      <c r="R72">
        <f t="shared" si="69"/>
        <v>0</v>
      </c>
      <c r="S72">
        <f t="shared" si="70"/>
        <v>0</v>
      </c>
      <c r="T72">
        <f t="shared" si="71"/>
        <v>0</v>
      </c>
      <c r="U72">
        <f t="shared" si="72"/>
        <v>0</v>
      </c>
      <c r="V72">
        <f t="shared" si="73"/>
        <v>0</v>
      </c>
      <c r="W72">
        <f t="shared" si="74"/>
        <v>0</v>
      </c>
      <c r="X72">
        <f t="shared" si="75"/>
        <v>0</v>
      </c>
      <c r="Y72">
        <f t="shared" si="75"/>
        <v>0</v>
      </c>
      <c r="AA72">
        <v>56440881</v>
      </c>
      <c r="AB72">
        <f t="shared" si="76"/>
        <v>1806.27</v>
      </c>
      <c r="AC72">
        <f t="shared" si="77"/>
        <v>1806.27</v>
      </c>
      <c r="AD72">
        <f t="shared" si="78"/>
        <v>0</v>
      </c>
      <c r="AE72">
        <f t="shared" si="79"/>
        <v>0</v>
      </c>
      <c r="AF72">
        <f t="shared" si="79"/>
        <v>0</v>
      </c>
      <c r="AG72">
        <f t="shared" si="80"/>
        <v>0</v>
      </c>
      <c r="AH72">
        <f t="shared" si="81"/>
        <v>0</v>
      </c>
      <c r="AI72">
        <f t="shared" si="81"/>
        <v>0</v>
      </c>
      <c r="AJ72">
        <f t="shared" si="82"/>
        <v>0</v>
      </c>
      <c r="AK72">
        <v>1806.27</v>
      </c>
      <c r="AL72">
        <v>1806.27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70</v>
      </c>
      <c r="AU72">
        <v>10</v>
      </c>
      <c r="AV72">
        <v>1</v>
      </c>
      <c r="AW72">
        <v>1</v>
      </c>
      <c r="AZ72">
        <v>1</v>
      </c>
      <c r="BA72">
        <v>1</v>
      </c>
      <c r="BB72">
        <v>1</v>
      </c>
      <c r="BC72">
        <v>1</v>
      </c>
      <c r="BD72" t="s">
        <v>3</v>
      </c>
      <c r="BE72" t="s">
        <v>3</v>
      </c>
      <c r="BF72" t="s">
        <v>3</v>
      </c>
      <c r="BG72" t="s">
        <v>3</v>
      </c>
      <c r="BH72">
        <v>3</v>
      </c>
      <c r="BI72">
        <v>4</v>
      </c>
      <c r="BJ72" t="s">
        <v>31</v>
      </c>
      <c r="BM72">
        <v>0</v>
      </c>
      <c r="BN72">
        <v>0</v>
      </c>
      <c r="BO72" t="s">
        <v>3</v>
      </c>
      <c r="BP72">
        <v>0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 t="s">
        <v>3</v>
      </c>
      <c r="BZ72">
        <v>70</v>
      </c>
      <c r="CA72">
        <v>10</v>
      </c>
      <c r="CE72">
        <v>0</v>
      </c>
      <c r="CF72">
        <v>0</v>
      </c>
      <c r="CG72">
        <v>0</v>
      </c>
      <c r="CM72">
        <v>0</v>
      </c>
      <c r="CN72" t="s">
        <v>3</v>
      </c>
      <c r="CO72">
        <v>0</v>
      </c>
      <c r="CP72">
        <f t="shared" si="83"/>
        <v>-11682.95</v>
      </c>
      <c r="CQ72">
        <f t="shared" si="84"/>
        <v>1806.27</v>
      </c>
      <c r="CR72">
        <f t="shared" si="85"/>
        <v>0</v>
      </c>
      <c r="CS72">
        <f t="shared" si="86"/>
        <v>0</v>
      </c>
      <c r="CT72">
        <f t="shared" si="87"/>
        <v>0</v>
      </c>
      <c r="CU72">
        <f t="shared" si="88"/>
        <v>0</v>
      </c>
      <c r="CV72">
        <f t="shared" si="89"/>
        <v>0</v>
      </c>
      <c r="CW72">
        <f t="shared" si="90"/>
        <v>0</v>
      </c>
      <c r="CX72">
        <f t="shared" si="90"/>
        <v>0</v>
      </c>
      <c r="CY72">
        <f t="shared" si="91"/>
        <v>0</v>
      </c>
      <c r="CZ72">
        <f t="shared" si="92"/>
        <v>0</v>
      </c>
      <c r="DC72" t="s">
        <v>3</v>
      </c>
      <c r="DD72" t="s">
        <v>3</v>
      </c>
      <c r="DE72" t="s">
        <v>3</v>
      </c>
      <c r="DF72" t="s">
        <v>3</v>
      </c>
      <c r="DG72" t="s">
        <v>3</v>
      </c>
      <c r="DH72" t="s">
        <v>3</v>
      </c>
      <c r="DI72" t="s">
        <v>3</v>
      </c>
      <c r="DJ72" t="s">
        <v>3</v>
      </c>
      <c r="DK72" t="s">
        <v>3</v>
      </c>
      <c r="DL72" t="s">
        <v>3</v>
      </c>
      <c r="DM72" t="s">
        <v>3</v>
      </c>
      <c r="DN72">
        <v>0</v>
      </c>
      <c r="DO72">
        <v>0</v>
      </c>
      <c r="DP72">
        <v>1</v>
      </c>
      <c r="DQ72">
        <v>1</v>
      </c>
      <c r="DU72">
        <v>1007</v>
      </c>
      <c r="DV72" t="s">
        <v>26</v>
      </c>
      <c r="DW72" t="s">
        <v>26</v>
      </c>
      <c r="DX72">
        <v>1</v>
      </c>
      <c r="DZ72" t="s">
        <v>3</v>
      </c>
      <c r="EA72" t="s">
        <v>3</v>
      </c>
      <c r="EB72" t="s">
        <v>3</v>
      </c>
      <c r="EC72" t="s">
        <v>3</v>
      </c>
      <c r="EE72">
        <v>54545671</v>
      </c>
      <c r="EF72">
        <v>1</v>
      </c>
      <c r="EG72" t="s">
        <v>20</v>
      </c>
      <c r="EH72">
        <v>0</v>
      </c>
      <c r="EI72" t="s">
        <v>3</v>
      </c>
      <c r="EJ72">
        <v>4</v>
      </c>
      <c r="EK72">
        <v>0</v>
      </c>
      <c r="EL72" t="s">
        <v>21</v>
      </c>
      <c r="EM72" t="s">
        <v>22</v>
      </c>
      <c r="EO72" t="s">
        <v>3</v>
      </c>
      <c r="EQ72">
        <v>32768</v>
      </c>
      <c r="ER72">
        <v>1806.27</v>
      </c>
      <c r="ES72">
        <v>1806.27</v>
      </c>
      <c r="ET72">
        <v>0</v>
      </c>
      <c r="EU72">
        <v>0</v>
      </c>
      <c r="EV72">
        <v>0</v>
      </c>
      <c r="EW72">
        <v>0</v>
      </c>
      <c r="EX72">
        <v>0</v>
      </c>
      <c r="FQ72">
        <v>0</v>
      </c>
      <c r="FR72">
        <f t="shared" si="93"/>
        <v>0</v>
      </c>
      <c r="FS72">
        <v>0</v>
      </c>
      <c r="FX72">
        <v>70</v>
      </c>
      <c r="FY72">
        <v>10</v>
      </c>
      <c r="GA72" t="s">
        <v>3</v>
      </c>
      <c r="GD72">
        <v>0</v>
      </c>
      <c r="GF72">
        <v>407286016</v>
      </c>
      <c r="GG72">
        <v>2</v>
      </c>
      <c r="GH72">
        <v>1</v>
      </c>
      <c r="GI72">
        <v>-2</v>
      </c>
      <c r="GJ72">
        <v>0</v>
      </c>
      <c r="GK72">
        <f>ROUND(R72*(R12)/100,2)</f>
        <v>0</v>
      </c>
      <c r="GL72">
        <f t="shared" si="94"/>
        <v>0</v>
      </c>
      <c r="GM72">
        <f t="shared" si="95"/>
        <v>-11682.95</v>
      </c>
      <c r="GN72">
        <f t="shared" si="96"/>
        <v>0</v>
      </c>
      <c r="GO72">
        <f t="shared" si="97"/>
        <v>0</v>
      </c>
      <c r="GP72">
        <f t="shared" si="98"/>
        <v>-11682.95</v>
      </c>
      <c r="GR72">
        <v>0</v>
      </c>
      <c r="GS72">
        <v>3</v>
      </c>
      <c r="GT72">
        <v>0</v>
      </c>
      <c r="GU72" t="s">
        <v>3</v>
      </c>
      <c r="GV72">
        <f t="shared" si="99"/>
        <v>0</v>
      </c>
      <c r="GW72">
        <v>1</v>
      </c>
      <c r="GX72">
        <f t="shared" si="100"/>
        <v>0</v>
      </c>
      <c r="HA72">
        <v>0</v>
      </c>
      <c r="HB72">
        <v>0</v>
      </c>
      <c r="HC72">
        <f t="shared" si="101"/>
        <v>0</v>
      </c>
      <c r="HE72" t="s">
        <v>3</v>
      </c>
      <c r="HF72" t="s">
        <v>3</v>
      </c>
      <c r="IK72">
        <v>0</v>
      </c>
    </row>
    <row r="73" spans="1:245" x14ac:dyDescent="0.2">
      <c r="A73">
        <v>18</v>
      </c>
      <c r="B73">
        <v>1</v>
      </c>
      <c r="C73">
        <v>22</v>
      </c>
      <c r="E73" t="s">
        <v>108</v>
      </c>
      <c r="F73" t="s">
        <v>33</v>
      </c>
      <c r="G73" t="s">
        <v>34</v>
      </c>
      <c r="H73" t="s">
        <v>26</v>
      </c>
      <c r="I73">
        <f>I70*J73</f>
        <v>7.8203999999999994</v>
      </c>
      <c r="J73">
        <v>66.5</v>
      </c>
      <c r="O73">
        <f t="shared" si="66"/>
        <v>11633</v>
      </c>
      <c r="P73">
        <f t="shared" si="67"/>
        <v>11633</v>
      </c>
      <c r="Q73">
        <f t="shared" si="68"/>
        <v>0</v>
      </c>
      <c r="R73">
        <f t="shared" si="69"/>
        <v>0</v>
      </c>
      <c r="S73">
        <f t="shared" si="70"/>
        <v>0</v>
      </c>
      <c r="T73">
        <f t="shared" si="71"/>
        <v>0</v>
      </c>
      <c r="U73">
        <f t="shared" si="72"/>
        <v>0</v>
      </c>
      <c r="V73">
        <f t="shared" si="73"/>
        <v>0</v>
      </c>
      <c r="W73">
        <f t="shared" si="74"/>
        <v>0</v>
      </c>
      <c r="X73">
        <f t="shared" si="75"/>
        <v>0</v>
      </c>
      <c r="Y73">
        <f t="shared" si="75"/>
        <v>0</v>
      </c>
      <c r="AA73">
        <v>56440881</v>
      </c>
      <c r="AB73">
        <f t="shared" si="76"/>
        <v>1487.52</v>
      </c>
      <c r="AC73">
        <f t="shared" si="77"/>
        <v>1487.52</v>
      </c>
      <c r="AD73">
        <f t="shared" si="78"/>
        <v>0</v>
      </c>
      <c r="AE73">
        <f t="shared" si="79"/>
        <v>0</v>
      </c>
      <c r="AF73">
        <f t="shared" si="79"/>
        <v>0</v>
      </c>
      <c r="AG73">
        <f t="shared" si="80"/>
        <v>0</v>
      </c>
      <c r="AH73">
        <f t="shared" si="81"/>
        <v>0</v>
      </c>
      <c r="AI73">
        <f t="shared" si="81"/>
        <v>0</v>
      </c>
      <c r="AJ73">
        <f t="shared" si="82"/>
        <v>0</v>
      </c>
      <c r="AK73">
        <v>1487.52</v>
      </c>
      <c r="AL73">
        <v>1487.52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70</v>
      </c>
      <c r="AU73">
        <v>10</v>
      </c>
      <c r="AV73">
        <v>1</v>
      </c>
      <c r="AW73">
        <v>1</v>
      </c>
      <c r="AZ73">
        <v>1</v>
      </c>
      <c r="BA73">
        <v>1</v>
      </c>
      <c r="BB73">
        <v>1</v>
      </c>
      <c r="BC73">
        <v>1</v>
      </c>
      <c r="BD73" t="s">
        <v>3</v>
      </c>
      <c r="BE73" t="s">
        <v>3</v>
      </c>
      <c r="BF73" t="s">
        <v>3</v>
      </c>
      <c r="BG73" t="s">
        <v>3</v>
      </c>
      <c r="BH73">
        <v>3</v>
      </c>
      <c r="BI73">
        <v>4</v>
      </c>
      <c r="BJ73" t="s">
        <v>35</v>
      </c>
      <c r="BM73">
        <v>0</v>
      </c>
      <c r="BN73">
        <v>0</v>
      </c>
      <c r="BO73" t="s">
        <v>3</v>
      </c>
      <c r="BP73">
        <v>0</v>
      </c>
      <c r="BQ73">
        <v>1</v>
      </c>
      <c r="BR73">
        <v>0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 t="s">
        <v>3</v>
      </c>
      <c r="BZ73">
        <v>70</v>
      </c>
      <c r="CA73">
        <v>10</v>
      </c>
      <c r="CE73">
        <v>0</v>
      </c>
      <c r="CF73">
        <v>0</v>
      </c>
      <c r="CG73">
        <v>0</v>
      </c>
      <c r="CM73">
        <v>0</v>
      </c>
      <c r="CN73" t="s">
        <v>3</v>
      </c>
      <c r="CO73">
        <v>0</v>
      </c>
      <c r="CP73">
        <f t="shared" si="83"/>
        <v>11633</v>
      </c>
      <c r="CQ73">
        <f t="shared" si="84"/>
        <v>1487.52</v>
      </c>
      <c r="CR73">
        <f t="shared" si="85"/>
        <v>0</v>
      </c>
      <c r="CS73">
        <f t="shared" si="86"/>
        <v>0</v>
      </c>
      <c r="CT73">
        <f t="shared" si="87"/>
        <v>0</v>
      </c>
      <c r="CU73">
        <f t="shared" si="88"/>
        <v>0</v>
      </c>
      <c r="CV73">
        <f t="shared" si="89"/>
        <v>0</v>
      </c>
      <c r="CW73">
        <f t="shared" si="90"/>
        <v>0</v>
      </c>
      <c r="CX73">
        <f t="shared" si="90"/>
        <v>0</v>
      </c>
      <c r="CY73">
        <f t="shared" si="91"/>
        <v>0</v>
      </c>
      <c r="CZ73">
        <f t="shared" si="92"/>
        <v>0</v>
      </c>
      <c r="DC73" t="s">
        <v>3</v>
      </c>
      <c r="DD73" t="s">
        <v>3</v>
      </c>
      <c r="DE73" t="s">
        <v>3</v>
      </c>
      <c r="DF73" t="s">
        <v>3</v>
      </c>
      <c r="DG73" t="s">
        <v>3</v>
      </c>
      <c r="DH73" t="s">
        <v>3</v>
      </c>
      <c r="DI73" t="s">
        <v>3</v>
      </c>
      <c r="DJ73" t="s">
        <v>3</v>
      </c>
      <c r="DK73" t="s">
        <v>3</v>
      </c>
      <c r="DL73" t="s">
        <v>3</v>
      </c>
      <c r="DM73" t="s">
        <v>3</v>
      </c>
      <c r="DN73">
        <v>0</v>
      </c>
      <c r="DO73">
        <v>0</v>
      </c>
      <c r="DP73">
        <v>1</v>
      </c>
      <c r="DQ73">
        <v>1</v>
      </c>
      <c r="DU73">
        <v>1007</v>
      </c>
      <c r="DV73" t="s">
        <v>26</v>
      </c>
      <c r="DW73" t="s">
        <v>26</v>
      </c>
      <c r="DX73">
        <v>1</v>
      </c>
      <c r="DZ73" t="s">
        <v>3</v>
      </c>
      <c r="EA73" t="s">
        <v>3</v>
      </c>
      <c r="EB73" t="s">
        <v>3</v>
      </c>
      <c r="EC73" t="s">
        <v>3</v>
      </c>
      <c r="EE73">
        <v>54545671</v>
      </c>
      <c r="EF73">
        <v>1</v>
      </c>
      <c r="EG73" t="s">
        <v>20</v>
      </c>
      <c r="EH73">
        <v>0</v>
      </c>
      <c r="EI73" t="s">
        <v>3</v>
      </c>
      <c r="EJ73">
        <v>4</v>
      </c>
      <c r="EK73">
        <v>0</v>
      </c>
      <c r="EL73" t="s">
        <v>21</v>
      </c>
      <c r="EM73" t="s">
        <v>22</v>
      </c>
      <c r="EO73" t="s">
        <v>3</v>
      </c>
      <c r="EQ73">
        <v>0</v>
      </c>
      <c r="ER73">
        <v>1487.52</v>
      </c>
      <c r="ES73">
        <v>1487.52</v>
      </c>
      <c r="ET73">
        <v>0</v>
      </c>
      <c r="EU73">
        <v>0</v>
      </c>
      <c r="EV73">
        <v>0</v>
      </c>
      <c r="EW73">
        <v>0</v>
      </c>
      <c r="EX73">
        <v>0</v>
      </c>
      <c r="FQ73">
        <v>0</v>
      </c>
      <c r="FR73">
        <f t="shared" si="93"/>
        <v>0</v>
      </c>
      <c r="FS73">
        <v>0</v>
      </c>
      <c r="FX73">
        <v>70</v>
      </c>
      <c r="FY73">
        <v>10</v>
      </c>
      <c r="GA73" t="s">
        <v>3</v>
      </c>
      <c r="GD73">
        <v>0</v>
      </c>
      <c r="GF73">
        <v>2025333854</v>
      </c>
      <c r="GG73">
        <v>2</v>
      </c>
      <c r="GH73">
        <v>1</v>
      </c>
      <c r="GI73">
        <v>-2</v>
      </c>
      <c r="GJ73">
        <v>0</v>
      </c>
      <c r="GK73">
        <f>ROUND(R73*(R12)/100,2)</f>
        <v>0</v>
      </c>
      <c r="GL73">
        <f t="shared" si="94"/>
        <v>0</v>
      </c>
      <c r="GM73">
        <f t="shared" si="95"/>
        <v>11633</v>
      </c>
      <c r="GN73">
        <f t="shared" si="96"/>
        <v>0</v>
      </c>
      <c r="GO73">
        <f t="shared" si="97"/>
        <v>0</v>
      </c>
      <c r="GP73">
        <f t="shared" si="98"/>
        <v>11633</v>
      </c>
      <c r="GR73">
        <v>0</v>
      </c>
      <c r="GS73">
        <v>3</v>
      </c>
      <c r="GT73">
        <v>0</v>
      </c>
      <c r="GU73" t="s">
        <v>3</v>
      </c>
      <c r="GV73">
        <f t="shared" si="99"/>
        <v>0</v>
      </c>
      <c r="GW73">
        <v>1</v>
      </c>
      <c r="GX73">
        <f t="shared" si="100"/>
        <v>0</v>
      </c>
      <c r="HA73">
        <v>0</v>
      </c>
      <c r="HB73">
        <v>0</v>
      </c>
      <c r="HC73">
        <f t="shared" si="101"/>
        <v>0</v>
      </c>
      <c r="HE73" t="s">
        <v>3</v>
      </c>
      <c r="HF73" t="s">
        <v>3</v>
      </c>
      <c r="IK73">
        <v>0</v>
      </c>
    </row>
    <row r="74" spans="1:245" x14ac:dyDescent="0.2">
      <c r="A74">
        <v>17</v>
      </c>
      <c r="B74">
        <v>1</v>
      </c>
      <c r="C74">
        <f>ROW(SmtRes!A30)</f>
        <v>30</v>
      </c>
      <c r="D74">
        <f>ROW(EtalonRes!A26)</f>
        <v>26</v>
      </c>
      <c r="E74" t="s">
        <v>109</v>
      </c>
      <c r="F74" t="s">
        <v>37</v>
      </c>
      <c r="G74" t="s">
        <v>38</v>
      </c>
      <c r="H74" t="s">
        <v>39</v>
      </c>
      <c r="I74">
        <f>ROUND(392/100,9)</f>
        <v>3.92</v>
      </c>
      <c r="J74">
        <v>0</v>
      </c>
      <c r="O74">
        <f t="shared" si="66"/>
        <v>120050.79</v>
      </c>
      <c r="P74">
        <f t="shared" si="67"/>
        <v>102433.09</v>
      </c>
      <c r="Q74">
        <f t="shared" si="68"/>
        <v>6034.1</v>
      </c>
      <c r="R74">
        <f t="shared" si="69"/>
        <v>3656.14</v>
      </c>
      <c r="S74">
        <f t="shared" si="70"/>
        <v>11583.6</v>
      </c>
      <c r="T74">
        <f t="shared" si="71"/>
        <v>0</v>
      </c>
      <c r="U74">
        <f t="shared" si="72"/>
        <v>53.194400000000002</v>
      </c>
      <c r="V74">
        <f t="shared" si="73"/>
        <v>0</v>
      </c>
      <c r="W74">
        <f t="shared" si="74"/>
        <v>0</v>
      </c>
      <c r="X74">
        <f t="shared" si="75"/>
        <v>8108.52</v>
      </c>
      <c r="Y74">
        <f t="shared" si="75"/>
        <v>1158.3599999999999</v>
      </c>
      <c r="AA74">
        <v>56440881</v>
      </c>
      <c r="AB74">
        <f t="shared" si="76"/>
        <v>30625.200000000001</v>
      </c>
      <c r="AC74">
        <f t="shared" si="77"/>
        <v>26130.89</v>
      </c>
      <c r="AD74">
        <f t="shared" si="78"/>
        <v>1539.31</v>
      </c>
      <c r="AE74">
        <f t="shared" si="79"/>
        <v>932.69</v>
      </c>
      <c r="AF74">
        <f t="shared" si="79"/>
        <v>2955</v>
      </c>
      <c r="AG74">
        <f t="shared" si="80"/>
        <v>0</v>
      </c>
      <c r="AH74">
        <f t="shared" si="81"/>
        <v>13.57</v>
      </c>
      <c r="AI74">
        <f t="shared" si="81"/>
        <v>0</v>
      </c>
      <c r="AJ74">
        <f t="shared" si="82"/>
        <v>0</v>
      </c>
      <c r="AK74">
        <v>30625.200000000001</v>
      </c>
      <c r="AL74">
        <v>26130.89</v>
      </c>
      <c r="AM74">
        <v>1539.31</v>
      </c>
      <c r="AN74">
        <v>932.69</v>
      </c>
      <c r="AO74">
        <v>2955</v>
      </c>
      <c r="AP74">
        <v>0</v>
      </c>
      <c r="AQ74">
        <v>13.57</v>
      </c>
      <c r="AR74">
        <v>0</v>
      </c>
      <c r="AS74">
        <v>0</v>
      </c>
      <c r="AT74">
        <v>70</v>
      </c>
      <c r="AU74">
        <v>10</v>
      </c>
      <c r="AV74">
        <v>1</v>
      </c>
      <c r="AW74">
        <v>1</v>
      </c>
      <c r="AZ74">
        <v>1</v>
      </c>
      <c r="BA74">
        <v>1</v>
      </c>
      <c r="BB74">
        <v>1</v>
      </c>
      <c r="BC74">
        <v>1</v>
      </c>
      <c r="BD74" t="s">
        <v>3</v>
      </c>
      <c r="BE74" t="s">
        <v>3</v>
      </c>
      <c r="BF74" t="s">
        <v>3</v>
      </c>
      <c r="BG74" t="s">
        <v>3</v>
      </c>
      <c r="BH74">
        <v>0</v>
      </c>
      <c r="BI74">
        <v>4</v>
      </c>
      <c r="BJ74" t="s">
        <v>40</v>
      </c>
      <c r="BM74">
        <v>0</v>
      </c>
      <c r="BN74">
        <v>0</v>
      </c>
      <c r="BO74" t="s">
        <v>3</v>
      </c>
      <c r="BP74">
        <v>0</v>
      </c>
      <c r="BQ74">
        <v>1</v>
      </c>
      <c r="BR74">
        <v>0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 t="s">
        <v>3</v>
      </c>
      <c r="BZ74">
        <v>70</v>
      </c>
      <c r="CA74">
        <v>10</v>
      </c>
      <c r="CE74">
        <v>0</v>
      </c>
      <c r="CF74">
        <v>0</v>
      </c>
      <c r="CG74">
        <v>0</v>
      </c>
      <c r="CM74">
        <v>0</v>
      </c>
      <c r="CN74" t="s">
        <v>3</v>
      </c>
      <c r="CO74">
        <v>0</v>
      </c>
      <c r="CP74">
        <f t="shared" si="83"/>
        <v>120050.79000000001</v>
      </c>
      <c r="CQ74">
        <f t="shared" si="84"/>
        <v>26130.89</v>
      </c>
      <c r="CR74">
        <f t="shared" si="85"/>
        <v>1539.31</v>
      </c>
      <c r="CS74">
        <f t="shared" si="86"/>
        <v>932.69</v>
      </c>
      <c r="CT74">
        <f t="shared" si="87"/>
        <v>2955</v>
      </c>
      <c r="CU74">
        <f t="shared" si="88"/>
        <v>0</v>
      </c>
      <c r="CV74">
        <f t="shared" si="89"/>
        <v>13.57</v>
      </c>
      <c r="CW74">
        <f t="shared" si="90"/>
        <v>0</v>
      </c>
      <c r="CX74">
        <f t="shared" si="90"/>
        <v>0</v>
      </c>
      <c r="CY74">
        <f t="shared" si="91"/>
        <v>8108.52</v>
      </c>
      <c r="CZ74">
        <f t="shared" si="92"/>
        <v>1158.3599999999999</v>
      </c>
      <c r="DC74" t="s">
        <v>3</v>
      </c>
      <c r="DD74" t="s">
        <v>3</v>
      </c>
      <c r="DE74" t="s">
        <v>3</v>
      </c>
      <c r="DF74" t="s">
        <v>3</v>
      </c>
      <c r="DG74" t="s">
        <v>3</v>
      </c>
      <c r="DH74" t="s">
        <v>3</v>
      </c>
      <c r="DI74" t="s">
        <v>3</v>
      </c>
      <c r="DJ74" t="s">
        <v>3</v>
      </c>
      <c r="DK74" t="s">
        <v>3</v>
      </c>
      <c r="DL74" t="s">
        <v>3</v>
      </c>
      <c r="DM74" t="s">
        <v>3</v>
      </c>
      <c r="DN74">
        <v>0</v>
      </c>
      <c r="DO74">
        <v>0</v>
      </c>
      <c r="DP74">
        <v>1</v>
      </c>
      <c r="DQ74">
        <v>1</v>
      </c>
      <c r="DU74">
        <v>1005</v>
      </c>
      <c r="DV74" t="s">
        <v>39</v>
      </c>
      <c r="DW74" t="s">
        <v>39</v>
      </c>
      <c r="DX74">
        <v>100</v>
      </c>
      <c r="DZ74" t="s">
        <v>3</v>
      </c>
      <c r="EA74" t="s">
        <v>3</v>
      </c>
      <c r="EB74" t="s">
        <v>3</v>
      </c>
      <c r="EC74" t="s">
        <v>3</v>
      </c>
      <c r="EE74">
        <v>54545671</v>
      </c>
      <c r="EF74">
        <v>1</v>
      </c>
      <c r="EG74" t="s">
        <v>20</v>
      </c>
      <c r="EH74">
        <v>0</v>
      </c>
      <c r="EI74" t="s">
        <v>3</v>
      </c>
      <c r="EJ74">
        <v>4</v>
      </c>
      <c r="EK74">
        <v>0</v>
      </c>
      <c r="EL74" t="s">
        <v>21</v>
      </c>
      <c r="EM74" t="s">
        <v>22</v>
      </c>
      <c r="EO74" t="s">
        <v>3</v>
      </c>
      <c r="EQ74">
        <v>0</v>
      </c>
      <c r="ER74">
        <v>30625.200000000001</v>
      </c>
      <c r="ES74">
        <v>26130.89</v>
      </c>
      <c r="ET74">
        <v>1539.31</v>
      </c>
      <c r="EU74">
        <v>932.69</v>
      </c>
      <c r="EV74">
        <v>2955</v>
      </c>
      <c r="EW74">
        <v>13.57</v>
      </c>
      <c r="EX74">
        <v>0</v>
      </c>
      <c r="EY74">
        <v>0</v>
      </c>
      <c r="FQ74">
        <v>0</v>
      </c>
      <c r="FR74">
        <f t="shared" si="93"/>
        <v>0</v>
      </c>
      <c r="FS74">
        <v>0</v>
      </c>
      <c r="FX74">
        <v>70</v>
      </c>
      <c r="FY74">
        <v>10</v>
      </c>
      <c r="GA74" t="s">
        <v>3</v>
      </c>
      <c r="GD74">
        <v>0</v>
      </c>
      <c r="GF74">
        <v>1752731852</v>
      </c>
      <c r="GG74">
        <v>2</v>
      </c>
      <c r="GH74">
        <v>1</v>
      </c>
      <c r="GI74">
        <v>-2</v>
      </c>
      <c r="GJ74">
        <v>0</v>
      </c>
      <c r="GK74">
        <f>ROUND(R74*(R12)/100,2)</f>
        <v>3948.63</v>
      </c>
      <c r="GL74">
        <f t="shared" si="94"/>
        <v>0</v>
      </c>
      <c r="GM74">
        <f t="shared" si="95"/>
        <v>133266.29999999999</v>
      </c>
      <c r="GN74">
        <f t="shared" si="96"/>
        <v>0</v>
      </c>
      <c r="GO74">
        <f t="shared" si="97"/>
        <v>0</v>
      </c>
      <c r="GP74">
        <f t="shared" si="98"/>
        <v>133266.29999999999</v>
      </c>
      <c r="GR74">
        <v>0</v>
      </c>
      <c r="GS74">
        <v>3</v>
      </c>
      <c r="GT74">
        <v>0</v>
      </c>
      <c r="GU74" t="s">
        <v>3</v>
      </c>
      <c r="GV74">
        <f t="shared" si="99"/>
        <v>0</v>
      </c>
      <c r="GW74">
        <v>1</v>
      </c>
      <c r="GX74">
        <f t="shared" si="100"/>
        <v>0</v>
      </c>
      <c r="HA74">
        <v>0</v>
      </c>
      <c r="HB74">
        <v>0</v>
      </c>
      <c r="HC74">
        <f t="shared" si="101"/>
        <v>0</v>
      </c>
      <c r="HE74" t="s">
        <v>3</v>
      </c>
      <c r="HF74" t="s">
        <v>3</v>
      </c>
      <c r="IK74">
        <v>0</v>
      </c>
    </row>
    <row r="75" spans="1:245" x14ac:dyDescent="0.2">
      <c r="A75">
        <v>18</v>
      </c>
      <c r="B75">
        <v>1</v>
      </c>
      <c r="C75">
        <v>29</v>
      </c>
      <c r="E75" t="s">
        <v>110</v>
      </c>
      <c r="F75" t="s">
        <v>42</v>
      </c>
      <c r="G75" t="s">
        <v>43</v>
      </c>
      <c r="H75" t="s">
        <v>44</v>
      </c>
      <c r="I75">
        <f>I74*J75</f>
        <v>-37.553600000000003</v>
      </c>
      <c r="J75">
        <v>-9.58</v>
      </c>
      <c r="O75">
        <f t="shared" si="66"/>
        <v>-102433.08</v>
      </c>
      <c r="P75">
        <f t="shared" si="67"/>
        <v>-102433.08</v>
      </c>
      <c r="Q75">
        <f t="shared" si="68"/>
        <v>0</v>
      </c>
      <c r="R75">
        <f t="shared" si="69"/>
        <v>0</v>
      </c>
      <c r="S75">
        <f t="shared" si="70"/>
        <v>0</v>
      </c>
      <c r="T75">
        <f t="shared" si="71"/>
        <v>0</v>
      </c>
      <c r="U75">
        <f t="shared" si="72"/>
        <v>0</v>
      </c>
      <c r="V75">
        <f t="shared" si="73"/>
        <v>0</v>
      </c>
      <c r="W75">
        <f t="shared" si="74"/>
        <v>0</v>
      </c>
      <c r="X75">
        <f t="shared" si="75"/>
        <v>0</v>
      </c>
      <c r="Y75">
        <f t="shared" si="75"/>
        <v>0</v>
      </c>
      <c r="AA75">
        <v>56440881</v>
      </c>
      <c r="AB75">
        <f t="shared" si="76"/>
        <v>2727.65</v>
      </c>
      <c r="AC75">
        <f t="shared" si="77"/>
        <v>2727.65</v>
      </c>
      <c r="AD75">
        <f t="shared" si="78"/>
        <v>0</v>
      </c>
      <c r="AE75">
        <f t="shared" si="79"/>
        <v>0</v>
      </c>
      <c r="AF75">
        <f t="shared" si="79"/>
        <v>0</v>
      </c>
      <c r="AG75">
        <f t="shared" si="80"/>
        <v>0</v>
      </c>
      <c r="AH75">
        <f t="shared" si="81"/>
        <v>0</v>
      </c>
      <c r="AI75">
        <f t="shared" si="81"/>
        <v>0</v>
      </c>
      <c r="AJ75">
        <f t="shared" si="82"/>
        <v>0</v>
      </c>
      <c r="AK75">
        <v>2727.65</v>
      </c>
      <c r="AL75">
        <v>2727.65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70</v>
      </c>
      <c r="AU75">
        <v>10</v>
      </c>
      <c r="AV75">
        <v>1</v>
      </c>
      <c r="AW75">
        <v>1</v>
      </c>
      <c r="AZ75">
        <v>1</v>
      </c>
      <c r="BA75">
        <v>1</v>
      </c>
      <c r="BB75">
        <v>1</v>
      </c>
      <c r="BC75">
        <v>1</v>
      </c>
      <c r="BD75" t="s">
        <v>3</v>
      </c>
      <c r="BE75" t="s">
        <v>3</v>
      </c>
      <c r="BF75" t="s">
        <v>3</v>
      </c>
      <c r="BG75" t="s">
        <v>3</v>
      </c>
      <c r="BH75">
        <v>3</v>
      </c>
      <c r="BI75">
        <v>4</v>
      </c>
      <c r="BJ75" t="s">
        <v>45</v>
      </c>
      <c r="BM75">
        <v>0</v>
      </c>
      <c r="BN75">
        <v>0</v>
      </c>
      <c r="BO75" t="s">
        <v>3</v>
      </c>
      <c r="BP75">
        <v>0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 t="s">
        <v>3</v>
      </c>
      <c r="BZ75">
        <v>70</v>
      </c>
      <c r="CA75">
        <v>10</v>
      </c>
      <c r="CE75">
        <v>0</v>
      </c>
      <c r="CF75">
        <v>0</v>
      </c>
      <c r="CG75">
        <v>0</v>
      </c>
      <c r="CM75">
        <v>0</v>
      </c>
      <c r="CN75" t="s">
        <v>3</v>
      </c>
      <c r="CO75">
        <v>0</v>
      </c>
      <c r="CP75">
        <f t="shared" si="83"/>
        <v>-102433.08</v>
      </c>
      <c r="CQ75">
        <f t="shared" si="84"/>
        <v>2727.65</v>
      </c>
      <c r="CR75">
        <f t="shared" si="85"/>
        <v>0</v>
      </c>
      <c r="CS75">
        <f t="shared" si="86"/>
        <v>0</v>
      </c>
      <c r="CT75">
        <f t="shared" si="87"/>
        <v>0</v>
      </c>
      <c r="CU75">
        <f t="shared" si="88"/>
        <v>0</v>
      </c>
      <c r="CV75">
        <f t="shared" si="89"/>
        <v>0</v>
      </c>
      <c r="CW75">
        <f t="shared" si="90"/>
        <v>0</v>
      </c>
      <c r="CX75">
        <f t="shared" si="90"/>
        <v>0</v>
      </c>
      <c r="CY75">
        <f t="shared" si="91"/>
        <v>0</v>
      </c>
      <c r="CZ75">
        <f t="shared" si="92"/>
        <v>0</v>
      </c>
      <c r="DC75" t="s">
        <v>3</v>
      </c>
      <c r="DD75" t="s">
        <v>3</v>
      </c>
      <c r="DE75" t="s">
        <v>3</v>
      </c>
      <c r="DF75" t="s">
        <v>3</v>
      </c>
      <c r="DG75" t="s">
        <v>3</v>
      </c>
      <c r="DH75" t="s">
        <v>3</v>
      </c>
      <c r="DI75" t="s">
        <v>3</v>
      </c>
      <c r="DJ75" t="s">
        <v>3</v>
      </c>
      <c r="DK75" t="s">
        <v>3</v>
      </c>
      <c r="DL75" t="s">
        <v>3</v>
      </c>
      <c r="DM75" t="s">
        <v>3</v>
      </c>
      <c r="DN75">
        <v>0</v>
      </c>
      <c r="DO75">
        <v>0</v>
      </c>
      <c r="DP75">
        <v>1</v>
      </c>
      <c r="DQ75">
        <v>1</v>
      </c>
      <c r="DU75">
        <v>1009</v>
      </c>
      <c r="DV75" t="s">
        <v>44</v>
      </c>
      <c r="DW75" t="s">
        <v>44</v>
      </c>
      <c r="DX75">
        <v>1000</v>
      </c>
      <c r="DZ75" t="s">
        <v>3</v>
      </c>
      <c r="EA75" t="s">
        <v>3</v>
      </c>
      <c r="EB75" t="s">
        <v>3</v>
      </c>
      <c r="EC75" t="s">
        <v>3</v>
      </c>
      <c r="EE75">
        <v>54545671</v>
      </c>
      <c r="EF75">
        <v>1</v>
      </c>
      <c r="EG75" t="s">
        <v>20</v>
      </c>
      <c r="EH75">
        <v>0</v>
      </c>
      <c r="EI75" t="s">
        <v>3</v>
      </c>
      <c r="EJ75">
        <v>4</v>
      </c>
      <c r="EK75">
        <v>0</v>
      </c>
      <c r="EL75" t="s">
        <v>21</v>
      </c>
      <c r="EM75" t="s">
        <v>22</v>
      </c>
      <c r="EO75" t="s">
        <v>3</v>
      </c>
      <c r="EQ75">
        <v>32768</v>
      </c>
      <c r="ER75">
        <v>2727.65</v>
      </c>
      <c r="ES75">
        <v>2727.65</v>
      </c>
      <c r="ET75">
        <v>0</v>
      </c>
      <c r="EU75">
        <v>0</v>
      </c>
      <c r="EV75">
        <v>0</v>
      </c>
      <c r="EW75">
        <v>0</v>
      </c>
      <c r="EX75">
        <v>0</v>
      </c>
      <c r="FQ75">
        <v>0</v>
      </c>
      <c r="FR75">
        <f t="shared" si="93"/>
        <v>0</v>
      </c>
      <c r="FS75">
        <v>0</v>
      </c>
      <c r="FX75">
        <v>70</v>
      </c>
      <c r="FY75">
        <v>10</v>
      </c>
      <c r="GA75" t="s">
        <v>3</v>
      </c>
      <c r="GD75">
        <v>0</v>
      </c>
      <c r="GF75">
        <v>-652642392</v>
      </c>
      <c r="GG75">
        <v>2</v>
      </c>
      <c r="GH75">
        <v>1</v>
      </c>
      <c r="GI75">
        <v>-2</v>
      </c>
      <c r="GJ75">
        <v>0</v>
      </c>
      <c r="GK75">
        <f>ROUND(R75*(R12)/100,2)</f>
        <v>0</v>
      </c>
      <c r="GL75">
        <f t="shared" si="94"/>
        <v>0</v>
      </c>
      <c r="GM75">
        <f t="shared" si="95"/>
        <v>-102433.08</v>
      </c>
      <c r="GN75">
        <f t="shared" si="96"/>
        <v>0</v>
      </c>
      <c r="GO75">
        <f t="shared" si="97"/>
        <v>0</v>
      </c>
      <c r="GP75">
        <f t="shared" si="98"/>
        <v>-102433.08</v>
      </c>
      <c r="GR75">
        <v>0</v>
      </c>
      <c r="GS75">
        <v>3</v>
      </c>
      <c r="GT75">
        <v>0</v>
      </c>
      <c r="GU75" t="s">
        <v>3</v>
      </c>
      <c r="GV75">
        <f t="shared" si="99"/>
        <v>0</v>
      </c>
      <c r="GW75">
        <v>1</v>
      </c>
      <c r="GX75">
        <f t="shared" si="100"/>
        <v>0</v>
      </c>
      <c r="HA75">
        <v>0</v>
      </c>
      <c r="HB75">
        <v>0</v>
      </c>
      <c r="HC75">
        <f t="shared" si="101"/>
        <v>0</v>
      </c>
      <c r="HE75" t="s">
        <v>3</v>
      </c>
      <c r="HF75" t="s">
        <v>3</v>
      </c>
      <c r="IK75">
        <v>0</v>
      </c>
    </row>
    <row r="76" spans="1:245" x14ac:dyDescent="0.2">
      <c r="A76">
        <v>18</v>
      </c>
      <c r="B76">
        <v>1</v>
      </c>
      <c r="C76">
        <v>30</v>
      </c>
      <c r="E76" t="s">
        <v>111</v>
      </c>
      <c r="F76" t="s">
        <v>47</v>
      </c>
      <c r="G76" t="s">
        <v>48</v>
      </c>
      <c r="H76" t="s">
        <v>44</v>
      </c>
      <c r="I76">
        <f>I74*J76</f>
        <v>45.746400000000001</v>
      </c>
      <c r="J76">
        <v>11.67</v>
      </c>
      <c r="O76">
        <f t="shared" si="66"/>
        <v>120230.69</v>
      </c>
      <c r="P76">
        <f t="shared" si="67"/>
        <v>120230.69</v>
      </c>
      <c r="Q76">
        <f t="shared" si="68"/>
        <v>0</v>
      </c>
      <c r="R76">
        <f t="shared" si="69"/>
        <v>0</v>
      </c>
      <c r="S76">
        <f t="shared" si="70"/>
        <v>0</v>
      </c>
      <c r="T76">
        <f t="shared" si="71"/>
        <v>0</v>
      </c>
      <c r="U76">
        <f t="shared" si="72"/>
        <v>0</v>
      </c>
      <c r="V76">
        <f t="shared" si="73"/>
        <v>0</v>
      </c>
      <c r="W76">
        <f t="shared" si="74"/>
        <v>0</v>
      </c>
      <c r="X76">
        <f t="shared" si="75"/>
        <v>0</v>
      </c>
      <c r="Y76">
        <f t="shared" si="75"/>
        <v>0</v>
      </c>
      <c r="AA76">
        <v>56440881</v>
      </c>
      <c r="AB76">
        <f t="shared" si="76"/>
        <v>2628.2</v>
      </c>
      <c r="AC76">
        <f t="shared" si="77"/>
        <v>2628.2</v>
      </c>
      <c r="AD76">
        <f t="shared" si="78"/>
        <v>0</v>
      </c>
      <c r="AE76">
        <f t="shared" si="79"/>
        <v>0</v>
      </c>
      <c r="AF76">
        <f t="shared" si="79"/>
        <v>0</v>
      </c>
      <c r="AG76">
        <f t="shared" si="80"/>
        <v>0</v>
      </c>
      <c r="AH76">
        <f t="shared" si="81"/>
        <v>0</v>
      </c>
      <c r="AI76">
        <f t="shared" si="81"/>
        <v>0</v>
      </c>
      <c r="AJ76">
        <f t="shared" si="82"/>
        <v>0</v>
      </c>
      <c r="AK76">
        <v>2628.2</v>
      </c>
      <c r="AL76">
        <v>2628.2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70</v>
      </c>
      <c r="AU76">
        <v>10</v>
      </c>
      <c r="AV76">
        <v>1</v>
      </c>
      <c r="AW76">
        <v>1</v>
      </c>
      <c r="AZ76">
        <v>1</v>
      </c>
      <c r="BA76">
        <v>1</v>
      </c>
      <c r="BB76">
        <v>1</v>
      </c>
      <c r="BC76">
        <v>1</v>
      </c>
      <c r="BD76" t="s">
        <v>3</v>
      </c>
      <c r="BE76" t="s">
        <v>3</v>
      </c>
      <c r="BF76" t="s">
        <v>3</v>
      </c>
      <c r="BG76" t="s">
        <v>3</v>
      </c>
      <c r="BH76">
        <v>3</v>
      </c>
      <c r="BI76">
        <v>4</v>
      </c>
      <c r="BJ76" t="s">
        <v>49</v>
      </c>
      <c r="BM76">
        <v>0</v>
      </c>
      <c r="BN76">
        <v>0</v>
      </c>
      <c r="BO76" t="s">
        <v>3</v>
      </c>
      <c r="BP76">
        <v>0</v>
      </c>
      <c r="BQ76">
        <v>1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 t="s">
        <v>3</v>
      </c>
      <c r="BZ76">
        <v>70</v>
      </c>
      <c r="CA76">
        <v>10</v>
      </c>
      <c r="CE76">
        <v>0</v>
      </c>
      <c r="CF76">
        <v>0</v>
      </c>
      <c r="CG76">
        <v>0</v>
      </c>
      <c r="CM76">
        <v>0</v>
      </c>
      <c r="CN76" t="s">
        <v>3</v>
      </c>
      <c r="CO76">
        <v>0</v>
      </c>
      <c r="CP76">
        <f t="shared" si="83"/>
        <v>120230.69</v>
      </c>
      <c r="CQ76">
        <f t="shared" si="84"/>
        <v>2628.2</v>
      </c>
      <c r="CR76">
        <f t="shared" si="85"/>
        <v>0</v>
      </c>
      <c r="CS76">
        <f t="shared" si="86"/>
        <v>0</v>
      </c>
      <c r="CT76">
        <f t="shared" si="87"/>
        <v>0</v>
      </c>
      <c r="CU76">
        <f t="shared" si="88"/>
        <v>0</v>
      </c>
      <c r="CV76">
        <f t="shared" si="89"/>
        <v>0</v>
      </c>
      <c r="CW76">
        <f t="shared" si="90"/>
        <v>0</v>
      </c>
      <c r="CX76">
        <f t="shared" si="90"/>
        <v>0</v>
      </c>
      <c r="CY76">
        <f t="shared" si="91"/>
        <v>0</v>
      </c>
      <c r="CZ76">
        <f t="shared" si="92"/>
        <v>0</v>
      </c>
      <c r="DC76" t="s">
        <v>3</v>
      </c>
      <c r="DD76" t="s">
        <v>3</v>
      </c>
      <c r="DE76" t="s">
        <v>3</v>
      </c>
      <c r="DF76" t="s">
        <v>3</v>
      </c>
      <c r="DG76" t="s">
        <v>3</v>
      </c>
      <c r="DH76" t="s">
        <v>3</v>
      </c>
      <c r="DI76" t="s">
        <v>3</v>
      </c>
      <c r="DJ76" t="s">
        <v>3</v>
      </c>
      <c r="DK76" t="s">
        <v>3</v>
      </c>
      <c r="DL76" t="s">
        <v>3</v>
      </c>
      <c r="DM76" t="s">
        <v>3</v>
      </c>
      <c r="DN76">
        <v>0</v>
      </c>
      <c r="DO76">
        <v>0</v>
      </c>
      <c r="DP76">
        <v>1</v>
      </c>
      <c r="DQ76">
        <v>1</v>
      </c>
      <c r="DU76">
        <v>1009</v>
      </c>
      <c r="DV76" t="s">
        <v>44</v>
      </c>
      <c r="DW76" t="s">
        <v>44</v>
      </c>
      <c r="DX76">
        <v>1000</v>
      </c>
      <c r="DZ76" t="s">
        <v>3</v>
      </c>
      <c r="EA76" t="s">
        <v>3</v>
      </c>
      <c r="EB76" t="s">
        <v>3</v>
      </c>
      <c r="EC76" t="s">
        <v>3</v>
      </c>
      <c r="EE76">
        <v>54545671</v>
      </c>
      <c r="EF76">
        <v>1</v>
      </c>
      <c r="EG76" t="s">
        <v>20</v>
      </c>
      <c r="EH76">
        <v>0</v>
      </c>
      <c r="EI76" t="s">
        <v>3</v>
      </c>
      <c r="EJ76">
        <v>4</v>
      </c>
      <c r="EK76">
        <v>0</v>
      </c>
      <c r="EL76" t="s">
        <v>21</v>
      </c>
      <c r="EM76" t="s">
        <v>22</v>
      </c>
      <c r="EO76" t="s">
        <v>3</v>
      </c>
      <c r="EQ76">
        <v>0</v>
      </c>
      <c r="ER76">
        <v>2628.2</v>
      </c>
      <c r="ES76">
        <v>2628.2</v>
      </c>
      <c r="ET76">
        <v>0</v>
      </c>
      <c r="EU76">
        <v>0</v>
      </c>
      <c r="EV76">
        <v>0</v>
      </c>
      <c r="EW76">
        <v>0</v>
      </c>
      <c r="EX76">
        <v>0</v>
      </c>
      <c r="FQ76">
        <v>0</v>
      </c>
      <c r="FR76">
        <f t="shared" si="93"/>
        <v>0</v>
      </c>
      <c r="FS76">
        <v>0</v>
      </c>
      <c r="FX76">
        <v>70</v>
      </c>
      <c r="FY76">
        <v>10</v>
      </c>
      <c r="GA76" t="s">
        <v>3</v>
      </c>
      <c r="GD76">
        <v>0</v>
      </c>
      <c r="GF76">
        <v>2011161814</v>
      </c>
      <c r="GG76">
        <v>2</v>
      </c>
      <c r="GH76">
        <v>1</v>
      </c>
      <c r="GI76">
        <v>-2</v>
      </c>
      <c r="GJ76">
        <v>0</v>
      </c>
      <c r="GK76">
        <f>ROUND(R76*(R12)/100,2)</f>
        <v>0</v>
      </c>
      <c r="GL76">
        <f t="shared" si="94"/>
        <v>0</v>
      </c>
      <c r="GM76">
        <f t="shared" si="95"/>
        <v>120230.69</v>
      </c>
      <c r="GN76">
        <f t="shared" si="96"/>
        <v>0</v>
      </c>
      <c r="GO76">
        <f t="shared" si="97"/>
        <v>0</v>
      </c>
      <c r="GP76">
        <f t="shared" si="98"/>
        <v>120230.69</v>
      </c>
      <c r="GR76">
        <v>0</v>
      </c>
      <c r="GS76">
        <v>3</v>
      </c>
      <c r="GT76">
        <v>0</v>
      </c>
      <c r="GU76" t="s">
        <v>3</v>
      </c>
      <c r="GV76">
        <f t="shared" si="99"/>
        <v>0</v>
      </c>
      <c r="GW76">
        <v>1</v>
      </c>
      <c r="GX76">
        <f t="shared" si="100"/>
        <v>0</v>
      </c>
      <c r="HA76">
        <v>0</v>
      </c>
      <c r="HB76">
        <v>0</v>
      </c>
      <c r="HC76">
        <f t="shared" si="101"/>
        <v>0</v>
      </c>
      <c r="HE76" t="s">
        <v>3</v>
      </c>
      <c r="HF76" t="s">
        <v>3</v>
      </c>
      <c r="IK76">
        <v>0</v>
      </c>
    </row>
    <row r="78" spans="1:245" x14ac:dyDescent="0.2">
      <c r="A78" s="2">
        <v>51</v>
      </c>
      <c r="B78" s="2">
        <f>B66</f>
        <v>1</v>
      </c>
      <c r="C78" s="2">
        <f>A66</f>
        <v>4</v>
      </c>
      <c r="D78" s="2">
        <f>ROW(A66)</f>
        <v>66</v>
      </c>
      <c r="E78" s="2"/>
      <c r="F78" s="2" t="str">
        <f>IF(F66&lt;&gt;"",F66,"")</f>
        <v>Новый раздел</v>
      </c>
      <c r="G78" s="2" t="str">
        <f>IF(G66&lt;&gt;"",G66,"")</f>
        <v>Ремонт асфальтобетонного покрытия площадок (392 м2)</v>
      </c>
      <c r="H78" s="2">
        <v>0</v>
      </c>
      <c r="I78" s="2"/>
      <c r="J78" s="2"/>
      <c r="K78" s="2"/>
      <c r="L78" s="2"/>
      <c r="M78" s="2"/>
      <c r="N78" s="2"/>
      <c r="O78" s="2">
        <f t="shared" ref="O78:T78" si="102">ROUND(AB78,2)</f>
        <v>161590.48000000001</v>
      </c>
      <c r="P78" s="2">
        <f t="shared" si="102"/>
        <v>131962.88</v>
      </c>
      <c r="Q78" s="2">
        <f t="shared" si="102"/>
        <v>16193.27</v>
      </c>
      <c r="R78" s="2">
        <f t="shared" si="102"/>
        <v>7768.77</v>
      </c>
      <c r="S78" s="2">
        <f t="shared" si="102"/>
        <v>13434.33</v>
      </c>
      <c r="T78" s="2">
        <f t="shared" si="102"/>
        <v>0</v>
      </c>
      <c r="U78" s="2">
        <f>AH78</f>
        <v>63.459704000000002</v>
      </c>
      <c r="V78" s="2">
        <f>AI78</f>
        <v>0</v>
      </c>
      <c r="W78" s="2">
        <f>ROUND(AJ78,2)</f>
        <v>0</v>
      </c>
      <c r="X78" s="2">
        <f>ROUND(AK78,2)</f>
        <v>9404.0300000000007</v>
      </c>
      <c r="Y78" s="2">
        <f>ROUND(AL78,2)</f>
        <v>1343.43</v>
      </c>
      <c r="Z78" s="2"/>
      <c r="AA78" s="2"/>
      <c r="AB78" s="2">
        <f>ROUND(SUMIF(AA70:AA76,"=56440881",O70:O76),2)</f>
        <v>161590.48000000001</v>
      </c>
      <c r="AC78" s="2">
        <f>ROUND(SUMIF(AA70:AA76,"=56440881",P70:P76),2)</f>
        <v>131962.88</v>
      </c>
      <c r="AD78" s="2">
        <f>ROUND(SUMIF(AA70:AA76,"=56440881",Q70:Q76),2)</f>
        <v>16193.27</v>
      </c>
      <c r="AE78" s="2">
        <f>ROUND(SUMIF(AA70:AA76,"=56440881",R70:R76),2)</f>
        <v>7768.77</v>
      </c>
      <c r="AF78" s="2">
        <f>ROUND(SUMIF(AA70:AA76,"=56440881",S70:S76),2)</f>
        <v>13434.33</v>
      </c>
      <c r="AG78" s="2">
        <f>ROUND(SUMIF(AA70:AA76,"=56440881",T70:T76),2)</f>
        <v>0</v>
      </c>
      <c r="AH78" s="2">
        <f>SUMIF(AA70:AA76,"=56440881",U70:U76)</f>
        <v>63.459704000000002</v>
      </c>
      <c r="AI78" s="2">
        <f>SUMIF(AA70:AA76,"=56440881",V70:V76)</f>
        <v>0</v>
      </c>
      <c r="AJ78" s="2">
        <f>ROUND(SUMIF(AA70:AA76,"=56440881",W70:W76),2)</f>
        <v>0</v>
      </c>
      <c r="AK78" s="2">
        <f>ROUND(SUMIF(AA70:AA76,"=56440881",X70:X76),2)</f>
        <v>9404.0300000000007</v>
      </c>
      <c r="AL78" s="2">
        <f>ROUND(SUMIF(AA70:AA76,"=56440881",Y70:Y76),2)</f>
        <v>1343.43</v>
      </c>
      <c r="AM78" s="2"/>
      <c r="AN78" s="2"/>
      <c r="AO78" s="2">
        <f t="shared" ref="AO78:BD78" si="103">ROUND(BX78,2)</f>
        <v>0</v>
      </c>
      <c r="AP78" s="2">
        <f t="shared" si="103"/>
        <v>0</v>
      </c>
      <c r="AQ78" s="2">
        <f t="shared" si="103"/>
        <v>0</v>
      </c>
      <c r="AR78" s="2">
        <f t="shared" si="103"/>
        <v>180728.21</v>
      </c>
      <c r="AS78" s="2">
        <f t="shared" si="103"/>
        <v>0</v>
      </c>
      <c r="AT78" s="2">
        <f t="shared" si="103"/>
        <v>0</v>
      </c>
      <c r="AU78" s="2">
        <f t="shared" si="103"/>
        <v>180728.21</v>
      </c>
      <c r="AV78" s="2">
        <f t="shared" si="103"/>
        <v>131962.88</v>
      </c>
      <c r="AW78" s="2">
        <f t="shared" si="103"/>
        <v>131962.88</v>
      </c>
      <c r="AX78" s="2">
        <f t="shared" si="103"/>
        <v>0</v>
      </c>
      <c r="AY78" s="2">
        <f t="shared" si="103"/>
        <v>131962.88</v>
      </c>
      <c r="AZ78" s="2">
        <f t="shared" si="103"/>
        <v>0</v>
      </c>
      <c r="BA78" s="2">
        <f t="shared" si="103"/>
        <v>0</v>
      </c>
      <c r="BB78" s="2">
        <f t="shared" si="103"/>
        <v>0</v>
      </c>
      <c r="BC78" s="2">
        <f t="shared" si="103"/>
        <v>0</v>
      </c>
      <c r="BD78" s="2">
        <f t="shared" si="103"/>
        <v>0</v>
      </c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>
        <f>ROUND(SUMIF(AA70:AA76,"=56440881",FQ70:FQ76),2)</f>
        <v>0</v>
      </c>
      <c r="BY78" s="2">
        <f>ROUND(SUMIF(AA70:AA76,"=56440881",FR70:FR76),2)</f>
        <v>0</v>
      </c>
      <c r="BZ78" s="2">
        <f>ROUND(SUMIF(AA70:AA76,"=56440881",GL70:GL76),2)</f>
        <v>0</v>
      </c>
      <c r="CA78" s="2">
        <f>ROUND(SUMIF(AA70:AA76,"=56440881",GM70:GM76),2)</f>
        <v>180728.21</v>
      </c>
      <c r="CB78" s="2">
        <f>ROUND(SUMIF(AA70:AA76,"=56440881",GN70:GN76),2)</f>
        <v>0</v>
      </c>
      <c r="CC78" s="2">
        <f>ROUND(SUMIF(AA70:AA76,"=56440881",GO70:GO76),2)</f>
        <v>0</v>
      </c>
      <c r="CD78" s="2">
        <f>ROUND(SUMIF(AA70:AA76,"=56440881",GP70:GP76),2)</f>
        <v>180728.21</v>
      </c>
      <c r="CE78" s="2">
        <f>AC78-BX78</f>
        <v>131962.88</v>
      </c>
      <c r="CF78" s="2">
        <f>AC78-BY78</f>
        <v>131962.88</v>
      </c>
      <c r="CG78" s="2">
        <f>BX78-BZ78</f>
        <v>0</v>
      </c>
      <c r="CH78" s="2">
        <f>AC78-BX78-BY78+BZ78</f>
        <v>131962.88</v>
      </c>
      <c r="CI78" s="2">
        <f>BY78-BZ78</f>
        <v>0</v>
      </c>
      <c r="CJ78" s="2">
        <f>ROUND(SUMIF(AA70:AA76,"=56440881",GX70:GX76),2)</f>
        <v>0</v>
      </c>
      <c r="CK78" s="2">
        <f>ROUND(SUMIF(AA70:AA76,"=56440881",GY70:GY76),2)</f>
        <v>0</v>
      </c>
      <c r="CL78" s="2">
        <f>ROUND(SUMIF(AA70:AA76,"=56440881",GZ70:GZ76),2)</f>
        <v>0</v>
      </c>
      <c r="CM78" s="2">
        <f>ROUND(SUMIF(AA70:AA76,"=56440881",HD70:HD76),2)</f>
        <v>0</v>
      </c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>
        <v>0</v>
      </c>
    </row>
    <row r="80" spans="1:245" x14ac:dyDescent="0.2">
      <c r="A80" s="4">
        <v>50</v>
      </c>
      <c r="B80" s="4">
        <v>0</v>
      </c>
      <c r="C80" s="4">
        <v>0</v>
      </c>
      <c r="D80" s="4">
        <v>1</v>
      </c>
      <c r="E80" s="4">
        <v>201</v>
      </c>
      <c r="F80" s="4">
        <f>ROUND(Source!O78,O80)</f>
        <v>161590.48000000001</v>
      </c>
      <c r="G80" s="4" t="s">
        <v>50</v>
      </c>
      <c r="H80" s="4" t="s">
        <v>51</v>
      </c>
      <c r="I80" s="4"/>
      <c r="J80" s="4"/>
      <c r="K80" s="4">
        <v>-201</v>
      </c>
      <c r="L80" s="4">
        <v>1</v>
      </c>
      <c r="M80" s="4">
        <v>3</v>
      </c>
      <c r="N80" s="4" t="s">
        <v>3</v>
      </c>
      <c r="O80" s="4">
        <v>2</v>
      </c>
      <c r="P80" s="4"/>
      <c r="Q80" s="4"/>
      <c r="R80" s="4"/>
      <c r="S80" s="4"/>
      <c r="T80" s="4"/>
      <c r="U80" s="4"/>
      <c r="V80" s="4"/>
      <c r="W80" s="4"/>
    </row>
    <row r="81" spans="1:23" x14ac:dyDescent="0.2">
      <c r="A81" s="4">
        <v>50</v>
      </c>
      <c r="B81" s="4">
        <v>0</v>
      </c>
      <c r="C81" s="4">
        <v>0</v>
      </c>
      <c r="D81" s="4">
        <v>1</v>
      </c>
      <c r="E81" s="4">
        <v>202</v>
      </c>
      <c r="F81" s="4">
        <f>ROUND(Source!P78,O81)</f>
        <v>131962.88</v>
      </c>
      <c r="G81" s="4" t="s">
        <v>52</v>
      </c>
      <c r="H81" s="4" t="s">
        <v>53</v>
      </c>
      <c r="I81" s="4"/>
      <c r="J81" s="4"/>
      <c r="K81" s="4">
        <v>-202</v>
      </c>
      <c r="L81" s="4">
        <v>2</v>
      </c>
      <c r="M81" s="4">
        <v>3</v>
      </c>
      <c r="N81" s="4" t="s">
        <v>3</v>
      </c>
      <c r="O81" s="4">
        <v>2</v>
      </c>
      <c r="P81" s="4"/>
      <c r="Q81" s="4"/>
      <c r="R81" s="4"/>
      <c r="S81" s="4"/>
      <c r="T81" s="4"/>
      <c r="U81" s="4"/>
      <c r="V81" s="4"/>
      <c r="W81" s="4"/>
    </row>
    <row r="82" spans="1:23" x14ac:dyDescent="0.2">
      <c r="A82" s="4">
        <v>50</v>
      </c>
      <c r="B82" s="4">
        <v>0</v>
      </c>
      <c r="C82" s="4">
        <v>0</v>
      </c>
      <c r="D82" s="4">
        <v>1</v>
      </c>
      <c r="E82" s="4">
        <v>222</v>
      </c>
      <c r="F82" s="4">
        <f>ROUND(Source!AO78,O82)</f>
        <v>0</v>
      </c>
      <c r="G82" s="4" t="s">
        <v>54</v>
      </c>
      <c r="H82" s="4" t="s">
        <v>55</v>
      </c>
      <c r="I82" s="4"/>
      <c r="J82" s="4"/>
      <c r="K82" s="4">
        <v>-222</v>
      </c>
      <c r="L82" s="4">
        <v>3</v>
      </c>
      <c r="M82" s="4">
        <v>3</v>
      </c>
      <c r="N82" s="4" t="s">
        <v>3</v>
      </c>
      <c r="O82" s="4">
        <v>2</v>
      </c>
      <c r="P82" s="4"/>
      <c r="Q82" s="4"/>
      <c r="R82" s="4"/>
      <c r="S82" s="4"/>
      <c r="T82" s="4"/>
      <c r="U82" s="4"/>
      <c r="V82" s="4"/>
      <c r="W82" s="4"/>
    </row>
    <row r="83" spans="1:23" x14ac:dyDescent="0.2">
      <c r="A83" s="4">
        <v>50</v>
      </c>
      <c r="B83" s="4">
        <v>0</v>
      </c>
      <c r="C83" s="4">
        <v>0</v>
      </c>
      <c r="D83" s="4">
        <v>1</v>
      </c>
      <c r="E83" s="4">
        <v>225</v>
      </c>
      <c r="F83" s="4">
        <f>ROUND(Source!AV78,O83)</f>
        <v>131962.88</v>
      </c>
      <c r="G83" s="4" t="s">
        <v>56</v>
      </c>
      <c r="H83" s="4" t="s">
        <v>57</v>
      </c>
      <c r="I83" s="4"/>
      <c r="J83" s="4"/>
      <c r="K83" s="4">
        <v>-225</v>
      </c>
      <c r="L83" s="4">
        <v>4</v>
      </c>
      <c r="M83" s="4">
        <v>3</v>
      </c>
      <c r="N83" s="4" t="s">
        <v>3</v>
      </c>
      <c r="O83" s="4">
        <v>2</v>
      </c>
      <c r="P83" s="4"/>
      <c r="Q83" s="4"/>
      <c r="R83" s="4"/>
      <c r="S83" s="4"/>
      <c r="T83" s="4"/>
      <c r="U83" s="4"/>
      <c r="V83" s="4"/>
      <c r="W83" s="4"/>
    </row>
    <row r="84" spans="1:23" x14ac:dyDescent="0.2">
      <c r="A84" s="4">
        <v>50</v>
      </c>
      <c r="B84" s="4">
        <v>0</v>
      </c>
      <c r="C84" s="4">
        <v>0</v>
      </c>
      <c r="D84" s="4">
        <v>1</v>
      </c>
      <c r="E84" s="4">
        <v>226</v>
      </c>
      <c r="F84" s="4">
        <f>ROUND(Source!AW78,O84)</f>
        <v>131962.88</v>
      </c>
      <c r="G84" s="4" t="s">
        <v>58</v>
      </c>
      <c r="H84" s="4" t="s">
        <v>59</v>
      </c>
      <c r="I84" s="4"/>
      <c r="J84" s="4"/>
      <c r="K84" s="4">
        <v>-226</v>
      </c>
      <c r="L84" s="4">
        <v>5</v>
      </c>
      <c r="M84" s="4">
        <v>3</v>
      </c>
      <c r="N84" s="4" t="s">
        <v>3</v>
      </c>
      <c r="O84" s="4">
        <v>2</v>
      </c>
      <c r="P84" s="4"/>
      <c r="Q84" s="4"/>
      <c r="R84" s="4"/>
      <c r="S84" s="4"/>
      <c r="T84" s="4"/>
      <c r="U84" s="4"/>
      <c r="V84" s="4"/>
      <c r="W84" s="4"/>
    </row>
    <row r="85" spans="1:23" x14ac:dyDescent="0.2">
      <c r="A85" s="4">
        <v>50</v>
      </c>
      <c r="B85" s="4">
        <v>0</v>
      </c>
      <c r="C85" s="4">
        <v>0</v>
      </c>
      <c r="D85" s="4">
        <v>1</v>
      </c>
      <c r="E85" s="4">
        <v>227</v>
      </c>
      <c r="F85" s="4">
        <f>ROUND(Source!AX78,O85)</f>
        <v>0</v>
      </c>
      <c r="G85" s="4" t="s">
        <v>60</v>
      </c>
      <c r="H85" s="4" t="s">
        <v>61</v>
      </c>
      <c r="I85" s="4"/>
      <c r="J85" s="4"/>
      <c r="K85" s="4">
        <v>-227</v>
      </c>
      <c r="L85" s="4">
        <v>6</v>
      </c>
      <c r="M85" s="4">
        <v>3</v>
      </c>
      <c r="N85" s="4" t="s">
        <v>3</v>
      </c>
      <c r="O85" s="4">
        <v>2</v>
      </c>
      <c r="P85" s="4"/>
      <c r="Q85" s="4"/>
      <c r="R85" s="4"/>
      <c r="S85" s="4"/>
      <c r="T85" s="4"/>
      <c r="U85" s="4"/>
      <c r="V85" s="4"/>
      <c r="W85" s="4"/>
    </row>
    <row r="86" spans="1:23" x14ac:dyDescent="0.2">
      <c r="A86" s="4">
        <v>50</v>
      </c>
      <c r="B86" s="4">
        <v>0</v>
      </c>
      <c r="C86" s="4">
        <v>0</v>
      </c>
      <c r="D86" s="4">
        <v>1</v>
      </c>
      <c r="E86" s="4">
        <v>228</v>
      </c>
      <c r="F86" s="4">
        <f>ROUND(Source!AY78,O86)</f>
        <v>131962.88</v>
      </c>
      <c r="G86" s="4" t="s">
        <v>62</v>
      </c>
      <c r="H86" s="4" t="s">
        <v>63</v>
      </c>
      <c r="I86" s="4"/>
      <c r="J86" s="4"/>
      <c r="K86" s="4">
        <v>-228</v>
      </c>
      <c r="L86" s="4">
        <v>7</v>
      </c>
      <c r="M86" s="4">
        <v>3</v>
      </c>
      <c r="N86" s="4" t="s">
        <v>3</v>
      </c>
      <c r="O86" s="4">
        <v>2</v>
      </c>
      <c r="P86" s="4"/>
      <c r="Q86" s="4"/>
      <c r="R86" s="4"/>
      <c r="S86" s="4"/>
      <c r="T86" s="4"/>
      <c r="U86" s="4"/>
      <c r="V86" s="4"/>
      <c r="W86" s="4"/>
    </row>
    <row r="87" spans="1:23" x14ac:dyDescent="0.2">
      <c r="A87" s="4">
        <v>50</v>
      </c>
      <c r="B87" s="4">
        <v>0</v>
      </c>
      <c r="C87" s="4">
        <v>0</v>
      </c>
      <c r="D87" s="4">
        <v>1</v>
      </c>
      <c r="E87" s="4">
        <v>216</v>
      </c>
      <c r="F87" s="4">
        <f>ROUND(Source!AP78,O87)</f>
        <v>0</v>
      </c>
      <c r="G87" s="4" t="s">
        <v>64</v>
      </c>
      <c r="H87" s="4" t="s">
        <v>65</v>
      </c>
      <c r="I87" s="4"/>
      <c r="J87" s="4"/>
      <c r="K87" s="4">
        <v>-216</v>
      </c>
      <c r="L87" s="4">
        <v>8</v>
      </c>
      <c r="M87" s="4">
        <v>3</v>
      </c>
      <c r="N87" s="4" t="s">
        <v>3</v>
      </c>
      <c r="O87" s="4">
        <v>2</v>
      </c>
      <c r="P87" s="4"/>
      <c r="Q87" s="4"/>
      <c r="R87" s="4"/>
      <c r="S87" s="4"/>
      <c r="T87" s="4"/>
      <c r="U87" s="4"/>
      <c r="V87" s="4"/>
      <c r="W87" s="4"/>
    </row>
    <row r="88" spans="1:23" x14ac:dyDescent="0.2">
      <c r="A88" s="4">
        <v>50</v>
      </c>
      <c r="B88" s="4">
        <v>0</v>
      </c>
      <c r="C88" s="4">
        <v>0</v>
      </c>
      <c r="D88" s="4">
        <v>1</v>
      </c>
      <c r="E88" s="4">
        <v>223</v>
      </c>
      <c r="F88" s="4">
        <f>ROUND(Source!AQ78,O88)</f>
        <v>0</v>
      </c>
      <c r="G88" s="4" t="s">
        <v>66</v>
      </c>
      <c r="H88" s="4" t="s">
        <v>67</v>
      </c>
      <c r="I88" s="4"/>
      <c r="J88" s="4"/>
      <c r="K88" s="4">
        <v>-223</v>
      </c>
      <c r="L88" s="4">
        <v>9</v>
      </c>
      <c r="M88" s="4">
        <v>3</v>
      </c>
      <c r="N88" s="4" t="s">
        <v>3</v>
      </c>
      <c r="O88" s="4">
        <v>2</v>
      </c>
      <c r="P88" s="4"/>
      <c r="Q88" s="4"/>
      <c r="R88" s="4"/>
      <c r="S88" s="4"/>
      <c r="T88" s="4"/>
      <c r="U88" s="4"/>
      <c r="V88" s="4"/>
      <c r="W88" s="4"/>
    </row>
    <row r="89" spans="1:23" x14ac:dyDescent="0.2">
      <c r="A89" s="4">
        <v>50</v>
      </c>
      <c r="B89" s="4">
        <v>0</v>
      </c>
      <c r="C89" s="4">
        <v>0</v>
      </c>
      <c r="D89" s="4">
        <v>1</v>
      </c>
      <c r="E89" s="4">
        <v>229</v>
      </c>
      <c r="F89" s="4">
        <f>ROUND(Source!AZ78,O89)</f>
        <v>0</v>
      </c>
      <c r="G89" s="4" t="s">
        <v>68</v>
      </c>
      <c r="H89" s="4" t="s">
        <v>69</v>
      </c>
      <c r="I89" s="4"/>
      <c r="J89" s="4"/>
      <c r="K89" s="4">
        <v>-229</v>
      </c>
      <c r="L89" s="4">
        <v>10</v>
      </c>
      <c r="M89" s="4">
        <v>3</v>
      </c>
      <c r="N89" s="4" t="s">
        <v>3</v>
      </c>
      <c r="O89" s="4">
        <v>2</v>
      </c>
      <c r="P89" s="4"/>
      <c r="Q89" s="4"/>
      <c r="R89" s="4"/>
      <c r="S89" s="4"/>
      <c r="T89" s="4"/>
      <c r="U89" s="4"/>
      <c r="V89" s="4"/>
      <c r="W89" s="4"/>
    </row>
    <row r="90" spans="1:23" x14ac:dyDescent="0.2">
      <c r="A90" s="4">
        <v>50</v>
      </c>
      <c r="B90" s="4">
        <v>0</v>
      </c>
      <c r="C90" s="4">
        <v>0</v>
      </c>
      <c r="D90" s="4">
        <v>1</v>
      </c>
      <c r="E90" s="4">
        <v>203</v>
      </c>
      <c r="F90" s="4">
        <f>ROUND(Source!Q78,O90)</f>
        <v>16193.27</v>
      </c>
      <c r="G90" s="4" t="s">
        <v>70</v>
      </c>
      <c r="H90" s="4" t="s">
        <v>71</v>
      </c>
      <c r="I90" s="4"/>
      <c r="J90" s="4"/>
      <c r="K90" s="4">
        <v>-203</v>
      </c>
      <c r="L90" s="4">
        <v>11</v>
      </c>
      <c r="M90" s="4">
        <v>3</v>
      </c>
      <c r="N90" s="4" t="s">
        <v>3</v>
      </c>
      <c r="O90" s="4">
        <v>2</v>
      </c>
      <c r="P90" s="4"/>
      <c r="Q90" s="4"/>
      <c r="R90" s="4"/>
      <c r="S90" s="4"/>
      <c r="T90" s="4"/>
      <c r="U90" s="4"/>
      <c r="V90" s="4"/>
      <c r="W90" s="4"/>
    </row>
    <row r="91" spans="1:23" x14ac:dyDescent="0.2">
      <c r="A91" s="4">
        <v>50</v>
      </c>
      <c r="B91" s="4">
        <v>0</v>
      </c>
      <c r="C91" s="4">
        <v>0</v>
      </c>
      <c r="D91" s="4">
        <v>1</v>
      </c>
      <c r="E91" s="4">
        <v>231</v>
      </c>
      <c r="F91" s="4">
        <f>ROUND(Source!BB78,O91)</f>
        <v>0</v>
      </c>
      <c r="G91" s="4" t="s">
        <v>72</v>
      </c>
      <c r="H91" s="4" t="s">
        <v>73</v>
      </c>
      <c r="I91" s="4"/>
      <c r="J91" s="4"/>
      <c r="K91" s="4">
        <v>-231</v>
      </c>
      <c r="L91" s="4">
        <v>12</v>
      </c>
      <c r="M91" s="4">
        <v>3</v>
      </c>
      <c r="N91" s="4" t="s">
        <v>3</v>
      </c>
      <c r="O91" s="4">
        <v>2</v>
      </c>
      <c r="P91" s="4"/>
      <c r="Q91" s="4"/>
      <c r="R91" s="4"/>
      <c r="S91" s="4"/>
      <c r="T91" s="4"/>
      <c r="U91" s="4"/>
      <c r="V91" s="4"/>
      <c r="W91" s="4"/>
    </row>
    <row r="92" spans="1:23" x14ac:dyDescent="0.2">
      <c r="A92" s="4">
        <v>50</v>
      </c>
      <c r="B92" s="4">
        <v>0</v>
      </c>
      <c r="C92" s="4">
        <v>0</v>
      </c>
      <c r="D92" s="4">
        <v>1</v>
      </c>
      <c r="E92" s="4">
        <v>204</v>
      </c>
      <c r="F92" s="4">
        <f>ROUND(Source!R78,O92)</f>
        <v>7768.77</v>
      </c>
      <c r="G92" s="4" t="s">
        <v>74</v>
      </c>
      <c r="H92" s="4" t="s">
        <v>75</v>
      </c>
      <c r="I92" s="4"/>
      <c r="J92" s="4"/>
      <c r="K92" s="4">
        <v>-204</v>
      </c>
      <c r="L92" s="4">
        <v>13</v>
      </c>
      <c r="M92" s="4">
        <v>3</v>
      </c>
      <c r="N92" s="4" t="s">
        <v>3</v>
      </c>
      <c r="O92" s="4">
        <v>2</v>
      </c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4">
        <v>50</v>
      </c>
      <c r="B93" s="4">
        <v>0</v>
      </c>
      <c r="C93" s="4">
        <v>0</v>
      </c>
      <c r="D93" s="4">
        <v>1</v>
      </c>
      <c r="E93" s="4">
        <v>205</v>
      </c>
      <c r="F93" s="4">
        <f>ROUND(Source!S78,O93)</f>
        <v>13434.33</v>
      </c>
      <c r="G93" s="4" t="s">
        <v>76</v>
      </c>
      <c r="H93" s="4" t="s">
        <v>77</v>
      </c>
      <c r="I93" s="4"/>
      <c r="J93" s="4"/>
      <c r="K93" s="4">
        <v>-205</v>
      </c>
      <c r="L93" s="4">
        <v>14</v>
      </c>
      <c r="M93" s="4">
        <v>3</v>
      </c>
      <c r="N93" s="4" t="s">
        <v>3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>
        <v>50</v>
      </c>
      <c r="B94" s="4">
        <v>0</v>
      </c>
      <c r="C94" s="4">
        <v>0</v>
      </c>
      <c r="D94" s="4">
        <v>1</v>
      </c>
      <c r="E94" s="4">
        <v>232</v>
      </c>
      <c r="F94" s="4">
        <f>ROUND(Source!BC78,O94)</f>
        <v>0</v>
      </c>
      <c r="G94" s="4" t="s">
        <v>78</v>
      </c>
      <c r="H94" s="4" t="s">
        <v>79</v>
      </c>
      <c r="I94" s="4"/>
      <c r="J94" s="4"/>
      <c r="K94" s="4">
        <v>-232</v>
      </c>
      <c r="L94" s="4">
        <v>15</v>
      </c>
      <c r="M94" s="4">
        <v>3</v>
      </c>
      <c r="N94" s="4" t="s">
        <v>3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>
        <v>50</v>
      </c>
      <c r="B95" s="4">
        <v>0</v>
      </c>
      <c r="C95" s="4">
        <v>0</v>
      </c>
      <c r="D95" s="4">
        <v>1</v>
      </c>
      <c r="E95" s="4">
        <v>214</v>
      </c>
      <c r="F95" s="4">
        <f>ROUND(Source!AS78,O95)</f>
        <v>0</v>
      </c>
      <c r="G95" s="4" t="s">
        <v>80</v>
      </c>
      <c r="H95" s="4" t="s">
        <v>81</v>
      </c>
      <c r="I95" s="4"/>
      <c r="J95" s="4"/>
      <c r="K95" s="4">
        <v>-214</v>
      </c>
      <c r="L95" s="4">
        <v>16</v>
      </c>
      <c r="M95" s="4">
        <v>3</v>
      </c>
      <c r="N95" s="4" t="s">
        <v>3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>
        <v>50</v>
      </c>
      <c r="B96" s="4">
        <v>0</v>
      </c>
      <c r="C96" s="4">
        <v>0</v>
      </c>
      <c r="D96" s="4">
        <v>1</v>
      </c>
      <c r="E96" s="4">
        <v>215</v>
      </c>
      <c r="F96" s="4">
        <f>ROUND(Source!AT78,O96)</f>
        <v>0</v>
      </c>
      <c r="G96" s="4" t="s">
        <v>82</v>
      </c>
      <c r="H96" s="4" t="s">
        <v>83</v>
      </c>
      <c r="I96" s="4"/>
      <c r="J96" s="4"/>
      <c r="K96" s="4">
        <v>-215</v>
      </c>
      <c r="L96" s="4">
        <v>17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45" x14ac:dyDescent="0.2">
      <c r="A97" s="4">
        <v>50</v>
      </c>
      <c r="B97" s="4">
        <v>0</v>
      </c>
      <c r="C97" s="4">
        <v>0</v>
      </c>
      <c r="D97" s="4">
        <v>1</v>
      </c>
      <c r="E97" s="4">
        <v>217</v>
      </c>
      <c r="F97" s="4">
        <f>ROUND(Source!AU78,O97)</f>
        <v>180728.21</v>
      </c>
      <c r="G97" s="4" t="s">
        <v>84</v>
      </c>
      <c r="H97" s="4" t="s">
        <v>85</v>
      </c>
      <c r="I97" s="4"/>
      <c r="J97" s="4"/>
      <c r="K97" s="4">
        <v>-217</v>
      </c>
      <c r="L97" s="4">
        <v>18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8" spans="1:245" x14ac:dyDescent="0.2">
      <c r="A98" s="4">
        <v>50</v>
      </c>
      <c r="B98" s="4">
        <v>0</v>
      </c>
      <c r="C98" s="4">
        <v>0</v>
      </c>
      <c r="D98" s="4">
        <v>1</v>
      </c>
      <c r="E98" s="4">
        <v>230</v>
      </c>
      <c r="F98" s="4">
        <f>ROUND(Source!BA78,O98)</f>
        <v>0</v>
      </c>
      <c r="G98" s="4" t="s">
        <v>86</v>
      </c>
      <c r="H98" s="4" t="s">
        <v>87</v>
      </c>
      <c r="I98" s="4"/>
      <c r="J98" s="4"/>
      <c r="K98" s="4">
        <v>-230</v>
      </c>
      <c r="L98" s="4">
        <v>19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45" x14ac:dyDescent="0.2">
      <c r="A99" s="4">
        <v>50</v>
      </c>
      <c r="B99" s="4">
        <v>0</v>
      </c>
      <c r="C99" s="4">
        <v>0</v>
      </c>
      <c r="D99" s="4">
        <v>1</v>
      </c>
      <c r="E99" s="4">
        <v>206</v>
      </c>
      <c r="F99" s="4">
        <f>ROUND(Source!T78,O99)</f>
        <v>0</v>
      </c>
      <c r="G99" s="4" t="s">
        <v>88</v>
      </c>
      <c r="H99" s="4" t="s">
        <v>89</v>
      </c>
      <c r="I99" s="4"/>
      <c r="J99" s="4"/>
      <c r="K99" s="4">
        <v>-206</v>
      </c>
      <c r="L99" s="4">
        <v>20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45" x14ac:dyDescent="0.2">
      <c r="A100" s="4">
        <v>50</v>
      </c>
      <c r="B100" s="4">
        <v>0</v>
      </c>
      <c r="C100" s="4">
        <v>0</v>
      </c>
      <c r="D100" s="4">
        <v>1</v>
      </c>
      <c r="E100" s="4">
        <v>207</v>
      </c>
      <c r="F100" s="4">
        <f>Source!U78</f>
        <v>63.459704000000002</v>
      </c>
      <c r="G100" s="4" t="s">
        <v>90</v>
      </c>
      <c r="H100" s="4" t="s">
        <v>91</v>
      </c>
      <c r="I100" s="4"/>
      <c r="J100" s="4"/>
      <c r="K100" s="4">
        <v>-207</v>
      </c>
      <c r="L100" s="4">
        <v>21</v>
      </c>
      <c r="M100" s="4">
        <v>3</v>
      </c>
      <c r="N100" s="4" t="s">
        <v>3</v>
      </c>
      <c r="O100" s="4">
        <v>-1</v>
      </c>
      <c r="P100" s="4"/>
      <c r="Q100" s="4"/>
      <c r="R100" s="4"/>
      <c r="S100" s="4"/>
      <c r="T100" s="4"/>
      <c r="U100" s="4"/>
      <c r="V100" s="4"/>
      <c r="W100" s="4"/>
    </row>
    <row r="101" spans="1:245" x14ac:dyDescent="0.2">
      <c r="A101" s="4">
        <v>50</v>
      </c>
      <c r="B101" s="4">
        <v>0</v>
      </c>
      <c r="C101" s="4">
        <v>0</v>
      </c>
      <c r="D101" s="4">
        <v>1</v>
      </c>
      <c r="E101" s="4">
        <v>208</v>
      </c>
      <c r="F101" s="4">
        <f>Source!V78</f>
        <v>0</v>
      </c>
      <c r="G101" s="4" t="s">
        <v>92</v>
      </c>
      <c r="H101" s="4" t="s">
        <v>93</v>
      </c>
      <c r="I101" s="4"/>
      <c r="J101" s="4"/>
      <c r="K101" s="4">
        <v>-208</v>
      </c>
      <c r="L101" s="4">
        <v>22</v>
      </c>
      <c r="M101" s="4">
        <v>3</v>
      </c>
      <c r="N101" s="4" t="s">
        <v>3</v>
      </c>
      <c r="O101" s="4">
        <v>-1</v>
      </c>
      <c r="P101" s="4"/>
      <c r="Q101" s="4"/>
      <c r="R101" s="4"/>
      <c r="S101" s="4"/>
      <c r="T101" s="4"/>
      <c r="U101" s="4"/>
      <c r="V101" s="4"/>
      <c r="W101" s="4"/>
    </row>
    <row r="102" spans="1:245" x14ac:dyDescent="0.2">
      <c r="A102" s="4">
        <v>50</v>
      </c>
      <c r="B102" s="4">
        <v>0</v>
      </c>
      <c r="C102" s="4">
        <v>0</v>
      </c>
      <c r="D102" s="4">
        <v>1</v>
      </c>
      <c r="E102" s="4">
        <v>209</v>
      </c>
      <c r="F102" s="4">
        <f>ROUND(Source!W78,O102)</f>
        <v>0</v>
      </c>
      <c r="G102" s="4" t="s">
        <v>94</v>
      </c>
      <c r="H102" s="4" t="s">
        <v>95</v>
      </c>
      <c r="I102" s="4"/>
      <c r="J102" s="4"/>
      <c r="K102" s="4">
        <v>-209</v>
      </c>
      <c r="L102" s="4">
        <v>23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45" x14ac:dyDescent="0.2">
      <c r="A103" s="4">
        <v>50</v>
      </c>
      <c r="B103" s="4">
        <v>0</v>
      </c>
      <c r="C103" s="4">
        <v>0</v>
      </c>
      <c r="D103" s="4">
        <v>1</v>
      </c>
      <c r="E103" s="4">
        <v>233</v>
      </c>
      <c r="F103" s="4">
        <f>ROUND(Source!BD78,O103)</f>
        <v>0</v>
      </c>
      <c r="G103" s="4" t="s">
        <v>96</v>
      </c>
      <c r="H103" s="4" t="s">
        <v>97</v>
      </c>
      <c r="I103" s="4"/>
      <c r="J103" s="4"/>
      <c r="K103" s="4">
        <v>-233</v>
      </c>
      <c r="L103" s="4">
        <v>24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45" x14ac:dyDescent="0.2">
      <c r="A104" s="4">
        <v>50</v>
      </c>
      <c r="B104" s="4">
        <v>0</v>
      </c>
      <c r="C104" s="4">
        <v>0</v>
      </c>
      <c r="D104" s="4">
        <v>1</v>
      </c>
      <c r="E104" s="4">
        <v>210</v>
      </c>
      <c r="F104" s="4">
        <f>ROUND(Source!X78,O104)</f>
        <v>9404.0300000000007</v>
      </c>
      <c r="G104" s="4" t="s">
        <v>98</v>
      </c>
      <c r="H104" s="4" t="s">
        <v>99</v>
      </c>
      <c r="I104" s="4"/>
      <c r="J104" s="4"/>
      <c r="K104" s="4">
        <v>-210</v>
      </c>
      <c r="L104" s="4">
        <v>25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45" x14ac:dyDescent="0.2">
      <c r="A105" s="4">
        <v>50</v>
      </c>
      <c r="B105" s="4">
        <v>0</v>
      </c>
      <c r="C105" s="4">
        <v>0</v>
      </c>
      <c r="D105" s="4">
        <v>1</v>
      </c>
      <c r="E105" s="4">
        <v>211</v>
      </c>
      <c r="F105" s="4">
        <f>ROUND(Source!Y78,O105)</f>
        <v>1343.43</v>
      </c>
      <c r="G105" s="4" t="s">
        <v>100</v>
      </c>
      <c r="H105" s="4" t="s">
        <v>101</v>
      </c>
      <c r="I105" s="4"/>
      <c r="J105" s="4"/>
      <c r="K105" s="4">
        <v>-211</v>
      </c>
      <c r="L105" s="4">
        <v>26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45" x14ac:dyDescent="0.2">
      <c r="A106" s="4">
        <v>50</v>
      </c>
      <c r="B106" s="4">
        <v>0</v>
      </c>
      <c r="C106" s="4">
        <v>0</v>
      </c>
      <c r="D106" s="4">
        <v>1</v>
      </c>
      <c r="E106" s="4">
        <v>224</v>
      </c>
      <c r="F106" s="4">
        <f>ROUND(Source!AR78,O106)</f>
        <v>180728.21</v>
      </c>
      <c r="G106" s="4" t="s">
        <v>102</v>
      </c>
      <c r="H106" s="4" t="s">
        <v>103</v>
      </c>
      <c r="I106" s="4"/>
      <c r="J106" s="4"/>
      <c r="K106" s="4">
        <v>-224</v>
      </c>
      <c r="L106" s="4">
        <v>27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8" spans="1:245" x14ac:dyDescent="0.2">
      <c r="A108" s="1">
        <v>4</v>
      </c>
      <c r="B108" s="1">
        <v>1</v>
      </c>
      <c r="C108" s="1"/>
      <c r="D108" s="1">
        <f>ROW(A127)</f>
        <v>127</v>
      </c>
      <c r="E108" s="1"/>
      <c r="F108" s="1" t="s">
        <v>13</v>
      </c>
      <c r="G108" s="1" t="s">
        <v>112</v>
      </c>
      <c r="H108" s="1" t="s">
        <v>3</v>
      </c>
      <c r="I108" s="1">
        <v>0</v>
      </c>
      <c r="J108" s="1"/>
      <c r="K108" s="1">
        <v>-1</v>
      </c>
      <c r="L108" s="1"/>
      <c r="M108" s="1" t="s">
        <v>3</v>
      </c>
      <c r="N108" s="1"/>
      <c r="O108" s="1"/>
      <c r="P108" s="1"/>
      <c r="Q108" s="1"/>
      <c r="R108" s="1"/>
      <c r="S108" s="1">
        <v>0</v>
      </c>
      <c r="T108" s="1"/>
      <c r="U108" s="1" t="s">
        <v>3</v>
      </c>
      <c r="V108" s="1">
        <v>7</v>
      </c>
      <c r="W108" s="1"/>
      <c r="X108" s="1"/>
      <c r="Y108" s="1"/>
      <c r="Z108" s="1"/>
      <c r="AA108" s="1"/>
      <c r="AB108" s="1" t="s">
        <v>3</v>
      </c>
      <c r="AC108" s="1" t="s">
        <v>3</v>
      </c>
      <c r="AD108" s="1" t="s">
        <v>3</v>
      </c>
      <c r="AE108" s="1" t="s">
        <v>3</v>
      </c>
      <c r="AF108" s="1" t="s">
        <v>3</v>
      </c>
      <c r="AG108" s="1" t="s">
        <v>3</v>
      </c>
      <c r="AH108" s="1"/>
      <c r="AI108" s="1"/>
      <c r="AJ108" s="1"/>
      <c r="AK108" s="1"/>
      <c r="AL108" s="1"/>
      <c r="AM108" s="1"/>
      <c r="AN108" s="1"/>
      <c r="AO108" s="1"/>
      <c r="AP108" s="1" t="s">
        <v>3</v>
      </c>
      <c r="AQ108" s="1" t="s">
        <v>3</v>
      </c>
      <c r="AR108" s="1" t="s">
        <v>3</v>
      </c>
      <c r="AS108" s="1"/>
      <c r="AT108" s="1"/>
      <c r="AU108" s="1"/>
      <c r="AV108" s="1"/>
      <c r="AW108" s="1"/>
      <c r="AX108" s="1"/>
      <c r="AY108" s="1"/>
      <c r="AZ108" s="1" t="s">
        <v>3</v>
      </c>
      <c r="BA108" s="1"/>
      <c r="BB108" s="1" t="s">
        <v>3</v>
      </c>
      <c r="BC108" s="1" t="s">
        <v>3</v>
      </c>
      <c r="BD108" s="1" t="s">
        <v>3</v>
      </c>
      <c r="BE108" s="1" t="s">
        <v>3</v>
      </c>
      <c r="BF108" s="1" t="s">
        <v>3</v>
      </c>
      <c r="BG108" s="1" t="s">
        <v>3</v>
      </c>
      <c r="BH108" s="1" t="s">
        <v>3</v>
      </c>
      <c r="BI108" s="1" t="s">
        <v>3</v>
      </c>
      <c r="BJ108" s="1" t="s">
        <v>3</v>
      </c>
      <c r="BK108" s="1" t="s">
        <v>3</v>
      </c>
      <c r="BL108" s="1" t="s">
        <v>3</v>
      </c>
      <c r="BM108" s="1" t="s">
        <v>3</v>
      </c>
      <c r="BN108" s="1" t="s">
        <v>3</v>
      </c>
      <c r="BO108" s="1" t="s">
        <v>3</v>
      </c>
      <c r="BP108" s="1" t="s">
        <v>3</v>
      </c>
      <c r="BQ108" s="1"/>
      <c r="BR108" s="1"/>
      <c r="BS108" s="1"/>
      <c r="BT108" s="1"/>
      <c r="BU108" s="1"/>
      <c r="BV108" s="1"/>
      <c r="BW108" s="1"/>
      <c r="BX108" s="1">
        <v>0</v>
      </c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>
        <v>0</v>
      </c>
    </row>
    <row r="110" spans="1:245" x14ac:dyDescent="0.2">
      <c r="A110" s="2">
        <v>52</v>
      </c>
      <c r="B110" s="2">
        <f t="shared" ref="B110:G110" si="104">B127</f>
        <v>1</v>
      </c>
      <c r="C110" s="2">
        <f t="shared" si="104"/>
        <v>4</v>
      </c>
      <c r="D110" s="2">
        <f t="shared" si="104"/>
        <v>108</v>
      </c>
      <c r="E110" s="2">
        <f t="shared" si="104"/>
        <v>0</v>
      </c>
      <c r="F110" s="2" t="str">
        <f t="shared" si="104"/>
        <v>Новый раздел</v>
      </c>
      <c r="G110" s="2" t="str">
        <f t="shared" si="104"/>
        <v>Ремонт веранд (280 м2)</v>
      </c>
      <c r="H110" s="2"/>
      <c r="I110" s="2"/>
      <c r="J110" s="2"/>
      <c r="K110" s="2"/>
      <c r="L110" s="2"/>
      <c r="M110" s="2"/>
      <c r="N110" s="2"/>
      <c r="O110" s="2">
        <f t="shared" ref="O110:AT110" si="105">O127</f>
        <v>341284.49</v>
      </c>
      <c r="P110" s="2">
        <f t="shared" si="105"/>
        <v>287233.42</v>
      </c>
      <c r="Q110" s="2">
        <f t="shared" si="105"/>
        <v>3893.33</v>
      </c>
      <c r="R110" s="2">
        <f t="shared" si="105"/>
        <v>2190.0700000000002</v>
      </c>
      <c r="S110" s="2">
        <f t="shared" si="105"/>
        <v>50157.74</v>
      </c>
      <c r="T110" s="2">
        <f t="shared" si="105"/>
        <v>0</v>
      </c>
      <c r="U110" s="2">
        <f t="shared" si="105"/>
        <v>270.45087999999998</v>
      </c>
      <c r="V110" s="2">
        <f t="shared" si="105"/>
        <v>0</v>
      </c>
      <c r="W110" s="2">
        <f t="shared" si="105"/>
        <v>0</v>
      </c>
      <c r="X110" s="2">
        <f t="shared" si="105"/>
        <v>35110.42</v>
      </c>
      <c r="Y110" s="2">
        <f t="shared" si="105"/>
        <v>5015.78</v>
      </c>
      <c r="Z110" s="2">
        <f t="shared" si="105"/>
        <v>0</v>
      </c>
      <c r="AA110" s="2">
        <f t="shared" si="105"/>
        <v>0</v>
      </c>
      <c r="AB110" s="2">
        <f t="shared" si="105"/>
        <v>341284.49</v>
      </c>
      <c r="AC110" s="2">
        <f t="shared" si="105"/>
        <v>287233.42</v>
      </c>
      <c r="AD110" s="2">
        <f t="shared" si="105"/>
        <v>3893.33</v>
      </c>
      <c r="AE110" s="2">
        <f t="shared" si="105"/>
        <v>2190.0700000000002</v>
      </c>
      <c r="AF110" s="2">
        <f t="shared" si="105"/>
        <v>50157.74</v>
      </c>
      <c r="AG110" s="2">
        <f t="shared" si="105"/>
        <v>0</v>
      </c>
      <c r="AH110" s="2">
        <f t="shared" si="105"/>
        <v>270.45087999999998</v>
      </c>
      <c r="AI110" s="2">
        <f t="shared" si="105"/>
        <v>0</v>
      </c>
      <c r="AJ110" s="2">
        <f t="shared" si="105"/>
        <v>0</v>
      </c>
      <c r="AK110" s="2">
        <f t="shared" si="105"/>
        <v>35110.42</v>
      </c>
      <c r="AL110" s="2">
        <f t="shared" si="105"/>
        <v>5015.78</v>
      </c>
      <c r="AM110" s="2">
        <f t="shared" si="105"/>
        <v>0</v>
      </c>
      <c r="AN110" s="2">
        <f t="shared" si="105"/>
        <v>0</v>
      </c>
      <c r="AO110" s="2">
        <f t="shared" si="105"/>
        <v>0</v>
      </c>
      <c r="AP110" s="2">
        <f t="shared" si="105"/>
        <v>0</v>
      </c>
      <c r="AQ110" s="2">
        <f t="shared" si="105"/>
        <v>0</v>
      </c>
      <c r="AR110" s="2">
        <f t="shared" si="105"/>
        <v>381505.61</v>
      </c>
      <c r="AS110" s="2">
        <f t="shared" si="105"/>
        <v>245000</v>
      </c>
      <c r="AT110" s="2">
        <f t="shared" si="105"/>
        <v>0</v>
      </c>
      <c r="AU110" s="2">
        <f t="shared" ref="AU110:BZ110" si="106">AU127</f>
        <v>136505.60999999999</v>
      </c>
      <c r="AV110" s="2">
        <f t="shared" si="106"/>
        <v>287233.42</v>
      </c>
      <c r="AW110" s="2">
        <f t="shared" si="106"/>
        <v>287233.42</v>
      </c>
      <c r="AX110" s="2">
        <f t="shared" si="106"/>
        <v>0</v>
      </c>
      <c r="AY110" s="2">
        <f t="shared" si="106"/>
        <v>287233.42</v>
      </c>
      <c r="AZ110" s="2">
        <f t="shared" si="106"/>
        <v>0</v>
      </c>
      <c r="BA110" s="2">
        <f t="shared" si="106"/>
        <v>0</v>
      </c>
      <c r="BB110" s="2">
        <f t="shared" si="106"/>
        <v>0</v>
      </c>
      <c r="BC110" s="2">
        <f t="shared" si="106"/>
        <v>0</v>
      </c>
      <c r="BD110" s="2">
        <f t="shared" si="106"/>
        <v>0</v>
      </c>
      <c r="BE110" s="2">
        <f t="shared" si="106"/>
        <v>0</v>
      </c>
      <c r="BF110" s="2">
        <f t="shared" si="106"/>
        <v>0</v>
      </c>
      <c r="BG110" s="2">
        <f t="shared" si="106"/>
        <v>0</v>
      </c>
      <c r="BH110" s="2">
        <f t="shared" si="106"/>
        <v>0</v>
      </c>
      <c r="BI110" s="2">
        <f t="shared" si="106"/>
        <v>0</v>
      </c>
      <c r="BJ110" s="2">
        <f t="shared" si="106"/>
        <v>0</v>
      </c>
      <c r="BK110" s="2">
        <f t="shared" si="106"/>
        <v>0</v>
      </c>
      <c r="BL110" s="2">
        <f t="shared" si="106"/>
        <v>0</v>
      </c>
      <c r="BM110" s="2">
        <f t="shared" si="106"/>
        <v>0</v>
      </c>
      <c r="BN110" s="2">
        <f t="shared" si="106"/>
        <v>0</v>
      </c>
      <c r="BO110" s="2">
        <f t="shared" si="106"/>
        <v>0</v>
      </c>
      <c r="BP110" s="2">
        <f t="shared" si="106"/>
        <v>0</v>
      </c>
      <c r="BQ110" s="2">
        <f t="shared" si="106"/>
        <v>0</v>
      </c>
      <c r="BR110" s="2">
        <f t="shared" si="106"/>
        <v>0</v>
      </c>
      <c r="BS110" s="2">
        <f t="shared" si="106"/>
        <v>0</v>
      </c>
      <c r="BT110" s="2">
        <f t="shared" si="106"/>
        <v>0</v>
      </c>
      <c r="BU110" s="2">
        <f t="shared" si="106"/>
        <v>0</v>
      </c>
      <c r="BV110" s="2">
        <f t="shared" si="106"/>
        <v>0</v>
      </c>
      <c r="BW110" s="2">
        <f t="shared" si="106"/>
        <v>0</v>
      </c>
      <c r="BX110" s="2">
        <f t="shared" si="106"/>
        <v>0</v>
      </c>
      <c r="BY110" s="2">
        <f t="shared" si="106"/>
        <v>0</v>
      </c>
      <c r="BZ110" s="2">
        <f t="shared" si="106"/>
        <v>0</v>
      </c>
      <c r="CA110" s="2">
        <f t="shared" ref="CA110:DF110" si="107">CA127</f>
        <v>381505.61</v>
      </c>
      <c r="CB110" s="2">
        <f t="shared" si="107"/>
        <v>245000</v>
      </c>
      <c r="CC110" s="2">
        <f t="shared" si="107"/>
        <v>0</v>
      </c>
      <c r="CD110" s="2">
        <f t="shared" si="107"/>
        <v>136505.60999999999</v>
      </c>
      <c r="CE110" s="2">
        <f t="shared" si="107"/>
        <v>287233.42</v>
      </c>
      <c r="CF110" s="2">
        <f t="shared" si="107"/>
        <v>287233.42</v>
      </c>
      <c r="CG110" s="2">
        <f t="shared" si="107"/>
        <v>0</v>
      </c>
      <c r="CH110" s="2">
        <f t="shared" si="107"/>
        <v>287233.42</v>
      </c>
      <c r="CI110" s="2">
        <f t="shared" si="107"/>
        <v>0</v>
      </c>
      <c r="CJ110" s="2">
        <f t="shared" si="107"/>
        <v>0</v>
      </c>
      <c r="CK110" s="2">
        <f t="shared" si="107"/>
        <v>0</v>
      </c>
      <c r="CL110" s="2">
        <f t="shared" si="107"/>
        <v>0</v>
      </c>
      <c r="CM110" s="2">
        <f t="shared" si="107"/>
        <v>0</v>
      </c>
      <c r="CN110" s="2">
        <f t="shared" si="107"/>
        <v>0</v>
      </c>
      <c r="CO110" s="2">
        <f t="shared" si="107"/>
        <v>0</v>
      </c>
      <c r="CP110" s="2">
        <f t="shared" si="107"/>
        <v>0</v>
      </c>
      <c r="CQ110" s="2">
        <f t="shared" si="107"/>
        <v>0</v>
      </c>
      <c r="CR110" s="2">
        <f t="shared" si="107"/>
        <v>0</v>
      </c>
      <c r="CS110" s="2">
        <f t="shared" si="107"/>
        <v>0</v>
      </c>
      <c r="CT110" s="2">
        <f t="shared" si="107"/>
        <v>0</v>
      </c>
      <c r="CU110" s="2">
        <f t="shared" si="107"/>
        <v>0</v>
      </c>
      <c r="CV110" s="2">
        <f t="shared" si="107"/>
        <v>0</v>
      </c>
      <c r="CW110" s="2">
        <f t="shared" si="107"/>
        <v>0</v>
      </c>
      <c r="CX110" s="2">
        <f t="shared" si="107"/>
        <v>0</v>
      </c>
      <c r="CY110" s="2">
        <f t="shared" si="107"/>
        <v>0</v>
      </c>
      <c r="CZ110" s="2">
        <f t="shared" si="107"/>
        <v>0</v>
      </c>
      <c r="DA110" s="2">
        <f t="shared" si="107"/>
        <v>0</v>
      </c>
      <c r="DB110" s="2">
        <f t="shared" si="107"/>
        <v>0</v>
      </c>
      <c r="DC110" s="2">
        <f t="shared" si="107"/>
        <v>0</v>
      </c>
      <c r="DD110" s="2">
        <f t="shared" si="107"/>
        <v>0</v>
      </c>
      <c r="DE110" s="2">
        <f t="shared" si="107"/>
        <v>0</v>
      </c>
      <c r="DF110" s="2">
        <f t="shared" si="107"/>
        <v>0</v>
      </c>
      <c r="DG110" s="3">
        <f t="shared" ref="DG110:EL110" si="108">DG127</f>
        <v>0</v>
      </c>
      <c r="DH110" s="3">
        <f t="shared" si="108"/>
        <v>0</v>
      </c>
      <c r="DI110" s="3">
        <f t="shared" si="108"/>
        <v>0</v>
      </c>
      <c r="DJ110" s="3">
        <f t="shared" si="108"/>
        <v>0</v>
      </c>
      <c r="DK110" s="3">
        <f t="shared" si="108"/>
        <v>0</v>
      </c>
      <c r="DL110" s="3">
        <f t="shared" si="108"/>
        <v>0</v>
      </c>
      <c r="DM110" s="3">
        <f t="shared" si="108"/>
        <v>0</v>
      </c>
      <c r="DN110" s="3">
        <f t="shared" si="108"/>
        <v>0</v>
      </c>
      <c r="DO110" s="3">
        <f t="shared" si="108"/>
        <v>0</v>
      </c>
      <c r="DP110" s="3">
        <f t="shared" si="108"/>
        <v>0</v>
      </c>
      <c r="DQ110" s="3">
        <f t="shared" si="108"/>
        <v>0</v>
      </c>
      <c r="DR110" s="3">
        <f t="shared" si="108"/>
        <v>0</v>
      </c>
      <c r="DS110" s="3">
        <f t="shared" si="108"/>
        <v>0</v>
      </c>
      <c r="DT110" s="3">
        <f t="shared" si="108"/>
        <v>0</v>
      </c>
      <c r="DU110" s="3">
        <f t="shared" si="108"/>
        <v>0</v>
      </c>
      <c r="DV110" s="3">
        <f t="shared" si="108"/>
        <v>0</v>
      </c>
      <c r="DW110" s="3">
        <f t="shared" si="108"/>
        <v>0</v>
      </c>
      <c r="DX110" s="3">
        <f t="shared" si="108"/>
        <v>0</v>
      </c>
      <c r="DY110" s="3">
        <f t="shared" si="108"/>
        <v>0</v>
      </c>
      <c r="DZ110" s="3">
        <f t="shared" si="108"/>
        <v>0</v>
      </c>
      <c r="EA110" s="3">
        <f t="shared" si="108"/>
        <v>0</v>
      </c>
      <c r="EB110" s="3">
        <f t="shared" si="108"/>
        <v>0</v>
      </c>
      <c r="EC110" s="3">
        <f t="shared" si="108"/>
        <v>0</v>
      </c>
      <c r="ED110" s="3">
        <f t="shared" si="108"/>
        <v>0</v>
      </c>
      <c r="EE110" s="3">
        <f t="shared" si="108"/>
        <v>0</v>
      </c>
      <c r="EF110" s="3">
        <f t="shared" si="108"/>
        <v>0</v>
      </c>
      <c r="EG110" s="3">
        <f t="shared" si="108"/>
        <v>0</v>
      </c>
      <c r="EH110" s="3">
        <f t="shared" si="108"/>
        <v>0</v>
      </c>
      <c r="EI110" s="3">
        <f t="shared" si="108"/>
        <v>0</v>
      </c>
      <c r="EJ110" s="3">
        <f t="shared" si="108"/>
        <v>0</v>
      </c>
      <c r="EK110" s="3">
        <f t="shared" si="108"/>
        <v>0</v>
      </c>
      <c r="EL110" s="3">
        <f t="shared" si="108"/>
        <v>0</v>
      </c>
      <c r="EM110" s="3">
        <f t="shared" ref="EM110:FR110" si="109">EM127</f>
        <v>0</v>
      </c>
      <c r="EN110" s="3">
        <f t="shared" si="109"/>
        <v>0</v>
      </c>
      <c r="EO110" s="3">
        <f t="shared" si="109"/>
        <v>0</v>
      </c>
      <c r="EP110" s="3">
        <f t="shared" si="109"/>
        <v>0</v>
      </c>
      <c r="EQ110" s="3">
        <f t="shared" si="109"/>
        <v>0</v>
      </c>
      <c r="ER110" s="3">
        <f t="shared" si="109"/>
        <v>0</v>
      </c>
      <c r="ES110" s="3">
        <f t="shared" si="109"/>
        <v>0</v>
      </c>
      <c r="ET110" s="3">
        <f t="shared" si="109"/>
        <v>0</v>
      </c>
      <c r="EU110" s="3">
        <f t="shared" si="109"/>
        <v>0</v>
      </c>
      <c r="EV110" s="3">
        <f t="shared" si="109"/>
        <v>0</v>
      </c>
      <c r="EW110" s="3">
        <f t="shared" si="109"/>
        <v>0</v>
      </c>
      <c r="EX110" s="3">
        <f t="shared" si="109"/>
        <v>0</v>
      </c>
      <c r="EY110" s="3">
        <f t="shared" si="109"/>
        <v>0</v>
      </c>
      <c r="EZ110" s="3">
        <f t="shared" si="109"/>
        <v>0</v>
      </c>
      <c r="FA110" s="3">
        <f t="shared" si="109"/>
        <v>0</v>
      </c>
      <c r="FB110" s="3">
        <f t="shared" si="109"/>
        <v>0</v>
      </c>
      <c r="FC110" s="3">
        <f t="shared" si="109"/>
        <v>0</v>
      </c>
      <c r="FD110" s="3">
        <f t="shared" si="109"/>
        <v>0</v>
      </c>
      <c r="FE110" s="3">
        <f t="shared" si="109"/>
        <v>0</v>
      </c>
      <c r="FF110" s="3">
        <f t="shared" si="109"/>
        <v>0</v>
      </c>
      <c r="FG110" s="3">
        <f t="shared" si="109"/>
        <v>0</v>
      </c>
      <c r="FH110" s="3">
        <f t="shared" si="109"/>
        <v>0</v>
      </c>
      <c r="FI110" s="3">
        <f t="shared" si="109"/>
        <v>0</v>
      </c>
      <c r="FJ110" s="3">
        <f t="shared" si="109"/>
        <v>0</v>
      </c>
      <c r="FK110" s="3">
        <f t="shared" si="109"/>
        <v>0</v>
      </c>
      <c r="FL110" s="3">
        <f t="shared" si="109"/>
        <v>0</v>
      </c>
      <c r="FM110" s="3">
        <f t="shared" si="109"/>
        <v>0</v>
      </c>
      <c r="FN110" s="3">
        <f t="shared" si="109"/>
        <v>0</v>
      </c>
      <c r="FO110" s="3">
        <f t="shared" si="109"/>
        <v>0</v>
      </c>
      <c r="FP110" s="3">
        <f t="shared" si="109"/>
        <v>0</v>
      </c>
      <c r="FQ110" s="3">
        <f t="shared" si="109"/>
        <v>0</v>
      </c>
      <c r="FR110" s="3">
        <f t="shared" si="109"/>
        <v>0</v>
      </c>
      <c r="FS110" s="3">
        <f t="shared" ref="FS110:GX110" si="110">FS127</f>
        <v>0</v>
      </c>
      <c r="FT110" s="3">
        <f t="shared" si="110"/>
        <v>0</v>
      </c>
      <c r="FU110" s="3">
        <f t="shared" si="110"/>
        <v>0</v>
      </c>
      <c r="FV110" s="3">
        <f t="shared" si="110"/>
        <v>0</v>
      </c>
      <c r="FW110" s="3">
        <f t="shared" si="110"/>
        <v>0</v>
      </c>
      <c r="FX110" s="3">
        <f t="shared" si="110"/>
        <v>0</v>
      </c>
      <c r="FY110" s="3">
        <f t="shared" si="110"/>
        <v>0</v>
      </c>
      <c r="FZ110" s="3">
        <f t="shared" si="110"/>
        <v>0</v>
      </c>
      <c r="GA110" s="3">
        <f t="shared" si="110"/>
        <v>0</v>
      </c>
      <c r="GB110" s="3">
        <f t="shared" si="110"/>
        <v>0</v>
      </c>
      <c r="GC110" s="3">
        <f t="shared" si="110"/>
        <v>0</v>
      </c>
      <c r="GD110" s="3">
        <f t="shared" si="110"/>
        <v>0</v>
      </c>
      <c r="GE110" s="3">
        <f t="shared" si="110"/>
        <v>0</v>
      </c>
      <c r="GF110" s="3">
        <f t="shared" si="110"/>
        <v>0</v>
      </c>
      <c r="GG110" s="3">
        <f t="shared" si="110"/>
        <v>0</v>
      </c>
      <c r="GH110" s="3">
        <f t="shared" si="110"/>
        <v>0</v>
      </c>
      <c r="GI110" s="3">
        <f t="shared" si="110"/>
        <v>0</v>
      </c>
      <c r="GJ110" s="3">
        <f t="shared" si="110"/>
        <v>0</v>
      </c>
      <c r="GK110" s="3">
        <f t="shared" si="110"/>
        <v>0</v>
      </c>
      <c r="GL110" s="3">
        <f t="shared" si="110"/>
        <v>0</v>
      </c>
      <c r="GM110" s="3">
        <f t="shared" si="110"/>
        <v>0</v>
      </c>
      <c r="GN110" s="3">
        <f t="shared" si="110"/>
        <v>0</v>
      </c>
      <c r="GO110" s="3">
        <f t="shared" si="110"/>
        <v>0</v>
      </c>
      <c r="GP110" s="3">
        <f t="shared" si="110"/>
        <v>0</v>
      </c>
      <c r="GQ110" s="3">
        <f t="shared" si="110"/>
        <v>0</v>
      </c>
      <c r="GR110" s="3">
        <f t="shared" si="110"/>
        <v>0</v>
      </c>
      <c r="GS110" s="3">
        <f t="shared" si="110"/>
        <v>0</v>
      </c>
      <c r="GT110" s="3">
        <f t="shared" si="110"/>
        <v>0</v>
      </c>
      <c r="GU110" s="3">
        <f t="shared" si="110"/>
        <v>0</v>
      </c>
      <c r="GV110" s="3">
        <f t="shared" si="110"/>
        <v>0</v>
      </c>
      <c r="GW110" s="3">
        <f t="shared" si="110"/>
        <v>0</v>
      </c>
      <c r="GX110" s="3">
        <f t="shared" si="110"/>
        <v>0</v>
      </c>
    </row>
    <row r="112" spans="1:245" x14ac:dyDescent="0.2">
      <c r="A112">
        <v>17</v>
      </c>
      <c r="B112">
        <v>1</v>
      </c>
      <c r="C112">
        <f>ROW(SmtRes!A32)</f>
        <v>32</v>
      </c>
      <c r="D112">
        <f>ROW(EtalonRes!A28)</f>
        <v>28</v>
      </c>
      <c r="E112" t="s">
        <v>113</v>
      </c>
      <c r="F112" t="s">
        <v>114</v>
      </c>
      <c r="G112" t="s">
        <v>115</v>
      </c>
      <c r="H112" t="s">
        <v>39</v>
      </c>
      <c r="I112">
        <f>ROUND(280/100,9)</f>
        <v>2.8</v>
      </c>
      <c r="J112">
        <v>0</v>
      </c>
      <c r="O112">
        <f t="shared" ref="O112:O125" si="111">ROUND(CP112,2)</f>
        <v>16194</v>
      </c>
      <c r="P112">
        <f t="shared" ref="P112:P125" si="112">ROUND(CQ112*I112,2)</f>
        <v>0</v>
      </c>
      <c r="Q112">
        <f t="shared" ref="Q112:Q125" si="113">ROUND(CR112*I112,2)</f>
        <v>0</v>
      </c>
      <c r="R112">
        <f t="shared" ref="R112:R125" si="114">ROUND(CS112*I112,2)</f>
        <v>0</v>
      </c>
      <c r="S112">
        <f t="shared" ref="S112:S125" si="115">ROUND(CT112*I112,2)</f>
        <v>16194</v>
      </c>
      <c r="T112">
        <f t="shared" ref="T112:T125" si="116">ROUND(CU112*I112,2)</f>
        <v>0</v>
      </c>
      <c r="U112">
        <f t="shared" ref="U112:U125" si="117">CV112*I112</f>
        <v>94.08</v>
      </c>
      <c r="V112">
        <f t="shared" ref="V112:V125" si="118">CW112*I112</f>
        <v>0</v>
      </c>
      <c r="W112">
        <f t="shared" ref="W112:W125" si="119">ROUND(CX112*I112,2)</f>
        <v>0</v>
      </c>
      <c r="X112">
        <f t="shared" ref="X112:X125" si="120">ROUND(CY112,2)</f>
        <v>11335.8</v>
      </c>
      <c r="Y112">
        <f t="shared" ref="Y112:Y125" si="121">ROUND(CZ112,2)</f>
        <v>1619.4</v>
      </c>
      <c r="AA112">
        <v>56440881</v>
      </c>
      <c r="AB112">
        <f t="shared" ref="AB112:AB125" si="122">ROUND((AC112+AD112+AF112),2)</f>
        <v>5783.57</v>
      </c>
      <c r="AC112">
        <f t="shared" ref="AC112:AC117" si="123">ROUND((ES112),2)</f>
        <v>0</v>
      </c>
      <c r="AD112">
        <f t="shared" ref="AD112:AD117" si="124">ROUND((((ET112)-(EU112))+AE112),2)</f>
        <v>0</v>
      </c>
      <c r="AE112">
        <f t="shared" ref="AE112:AF117" si="125">ROUND((EU112),2)</f>
        <v>0</v>
      </c>
      <c r="AF112">
        <f t="shared" si="125"/>
        <v>5783.57</v>
      </c>
      <c r="AG112">
        <f t="shared" ref="AG112:AG125" si="126">ROUND((AP112),2)</f>
        <v>0</v>
      </c>
      <c r="AH112">
        <f t="shared" ref="AH112:AI117" si="127">(EW112)</f>
        <v>33.6</v>
      </c>
      <c r="AI112">
        <f t="shared" si="127"/>
        <v>0</v>
      </c>
      <c r="AJ112">
        <f t="shared" ref="AJ112:AJ125" si="128">(AS112)</f>
        <v>0</v>
      </c>
      <c r="AK112">
        <v>5783.57</v>
      </c>
      <c r="AL112">
        <v>0</v>
      </c>
      <c r="AM112">
        <v>0</v>
      </c>
      <c r="AN112">
        <v>0</v>
      </c>
      <c r="AO112">
        <v>5783.57</v>
      </c>
      <c r="AP112">
        <v>0</v>
      </c>
      <c r="AQ112">
        <v>33.6</v>
      </c>
      <c r="AR112">
        <v>0</v>
      </c>
      <c r="AS112">
        <v>0</v>
      </c>
      <c r="AT112">
        <v>70</v>
      </c>
      <c r="AU112">
        <v>10</v>
      </c>
      <c r="AV112">
        <v>1</v>
      </c>
      <c r="AW112">
        <v>1</v>
      </c>
      <c r="AZ112">
        <v>1</v>
      </c>
      <c r="BA112">
        <v>1</v>
      </c>
      <c r="BB112">
        <v>1</v>
      </c>
      <c r="BC112">
        <v>1</v>
      </c>
      <c r="BD112" t="s">
        <v>3</v>
      </c>
      <c r="BE112" t="s">
        <v>3</v>
      </c>
      <c r="BF112" t="s">
        <v>3</v>
      </c>
      <c r="BG112" t="s">
        <v>3</v>
      </c>
      <c r="BH112">
        <v>0</v>
      </c>
      <c r="BI112">
        <v>4</v>
      </c>
      <c r="BJ112" t="s">
        <v>116</v>
      </c>
      <c r="BM112">
        <v>0</v>
      </c>
      <c r="BN112">
        <v>0</v>
      </c>
      <c r="BO112" t="s">
        <v>3</v>
      </c>
      <c r="BP112">
        <v>0</v>
      </c>
      <c r="BQ112">
        <v>1</v>
      </c>
      <c r="BR112">
        <v>0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 t="s">
        <v>3</v>
      </c>
      <c r="BZ112">
        <v>70</v>
      </c>
      <c r="CA112">
        <v>10</v>
      </c>
      <c r="CE112">
        <v>0</v>
      </c>
      <c r="CF112">
        <v>0</v>
      </c>
      <c r="CG112">
        <v>0</v>
      </c>
      <c r="CM112">
        <v>0</v>
      </c>
      <c r="CN112" t="s">
        <v>3</v>
      </c>
      <c r="CO112">
        <v>0</v>
      </c>
      <c r="CP112">
        <f t="shared" ref="CP112:CP125" si="129">(P112+Q112+S112)</f>
        <v>16194</v>
      </c>
      <c r="CQ112">
        <f t="shared" ref="CQ112:CQ121" si="130">(AC112*BC112*AW112)</f>
        <v>0</v>
      </c>
      <c r="CR112">
        <f t="shared" ref="CR112:CR117" si="131">((((ET112)*BB112-(EU112)*BS112)+AE112*BS112)*AV112)</f>
        <v>0</v>
      </c>
      <c r="CS112">
        <f t="shared" ref="CS112:CS121" si="132">(AE112*BS112*AV112)</f>
        <v>0</v>
      </c>
      <c r="CT112">
        <f t="shared" ref="CT112:CT121" si="133">(AF112*BA112*AV112)</f>
        <v>5783.57</v>
      </c>
      <c r="CU112">
        <f t="shared" ref="CU112:CU125" si="134">AG112</f>
        <v>0</v>
      </c>
      <c r="CV112">
        <f t="shared" ref="CV112:CV121" si="135">(AH112*AV112)</f>
        <v>33.6</v>
      </c>
      <c r="CW112">
        <f t="shared" ref="CW112:CW125" si="136">AI112</f>
        <v>0</v>
      </c>
      <c r="CX112">
        <f t="shared" ref="CX112:CX125" si="137">AJ112</f>
        <v>0</v>
      </c>
      <c r="CY112">
        <f t="shared" ref="CY112:CY121" si="138">((S112*BZ112)/100)</f>
        <v>11335.8</v>
      </c>
      <c r="CZ112">
        <f t="shared" ref="CZ112:CZ121" si="139">((S112*CA112)/100)</f>
        <v>1619.4</v>
      </c>
      <c r="DC112" t="s">
        <v>3</v>
      </c>
      <c r="DD112" t="s">
        <v>3</v>
      </c>
      <c r="DE112" t="s">
        <v>3</v>
      </c>
      <c r="DF112" t="s">
        <v>3</v>
      </c>
      <c r="DG112" t="s">
        <v>3</v>
      </c>
      <c r="DH112" t="s">
        <v>3</v>
      </c>
      <c r="DI112" t="s">
        <v>3</v>
      </c>
      <c r="DJ112" t="s">
        <v>3</v>
      </c>
      <c r="DK112" t="s">
        <v>3</v>
      </c>
      <c r="DL112" t="s">
        <v>3</v>
      </c>
      <c r="DM112" t="s">
        <v>3</v>
      </c>
      <c r="DN112">
        <v>0</v>
      </c>
      <c r="DO112">
        <v>0</v>
      </c>
      <c r="DP112">
        <v>1</v>
      </c>
      <c r="DQ112">
        <v>1</v>
      </c>
      <c r="DU112">
        <v>1005</v>
      </c>
      <c r="DV112" t="s">
        <v>39</v>
      </c>
      <c r="DW112" t="s">
        <v>39</v>
      </c>
      <c r="DX112">
        <v>100</v>
      </c>
      <c r="DZ112" t="s">
        <v>3</v>
      </c>
      <c r="EA112" t="s">
        <v>3</v>
      </c>
      <c r="EB112" t="s">
        <v>3</v>
      </c>
      <c r="EC112" t="s">
        <v>3</v>
      </c>
      <c r="EE112">
        <v>54545671</v>
      </c>
      <c r="EF112">
        <v>1</v>
      </c>
      <c r="EG112" t="s">
        <v>20</v>
      </c>
      <c r="EH112">
        <v>0</v>
      </c>
      <c r="EI112" t="s">
        <v>3</v>
      </c>
      <c r="EJ112">
        <v>4</v>
      </c>
      <c r="EK112">
        <v>0</v>
      </c>
      <c r="EL112" t="s">
        <v>21</v>
      </c>
      <c r="EM112" t="s">
        <v>22</v>
      </c>
      <c r="EO112" t="s">
        <v>3</v>
      </c>
      <c r="EQ112">
        <v>0</v>
      </c>
      <c r="ER112">
        <v>5783.57</v>
      </c>
      <c r="ES112">
        <v>0</v>
      </c>
      <c r="ET112">
        <v>0</v>
      </c>
      <c r="EU112">
        <v>0</v>
      </c>
      <c r="EV112">
        <v>5783.57</v>
      </c>
      <c r="EW112">
        <v>33.6</v>
      </c>
      <c r="EX112">
        <v>0</v>
      </c>
      <c r="EY112">
        <v>0</v>
      </c>
      <c r="FQ112">
        <v>0</v>
      </c>
      <c r="FR112">
        <f t="shared" ref="FR112:FR125" si="140">ROUND(IF(AND(BH112=3,BI112=3),P112,0),2)</f>
        <v>0</v>
      </c>
      <c r="FS112">
        <v>0</v>
      </c>
      <c r="FX112">
        <v>70</v>
      </c>
      <c r="FY112">
        <v>10</v>
      </c>
      <c r="GA112" t="s">
        <v>3</v>
      </c>
      <c r="GD112">
        <v>0</v>
      </c>
      <c r="GF112">
        <v>-951715982</v>
      </c>
      <c r="GG112">
        <v>2</v>
      </c>
      <c r="GH112">
        <v>1</v>
      </c>
      <c r="GI112">
        <v>-2</v>
      </c>
      <c r="GJ112">
        <v>0</v>
      </c>
      <c r="GK112">
        <f>ROUND(R112*(R12)/100,2)</f>
        <v>0</v>
      </c>
      <c r="GL112">
        <f t="shared" ref="GL112:GL125" si="141">ROUND(IF(AND(BH112=3,BI112=3,FS112&lt;&gt;0),P112,0),2)</f>
        <v>0</v>
      </c>
      <c r="GM112">
        <f>ROUND(O112+X112+Y112+GK112,2)+GX112</f>
        <v>29149.200000000001</v>
      </c>
      <c r="GN112">
        <f>IF(OR(BI112=0,BI112=1),ROUND(O112+X112+Y112+GK112,2),0)</f>
        <v>0</v>
      </c>
      <c r="GO112">
        <f>IF(BI112=2,ROUND(O112+X112+Y112+GK112,2),0)</f>
        <v>0</v>
      </c>
      <c r="GP112">
        <f>IF(BI112=4,ROUND(O112+X112+Y112+GK112,2)+GX112,0)</f>
        <v>29149.200000000001</v>
      </c>
      <c r="GR112">
        <v>0</v>
      </c>
      <c r="GS112">
        <v>3</v>
      </c>
      <c r="GT112">
        <v>0</v>
      </c>
      <c r="GU112" t="s">
        <v>3</v>
      </c>
      <c r="GV112">
        <f t="shared" ref="GV112:GV125" si="142">ROUND((GT112),2)</f>
        <v>0</v>
      </c>
      <c r="GW112">
        <v>1</v>
      </c>
      <c r="GX112">
        <f t="shared" ref="GX112:GX125" si="143">ROUND(HC112*I112,2)</f>
        <v>0</v>
      </c>
      <c r="HA112">
        <v>0</v>
      </c>
      <c r="HB112">
        <v>0</v>
      </c>
      <c r="HC112">
        <f t="shared" ref="HC112:HC125" si="144">GV112*GW112</f>
        <v>0</v>
      </c>
      <c r="HE112" t="s">
        <v>3</v>
      </c>
      <c r="HF112" t="s">
        <v>3</v>
      </c>
      <c r="IK112">
        <v>0</v>
      </c>
    </row>
    <row r="113" spans="1:245" x14ac:dyDescent="0.2">
      <c r="A113">
        <v>18</v>
      </c>
      <c r="B113">
        <v>1</v>
      </c>
      <c r="C113">
        <v>32</v>
      </c>
      <c r="E113" t="s">
        <v>117</v>
      </c>
      <c r="F113" t="s">
        <v>118</v>
      </c>
      <c r="G113" t="s">
        <v>119</v>
      </c>
      <c r="H113" t="s">
        <v>44</v>
      </c>
      <c r="I113">
        <f>I112*J113</f>
        <v>-2.2400000000000002</v>
      </c>
      <c r="J113">
        <v>-0.80000000000000016</v>
      </c>
      <c r="O113">
        <f t="shared" si="111"/>
        <v>0</v>
      </c>
      <c r="P113">
        <f t="shared" si="112"/>
        <v>0</v>
      </c>
      <c r="Q113">
        <f t="shared" si="113"/>
        <v>0</v>
      </c>
      <c r="R113">
        <f t="shared" si="114"/>
        <v>0</v>
      </c>
      <c r="S113">
        <f t="shared" si="115"/>
        <v>0</v>
      </c>
      <c r="T113">
        <f t="shared" si="116"/>
        <v>0</v>
      </c>
      <c r="U113">
        <f t="shared" si="117"/>
        <v>0</v>
      </c>
      <c r="V113">
        <f t="shared" si="118"/>
        <v>0</v>
      </c>
      <c r="W113">
        <f t="shared" si="119"/>
        <v>0</v>
      </c>
      <c r="X113">
        <f t="shared" si="120"/>
        <v>0</v>
      </c>
      <c r="Y113">
        <f t="shared" si="121"/>
        <v>0</v>
      </c>
      <c r="AA113">
        <v>56440881</v>
      </c>
      <c r="AB113">
        <f t="shared" si="122"/>
        <v>0</v>
      </c>
      <c r="AC113">
        <f t="shared" si="123"/>
        <v>0</v>
      </c>
      <c r="AD113">
        <f t="shared" si="124"/>
        <v>0</v>
      </c>
      <c r="AE113">
        <f t="shared" si="125"/>
        <v>0</v>
      </c>
      <c r="AF113">
        <f t="shared" si="125"/>
        <v>0</v>
      </c>
      <c r="AG113">
        <f t="shared" si="126"/>
        <v>0</v>
      </c>
      <c r="AH113">
        <f t="shared" si="127"/>
        <v>0</v>
      </c>
      <c r="AI113">
        <f t="shared" si="127"/>
        <v>0</v>
      </c>
      <c r="AJ113">
        <f t="shared" si="128"/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70</v>
      </c>
      <c r="AU113">
        <v>10</v>
      </c>
      <c r="AV113">
        <v>1</v>
      </c>
      <c r="AW113">
        <v>1</v>
      </c>
      <c r="AZ113">
        <v>1</v>
      </c>
      <c r="BA113">
        <v>1</v>
      </c>
      <c r="BB113">
        <v>1</v>
      </c>
      <c r="BC113">
        <v>1</v>
      </c>
      <c r="BD113" t="s">
        <v>3</v>
      </c>
      <c r="BE113" t="s">
        <v>3</v>
      </c>
      <c r="BF113" t="s">
        <v>3</v>
      </c>
      <c r="BG113" t="s">
        <v>3</v>
      </c>
      <c r="BH113">
        <v>3</v>
      </c>
      <c r="BI113">
        <v>4</v>
      </c>
      <c r="BJ113" t="s">
        <v>3</v>
      </c>
      <c r="BM113">
        <v>0</v>
      </c>
      <c r="BN113">
        <v>0</v>
      </c>
      <c r="BO113" t="s">
        <v>3</v>
      </c>
      <c r="BP113">
        <v>0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 t="s">
        <v>3</v>
      </c>
      <c r="BZ113">
        <v>70</v>
      </c>
      <c r="CA113">
        <v>10</v>
      </c>
      <c r="CE113">
        <v>0</v>
      </c>
      <c r="CF113">
        <v>0</v>
      </c>
      <c r="CG113">
        <v>0</v>
      </c>
      <c r="CM113">
        <v>0</v>
      </c>
      <c r="CN113" t="s">
        <v>3</v>
      </c>
      <c r="CO113">
        <v>0</v>
      </c>
      <c r="CP113">
        <f t="shared" si="129"/>
        <v>0</v>
      </c>
      <c r="CQ113">
        <f t="shared" si="130"/>
        <v>0</v>
      </c>
      <c r="CR113">
        <f t="shared" si="131"/>
        <v>0</v>
      </c>
      <c r="CS113">
        <f t="shared" si="132"/>
        <v>0</v>
      </c>
      <c r="CT113">
        <f t="shared" si="133"/>
        <v>0</v>
      </c>
      <c r="CU113">
        <f t="shared" si="134"/>
        <v>0</v>
      </c>
      <c r="CV113">
        <f t="shared" si="135"/>
        <v>0</v>
      </c>
      <c r="CW113">
        <f t="shared" si="136"/>
        <v>0</v>
      </c>
      <c r="CX113">
        <f t="shared" si="137"/>
        <v>0</v>
      </c>
      <c r="CY113">
        <f t="shared" si="138"/>
        <v>0</v>
      </c>
      <c r="CZ113">
        <f t="shared" si="139"/>
        <v>0</v>
      </c>
      <c r="DC113" t="s">
        <v>3</v>
      </c>
      <c r="DD113" t="s">
        <v>3</v>
      </c>
      <c r="DE113" t="s">
        <v>3</v>
      </c>
      <c r="DF113" t="s">
        <v>3</v>
      </c>
      <c r="DG113" t="s">
        <v>3</v>
      </c>
      <c r="DH113" t="s">
        <v>3</v>
      </c>
      <c r="DI113" t="s">
        <v>3</v>
      </c>
      <c r="DJ113" t="s">
        <v>3</v>
      </c>
      <c r="DK113" t="s">
        <v>3</v>
      </c>
      <c r="DL113" t="s">
        <v>3</v>
      </c>
      <c r="DM113" t="s">
        <v>3</v>
      </c>
      <c r="DN113">
        <v>0</v>
      </c>
      <c r="DO113">
        <v>0</v>
      </c>
      <c r="DP113">
        <v>1</v>
      </c>
      <c r="DQ113">
        <v>1</v>
      </c>
      <c r="DU113">
        <v>1009</v>
      </c>
      <c r="DV113" t="s">
        <v>44</v>
      </c>
      <c r="DW113" t="s">
        <v>44</v>
      </c>
      <c r="DX113">
        <v>1000</v>
      </c>
      <c r="DZ113" t="s">
        <v>3</v>
      </c>
      <c r="EA113" t="s">
        <v>3</v>
      </c>
      <c r="EB113" t="s">
        <v>3</v>
      </c>
      <c r="EC113" t="s">
        <v>3</v>
      </c>
      <c r="EE113">
        <v>54545671</v>
      </c>
      <c r="EF113">
        <v>1</v>
      </c>
      <c r="EG113" t="s">
        <v>20</v>
      </c>
      <c r="EH113">
        <v>0</v>
      </c>
      <c r="EI113" t="s">
        <v>3</v>
      </c>
      <c r="EJ113">
        <v>4</v>
      </c>
      <c r="EK113">
        <v>0</v>
      </c>
      <c r="EL113" t="s">
        <v>21</v>
      </c>
      <c r="EM113" t="s">
        <v>22</v>
      </c>
      <c r="EO113" t="s">
        <v>3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FQ113">
        <v>0</v>
      </c>
      <c r="FR113">
        <f t="shared" si="140"/>
        <v>0</v>
      </c>
      <c r="FS113">
        <v>0</v>
      </c>
      <c r="FX113">
        <v>70</v>
      </c>
      <c r="FY113">
        <v>10</v>
      </c>
      <c r="GA113" t="s">
        <v>3</v>
      </c>
      <c r="GD113">
        <v>0</v>
      </c>
      <c r="GF113">
        <v>1489638031</v>
      </c>
      <c r="GG113">
        <v>2</v>
      </c>
      <c r="GH113">
        <v>1</v>
      </c>
      <c r="GI113">
        <v>-2</v>
      </c>
      <c r="GJ113">
        <v>0</v>
      </c>
      <c r="GK113">
        <f>ROUND(R113*(R12)/100,2)</f>
        <v>0</v>
      </c>
      <c r="GL113">
        <f t="shared" si="141"/>
        <v>0</v>
      </c>
      <c r="GM113">
        <f>ROUND(O113+X113+Y113+GK113,2)+GX113</f>
        <v>0</v>
      </c>
      <c r="GN113">
        <f>IF(OR(BI113=0,BI113=1),ROUND(O113+X113+Y113+GK113,2),0)</f>
        <v>0</v>
      </c>
      <c r="GO113">
        <f>IF(BI113=2,ROUND(O113+X113+Y113+GK113,2),0)</f>
        <v>0</v>
      </c>
      <c r="GP113">
        <f>IF(BI113=4,ROUND(O113+X113+Y113+GK113,2)+GX113,0)</f>
        <v>0</v>
      </c>
      <c r="GR113">
        <v>0</v>
      </c>
      <c r="GS113">
        <v>3</v>
      </c>
      <c r="GT113">
        <v>0</v>
      </c>
      <c r="GU113" t="s">
        <v>3</v>
      </c>
      <c r="GV113">
        <f t="shared" si="142"/>
        <v>0</v>
      </c>
      <c r="GW113">
        <v>1</v>
      </c>
      <c r="GX113">
        <f t="shared" si="143"/>
        <v>0</v>
      </c>
      <c r="HA113">
        <v>0</v>
      </c>
      <c r="HB113">
        <v>0</v>
      </c>
      <c r="HC113">
        <f t="shared" si="144"/>
        <v>0</v>
      </c>
      <c r="HE113" t="s">
        <v>3</v>
      </c>
      <c r="HF113" t="s">
        <v>3</v>
      </c>
      <c r="IK113">
        <v>0</v>
      </c>
    </row>
    <row r="114" spans="1:245" x14ac:dyDescent="0.2">
      <c r="A114">
        <v>17</v>
      </c>
      <c r="B114">
        <v>1</v>
      </c>
      <c r="C114">
        <f>ROW(SmtRes!A33)</f>
        <v>33</v>
      </c>
      <c r="D114">
        <f>ROW(EtalonRes!A29)</f>
        <v>29</v>
      </c>
      <c r="E114" t="s">
        <v>120</v>
      </c>
      <c r="F114" t="s">
        <v>121</v>
      </c>
      <c r="G114" t="s">
        <v>122</v>
      </c>
      <c r="H114" t="s">
        <v>44</v>
      </c>
      <c r="I114">
        <f>ROUND(I116,9)</f>
        <v>2.016</v>
      </c>
      <c r="J114">
        <v>0</v>
      </c>
      <c r="O114">
        <f t="shared" si="111"/>
        <v>157.16999999999999</v>
      </c>
      <c r="P114">
        <f t="shared" si="112"/>
        <v>0</v>
      </c>
      <c r="Q114">
        <f t="shared" si="113"/>
        <v>157.16999999999999</v>
      </c>
      <c r="R114">
        <f t="shared" si="114"/>
        <v>49.57</v>
      </c>
      <c r="S114">
        <f t="shared" si="115"/>
        <v>0</v>
      </c>
      <c r="T114">
        <f t="shared" si="116"/>
        <v>0</v>
      </c>
      <c r="U114">
        <f t="shared" si="117"/>
        <v>0</v>
      </c>
      <c r="V114">
        <f t="shared" si="118"/>
        <v>0</v>
      </c>
      <c r="W114">
        <f t="shared" si="119"/>
        <v>0</v>
      </c>
      <c r="X114">
        <f t="shared" si="120"/>
        <v>0</v>
      </c>
      <c r="Y114">
        <f t="shared" si="121"/>
        <v>0</v>
      </c>
      <c r="AA114">
        <v>56440881</v>
      </c>
      <c r="AB114">
        <f t="shared" si="122"/>
        <v>77.959999999999994</v>
      </c>
      <c r="AC114">
        <f t="shared" si="123"/>
        <v>0</v>
      </c>
      <c r="AD114">
        <f t="shared" si="124"/>
        <v>77.959999999999994</v>
      </c>
      <c r="AE114">
        <f t="shared" si="125"/>
        <v>24.59</v>
      </c>
      <c r="AF114">
        <f t="shared" si="125"/>
        <v>0</v>
      </c>
      <c r="AG114">
        <f t="shared" si="126"/>
        <v>0</v>
      </c>
      <c r="AH114">
        <f t="shared" si="127"/>
        <v>0</v>
      </c>
      <c r="AI114">
        <f t="shared" si="127"/>
        <v>0</v>
      </c>
      <c r="AJ114">
        <f t="shared" si="128"/>
        <v>0</v>
      </c>
      <c r="AK114">
        <v>77.959999999999994</v>
      </c>
      <c r="AL114">
        <v>0</v>
      </c>
      <c r="AM114">
        <v>77.959999999999994</v>
      </c>
      <c r="AN114">
        <v>24.59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70</v>
      </c>
      <c r="AU114">
        <v>10</v>
      </c>
      <c r="AV114">
        <v>1</v>
      </c>
      <c r="AW114">
        <v>1</v>
      </c>
      <c r="AZ114">
        <v>1</v>
      </c>
      <c r="BA114">
        <v>1</v>
      </c>
      <c r="BB114">
        <v>1</v>
      </c>
      <c r="BC114">
        <v>1</v>
      </c>
      <c r="BD114" t="s">
        <v>3</v>
      </c>
      <c r="BE114" t="s">
        <v>3</v>
      </c>
      <c r="BF114" t="s">
        <v>3</v>
      </c>
      <c r="BG114" t="s">
        <v>3</v>
      </c>
      <c r="BH114">
        <v>0</v>
      </c>
      <c r="BI114">
        <v>4</v>
      </c>
      <c r="BJ114" t="s">
        <v>123</v>
      </c>
      <c r="BM114">
        <v>0</v>
      </c>
      <c r="BN114">
        <v>0</v>
      </c>
      <c r="BO114" t="s">
        <v>3</v>
      </c>
      <c r="BP114">
        <v>0</v>
      </c>
      <c r="BQ114">
        <v>1</v>
      </c>
      <c r="BR114">
        <v>0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 t="s">
        <v>3</v>
      </c>
      <c r="BZ114">
        <v>70</v>
      </c>
      <c r="CA114">
        <v>10</v>
      </c>
      <c r="CE114">
        <v>0</v>
      </c>
      <c r="CF114">
        <v>0</v>
      </c>
      <c r="CG114">
        <v>0</v>
      </c>
      <c r="CM114">
        <v>0</v>
      </c>
      <c r="CN114" t="s">
        <v>3</v>
      </c>
      <c r="CO114">
        <v>0</v>
      </c>
      <c r="CP114">
        <f t="shared" si="129"/>
        <v>157.16999999999999</v>
      </c>
      <c r="CQ114">
        <f t="shared" si="130"/>
        <v>0</v>
      </c>
      <c r="CR114">
        <f t="shared" si="131"/>
        <v>77.959999999999994</v>
      </c>
      <c r="CS114">
        <f t="shared" si="132"/>
        <v>24.59</v>
      </c>
      <c r="CT114">
        <f t="shared" si="133"/>
        <v>0</v>
      </c>
      <c r="CU114">
        <f t="shared" si="134"/>
        <v>0</v>
      </c>
      <c r="CV114">
        <f t="shared" si="135"/>
        <v>0</v>
      </c>
      <c r="CW114">
        <f t="shared" si="136"/>
        <v>0</v>
      </c>
      <c r="CX114">
        <f t="shared" si="137"/>
        <v>0</v>
      </c>
      <c r="CY114">
        <f t="shared" si="138"/>
        <v>0</v>
      </c>
      <c r="CZ114">
        <f t="shared" si="139"/>
        <v>0</v>
      </c>
      <c r="DC114" t="s">
        <v>3</v>
      </c>
      <c r="DD114" t="s">
        <v>3</v>
      </c>
      <c r="DE114" t="s">
        <v>3</v>
      </c>
      <c r="DF114" t="s">
        <v>3</v>
      </c>
      <c r="DG114" t="s">
        <v>3</v>
      </c>
      <c r="DH114" t="s">
        <v>3</v>
      </c>
      <c r="DI114" t="s">
        <v>3</v>
      </c>
      <c r="DJ114" t="s">
        <v>3</v>
      </c>
      <c r="DK114" t="s">
        <v>3</v>
      </c>
      <c r="DL114" t="s">
        <v>3</v>
      </c>
      <c r="DM114" t="s">
        <v>3</v>
      </c>
      <c r="DN114">
        <v>0</v>
      </c>
      <c r="DO114">
        <v>0</v>
      </c>
      <c r="DP114">
        <v>1</v>
      </c>
      <c r="DQ114">
        <v>1</v>
      </c>
      <c r="DU114">
        <v>1009</v>
      </c>
      <c r="DV114" t="s">
        <v>44</v>
      </c>
      <c r="DW114" t="s">
        <v>44</v>
      </c>
      <c r="DX114">
        <v>1000</v>
      </c>
      <c r="DZ114" t="s">
        <v>3</v>
      </c>
      <c r="EA114" t="s">
        <v>3</v>
      </c>
      <c r="EB114" t="s">
        <v>3</v>
      </c>
      <c r="EC114" t="s">
        <v>3</v>
      </c>
      <c r="EE114">
        <v>54545671</v>
      </c>
      <c r="EF114">
        <v>1</v>
      </c>
      <c r="EG114" t="s">
        <v>20</v>
      </c>
      <c r="EH114">
        <v>0</v>
      </c>
      <c r="EI114" t="s">
        <v>3</v>
      </c>
      <c r="EJ114">
        <v>4</v>
      </c>
      <c r="EK114">
        <v>0</v>
      </c>
      <c r="EL114" t="s">
        <v>21</v>
      </c>
      <c r="EM114" t="s">
        <v>22</v>
      </c>
      <c r="EO114" t="s">
        <v>3</v>
      </c>
      <c r="EQ114">
        <v>0</v>
      </c>
      <c r="ER114">
        <v>77.959999999999994</v>
      </c>
      <c r="ES114">
        <v>0</v>
      </c>
      <c r="ET114">
        <v>77.959999999999994</v>
      </c>
      <c r="EU114">
        <v>24.59</v>
      </c>
      <c r="EV114">
        <v>0</v>
      </c>
      <c r="EW114">
        <v>0</v>
      </c>
      <c r="EX114">
        <v>0</v>
      </c>
      <c r="EY114">
        <v>0</v>
      </c>
      <c r="FQ114">
        <v>0</v>
      </c>
      <c r="FR114">
        <f t="shared" si="140"/>
        <v>0</v>
      </c>
      <c r="FS114">
        <v>0</v>
      </c>
      <c r="FX114">
        <v>70</v>
      </c>
      <c r="FY114">
        <v>10</v>
      </c>
      <c r="GA114" t="s">
        <v>3</v>
      </c>
      <c r="GD114">
        <v>0</v>
      </c>
      <c r="GF114">
        <v>729648069</v>
      </c>
      <c r="GG114">
        <v>2</v>
      </c>
      <c r="GH114">
        <v>1</v>
      </c>
      <c r="GI114">
        <v>-2</v>
      </c>
      <c r="GJ114">
        <v>0</v>
      </c>
      <c r="GK114">
        <f>ROUND(R114*(R12)/100,2)</f>
        <v>53.54</v>
      </c>
      <c r="GL114">
        <f t="shared" si="141"/>
        <v>0</v>
      </c>
      <c r="GM114">
        <f>ROUND(O114+X114+Y114+GK114,2)+GX114</f>
        <v>210.71</v>
      </c>
      <c r="GN114">
        <f>IF(OR(BI114=0,BI114=1),ROUND(O114+X114+Y114+GK114,2),0)</f>
        <v>0</v>
      </c>
      <c r="GO114">
        <f>IF(BI114=2,ROUND(O114+X114+Y114+GK114,2),0)</f>
        <v>0</v>
      </c>
      <c r="GP114">
        <f>IF(BI114=4,ROUND(O114+X114+Y114+GK114,2)+GX114,0)</f>
        <v>210.71</v>
      </c>
      <c r="GR114">
        <v>0</v>
      </c>
      <c r="GS114">
        <v>3</v>
      </c>
      <c r="GT114">
        <v>0</v>
      </c>
      <c r="GU114" t="s">
        <v>3</v>
      </c>
      <c r="GV114">
        <f t="shared" si="142"/>
        <v>0</v>
      </c>
      <c r="GW114">
        <v>1</v>
      </c>
      <c r="GX114">
        <f t="shared" si="143"/>
        <v>0</v>
      </c>
      <c r="HA114">
        <v>0</v>
      </c>
      <c r="HB114">
        <v>0</v>
      </c>
      <c r="HC114">
        <f t="shared" si="144"/>
        <v>0</v>
      </c>
      <c r="HE114" t="s">
        <v>3</v>
      </c>
      <c r="HF114" t="s">
        <v>3</v>
      </c>
      <c r="IK114">
        <v>0</v>
      </c>
    </row>
    <row r="115" spans="1:245" x14ac:dyDescent="0.2">
      <c r="A115">
        <v>17</v>
      </c>
      <c r="B115">
        <v>1</v>
      </c>
      <c r="C115">
        <f>ROW(SmtRes!A35)</f>
        <v>35</v>
      </c>
      <c r="D115">
        <f>ROW(EtalonRes!A31)</f>
        <v>31</v>
      </c>
      <c r="E115" t="s">
        <v>124</v>
      </c>
      <c r="F115" t="s">
        <v>125</v>
      </c>
      <c r="G115" t="s">
        <v>126</v>
      </c>
      <c r="H115" t="s">
        <v>44</v>
      </c>
      <c r="I115">
        <f>ROUND(I117,9)</f>
        <v>0.224</v>
      </c>
      <c r="J115">
        <v>0</v>
      </c>
      <c r="O115">
        <f t="shared" si="111"/>
        <v>168.53</v>
      </c>
      <c r="P115">
        <f t="shared" si="112"/>
        <v>0</v>
      </c>
      <c r="Q115">
        <f t="shared" si="113"/>
        <v>114.95</v>
      </c>
      <c r="R115">
        <f t="shared" si="114"/>
        <v>38.200000000000003</v>
      </c>
      <c r="S115">
        <f t="shared" si="115"/>
        <v>53.58</v>
      </c>
      <c r="T115">
        <f t="shared" si="116"/>
        <v>0</v>
      </c>
      <c r="U115">
        <f t="shared" si="117"/>
        <v>0.25088000000000005</v>
      </c>
      <c r="V115">
        <f t="shared" si="118"/>
        <v>0</v>
      </c>
      <c r="W115">
        <f t="shared" si="119"/>
        <v>0</v>
      </c>
      <c r="X115">
        <f t="shared" si="120"/>
        <v>37.51</v>
      </c>
      <c r="Y115">
        <f t="shared" si="121"/>
        <v>5.36</v>
      </c>
      <c r="AA115">
        <v>56440881</v>
      </c>
      <c r="AB115">
        <f t="shared" si="122"/>
        <v>752.35</v>
      </c>
      <c r="AC115">
        <f t="shared" si="123"/>
        <v>0</v>
      </c>
      <c r="AD115">
        <f t="shared" si="124"/>
        <v>513.16999999999996</v>
      </c>
      <c r="AE115">
        <f t="shared" si="125"/>
        <v>170.54</v>
      </c>
      <c r="AF115">
        <f t="shared" si="125"/>
        <v>239.18</v>
      </c>
      <c r="AG115">
        <f t="shared" si="126"/>
        <v>0</v>
      </c>
      <c r="AH115">
        <f t="shared" si="127"/>
        <v>1.1200000000000001</v>
      </c>
      <c r="AI115">
        <f t="shared" si="127"/>
        <v>0</v>
      </c>
      <c r="AJ115">
        <f t="shared" si="128"/>
        <v>0</v>
      </c>
      <c r="AK115">
        <v>752.35</v>
      </c>
      <c r="AL115">
        <v>0</v>
      </c>
      <c r="AM115">
        <v>513.16999999999996</v>
      </c>
      <c r="AN115">
        <v>170.54</v>
      </c>
      <c r="AO115">
        <v>239.18</v>
      </c>
      <c r="AP115">
        <v>0</v>
      </c>
      <c r="AQ115">
        <v>1.1200000000000001</v>
      </c>
      <c r="AR115">
        <v>0</v>
      </c>
      <c r="AS115">
        <v>0</v>
      </c>
      <c r="AT115">
        <v>70</v>
      </c>
      <c r="AU115">
        <v>10</v>
      </c>
      <c r="AV115">
        <v>1</v>
      </c>
      <c r="AW115">
        <v>1</v>
      </c>
      <c r="AZ115">
        <v>1</v>
      </c>
      <c r="BA115">
        <v>1</v>
      </c>
      <c r="BB115">
        <v>1</v>
      </c>
      <c r="BC115">
        <v>1</v>
      </c>
      <c r="BD115" t="s">
        <v>3</v>
      </c>
      <c r="BE115" t="s">
        <v>3</v>
      </c>
      <c r="BF115" t="s">
        <v>3</v>
      </c>
      <c r="BG115" t="s">
        <v>3</v>
      </c>
      <c r="BH115">
        <v>0</v>
      </c>
      <c r="BI115">
        <v>4</v>
      </c>
      <c r="BJ115" t="s">
        <v>127</v>
      </c>
      <c r="BM115">
        <v>0</v>
      </c>
      <c r="BN115">
        <v>0</v>
      </c>
      <c r="BO115" t="s">
        <v>3</v>
      </c>
      <c r="BP115">
        <v>0</v>
      </c>
      <c r="BQ115">
        <v>1</v>
      </c>
      <c r="BR115">
        <v>0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 t="s">
        <v>3</v>
      </c>
      <c r="BZ115">
        <v>70</v>
      </c>
      <c r="CA115">
        <v>10</v>
      </c>
      <c r="CE115">
        <v>0</v>
      </c>
      <c r="CF115">
        <v>0</v>
      </c>
      <c r="CG115">
        <v>0</v>
      </c>
      <c r="CM115">
        <v>0</v>
      </c>
      <c r="CN115" t="s">
        <v>3</v>
      </c>
      <c r="CO115">
        <v>0</v>
      </c>
      <c r="CP115">
        <f t="shared" si="129"/>
        <v>168.53</v>
      </c>
      <c r="CQ115">
        <f t="shared" si="130"/>
        <v>0</v>
      </c>
      <c r="CR115">
        <f t="shared" si="131"/>
        <v>513.16999999999996</v>
      </c>
      <c r="CS115">
        <f t="shared" si="132"/>
        <v>170.54</v>
      </c>
      <c r="CT115">
        <f t="shared" si="133"/>
        <v>239.18</v>
      </c>
      <c r="CU115">
        <f t="shared" si="134"/>
        <v>0</v>
      </c>
      <c r="CV115">
        <f t="shared" si="135"/>
        <v>1.1200000000000001</v>
      </c>
      <c r="CW115">
        <f t="shared" si="136"/>
        <v>0</v>
      </c>
      <c r="CX115">
        <f t="shared" si="137"/>
        <v>0</v>
      </c>
      <c r="CY115">
        <f t="shared" si="138"/>
        <v>37.506</v>
      </c>
      <c r="CZ115">
        <f t="shared" si="139"/>
        <v>5.3579999999999997</v>
      </c>
      <c r="DC115" t="s">
        <v>3</v>
      </c>
      <c r="DD115" t="s">
        <v>3</v>
      </c>
      <c r="DE115" t="s">
        <v>3</v>
      </c>
      <c r="DF115" t="s">
        <v>3</v>
      </c>
      <c r="DG115" t="s">
        <v>3</v>
      </c>
      <c r="DH115" t="s">
        <v>3</v>
      </c>
      <c r="DI115" t="s">
        <v>3</v>
      </c>
      <c r="DJ115" t="s">
        <v>3</v>
      </c>
      <c r="DK115" t="s">
        <v>3</v>
      </c>
      <c r="DL115" t="s">
        <v>3</v>
      </c>
      <c r="DM115" t="s">
        <v>3</v>
      </c>
      <c r="DN115">
        <v>0</v>
      </c>
      <c r="DO115">
        <v>0</v>
      </c>
      <c r="DP115">
        <v>1</v>
      </c>
      <c r="DQ115">
        <v>1</v>
      </c>
      <c r="DU115">
        <v>1009</v>
      </c>
      <c r="DV115" t="s">
        <v>44</v>
      </c>
      <c r="DW115" t="s">
        <v>44</v>
      </c>
      <c r="DX115">
        <v>1000</v>
      </c>
      <c r="DZ115" t="s">
        <v>3</v>
      </c>
      <c r="EA115" t="s">
        <v>3</v>
      </c>
      <c r="EB115" t="s">
        <v>3</v>
      </c>
      <c r="EC115" t="s">
        <v>3</v>
      </c>
      <c r="EE115">
        <v>54545671</v>
      </c>
      <c r="EF115">
        <v>1</v>
      </c>
      <c r="EG115" t="s">
        <v>20</v>
      </c>
      <c r="EH115">
        <v>0</v>
      </c>
      <c r="EI115" t="s">
        <v>3</v>
      </c>
      <c r="EJ115">
        <v>4</v>
      </c>
      <c r="EK115">
        <v>0</v>
      </c>
      <c r="EL115" t="s">
        <v>21</v>
      </c>
      <c r="EM115" t="s">
        <v>22</v>
      </c>
      <c r="EO115" t="s">
        <v>3</v>
      </c>
      <c r="EQ115">
        <v>0</v>
      </c>
      <c r="ER115">
        <v>752.35</v>
      </c>
      <c r="ES115">
        <v>0</v>
      </c>
      <c r="ET115">
        <v>513.16999999999996</v>
      </c>
      <c r="EU115">
        <v>170.54</v>
      </c>
      <c r="EV115">
        <v>239.18</v>
      </c>
      <c r="EW115">
        <v>1.1200000000000001</v>
      </c>
      <c r="EX115">
        <v>0</v>
      </c>
      <c r="EY115">
        <v>0</v>
      </c>
      <c r="FQ115">
        <v>0</v>
      </c>
      <c r="FR115">
        <f t="shared" si="140"/>
        <v>0</v>
      </c>
      <c r="FS115">
        <v>0</v>
      </c>
      <c r="FX115">
        <v>70</v>
      </c>
      <c r="FY115">
        <v>10</v>
      </c>
      <c r="GA115" t="s">
        <v>3</v>
      </c>
      <c r="GD115">
        <v>0</v>
      </c>
      <c r="GF115">
        <v>-615305314</v>
      </c>
      <c r="GG115">
        <v>2</v>
      </c>
      <c r="GH115">
        <v>1</v>
      </c>
      <c r="GI115">
        <v>-2</v>
      </c>
      <c r="GJ115">
        <v>0</v>
      </c>
      <c r="GK115">
        <f>ROUND(R115*(R12)/100,2)</f>
        <v>41.26</v>
      </c>
      <c r="GL115">
        <f t="shared" si="141"/>
        <v>0</v>
      </c>
      <c r="GM115">
        <f>ROUND(O115+X115+Y115+GK115,2)+GX115</f>
        <v>252.66</v>
      </c>
      <c r="GN115">
        <f>IF(OR(BI115=0,BI115=1),ROUND(O115+X115+Y115+GK115,2),0)</f>
        <v>0</v>
      </c>
      <c r="GO115">
        <f>IF(BI115=2,ROUND(O115+X115+Y115+GK115,2),0)</f>
        <v>0</v>
      </c>
      <c r="GP115">
        <f>IF(BI115=4,ROUND(O115+X115+Y115+GK115,2)+GX115,0)</f>
        <v>252.66</v>
      </c>
      <c r="GR115">
        <v>0</v>
      </c>
      <c r="GS115">
        <v>3</v>
      </c>
      <c r="GT115">
        <v>0</v>
      </c>
      <c r="GU115" t="s">
        <v>3</v>
      </c>
      <c r="GV115">
        <f t="shared" si="142"/>
        <v>0</v>
      </c>
      <c r="GW115">
        <v>1</v>
      </c>
      <c r="GX115">
        <f t="shared" si="143"/>
        <v>0</v>
      </c>
      <c r="HA115">
        <v>0</v>
      </c>
      <c r="HB115">
        <v>0</v>
      </c>
      <c r="HC115">
        <f t="shared" si="144"/>
        <v>0</v>
      </c>
      <c r="HE115" t="s">
        <v>3</v>
      </c>
      <c r="HF115" t="s">
        <v>3</v>
      </c>
      <c r="IK115">
        <v>0</v>
      </c>
    </row>
    <row r="116" spans="1:245" x14ac:dyDescent="0.2">
      <c r="A116">
        <v>17</v>
      </c>
      <c r="B116">
        <v>1</v>
      </c>
      <c r="C116">
        <f>ROW(SmtRes!A37)</f>
        <v>37</v>
      </c>
      <c r="D116">
        <f>ROW(EtalonRes!A33)</f>
        <v>33</v>
      </c>
      <c r="E116" t="s">
        <v>128</v>
      </c>
      <c r="F116" t="s">
        <v>129</v>
      </c>
      <c r="G116" t="s">
        <v>130</v>
      </c>
      <c r="H116" t="s">
        <v>44</v>
      </c>
      <c r="I116">
        <f>ROUND(I118*0.9,9)</f>
        <v>2.016</v>
      </c>
      <c r="J116">
        <v>0</v>
      </c>
      <c r="O116">
        <f t="shared" si="111"/>
        <v>126</v>
      </c>
      <c r="P116">
        <f t="shared" si="112"/>
        <v>0</v>
      </c>
      <c r="Q116">
        <f t="shared" si="113"/>
        <v>126</v>
      </c>
      <c r="R116">
        <f t="shared" si="114"/>
        <v>74.63</v>
      </c>
      <c r="S116">
        <f t="shared" si="115"/>
        <v>0</v>
      </c>
      <c r="T116">
        <f t="shared" si="116"/>
        <v>0</v>
      </c>
      <c r="U116">
        <f t="shared" si="117"/>
        <v>0</v>
      </c>
      <c r="V116">
        <f t="shared" si="118"/>
        <v>0</v>
      </c>
      <c r="W116">
        <f t="shared" si="119"/>
        <v>0</v>
      </c>
      <c r="X116">
        <f t="shared" si="120"/>
        <v>0</v>
      </c>
      <c r="Y116">
        <f t="shared" si="121"/>
        <v>0</v>
      </c>
      <c r="AA116">
        <v>56440881</v>
      </c>
      <c r="AB116">
        <f t="shared" si="122"/>
        <v>62.5</v>
      </c>
      <c r="AC116">
        <f t="shared" si="123"/>
        <v>0</v>
      </c>
      <c r="AD116">
        <f t="shared" si="124"/>
        <v>62.5</v>
      </c>
      <c r="AE116">
        <f t="shared" si="125"/>
        <v>37.020000000000003</v>
      </c>
      <c r="AF116">
        <f t="shared" si="125"/>
        <v>0</v>
      </c>
      <c r="AG116">
        <f t="shared" si="126"/>
        <v>0</v>
      </c>
      <c r="AH116">
        <f t="shared" si="127"/>
        <v>0</v>
      </c>
      <c r="AI116">
        <f t="shared" si="127"/>
        <v>0</v>
      </c>
      <c r="AJ116">
        <f t="shared" si="128"/>
        <v>0</v>
      </c>
      <c r="AK116">
        <v>62.5</v>
      </c>
      <c r="AL116">
        <v>0</v>
      </c>
      <c r="AM116">
        <v>62.5</v>
      </c>
      <c r="AN116">
        <v>37.020000000000003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1</v>
      </c>
      <c r="AZ116">
        <v>1</v>
      </c>
      <c r="BA116">
        <v>1</v>
      </c>
      <c r="BB116">
        <v>1</v>
      </c>
      <c r="BC116">
        <v>1</v>
      </c>
      <c r="BD116" t="s">
        <v>3</v>
      </c>
      <c r="BE116" t="s">
        <v>3</v>
      </c>
      <c r="BF116" t="s">
        <v>3</v>
      </c>
      <c r="BG116" t="s">
        <v>3</v>
      </c>
      <c r="BH116">
        <v>0</v>
      </c>
      <c r="BI116">
        <v>4</v>
      </c>
      <c r="BJ116" t="s">
        <v>131</v>
      </c>
      <c r="BM116">
        <v>1</v>
      </c>
      <c r="BN116">
        <v>0</v>
      </c>
      <c r="BO116" t="s">
        <v>3</v>
      </c>
      <c r="BP116">
        <v>0</v>
      </c>
      <c r="BQ116">
        <v>1</v>
      </c>
      <c r="BR116">
        <v>0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 t="s">
        <v>3</v>
      </c>
      <c r="BZ116">
        <v>0</v>
      </c>
      <c r="CA116">
        <v>0</v>
      </c>
      <c r="CE116">
        <v>0</v>
      </c>
      <c r="CF116">
        <v>0</v>
      </c>
      <c r="CG116">
        <v>0</v>
      </c>
      <c r="CM116">
        <v>0</v>
      </c>
      <c r="CN116" t="s">
        <v>3</v>
      </c>
      <c r="CO116">
        <v>0</v>
      </c>
      <c r="CP116">
        <f t="shared" si="129"/>
        <v>126</v>
      </c>
      <c r="CQ116">
        <f t="shared" si="130"/>
        <v>0</v>
      </c>
      <c r="CR116">
        <f t="shared" si="131"/>
        <v>62.5</v>
      </c>
      <c r="CS116">
        <f t="shared" si="132"/>
        <v>37.020000000000003</v>
      </c>
      <c r="CT116">
        <f t="shared" si="133"/>
        <v>0</v>
      </c>
      <c r="CU116">
        <f t="shared" si="134"/>
        <v>0</v>
      </c>
      <c r="CV116">
        <f t="shared" si="135"/>
        <v>0</v>
      </c>
      <c r="CW116">
        <f t="shared" si="136"/>
        <v>0</v>
      </c>
      <c r="CX116">
        <f t="shared" si="137"/>
        <v>0</v>
      </c>
      <c r="CY116">
        <f t="shared" si="138"/>
        <v>0</v>
      </c>
      <c r="CZ116">
        <f t="shared" si="139"/>
        <v>0</v>
      </c>
      <c r="DC116" t="s">
        <v>3</v>
      </c>
      <c r="DD116" t="s">
        <v>3</v>
      </c>
      <c r="DE116" t="s">
        <v>3</v>
      </c>
      <c r="DF116" t="s">
        <v>3</v>
      </c>
      <c r="DG116" t="s">
        <v>3</v>
      </c>
      <c r="DH116" t="s">
        <v>3</v>
      </c>
      <c r="DI116" t="s">
        <v>3</v>
      </c>
      <c r="DJ116" t="s">
        <v>3</v>
      </c>
      <c r="DK116" t="s">
        <v>3</v>
      </c>
      <c r="DL116" t="s">
        <v>3</v>
      </c>
      <c r="DM116" t="s">
        <v>3</v>
      </c>
      <c r="DN116">
        <v>0</v>
      </c>
      <c r="DO116">
        <v>0</v>
      </c>
      <c r="DP116">
        <v>1</v>
      </c>
      <c r="DQ116">
        <v>1</v>
      </c>
      <c r="DU116">
        <v>1009</v>
      </c>
      <c r="DV116" t="s">
        <v>44</v>
      </c>
      <c r="DW116" t="s">
        <v>44</v>
      </c>
      <c r="DX116">
        <v>1000</v>
      </c>
      <c r="DZ116" t="s">
        <v>3</v>
      </c>
      <c r="EA116" t="s">
        <v>3</v>
      </c>
      <c r="EB116" t="s">
        <v>3</v>
      </c>
      <c r="EC116" t="s">
        <v>3</v>
      </c>
      <c r="EE116">
        <v>54545673</v>
      </c>
      <c r="EF116">
        <v>1</v>
      </c>
      <c r="EG116" t="s">
        <v>20</v>
      </c>
      <c r="EH116">
        <v>0</v>
      </c>
      <c r="EI116" t="s">
        <v>3</v>
      </c>
      <c r="EJ116">
        <v>4</v>
      </c>
      <c r="EK116">
        <v>1</v>
      </c>
      <c r="EL116" t="s">
        <v>132</v>
      </c>
      <c r="EM116" t="s">
        <v>22</v>
      </c>
      <c r="EO116" t="s">
        <v>3</v>
      </c>
      <c r="EQ116">
        <v>0</v>
      </c>
      <c r="ER116">
        <v>62.5</v>
      </c>
      <c r="ES116">
        <v>0</v>
      </c>
      <c r="ET116">
        <v>62.5</v>
      </c>
      <c r="EU116">
        <v>37.020000000000003</v>
      </c>
      <c r="EV116">
        <v>0</v>
      </c>
      <c r="EW116">
        <v>0</v>
      </c>
      <c r="EX116">
        <v>0</v>
      </c>
      <c r="EY116">
        <v>0</v>
      </c>
      <c r="FQ116">
        <v>0</v>
      </c>
      <c r="FR116">
        <f t="shared" si="140"/>
        <v>0</v>
      </c>
      <c r="FS116">
        <v>0</v>
      </c>
      <c r="FX116">
        <v>0</v>
      </c>
      <c r="FY116">
        <v>0</v>
      </c>
      <c r="GA116" t="s">
        <v>3</v>
      </c>
      <c r="GD116">
        <v>1</v>
      </c>
      <c r="GF116">
        <v>512225628</v>
      </c>
      <c r="GG116">
        <v>2</v>
      </c>
      <c r="GH116">
        <v>1</v>
      </c>
      <c r="GI116">
        <v>-2</v>
      </c>
      <c r="GJ116">
        <v>0</v>
      </c>
      <c r="GK116">
        <v>0</v>
      </c>
      <c r="GL116">
        <f t="shared" si="141"/>
        <v>0</v>
      </c>
      <c r="GM116">
        <f>ROUND(O116+X116+Y116,2)+GX116</f>
        <v>126</v>
      </c>
      <c r="GN116">
        <f>IF(OR(BI116=0,BI116=1),ROUND(O116+X116+Y116,2),0)</f>
        <v>0</v>
      </c>
      <c r="GO116">
        <f>IF(BI116=2,ROUND(O116+X116+Y116,2),0)</f>
        <v>0</v>
      </c>
      <c r="GP116">
        <f>IF(BI116=4,ROUND(O116+X116+Y116,2)+GX116,0)</f>
        <v>126</v>
      </c>
      <c r="GR116">
        <v>0</v>
      </c>
      <c r="GS116">
        <v>3</v>
      </c>
      <c r="GT116">
        <v>0</v>
      </c>
      <c r="GU116" t="s">
        <v>3</v>
      </c>
      <c r="GV116">
        <f t="shared" si="142"/>
        <v>0</v>
      </c>
      <c r="GW116">
        <v>1</v>
      </c>
      <c r="GX116">
        <f t="shared" si="143"/>
        <v>0</v>
      </c>
      <c r="HA116">
        <v>0</v>
      </c>
      <c r="HB116">
        <v>0</v>
      </c>
      <c r="HC116">
        <f t="shared" si="144"/>
        <v>0</v>
      </c>
      <c r="HE116" t="s">
        <v>3</v>
      </c>
      <c r="HF116" t="s">
        <v>3</v>
      </c>
      <c r="IK116">
        <v>0</v>
      </c>
    </row>
    <row r="117" spans="1:245" x14ac:dyDescent="0.2">
      <c r="A117">
        <v>17</v>
      </c>
      <c r="B117">
        <v>1</v>
      </c>
      <c r="C117">
        <f>ROW(SmtRes!A39)</f>
        <v>39</v>
      </c>
      <c r="D117">
        <f>ROW(EtalonRes!A35)</f>
        <v>35</v>
      </c>
      <c r="E117" t="s">
        <v>133</v>
      </c>
      <c r="F117" t="s">
        <v>134</v>
      </c>
      <c r="G117" t="s">
        <v>135</v>
      </c>
      <c r="H117" t="s">
        <v>44</v>
      </c>
      <c r="I117">
        <f>ROUND(I118*0.1,9)</f>
        <v>0.224</v>
      </c>
      <c r="J117">
        <v>0</v>
      </c>
      <c r="O117">
        <f t="shared" si="111"/>
        <v>40.19</v>
      </c>
      <c r="P117">
        <f t="shared" si="112"/>
        <v>0</v>
      </c>
      <c r="Q117">
        <f t="shared" si="113"/>
        <v>40.19</v>
      </c>
      <c r="R117">
        <f t="shared" si="114"/>
        <v>23.79</v>
      </c>
      <c r="S117">
        <f t="shared" si="115"/>
        <v>0</v>
      </c>
      <c r="T117">
        <f t="shared" si="116"/>
        <v>0</v>
      </c>
      <c r="U117">
        <f t="shared" si="117"/>
        <v>0</v>
      </c>
      <c r="V117">
        <f t="shared" si="118"/>
        <v>0</v>
      </c>
      <c r="W117">
        <f t="shared" si="119"/>
        <v>0</v>
      </c>
      <c r="X117">
        <f t="shared" si="120"/>
        <v>0</v>
      </c>
      <c r="Y117">
        <f t="shared" si="121"/>
        <v>0</v>
      </c>
      <c r="AA117">
        <v>56440881</v>
      </c>
      <c r="AB117">
        <f t="shared" si="122"/>
        <v>179.4</v>
      </c>
      <c r="AC117">
        <f t="shared" si="123"/>
        <v>0</v>
      </c>
      <c r="AD117">
        <f t="shared" si="124"/>
        <v>179.4</v>
      </c>
      <c r="AE117">
        <f t="shared" si="125"/>
        <v>106.2</v>
      </c>
      <c r="AF117">
        <f t="shared" si="125"/>
        <v>0</v>
      </c>
      <c r="AG117">
        <f t="shared" si="126"/>
        <v>0</v>
      </c>
      <c r="AH117">
        <f t="shared" si="127"/>
        <v>0</v>
      </c>
      <c r="AI117">
        <f t="shared" si="127"/>
        <v>0</v>
      </c>
      <c r="AJ117">
        <f t="shared" si="128"/>
        <v>0</v>
      </c>
      <c r="AK117">
        <v>179.4</v>
      </c>
      <c r="AL117">
        <v>0</v>
      </c>
      <c r="AM117">
        <v>179.4</v>
      </c>
      <c r="AN117">
        <v>106.2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Z117">
        <v>1</v>
      </c>
      <c r="BA117">
        <v>1</v>
      </c>
      <c r="BB117">
        <v>1</v>
      </c>
      <c r="BC117">
        <v>1</v>
      </c>
      <c r="BD117" t="s">
        <v>3</v>
      </c>
      <c r="BE117" t="s">
        <v>3</v>
      </c>
      <c r="BF117" t="s">
        <v>3</v>
      </c>
      <c r="BG117" t="s">
        <v>3</v>
      </c>
      <c r="BH117">
        <v>0</v>
      </c>
      <c r="BI117">
        <v>4</v>
      </c>
      <c r="BJ117" t="s">
        <v>136</v>
      </c>
      <c r="BM117">
        <v>1</v>
      </c>
      <c r="BN117">
        <v>0</v>
      </c>
      <c r="BO117" t="s">
        <v>3</v>
      </c>
      <c r="BP117">
        <v>0</v>
      </c>
      <c r="BQ117">
        <v>1</v>
      </c>
      <c r="BR117">
        <v>0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 t="s">
        <v>3</v>
      </c>
      <c r="BZ117">
        <v>0</v>
      </c>
      <c r="CA117">
        <v>0</v>
      </c>
      <c r="CE117">
        <v>0</v>
      </c>
      <c r="CF117">
        <v>0</v>
      </c>
      <c r="CG117">
        <v>0</v>
      </c>
      <c r="CM117">
        <v>0</v>
      </c>
      <c r="CN117" t="s">
        <v>3</v>
      </c>
      <c r="CO117">
        <v>0</v>
      </c>
      <c r="CP117">
        <f t="shared" si="129"/>
        <v>40.19</v>
      </c>
      <c r="CQ117">
        <f t="shared" si="130"/>
        <v>0</v>
      </c>
      <c r="CR117">
        <f t="shared" si="131"/>
        <v>179.4</v>
      </c>
      <c r="CS117">
        <f t="shared" si="132"/>
        <v>106.2</v>
      </c>
      <c r="CT117">
        <f t="shared" si="133"/>
        <v>0</v>
      </c>
      <c r="CU117">
        <f t="shared" si="134"/>
        <v>0</v>
      </c>
      <c r="CV117">
        <f t="shared" si="135"/>
        <v>0</v>
      </c>
      <c r="CW117">
        <f t="shared" si="136"/>
        <v>0</v>
      </c>
      <c r="CX117">
        <f t="shared" si="137"/>
        <v>0</v>
      </c>
      <c r="CY117">
        <f t="shared" si="138"/>
        <v>0</v>
      </c>
      <c r="CZ117">
        <f t="shared" si="139"/>
        <v>0</v>
      </c>
      <c r="DC117" t="s">
        <v>3</v>
      </c>
      <c r="DD117" t="s">
        <v>3</v>
      </c>
      <c r="DE117" t="s">
        <v>3</v>
      </c>
      <c r="DF117" t="s">
        <v>3</v>
      </c>
      <c r="DG117" t="s">
        <v>3</v>
      </c>
      <c r="DH117" t="s">
        <v>3</v>
      </c>
      <c r="DI117" t="s">
        <v>3</v>
      </c>
      <c r="DJ117" t="s">
        <v>3</v>
      </c>
      <c r="DK117" t="s">
        <v>3</v>
      </c>
      <c r="DL117" t="s">
        <v>3</v>
      </c>
      <c r="DM117" t="s">
        <v>3</v>
      </c>
      <c r="DN117">
        <v>0</v>
      </c>
      <c r="DO117">
        <v>0</v>
      </c>
      <c r="DP117">
        <v>1</v>
      </c>
      <c r="DQ117">
        <v>1</v>
      </c>
      <c r="DU117">
        <v>1009</v>
      </c>
      <c r="DV117" t="s">
        <v>44</v>
      </c>
      <c r="DW117" t="s">
        <v>44</v>
      </c>
      <c r="DX117">
        <v>1000</v>
      </c>
      <c r="DZ117" t="s">
        <v>3</v>
      </c>
      <c r="EA117" t="s">
        <v>3</v>
      </c>
      <c r="EB117" t="s">
        <v>3</v>
      </c>
      <c r="EC117" t="s">
        <v>3</v>
      </c>
      <c r="EE117">
        <v>54545673</v>
      </c>
      <c r="EF117">
        <v>1</v>
      </c>
      <c r="EG117" t="s">
        <v>20</v>
      </c>
      <c r="EH117">
        <v>0</v>
      </c>
      <c r="EI117" t="s">
        <v>3</v>
      </c>
      <c r="EJ117">
        <v>4</v>
      </c>
      <c r="EK117">
        <v>1</v>
      </c>
      <c r="EL117" t="s">
        <v>132</v>
      </c>
      <c r="EM117" t="s">
        <v>22</v>
      </c>
      <c r="EO117" t="s">
        <v>3</v>
      </c>
      <c r="EQ117">
        <v>0</v>
      </c>
      <c r="ER117">
        <v>179.4</v>
      </c>
      <c r="ES117">
        <v>0</v>
      </c>
      <c r="ET117">
        <v>179.4</v>
      </c>
      <c r="EU117">
        <v>106.2</v>
      </c>
      <c r="EV117">
        <v>0</v>
      </c>
      <c r="EW117">
        <v>0</v>
      </c>
      <c r="EX117">
        <v>0</v>
      </c>
      <c r="EY117">
        <v>0</v>
      </c>
      <c r="FQ117">
        <v>0</v>
      </c>
      <c r="FR117">
        <f t="shared" si="140"/>
        <v>0</v>
      </c>
      <c r="FS117">
        <v>0</v>
      </c>
      <c r="FX117">
        <v>0</v>
      </c>
      <c r="FY117">
        <v>0</v>
      </c>
      <c r="GA117" t="s">
        <v>3</v>
      </c>
      <c r="GD117">
        <v>1</v>
      </c>
      <c r="GF117">
        <v>-1684252738</v>
      </c>
      <c r="GG117">
        <v>2</v>
      </c>
      <c r="GH117">
        <v>1</v>
      </c>
      <c r="GI117">
        <v>-2</v>
      </c>
      <c r="GJ117">
        <v>0</v>
      </c>
      <c r="GK117">
        <v>0</v>
      </c>
      <c r="GL117">
        <f t="shared" si="141"/>
        <v>0</v>
      </c>
      <c r="GM117">
        <f>ROUND(O117+X117+Y117,2)+GX117</f>
        <v>40.19</v>
      </c>
      <c r="GN117">
        <f>IF(OR(BI117=0,BI117=1),ROUND(O117+X117+Y117,2),0)</f>
        <v>0</v>
      </c>
      <c r="GO117">
        <f>IF(BI117=2,ROUND(O117+X117+Y117,2),0)</f>
        <v>0</v>
      </c>
      <c r="GP117">
        <f>IF(BI117=4,ROUND(O117+X117+Y117,2)+GX117,0)</f>
        <v>40.19</v>
      </c>
      <c r="GR117">
        <v>0</v>
      </c>
      <c r="GS117">
        <v>3</v>
      </c>
      <c r="GT117">
        <v>0</v>
      </c>
      <c r="GU117" t="s">
        <v>3</v>
      </c>
      <c r="GV117">
        <f t="shared" si="142"/>
        <v>0</v>
      </c>
      <c r="GW117">
        <v>1</v>
      </c>
      <c r="GX117">
        <f t="shared" si="143"/>
        <v>0</v>
      </c>
      <c r="HA117">
        <v>0</v>
      </c>
      <c r="HB117">
        <v>0</v>
      </c>
      <c r="HC117">
        <f t="shared" si="144"/>
        <v>0</v>
      </c>
      <c r="HE117" t="s">
        <v>3</v>
      </c>
      <c r="HF117" t="s">
        <v>3</v>
      </c>
      <c r="IK117">
        <v>0</v>
      </c>
    </row>
    <row r="118" spans="1:245" x14ac:dyDescent="0.2">
      <c r="A118">
        <v>17</v>
      </c>
      <c r="B118">
        <v>1</v>
      </c>
      <c r="C118">
        <f>ROW(SmtRes!A41)</f>
        <v>41</v>
      </c>
      <c r="D118">
        <f>ROW(EtalonRes!A37)</f>
        <v>37</v>
      </c>
      <c r="E118" t="s">
        <v>137</v>
      </c>
      <c r="F118" t="s">
        <v>138</v>
      </c>
      <c r="G118" t="s">
        <v>139</v>
      </c>
      <c r="H118" t="s">
        <v>44</v>
      </c>
      <c r="I118">
        <f>ROUND(I119,9)</f>
        <v>2.2400000000000002</v>
      </c>
      <c r="J118">
        <v>0</v>
      </c>
      <c r="O118">
        <f t="shared" si="111"/>
        <v>3379.22</v>
      </c>
      <c r="P118">
        <f t="shared" si="112"/>
        <v>0</v>
      </c>
      <c r="Q118">
        <f t="shared" si="113"/>
        <v>3379.22</v>
      </c>
      <c r="R118">
        <f t="shared" si="114"/>
        <v>2003.77</v>
      </c>
      <c r="S118">
        <f t="shared" si="115"/>
        <v>0</v>
      </c>
      <c r="T118">
        <f t="shared" si="116"/>
        <v>0</v>
      </c>
      <c r="U118">
        <f t="shared" si="117"/>
        <v>0</v>
      </c>
      <c r="V118">
        <f t="shared" si="118"/>
        <v>0</v>
      </c>
      <c r="W118">
        <f t="shared" si="119"/>
        <v>0</v>
      </c>
      <c r="X118">
        <f t="shared" si="120"/>
        <v>0</v>
      </c>
      <c r="Y118">
        <f t="shared" si="121"/>
        <v>0</v>
      </c>
      <c r="AA118">
        <v>56440881</v>
      </c>
      <c r="AB118">
        <f t="shared" si="122"/>
        <v>1508.58</v>
      </c>
      <c r="AC118">
        <f>ROUND(((ES118*51)),2)</f>
        <v>0</v>
      </c>
      <c r="AD118">
        <f>ROUND(((((ET118*51))-((EU118*51)))+AE118),2)</f>
        <v>1508.58</v>
      </c>
      <c r="AE118">
        <f>ROUND(((EU118*51)),2)</f>
        <v>894.54</v>
      </c>
      <c r="AF118">
        <f>ROUND(((EV118*51)),2)</f>
        <v>0</v>
      </c>
      <c r="AG118">
        <f t="shared" si="126"/>
        <v>0</v>
      </c>
      <c r="AH118">
        <f>((EW118*51))</f>
        <v>0</v>
      </c>
      <c r="AI118">
        <f>((EX118*51))</f>
        <v>0</v>
      </c>
      <c r="AJ118">
        <f t="shared" si="128"/>
        <v>0</v>
      </c>
      <c r="AK118">
        <v>29.58</v>
      </c>
      <c r="AL118">
        <v>0</v>
      </c>
      <c r="AM118">
        <v>29.58</v>
      </c>
      <c r="AN118">
        <v>17.54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Z118">
        <v>1</v>
      </c>
      <c r="BA118">
        <v>1</v>
      </c>
      <c r="BB118">
        <v>1</v>
      </c>
      <c r="BC118">
        <v>1</v>
      </c>
      <c r="BD118" t="s">
        <v>3</v>
      </c>
      <c r="BE118" t="s">
        <v>3</v>
      </c>
      <c r="BF118" t="s">
        <v>3</v>
      </c>
      <c r="BG118" t="s">
        <v>3</v>
      </c>
      <c r="BH118">
        <v>0</v>
      </c>
      <c r="BI118">
        <v>4</v>
      </c>
      <c r="BJ118" t="s">
        <v>140</v>
      </c>
      <c r="BM118">
        <v>1</v>
      </c>
      <c r="BN118">
        <v>0</v>
      </c>
      <c r="BO118" t="s">
        <v>3</v>
      </c>
      <c r="BP118">
        <v>0</v>
      </c>
      <c r="BQ118">
        <v>1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 t="s">
        <v>3</v>
      </c>
      <c r="BZ118">
        <v>0</v>
      </c>
      <c r="CA118">
        <v>0</v>
      </c>
      <c r="CE118">
        <v>0</v>
      </c>
      <c r="CF118">
        <v>0</v>
      </c>
      <c r="CG118">
        <v>0</v>
      </c>
      <c r="CM118">
        <v>0</v>
      </c>
      <c r="CN118" t="s">
        <v>3</v>
      </c>
      <c r="CO118">
        <v>0</v>
      </c>
      <c r="CP118">
        <f t="shared" si="129"/>
        <v>3379.22</v>
      </c>
      <c r="CQ118">
        <f t="shared" si="130"/>
        <v>0</v>
      </c>
      <c r="CR118">
        <f>(((((ET118*51))*BB118-((EU118*51))*BS118)+AE118*BS118)*AV118)</f>
        <v>1508.58</v>
      </c>
      <c r="CS118">
        <f t="shared" si="132"/>
        <v>894.54</v>
      </c>
      <c r="CT118">
        <f t="shared" si="133"/>
        <v>0</v>
      </c>
      <c r="CU118">
        <f t="shared" si="134"/>
        <v>0</v>
      </c>
      <c r="CV118">
        <f t="shared" si="135"/>
        <v>0</v>
      </c>
      <c r="CW118">
        <f t="shared" si="136"/>
        <v>0</v>
      </c>
      <c r="CX118">
        <f t="shared" si="137"/>
        <v>0</v>
      </c>
      <c r="CY118">
        <f t="shared" si="138"/>
        <v>0</v>
      </c>
      <c r="CZ118">
        <f t="shared" si="139"/>
        <v>0</v>
      </c>
      <c r="DC118" t="s">
        <v>3</v>
      </c>
      <c r="DD118" t="s">
        <v>141</v>
      </c>
      <c r="DE118" t="s">
        <v>141</v>
      </c>
      <c r="DF118" t="s">
        <v>141</v>
      </c>
      <c r="DG118" t="s">
        <v>141</v>
      </c>
      <c r="DH118" t="s">
        <v>3</v>
      </c>
      <c r="DI118" t="s">
        <v>141</v>
      </c>
      <c r="DJ118" t="s">
        <v>141</v>
      </c>
      <c r="DK118" t="s">
        <v>3</v>
      </c>
      <c r="DL118" t="s">
        <v>3</v>
      </c>
      <c r="DM118" t="s">
        <v>3</v>
      </c>
      <c r="DN118">
        <v>0</v>
      </c>
      <c r="DO118">
        <v>0</v>
      </c>
      <c r="DP118">
        <v>1</v>
      </c>
      <c r="DQ118">
        <v>1</v>
      </c>
      <c r="DU118">
        <v>1009</v>
      </c>
      <c r="DV118" t="s">
        <v>44</v>
      </c>
      <c r="DW118" t="s">
        <v>44</v>
      </c>
      <c r="DX118">
        <v>1000</v>
      </c>
      <c r="DZ118" t="s">
        <v>3</v>
      </c>
      <c r="EA118" t="s">
        <v>3</v>
      </c>
      <c r="EB118" t="s">
        <v>3</v>
      </c>
      <c r="EC118" t="s">
        <v>3</v>
      </c>
      <c r="EE118">
        <v>54545673</v>
      </c>
      <c r="EF118">
        <v>1</v>
      </c>
      <c r="EG118" t="s">
        <v>20</v>
      </c>
      <c r="EH118">
        <v>0</v>
      </c>
      <c r="EI118" t="s">
        <v>3</v>
      </c>
      <c r="EJ118">
        <v>4</v>
      </c>
      <c r="EK118">
        <v>1</v>
      </c>
      <c r="EL118" t="s">
        <v>132</v>
      </c>
      <c r="EM118" t="s">
        <v>22</v>
      </c>
      <c r="EO118" t="s">
        <v>3</v>
      </c>
      <c r="EQ118">
        <v>0</v>
      </c>
      <c r="ER118">
        <v>29.58</v>
      </c>
      <c r="ES118">
        <v>0</v>
      </c>
      <c r="ET118">
        <v>29.58</v>
      </c>
      <c r="EU118">
        <v>17.54</v>
      </c>
      <c r="EV118">
        <v>0</v>
      </c>
      <c r="EW118">
        <v>0</v>
      </c>
      <c r="EX118">
        <v>0</v>
      </c>
      <c r="EY118">
        <v>0</v>
      </c>
      <c r="FQ118">
        <v>0</v>
      </c>
      <c r="FR118">
        <f t="shared" si="140"/>
        <v>0</v>
      </c>
      <c r="FS118">
        <v>0</v>
      </c>
      <c r="FX118">
        <v>0</v>
      </c>
      <c r="FY118">
        <v>0</v>
      </c>
      <c r="GA118" t="s">
        <v>3</v>
      </c>
      <c r="GD118">
        <v>1</v>
      </c>
      <c r="GF118">
        <v>120731248</v>
      </c>
      <c r="GG118">
        <v>2</v>
      </c>
      <c r="GH118">
        <v>1</v>
      </c>
      <c r="GI118">
        <v>-2</v>
      </c>
      <c r="GJ118">
        <v>0</v>
      </c>
      <c r="GK118">
        <v>0</v>
      </c>
      <c r="GL118">
        <f t="shared" si="141"/>
        <v>0</v>
      </c>
      <c r="GM118">
        <f>ROUND(O118+X118+Y118,2)+GX118</f>
        <v>3379.22</v>
      </c>
      <c r="GN118">
        <f>IF(OR(BI118=0,BI118=1),ROUND(O118+X118+Y118,2),0)</f>
        <v>0</v>
      </c>
      <c r="GO118">
        <f>IF(BI118=2,ROUND(O118+X118+Y118,2),0)</f>
        <v>0</v>
      </c>
      <c r="GP118">
        <f>IF(BI118=4,ROUND(O118+X118+Y118,2)+GX118,0)</f>
        <v>3379.22</v>
      </c>
      <c r="GR118">
        <v>0</v>
      </c>
      <c r="GS118">
        <v>3</v>
      </c>
      <c r="GT118">
        <v>0</v>
      </c>
      <c r="GU118" t="s">
        <v>3</v>
      </c>
      <c r="GV118">
        <f t="shared" si="142"/>
        <v>0</v>
      </c>
      <c r="GW118">
        <v>1</v>
      </c>
      <c r="GX118">
        <f t="shared" si="143"/>
        <v>0</v>
      </c>
      <c r="HA118">
        <v>0</v>
      </c>
      <c r="HB118">
        <v>0</v>
      </c>
      <c r="HC118">
        <f t="shared" si="144"/>
        <v>0</v>
      </c>
      <c r="HE118" t="s">
        <v>3</v>
      </c>
      <c r="HF118" t="s">
        <v>3</v>
      </c>
      <c r="IK118">
        <v>0</v>
      </c>
    </row>
    <row r="119" spans="1:245" x14ac:dyDescent="0.2">
      <c r="A119">
        <v>17</v>
      </c>
      <c r="B119">
        <v>1</v>
      </c>
      <c r="E119" t="s">
        <v>142</v>
      </c>
      <c r="F119" t="s">
        <v>143</v>
      </c>
      <c r="G119" t="s">
        <v>144</v>
      </c>
      <c r="H119" t="s">
        <v>44</v>
      </c>
      <c r="I119">
        <f>ROUND(I112*0.8,9)</f>
        <v>2.2400000000000002</v>
      </c>
      <c r="J119">
        <v>0</v>
      </c>
      <c r="O119">
        <f t="shared" si="111"/>
        <v>443.43</v>
      </c>
      <c r="P119">
        <f t="shared" si="112"/>
        <v>443.43</v>
      </c>
      <c r="Q119">
        <f t="shared" si="113"/>
        <v>0</v>
      </c>
      <c r="R119">
        <f t="shared" si="114"/>
        <v>0</v>
      </c>
      <c r="S119">
        <f t="shared" si="115"/>
        <v>0</v>
      </c>
      <c r="T119">
        <f t="shared" si="116"/>
        <v>0</v>
      </c>
      <c r="U119">
        <f t="shared" si="117"/>
        <v>0</v>
      </c>
      <c r="V119">
        <f t="shared" si="118"/>
        <v>0</v>
      </c>
      <c r="W119">
        <f t="shared" si="119"/>
        <v>0</v>
      </c>
      <c r="X119">
        <f t="shared" si="120"/>
        <v>0</v>
      </c>
      <c r="Y119">
        <f t="shared" si="121"/>
        <v>0</v>
      </c>
      <c r="AA119">
        <v>56440881</v>
      </c>
      <c r="AB119">
        <f t="shared" si="122"/>
        <v>197.96</v>
      </c>
      <c r="AC119">
        <f t="shared" ref="AC119:AC125" si="145">ROUND((ES119),2)</f>
        <v>197.96</v>
      </c>
      <c r="AD119">
        <f>ROUND((((ET119)-(EU119))+AE119),2)</f>
        <v>0</v>
      </c>
      <c r="AE119">
        <f t="shared" ref="AE119:AF125" si="146">ROUND((EU119),2)</f>
        <v>0</v>
      </c>
      <c r="AF119">
        <f t="shared" si="146"/>
        <v>0</v>
      </c>
      <c r="AG119">
        <f t="shared" si="126"/>
        <v>0</v>
      </c>
      <c r="AH119">
        <f t="shared" ref="AH119:AI125" si="147">(EW119)</f>
        <v>0</v>
      </c>
      <c r="AI119">
        <f t="shared" si="147"/>
        <v>0</v>
      </c>
      <c r="AJ119">
        <f t="shared" si="128"/>
        <v>0</v>
      </c>
      <c r="AK119">
        <v>197.96</v>
      </c>
      <c r="AL119">
        <v>197.96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70</v>
      </c>
      <c r="AU119">
        <v>10</v>
      </c>
      <c r="AV119">
        <v>1</v>
      </c>
      <c r="AW119">
        <v>1</v>
      </c>
      <c r="AZ119">
        <v>1</v>
      </c>
      <c r="BA119">
        <v>1</v>
      </c>
      <c r="BB119">
        <v>1</v>
      </c>
      <c r="BC119">
        <v>1</v>
      </c>
      <c r="BD119" t="s">
        <v>3</v>
      </c>
      <c r="BE119" t="s">
        <v>3</v>
      </c>
      <c r="BF119" t="s">
        <v>3</v>
      </c>
      <c r="BG119" t="s">
        <v>3</v>
      </c>
      <c r="BH119">
        <v>3</v>
      </c>
      <c r="BI119">
        <v>4</v>
      </c>
      <c r="BJ119" t="s">
        <v>145</v>
      </c>
      <c r="BM119">
        <v>0</v>
      </c>
      <c r="BN119">
        <v>0</v>
      </c>
      <c r="BO119" t="s">
        <v>3</v>
      </c>
      <c r="BP119">
        <v>0</v>
      </c>
      <c r="BQ119">
        <v>1</v>
      </c>
      <c r="BR119">
        <v>0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 t="s">
        <v>3</v>
      </c>
      <c r="BZ119">
        <v>70</v>
      </c>
      <c r="CA119">
        <v>10</v>
      </c>
      <c r="CE119">
        <v>0</v>
      </c>
      <c r="CF119">
        <v>0</v>
      </c>
      <c r="CG119">
        <v>0</v>
      </c>
      <c r="CM119">
        <v>0</v>
      </c>
      <c r="CN119" t="s">
        <v>3</v>
      </c>
      <c r="CO119">
        <v>0</v>
      </c>
      <c r="CP119">
        <f t="shared" si="129"/>
        <v>443.43</v>
      </c>
      <c r="CQ119">
        <f t="shared" si="130"/>
        <v>197.96</v>
      </c>
      <c r="CR119">
        <f>((((ET119)*BB119-(EU119)*BS119)+AE119*BS119)*AV119)</f>
        <v>0</v>
      </c>
      <c r="CS119">
        <f t="shared" si="132"/>
        <v>0</v>
      </c>
      <c r="CT119">
        <f t="shared" si="133"/>
        <v>0</v>
      </c>
      <c r="CU119">
        <f t="shared" si="134"/>
        <v>0</v>
      </c>
      <c r="CV119">
        <f t="shared" si="135"/>
        <v>0</v>
      </c>
      <c r="CW119">
        <f t="shared" si="136"/>
        <v>0</v>
      </c>
      <c r="CX119">
        <f t="shared" si="137"/>
        <v>0</v>
      </c>
      <c r="CY119">
        <f t="shared" si="138"/>
        <v>0</v>
      </c>
      <c r="CZ119">
        <f t="shared" si="139"/>
        <v>0</v>
      </c>
      <c r="DC119" t="s">
        <v>3</v>
      </c>
      <c r="DD119" t="s">
        <v>3</v>
      </c>
      <c r="DE119" t="s">
        <v>3</v>
      </c>
      <c r="DF119" t="s">
        <v>3</v>
      </c>
      <c r="DG119" t="s">
        <v>3</v>
      </c>
      <c r="DH119" t="s">
        <v>3</v>
      </c>
      <c r="DI119" t="s">
        <v>3</v>
      </c>
      <c r="DJ119" t="s">
        <v>3</v>
      </c>
      <c r="DK119" t="s">
        <v>3</v>
      </c>
      <c r="DL119" t="s">
        <v>3</v>
      </c>
      <c r="DM119" t="s">
        <v>3</v>
      </c>
      <c r="DN119">
        <v>0</v>
      </c>
      <c r="DO119">
        <v>0</v>
      </c>
      <c r="DP119">
        <v>1</v>
      </c>
      <c r="DQ119">
        <v>1</v>
      </c>
      <c r="DU119">
        <v>1009</v>
      </c>
      <c r="DV119" t="s">
        <v>44</v>
      </c>
      <c r="DW119" t="s">
        <v>44</v>
      </c>
      <c r="DX119">
        <v>1000</v>
      </c>
      <c r="DZ119" t="s">
        <v>3</v>
      </c>
      <c r="EA119" t="s">
        <v>3</v>
      </c>
      <c r="EB119" t="s">
        <v>3</v>
      </c>
      <c r="EC119" t="s">
        <v>3</v>
      </c>
      <c r="EE119">
        <v>54545671</v>
      </c>
      <c r="EF119">
        <v>1</v>
      </c>
      <c r="EG119" t="s">
        <v>20</v>
      </c>
      <c r="EH119">
        <v>0</v>
      </c>
      <c r="EI119" t="s">
        <v>3</v>
      </c>
      <c r="EJ119">
        <v>4</v>
      </c>
      <c r="EK119">
        <v>0</v>
      </c>
      <c r="EL119" t="s">
        <v>21</v>
      </c>
      <c r="EM119" t="s">
        <v>22</v>
      </c>
      <c r="EO119" t="s">
        <v>3</v>
      </c>
      <c r="EQ119">
        <v>0</v>
      </c>
      <c r="ER119">
        <v>197.96</v>
      </c>
      <c r="ES119">
        <v>197.96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FQ119">
        <v>0</v>
      </c>
      <c r="FR119">
        <f t="shared" si="140"/>
        <v>0</v>
      </c>
      <c r="FS119">
        <v>0</v>
      </c>
      <c r="FX119">
        <v>70</v>
      </c>
      <c r="FY119">
        <v>10</v>
      </c>
      <c r="GA119" t="s">
        <v>3</v>
      </c>
      <c r="GD119">
        <v>0</v>
      </c>
      <c r="GF119">
        <v>-1432574997</v>
      </c>
      <c r="GG119">
        <v>2</v>
      </c>
      <c r="GH119">
        <v>1</v>
      </c>
      <c r="GI119">
        <v>-2</v>
      </c>
      <c r="GJ119">
        <v>0</v>
      </c>
      <c r="GK119">
        <f>ROUND(R119*(R12)/100,2)</f>
        <v>0</v>
      </c>
      <c r="GL119">
        <f t="shared" si="141"/>
        <v>0</v>
      </c>
      <c r="GM119">
        <f t="shared" ref="GM119:GM125" si="148">ROUND(O119+X119+Y119+GK119,2)+GX119</f>
        <v>443.43</v>
      </c>
      <c r="GN119">
        <f t="shared" ref="GN119:GN125" si="149">IF(OR(BI119=0,BI119=1),ROUND(O119+X119+Y119+GK119,2),0)</f>
        <v>0</v>
      </c>
      <c r="GO119">
        <f t="shared" ref="GO119:GO125" si="150">IF(BI119=2,ROUND(O119+X119+Y119+GK119,2),0)</f>
        <v>0</v>
      </c>
      <c r="GP119">
        <f t="shared" ref="GP119:GP125" si="151">IF(BI119=4,ROUND(O119+X119+Y119+GK119,2)+GX119,0)</f>
        <v>443.43</v>
      </c>
      <c r="GR119">
        <v>0</v>
      </c>
      <c r="GS119">
        <v>3</v>
      </c>
      <c r="GT119">
        <v>0</v>
      </c>
      <c r="GU119" t="s">
        <v>3</v>
      </c>
      <c r="GV119">
        <f t="shared" si="142"/>
        <v>0</v>
      </c>
      <c r="GW119">
        <v>1</v>
      </c>
      <c r="GX119">
        <f t="shared" si="143"/>
        <v>0</v>
      </c>
      <c r="HA119">
        <v>0</v>
      </c>
      <c r="HB119">
        <v>0</v>
      </c>
      <c r="HC119">
        <f t="shared" si="144"/>
        <v>0</v>
      </c>
      <c r="HE119" t="s">
        <v>3</v>
      </c>
      <c r="HF119" t="s">
        <v>3</v>
      </c>
      <c r="IK119">
        <v>0</v>
      </c>
    </row>
    <row r="120" spans="1:245" x14ac:dyDescent="0.2">
      <c r="A120">
        <v>17</v>
      </c>
      <c r="B120">
        <v>1</v>
      </c>
      <c r="C120">
        <f>ROW(SmtRes!A48)</f>
        <v>48</v>
      </c>
      <c r="D120">
        <f>ROW(EtalonRes!A41)</f>
        <v>41</v>
      </c>
      <c r="E120" t="s">
        <v>146</v>
      </c>
      <c r="F120" t="s">
        <v>147</v>
      </c>
      <c r="G120" t="s">
        <v>148</v>
      </c>
      <c r="H120" t="s">
        <v>39</v>
      </c>
      <c r="I120">
        <f>ROUND(280/100,9)</f>
        <v>2.8</v>
      </c>
      <c r="J120">
        <v>0</v>
      </c>
      <c r="O120">
        <f t="shared" si="111"/>
        <v>178335.34</v>
      </c>
      <c r="P120">
        <f t="shared" si="112"/>
        <v>144349.38</v>
      </c>
      <c r="Q120">
        <f t="shared" si="113"/>
        <v>75.8</v>
      </c>
      <c r="R120">
        <f t="shared" si="114"/>
        <v>0.11</v>
      </c>
      <c r="S120">
        <f t="shared" si="115"/>
        <v>33910.160000000003</v>
      </c>
      <c r="T120">
        <f t="shared" si="116"/>
        <v>0</v>
      </c>
      <c r="U120">
        <f t="shared" si="117"/>
        <v>176.11999999999998</v>
      </c>
      <c r="V120">
        <f t="shared" si="118"/>
        <v>0</v>
      </c>
      <c r="W120">
        <f t="shared" si="119"/>
        <v>0</v>
      </c>
      <c r="X120">
        <f t="shared" si="120"/>
        <v>23737.11</v>
      </c>
      <c r="Y120">
        <f t="shared" si="121"/>
        <v>3391.02</v>
      </c>
      <c r="AA120">
        <v>56440881</v>
      </c>
      <c r="AB120">
        <f t="shared" si="122"/>
        <v>63691.19</v>
      </c>
      <c r="AC120">
        <f t="shared" si="145"/>
        <v>51553.35</v>
      </c>
      <c r="AD120">
        <f>ROUND((((ET120)-(EU120))+AE120),2)</f>
        <v>27.07</v>
      </c>
      <c r="AE120">
        <f t="shared" si="146"/>
        <v>0.04</v>
      </c>
      <c r="AF120">
        <f t="shared" si="146"/>
        <v>12110.77</v>
      </c>
      <c r="AG120">
        <f t="shared" si="126"/>
        <v>0</v>
      </c>
      <c r="AH120">
        <f t="shared" si="147"/>
        <v>62.9</v>
      </c>
      <c r="AI120">
        <f t="shared" si="147"/>
        <v>0</v>
      </c>
      <c r="AJ120">
        <f t="shared" si="128"/>
        <v>0</v>
      </c>
      <c r="AK120">
        <v>63691.19</v>
      </c>
      <c r="AL120">
        <v>51553.35</v>
      </c>
      <c r="AM120">
        <v>27.07</v>
      </c>
      <c r="AN120">
        <v>0.04</v>
      </c>
      <c r="AO120">
        <v>12110.77</v>
      </c>
      <c r="AP120">
        <v>0</v>
      </c>
      <c r="AQ120">
        <v>62.9</v>
      </c>
      <c r="AR120">
        <v>0</v>
      </c>
      <c r="AS120">
        <v>0</v>
      </c>
      <c r="AT120">
        <v>70</v>
      </c>
      <c r="AU120">
        <v>10</v>
      </c>
      <c r="AV120">
        <v>1</v>
      </c>
      <c r="AW120">
        <v>1</v>
      </c>
      <c r="AZ120">
        <v>1</v>
      </c>
      <c r="BA120">
        <v>1</v>
      </c>
      <c r="BB120">
        <v>1</v>
      </c>
      <c r="BC120">
        <v>1</v>
      </c>
      <c r="BD120" t="s">
        <v>3</v>
      </c>
      <c r="BE120" t="s">
        <v>3</v>
      </c>
      <c r="BF120" t="s">
        <v>3</v>
      </c>
      <c r="BG120" t="s">
        <v>3</v>
      </c>
      <c r="BH120">
        <v>0</v>
      </c>
      <c r="BI120">
        <v>4</v>
      </c>
      <c r="BJ120" t="s">
        <v>149</v>
      </c>
      <c r="BM120">
        <v>0</v>
      </c>
      <c r="BN120">
        <v>0</v>
      </c>
      <c r="BO120" t="s">
        <v>3</v>
      </c>
      <c r="BP120">
        <v>0</v>
      </c>
      <c r="BQ120">
        <v>1</v>
      </c>
      <c r="BR120">
        <v>0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 t="s">
        <v>3</v>
      </c>
      <c r="BZ120">
        <v>70</v>
      </c>
      <c r="CA120">
        <v>10</v>
      </c>
      <c r="CE120">
        <v>0</v>
      </c>
      <c r="CF120">
        <v>0</v>
      </c>
      <c r="CG120">
        <v>0</v>
      </c>
      <c r="CM120">
        <v>0</v>
      </c>
      <c r="CN120" t="s">
        <v>3</v>
      </c>
      <c r="CO120">
        <v>0</v>
      </c>
      <c r="CP120">
        <f t="shared" si="129"/>
        <v>178335.34</v>
      </c>
      <c r="CQ120">
        <f t="shared" si="130"/>
        <v>51553.35</v>
      </c>
      <c r="CR120">
        <f>((((ET120)*BB120-(EU120)*BS120)+AE120*BS120)*AV120)</f>
        <v>27.07</v>
      </c>
      <c r="CS120">
        <f t="shared" si="132"/>
        <v>0.04</v>
      </c>
      <c r="CT120">
        <f t="shared" si="133"/>
        <v>12110.77</v>
      </c>
      <c r="CU120">
        <f t="shared" si="134"/>
        <v>0</v>
      </c>
      <c r="CV120">
        <f t="shared" si="135"/>
        <v>62.9</v>
      </c>
      <c r="CW120">
        <f t="shared" si="136"/>
        <v>0</v>
      </c>
      <c r="CX120">
        <f t="shared" si="137"/>
        <v>0</v>
      </c>
      <c r="CY120">
        <f t="shared" si="138"/>
        <v>23737.112000000001</v>
      </c>
      <c r="CZ120">
        <f t="shared" si="139"/>
        <v>3391.0160000000005</v>
      </c>
      <c r="DC120" t="s">
        <v>3</v>
      </c>
      <c r="DD120" t="s">
        <v>3</v>
      </c>
      <c r="DE120" t="s">
        <v>3</v>
      </c>
      <c r="DF120" t="s">
        <v>3</v>
      </c>
      <c r="DG120" t="s">
        <v>3</v>
      </c>
      <c r="DH120" t="s">
        <v>3</v>
      </c>
      <c r="DI120" t="s">
        <v>3</v>
      </c>
      <c r="DJ120" t="s">
        <v>3</v>
      </c>
      <c r="DK120" t="s">
        <v>3</v>
      </c>
      <c r="DL120" t="s">
        <v>3</v>
      </c>
      <c r="DM120" t="s">
        <v>3</v>
      </c>
      <c r="DN120">
        <v>0</v>
      </c>
      <c r="DO120">
        <v>0</v>
      </c>
      <c r="DP120">
        <v>1</v>
      </c>
      <c r="DQ120">
        <v>1</v>
      </c>
      <c r="DU120">
        <v>1005</v>
      </c>
      <c r="DV120" t="s">
        <v>39</v>
      </c>
      <c r="DW120" t="s">
        <v>39</v>
      </c>
      <c r="DX120">
        <v>100</v>
      </c>
      <c r="DZ120" t="s">
        <v>3</v>
      </c>
      <c r="EA120" t="s">
        <v>3</v>
      </c>
      <c r="EB120" t="s">
        <v>3</v>
      </c>
      <c r="EC120" t="s">
        <v>3</v>
      </c>
      <c r="EE120">
        <v>54545671</v>
      </c>
      <c r="EF120">
        <v>1</v>
      </c>
      <c r="EG120" t="s">
        <v>20</v>
      </c>
      <c r="EH120">
        <v>0</v>
      </c>
      <c r="EI120" t="s">
        <v>3</v>
      </c>
      <c r="EJ120">
        <v>4</v>
      </c>
      <c r="EK120">
        <v>0</v>
      </c>
      <c r="EL120" t="s">
        <v>21</v>
      </c>
      <c r="EM120" t="s">
        <v>22</v>
      </c>
      <c r="EO120" t="s">
        <v>3</v>
      </c>
      <c r="EQ120">
        <v>0</v>
      </c>
      <c r="ER120">
        <v>63691.19</v>
      </c>
      <c r="ES120">
        <v>51553.35</v>
      </c>
      <c r="ET120">
        <v>27.07</v>
      </c>
      <c r="EU120">
        <v>0.04</v>
      </c>
      <c r="EV120">
        <v>12110.77</v>
      </c>
      <c r="EW120">
        <v>62.9</v>
      </c>
      <c r="EX120">
        <v>0</v>
      </c>
      <c r="EY120">
        <v>0</v>
      </c>
      <c r="FQ120">
        <v>0</v>
      </c>
      <c r="FR120">
        <f t="shared" si="140"/>
        <v>0</v>
      </c>
      <c r="FS120">
        <v>0</v>
      </c>
      <c r="FX120">
        <v>70</v>
      </c>
      <c r="FY120">
        <v>10</v>
      </c>
      <c r="GA120" t="s">
        <v>3</v>
      </c>
      <c r="GD120">
        <v>0</v>
      </c>
      <c r="GF120">
        <v>603150883</v>
      </c>
      <c r="GG120">
        <v>2</v>
      </c>
      <c r="GH120">
        <v>1</v>
      </c>
      <c r="GI120">
        <v>-2</v>
      </c>
      <c r="GJ120">
        <v>0</v>
      </c>
      <c r="GK120">
        <f>ROUND(R120*(R12)/100,2)</f>
        <v>0.12</v>
      </c>
      <c r="GL120">
        <f t="shared" si="141"/>
        <v>0</v>
      </c>
      <c r="GM120">
        <f t="shared" si="148"/>
        <v>205463.59</v>
      </c>
      <c r="GN120">
        <f t="shared" si="149"/>
        <v>0</v>
      </c>
      <c r="GO120">
        <f t="shared" si="150"/>
        <v>0</v>
      </c>
      <c r="GP120">
        <f t="shared" si="151"/>
        <v>205463.59</v>
      </c>
      <c r="GR120">
        <v>0</v>
      </c>
      <c r="GS120">
        <v>3</v>
      </c>
      <c r="GT120">
        <v>0</v>
      </c>
      <c r="GU120" t="s">
        <v>3</v>
      </c>
      <c r="GV120">
        <f t="shared" si="142"/>
        <v>0</v>
      </c>
      <c r="GW120">
        <v>1</v>
      </c>
      <c r="GX120">
        <f t="shared" si="143"/>
        <v>0</v>
      </c>
      <c r="HA120">
        <v>0</v>
      </c>
      <c r="HB120">
        <v>0</v>
      </c>
      <c r="HC120">
        <f t="shared" si="144"/>
        <v>0</v>
      </c>
      <c r="HE120" t="s">
        <v>3</v>
      </c>
      <c r="HF120" t="s">
        <v>3</v>
      </c>
      <c r="IK120">
        <v>0</v>
      </c>
    </row>
    <row r="121" spans="1:245" x14ac:dyDescent="0.2">
      <c r="A121">
        <v>18</v>
      </c>
      <c r="B121">
        <v>1</v>
      </c>
      <c r="C121">
        <v>45</v>
      </c>
      <c r="E121" t="s">
        <v>150</v>
      </c>
      <c r="F121" t="s">
        <v>151</v>
      </c>
      <c r="G121" t="s">
        <v>152</v>
      </c>
      <c r="H121" t="s">
        <v>26</v>
      </c>
      <c r="I121">
        <f>I120*J121</f>
        <v>-8.0640000000000001</v>
      </c>
      <c r="J121">
        <v>-2.8800000000000003</v>
      </c>
      <c r="O121">
        <f t="shared" si="111"/>
        <v>-142527.01</v>
      </c>
      <c r="P121">
        <f t="shared" si="112"/>
        <v>-142527.01</v>
      </c>
      <c r="Q121">
        <f t="shared" si="113"/>
        <v>0</v>
      </c>
      <c r="R121">
        <f t="shared" si="114"/>
        <v>0</v>
      </c>
      <c r="S121">
        <f t="shared" si="115"/>
        <v>0</v>
      </c>
      <c r="T121">
        <f t="shared" si="116"/>
        <v>0</v>
      </c>
      <c r="U121">
        <f t="shared" si="117"/>
        <v>0</v>
      </c>
      <c r="V121">
        <f t="shared" si="118"/>
        <v>0</v>
      </c>
      <c r="W121">
        <f t="shared" si="119"/>
        <v>0</v>
      </c>
      <c r="X121">
        <f t="shared" si="120"/>
        <v>0</v>
      </c>
      <c r="Y121">
        <f t="shared" si="121"/>
        <v>0</v>
      </c>
      <c r="AA121">
        <v>56440881</v>
      </c>
      <c r="AB121">
        <f t="shared" si="122"/>
        <v>17674.48</v>
      </c>
      <c r="AC121">
        <f t="shared" si="145"/>
        <v>17674.48</v>
      </c>
      <c r="AD121">
        <f>ROUND((((ET121)-(EU121))+AE121),2)</f>
        <v>0</v>
      </c>
      <c r="AE121">
        <f t="shared" si="146"/>
        <v>0</v>
      </c>
      <c r="AF121">
        <f t="shared" si="146"/>
        <v>0</v>
      </c>
      <c r="AG121">
        <f t="shared" si="126"/>
        <v>0</v>
      </c>
      <c r="AH121">
        <f t="shared" si="147"/>
        <v>0</v>
      </c>
      <c r="AI121">
        <f t="shared" si="147"/>
        <v>0</v>
      </c>
      <c r="AJ121">
        <f t="shared" si="128"/>
        <v>0</v>
      </c>
      <c r="AK121">
        <v>17674.48</v>
      </c>
      <c r="AL121">
        <v>17674.48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70</v>
      </c>
      <c r="AU121">
        <v>10</v>
      </c>
      <c r="AV121">
        <v>1</v>
      </c>
      <c r="AW121">
        <v>1</v>
      </c>
      <c r="AZ121">
        <v>1</v>
      </c>
      <c r="BA121">
        <v>1</v>
      </c>
      <c r="BB121">
        <v>1</v>
      </c>
      <c r="BC121">
        <v>1</v>
      </c>
      <c r="BD121" t="s">
        <v>3</v>
      </c>
      <c r="BE121" t="s">
        <v>3</v>
      </c>
      <c r="BF121" t="s">
        <v>3</v>
      </c>
      <c r="BG121" t="s">
        <v>3</v>
      </c>
      <c r="BH121">
        <v>3</v>
      </c>
      <c r="BI121">
        <v>4</v>
      </c>
      <c r="BJ121" t="s">
        <v>153</v>
      </c>
      <c r="BM121">
        <v>0</v>
      </c>
      <c r="BN121">
        <v>0</v>
      </c>
      <c r="BO121" t="s">
        <v>3</v>
      </c>
      <c r="BP121">
        <v>0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 t="s">
        <v>3</v>
      </c>
      <c r="BZ121">
        <v>70</v>
      </c>
      <c r="CA121">
        <v>10</v>
      </c>
      <c r="CE121">
        <v>0</v>
      </c>
      <c r="CF121">
        <v>0</v>
      </c>
      <c r="CG121">
        <v>0</v>
      </c>
      <c r="CM121">
        <v>0</v>
      </c>
      <c r="CN121" t="s">
        <v>3</v>
      </c>
      <c r="CO121">
        <v>0</v>
      </c>
      <c r="CP121">
        <f t="shared" si="129"/>
        <v>-142527.01</v>
      </c>
      <c r="CQ121">
        <f t="shared" si="130"/>
        <v>17674.48</v>
      </c>
      <c r="CR121">
        <f>((((ET121)*BB121-(EU121)*BS121)+AE121*BS121)*AV121)</f>
        <v>0</v>
      </c>
      <c r="CS121">
        <f t="shared" si="132"/>
        <v>0</v>
      </c>
      <c r="CT121">
        <f t="shared" si="133"/>
        <v>0</v>
      </c>
      <c r="CU121">
        <f t="shared" si="134"/>
        <v>0</v>
      </c>
      <c r="CV121">
        <f t="shared" si="135"/>
        <v>0</v>
      </c>
      <c r="CW121">
        <f t="shared" si="136"/>
        <v>0</v>
      </c>
      <c r="CX121">
        <f t="shared" si="137"/>
        <v>0</v>
      </c>
      <c r="CY121">
        <f t="shared" si="138"/>
        <v>0</v>
      </c>
      <c r="CZ121">
        <f t="shared" si="139"/>
        <v>0</v>
      </c>
      <c r="DC121" t="s">
        <v>3</v>
      </c>
      <c r="DD121" t="s">
        <v>3</v>
      </c>
      <c r="DE121" t="s">
        <v>3</v>
      </c>
      <c r="DF121" t="s">
        <v>3</v>
      </c>
      <c r="DG121" t="s">
        <v>3</v>
      </c>
      <c r="DH121" t="s">
        <v>3</v>
      </c>
      <c r="DI121" t="s">
        <v>3</v>
      </c>
      <c r="DJ121" t="s">
        <v>3</v>
      </c>
      <c r="DK121" t="s">
        <v>3</v>
      </c>
      <c r="DL121" t="s">
        <v>3</v>
      </c>
      <c r="DM121" t="s">
        <v>3</v>
      </c>
      <c r="DN121">
        <v>0</v>
      </c>
      <c r="DO121">
        <v>0</v>
      </c>
      <c r="DP121">
        <v>1</v>
      </c>
      <c r="DQ121">
        <v>1</v>
      </c>
      <c r="DU121">
        <v>1007</v>
      </c>
      <c r="DV121" t="s">
        <v>26</v>
      </c>
      <c r="DW121" t="s">
        <v>26</v>
      </c>
      <c r="DX121">
        <v>1</v>
      </c>
      <c r="DZ121" t="s">
        <v>3</v>
      </c>
      <c r="EA121" t="s">
        <v>3</v>
      </c>
      <c r="EB121" t="s">
        <v>3</v>
      </c>
      <c r="EC121" t="s">
        <v>3</v>
      </c>
      <c r="EE121">
        <v>54545671</v>
      </c>
      <c r="EF121">
        <v>1</v>
      </c>
      <c r="EG121" t="s">
        <v>20</v>
      </c>
      <c r="EH121">
        <v>0</v>
      </c>
      <c r="EI121" t="s">
        <v>3</v>
      </c>
      <c r="EJ121">
        <v>4</v>
      </c>
      <c r="EK121">
        <v>0</v>
      </c>
      <c r="EL121" t="s">
        <v>21</v>
      </c>
      <c r="EM121" t="s">
        <v>22</v>
      </c>
      <c r="EO121" t="s">
        <v>3</v>
      </c>
      <c r="EQ121">
        <v>0</v>
      </c>
      <c r="ER121">
        <v>17674.48</v>
      </c>
      <c r="ES121">
        <v>17674.48</v>
      </c>
      <c r="ET121">
        <v>0</v>
      </c>
      <c r="EU121">
        <v>0</v>
      </c>
      <c r="EV121">
        <v>0</v>
      </c>
      <c r="EW121">
        <v>0</v>
      </c>
      <c r="EX121">
        <v>0</v>
      </c>
      <c r="FQ121">
        <v>0</v>
      </c>
      <c r="FR121">
        <f t="shared" si="140"/>
        <v>0</v>
      </c>
      <c r="FS121">
        <v>0</v>
      </c>
      <c r="FX121">
        <v>70</v>
      </c>
      <c r="FY121">
        <v>10</v>
      </c>
      <c r="GA121" t="s">
        <v>3</v>
      </c>
      <c r="GD121">
        <v>0</v>
      </c>
      <c r="GF121">
        <v>548107320</v>
      </c>
      <c r="GG121">
        <v>2</v>
      </c>
      <c r="GH121">
        <v>1</v>
      </c>
      <c r="GI121">
        <v>-2</v>
      </c>
      <c r="GJ121">
        <v>0</v>
      </c>
      <c r="GK121">
        <f>ROUND(R121*(R12)/100,2)</f>
        <v>0</v>
      </c>
      <c r="GL121">
        <f t="shared" si="141"/>
        <v>0</v>
      </c>
      <c r="GM121">
        <f t="shared" si="148"/>
        <v>-142527.01</v>
      </c>
      <c r="GN121">
        <f t="shared" si="149"/>
        <v>0</v>
      </c>
      <c r="GO121">
        <f t="shared" si="150"/>
        <v>0</v>
      </c>
      <c r="GP121">
        <f t="shared" si="151"/>
        <v>-142527.01</v>
      </c>
      <c r="GR121">
        <v>0</v>
      </c>
      <c r="GS121">
        <v>3</v>
      </c>
      <c r="GT121">
        <v>0</v>
      </c>
      <c r="GU121" t="s">
        <v>3</v>
      </c>
      <c r="GV121">
        <f t="shared" si="142"/>
        <v>0</v>
      </c>
      <c r="GW121">
        <v>1</v>
      </c>
      <c r="GX121">
        <f t="shared" si="143"/>
        <v>0</v>
      </c>
      <c r="HA121">
        <v>0</v>
      </c>
      <c r="HB121">
        <v>0</v>
      </c>
      <c r="HC121">
        <f t="shared" si="144"/>
        <v>0</v>
      </c>
      <c r="HE121" t="s">
        <v>3</v>
      </c>
      <c r="HF121" t="s">
        <v>3</v>
      </c>
      <c r="IK121">
        <v>0</v>
      </c>
    </row>
    <row r="122" spans="1:245" x14ac:dyDescent="0.2">
      <c r="A122">
        <v>18</v>
      </c>
      <c r="B122">
        <v>1</v>
      </c>
      <c r="C122">
        <v>46</v>
      </c>
      <c r="E122" t="s">
        <v>154</v>
      </c>
      <c r="F122" s="8" t="s">
        <v>632</v>
      </c>
      <c r="G122" t="s">
        <v>156</v>
      </c>
      <c r="H122" t="s">
        <v>157</v>
      </c>
      <c r="I122">
        <f>I120*J122</f>
        <v>280</v>
      </c>
      <c r="J122">
        <v>100</v>
      </c>
      <c r="O122">
        <f t="shared" si="111"/>
        <v>245000</v>
      </c>
      <c r="P122">
        <f t="shared" si="112"/>
        <v>245000</v>
      </c>
      <c r="Q122">
        <f t="shared" si="113"/>
        <v>0</v>
      </c>
      <c r="R122">
        <f t="shared" si="114"/>
        <v>0</v>
      </c>
      <c r="S122">
        <f t="shared" si="115"/>
        <v>0</v>
      </c>
      <c r="T122">
        <f t="shared" si="116"/>
        <v>0</v>
      </c>
      <c r="U122">
        <f t="shared" si="117"/>
        <v>0</v>
      </c>
      <c r="V122">
        <f t="shared" si="118"/>
        <v>0</v>
      </c>
      <c r="W122">
        <f t="shared" si="119"/>
        <v>0</v>
      </c>
      <c r="X122">
        <f t="shared" si="120"/>
        <v>0</v>
      </c>
      <c r="Y122">
        <f t="shared" si="121"/>
        <v>0</v>
      </c>
      <c r="AA122">
        <v>56440881</v>
      </c>
      <c r="AB122">
        <f t="shared" si="122"/>
        <v>875</v>
      </c>
      <c r="AC122">
        <f t="shared" si="145"/>
        <v>875</v>
      </c>
      <c r="AD122">
        <f>ROUND((ET122),2)</f>
        <v>0</v>
      </c>
      <c r="AE122">
        <f t="shared" si="146"/>
        <v>0</v>
      </c>
      <c r="AF122">
        <f t="shared" si="146"/>
        <v>0</v>
      </c>
      <c r="AG122">
        <f t="shared" si="126"/>
        <v>0</v>
      </c>
      <c r="AH122">
        <f t="shared" si="147"/>
        <v>0</v>
      </c>
      <c r="AI122">
        <f t="shared" si="147"/>
        <v>0</v>
      </c>
      <c r="AJ122">
        <f t="shared" si="128"/>
        <v>0</v>
      </c>
      <c r="AK122">
        <v>875</v>
      </c>
      <c r="AL122">
        <v>875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1</v>
      </c>
      <c r="AZ122">
        <v>1</v>
      </c>
      <c r="BA122">
        <v>1</v>
      </c>
      <c r="BB122">
        <v>1</v>
      </c>
      <c r="BC122">
        <v>1</v>
      </c>
      <c r="BD122" t="s">
        <v>3</v>
      </c>
      <c r="BE122" t="s">
        <v>3</v>
      </c>
      <c r="BF122" t="s">
        <v>3</v>
      </c>
      <c r="BG122" t="s">
        <v>3</v>
      </c>
      <c r="BH122">
        <v>3</v>
      </c>
      <c r="BI122">
        <v>1</v>
      </c>
      <c r="BJ122" t="s">
        <v>3</v>
      </c>
      <c r="BM122">
        <v>91</v>
      </c>
      <c r="BN122">
        <v>0</v>
      </c>
      <c r="BO122" t="s">
        <v>3</v>
      </c>
      <c r="BP122">
        <v>0</v>
      </c>
      <c r="BQ122">
        <v>1</v>
      </c>
      <c r="BR122">
        <v>0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 t="s">
        <v>3</v>
      </c>
      <c r="BZ122">
        <v>0</v>
      </c>
      <c r="CA122">
        <v>0</v>
      </c>
      <c r="CE122">
        <v>0</v>
      </c>
      <c r="CF122">
        <v>0</v>
      </c>
      <c r="CG122">
        <v>0</v>
      </c>
      <c r="CM122">
        <v>0</v>
      </c>
      <c r="CN122" t="s">
        <v>3</v>
      </c>
      <c r="CO122">
        <v>0</v>
      </c>
      <c r="CP122">
        <f t="shared" si="129"/>
        <v>245000</v>
      </c>
      <c r="CQ122">
        <f>AC122*BC122</f>
        <v>875</v>
      </c>
      <c r="CR122">
        <f>AD122*BB122</f>
        <v>0</v>
      </c>
      <c r="CS122">
        <f>AE122*BS122</f>
        <v>0</v>
      </c>
      <c r="CT122">
        <f>AF122*BA122</f>
        <v>0</v>
      </c>
      <c r="CU122">
        <f t="shared" si="134"/>
        <v>0</v>
      </c>
      <c r="CV122">
        <f>AH122</f>
        <v>0</v>
      </c>
      <c r="CW122">
        <f t="shared" si="136"/>
        <v>0</v>
      </c>
      <c r="CX122">
        <f t="shared" si="137"/>
        <v>0</v>
      </c>
      <c r="CY122">
        <f>0</f>
        <v>0</v>
      </c>
      <c r="CZ122">
        <f>0</f>
        <v>0</v>
      </c>
      <c r="DC122" t="s">
        <v>3</v>
      </c>
      <c r="DD122" t="s">
        <v>3</v>
      </c>
      <c r="DE122" t="s">
        <v>3</v>
      </c>
      <c r="DF122" t="s">
        <v>3</v>
      </c>
      <c r="DG122" t="s">
        <v>3</v>
      </c>
      <c r="DH122" t="s">
        <v>3</v>
      </c>
      <c r="DI122" t="s">
        <v>3</v>
      </c>
      <c r="DJ122" t="s">
        <v>3</v>
      </c>
      <c r="DK122" t="s">
        <v>3</v>
      </c>
      <c r="DL122" t="s">
        <v>3</v>
      </c>
      <c r="DM122" t="s">
        <v>3</v>
      </c>
      <c r="DN122">
        <v>0</v>
      </c>
      <c r="DO122">
        <v>0</v>
      </c>
      <c r="DP122">
        <v>1</v>
      </c>
      <c r="DQ122">
        <v>1</v>
      </c>
      <c r="DU122">
        <v>1005</v>
      </c>
      <c r="DV122" t="s">
        <v>157</v>
      </c>
      <c r="DW122" t="s">
        <v>157</v>
      </c>
      <c r="DX122">
        <v>1</v>
      </c>
      <c r="DZ122" t="s">
        <v>3</v>
      </c>
      <c r="EA122" t="s">
        <v>3</v>
      </c>
      <c r="EB122" t="s">
        <v>3</v>
      </c>
      <c r="EC122" t="s">
        <v>3</v>
      </c>
      <c r="EE122">
        <v>0</v>
      </c>
      <c r="EF122">
        <v>0</v>
      </c>
      <c r="EG122" t="s">
        <v>3</v>
      </c>
      <c r="EH122">
        <v>0</v>
      </c>
      <c r="EI122" t="s">
        <v>3</v>
      </c>
      <c r="EJ122">
        <v>0</v>
      </c>
      <c r="EK122">
        <v>91</v>
      </c>
      <c r="EL122" t="s">
        <v>3</v>
      </c>
      <c r="EM122" t="s">
        <v>3</v>
      </c>
      <c r="EO122" t="s">
        <v>3</v>
      </c>
      <c r="EQ122">
        <v>0</v>
      </c>
      <c r="ER122">
        <v>875</v>
      </c>
      <c r="ES122">
        <v>875</v>
      </c>
      <c r="ET122">
        <v>0</v>
      </c>
      <c r="EU122">
        <v>0</v>
      </c>
      <c r="EV122">
        <v>0</v>
      </c>
      <c r="EW122">
        <v>0</v>
      </c>
      <c r="EX122">
        <v>0</v>
      </c>
      <c r="EZ122">
        <v>5</v>
      </c>
      <c r="FC122">
        <v>1</v>
      </c>
      <c r="FD122">
        <v>18</v>
      </c>
      <c r="FF122">
        <v>1050</v>
      </c>
      <c r="FQ122">
        <v>0</v>
      </c>
      <c r="FR122">
        <f t="shared" si="140"/>
        <v>0</v>
      </c>
      <c r="FS122">
        <v>0</v>
      </c>
      <c r="FX122">
        <v>0</v>
      </c>
      <c r="FY122">
        <v>0</v>
      </c>
      <c r="GA122" t="s">
        <v>158</v>
      </c>
      <c r="GD122">
        <v>0</v>
      </c>
      <c r="GF122">
        <v>-1422212954</v>
      </c>
      <c r="GG122">
        <v>2</v>
      </c>
      <c r="GH122">
        <v>3</v>
      </c>
      <c r="GI122">
        <v>-2</v>
      </c>
      <c r="GJ122">
        <v>0</v>
      </c>
      <c r="GK122">
        <f>ROUND(R122*(R12)/100,2)</f>
        <v>0</v>
      </c>
      <c r="GL122">
        <f t="shared" si="141"/>
        <v>0</v>
      </c>
      <c r="GM122">
        <f t="shared" si="148"/>
        <v>245000</v>
      </c>
      <c r="GN122">
        <f t="shared" si="149"/>
        <v>245000</v>
      </c>
      <c r="GO122">
        <f t="shared" si="150"/>
        <v>0</v>
      </c>
      <c r="GP122">
        <f t="shared" si="151"/>
        <v>0</v>
      </c>
      <c r="GR122">
        <v>1</v>
      </c>
      <c r="GS122">
        <v>1</v>
      </c>
      <c r="GT122">
        <v>0</v>
      </c>
      <c r="GU122" t="s">
        <v>3</v>
      </c>
      <c r="GV122">
        <f t="shared" si="142"/>
        <v>0</v>
      </c>
      <c r="GW122">
        <v>1</v>
      </c>
      <c r="GX122">
        <f t="shared" si="143"/>
        <v>0</v>
      </c>
      <c r="HA122">
        <v>0</v>
      </c>
      <c r="HB122">
        <v>0</v>
      </c>
      <c r="HC122">
        <f t="shared" si="144"/>
        <v>0</v>
      </c>
      <c r="HE122" t="s">
        <v>159</v>
      </c>
      <c r="HF122" t="s">
        <v>159</v>
      </c>
      <c r="IK122">
        <v>0</v>
      </c>
    </row>
    <row r="123" spans="1:245" x14ac:dyDescent="0.2">
      <c r="A123">
        <v>18</v>
      </c>
      <c r="B123">
        <v>1</v>
      </c>
      <c r="C123">
        <v>44</v>
      </c>
      <c r="E123" t="s">
        <v>160</v>
      </c>
      <c r="F123" t="s">
        <v>161</v>
      </c>
      <c r="G123" t="s">
        <v>162</v>
      </c>
      <c r="H123" t="s">
        <v>44</v>
      </c>
      <c r="I123">
        <f>I120*J123</f>
        <v>-3.4439999999999998E-2</v>
      </c>
      <c r="J123">
        <v>-1.23E-2</v>
      </c>
      <c r="O123">
        <f t="shared" si="111"/>
        <v>-1822.38</v>
      </c>
      <c r="P123">
        <f t="shared" si="112"/>
        <v>-1822.38</v>
      </c>
      <c r="Q123">
        <f t="shared" si="113"/>
        <v>0</v>
      </c>
      <c r="R123">
        <f t="shared" si="114"/>
        <v>0</v>
      </c>
      <c r="S123">
        <f t="shared" si="115"/>
        <v>0</v>
      </c>
      <c r="T123">
        <f t="shared" si="116"/>
        <v>0</v>
      </c>
      <c r="U123">
        <f t="shared" si="117"/>
        <v>0</v>
      </c>
      <c r="V123">
        <f t="shared" si="118"/>
        <v>0</v>
      </c>
      <c r="W123">
        <f t="shared" si="119"/>
        <v>0</v>
      </c>
      <c r="X123">
        <f t="shared" si="120"/>
        <v>0</v>
      </c>
      <c r="Y123">
        <f t="shared" si="121"/>
        <v>0</v>
      </c>
      <c r="AA123">
        <v>56440881</v>
      </c>
      <c r="AB123">
        <f t="shared" si="122"/>
        <v>52914.53</v>
      </c>
      <c r="AC123">
        <f t="shared" si="145"/>
        <v>52914.53</v>
      </c>
      <c r="AD123">
        <f>ROUND((((ET123)-(EU123))+AE123),2)</f>
        <v>0</v>
      </c>
      <c r="AE123">
        <f t="shared" si="146"/>
        <v>0</v>
      </c>
      <c r="AF123">
        <f t="shared" si="146"/>
        <v>0</v>
      </c>
      <c r="AG123">
        <f t="shared" si="126"/>
        <v>0</v>
      </c>
      <c r="AH123">
        <f t="shared" si="147"/>
        <v>0</v>
      </c>
      <c r="AI123">
        <f t="shared" si="147"/>
        <v>0</v>
      </c>
      <c r="AJ123">
        <f t="shared" si="128"/>
        <v>0</v>
      </c>
      <c r="AK123">
        <v>52914.53</v>
      </c>
      <c r="AL123">
        <v>52914.53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70</v>
      </c>
      <c r="AU123">
        <v>10</v>
      </c>
      <c r="AV123">
        <v>1</v>
      </c>
      <c r="AW123">
        <v>1</v>
      </c>
      <c r="AZ123">
        <v>1</v>
      </c>
      <c r="BA123">
        <v>1</v>
      </c>
      <c r="BB123">
        <v>1</v>
      </c>
      <c r="BC123">
        <v>1</v>
      </c>
      <c r="BD123" t="s">
        <v>3</v>
      </c>
      <c r="BE123" t="s">
        <v>3</v>
      </c>
      <c r="BF123" t="s">
        <v>3</v>
      </c>
      <c r="BG123" t="s">
        <v>3</v>
      </c>
      <c r="BH123">
        <v>3</v>
      </c>
      <c r="BI123">
        <v>4</v>
      </c>
      <c r="BJ123" t="s">
        <v>163</v>
      </c>
      <c r="BM123">
        <v>0</v>
      </c>
      <c r="BN123">
        <v>0</v>
      </c>
      <c r="BO123" t="s">
        <v>3</v>
      </c>
      <c r="BP123">
        <v>0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 t="s">
        <v>3</v>
      </c>
      <c r="BZ123">
        <v>70</v>
      </c>
      <c r="CA123">
        <v>10</v>
      </c>
      <c r="CE123">
        <v>0</v>
      </c>
      <c r="CF123">
        <v>0</v>
      </c>
      <c r="CG123">
        <v>0</v>
      </c>
      <c r="CM123">
        <v>0</v>
      </c>
      <c r="CN123" t="s">
        <v>3</v>
      </c>
      <c r="CO123">
        <v>0</v>
      </c>
      <c r="CP123">
        <f t="shared" si="129"/>
        <v>-1822.38</v>
      </c>
      <c r="CQ123">
        <f>(AC123*BC123*AW123)</f>
        <v>52914.53</v>
      </c>
      <c r="CR123">
        <f>((((ET123)*BB123-(EU123)*BS123)+AE123*BS123)*AV123)</f>
        <v>0</v>
      </c>
      <c r="CS123">
        <f>(AE123*BS123*AV123)</f>
        <v>0</v>
      </c>
      <c r="CT123">
        <f>(AF123*BA123*AV123)</f>
        <v>0</v>
      </c>
      <c r="CU123">
        <f t="shared" si="134"/>
        <v>0</v>
      </c>
      <c r="CV123">
        <f>(AH123*AV123)</f>
        <v>0</v>
      </c>
      <c r="CW123">
        <f t="shared" si="136"/>
        <v>0</v>
      </c>
      <c r="CX123">
        <f t="shared" si="137"/>
        <v>0</v>
      </c>
      <c r="CY123">
        <f>((S123*BZ123)/100)</f>
        <v>0</v>
      </c>
      <c r="CZ123">
        <f>((S123*CA123)/100)</f>
        <v>0</v>
      </c>
      <c r="DC123" t="s">
        <v>3</v>
      </c>
      <c r="DD123" t="s">
        <v>3</v>
      </c>
      <c r="DE123" t="s">
        <v>3</v>
      </c>
      <c r="DF123" t="s">
        <v>3</v>
      </c>
      <c r="DG123" t="s">
        <v>3</v>
      </c>
      <c r="DH123" t="s">
        <v>3</v>
      </c>
      <c r="DI123" t="s">
        <v>3</v>
      </c>
      <c r="DJ123" t="s">
        <v>3</v>
      </c>
      <c r="DK123" t="s">
        <v>3</v>
      </c>
      <c r="DL123" t="s">
        <v>3</v>
      </c>
      <c r="DM123" t="s">
        <v>3</v>
      </c>
      <c r="DN123">
        <v>0</v>
      </c>
      <c r="DO123">
        <v>0</v>
      </c>
      <c r="DP123">
        <v>1</v>
      </c>
      <c r="DQ123">
        <v>1</v>
      </c>
      <c r="DU123">
        <v>1009</v>
      </c>
      <c r="DV123" t="s">
        <v>44</v>
      </c>
      <c r="DW123" t="s">
        <v>44</v>
      </c>
      <c r="DX123">
        <v>1000</v>
      </c>
      <c r="DZ123" t="s">
        <v>3</v>
      </c>
      <c r="EA123" t="s">
        <v>3</v>
      </c>
      <c r="EB123" t="s">
        <v>3</v>
      </c>
      <c r="EC123" t="s">
        <v>3</v>
      </c>
      <c r="EE123">
        <v>54545671</v>
      </c>
      <c r="EF123">
        <v>1</v>
      </c>
      <c r="EG123" t="s">
        <v>20</v>
      </c>
      <c r="EH123">
        <v>0</v>
      </c>
      <c r="EI123" t="s">
        <v>3</v>
      </c>
      <c r="EJ123">
        <v>4</v>
      </c>
      <c r="EK123">
        <v>0</v>
      </c>
      <c r="EL123" t="s">
        <v>21</v>
      </c>
      <c r="EM123" t="s">
        <v>22</v>
      </c>
      <c r="EO123" t="s">
        <v>3</v>
      </c>
      <c r="EQ123">
        <v>0</v>
      </c>
      <c r="ER123">
        <v>52914.53</v>
      </c>
      <c r="ES123">
        <v>52914.53</v>
      </c>
      <c r="ET123">
        <v>0</v>
      </c>
      <c r="EU123">
        <v>0</v>
      </c>
      <c r="EV123">
        <v>0</v>
      </c>
      <c r="EW123">
        <v>0</v>
      </c>
      <c r="EX123">
        <v>0</v>
      </c>
      <c r="FQ123">
        <v>0</v>
      </c>
      <c r="FR123">
        <f t="shared" si="140"/>
        <v>0</v>
      </c>
      <c r="FS123">
        <v>0</v>
      </c>
      <c r="FX123">
        <v>70</v>
      </c>
      <c r="FY123">
        <v>10</v>
      </c>
      <c r="GA123" t="s">
        <v>3</v>
      </c>
      <c r="GD123">
        <v>0</v>
      </c>
      <c r="GF123">
        <v>-509512801</v>
      </c>
      <c r="GG123">
        <v>2</v>
      </c>
      <c r="GH123">
        <v>1</v>
      </c>
      <c r="GI123">
        <v>-2</v>
      </c>
      <c r="GJ123">
        <v>0</v>
      </c>
      <c r="GK123">
        <f>ROUND(R123*(R12)/100,2)</f>
        <v>0</v>
      </c>
      <c r="GL123">
        <f t="shared" si="141"/>
        <v>0</v>
      </c>
      <c r="GM123">
        <f t="shared" si="148"/>
        <v>-1822.38</v>
      </c>
      <c r="GN123">
        <f t="shared" si="149"/>
        <v>0</v>
      </c>
      <c r="GO123">
        <f t="shared" si="150"/>
        <v>0</v>
      </c>
      <c r="GP123">
        <f t="shared" si="151"/>
        <v>-1822.38</v>
      </c>
      <c r="GR123">
        <v>0</v>
      </c>
      <c r="GS123">
        <v>3</v>
      </c>
      <c r="GT123">
        <v>0</v>
      </c>
      <c r="GU123" t="s">
        <v>3</v>
      </c>
      <c r="GV123">
        <f t="shared" si="142"/>
        <v>0</v>
      </c>
      <c r="GW123">
        <v>1</v>
      </c>
      <c r="GX123">
        <f t="shared" si="143"/>
        <v>0</v>
      </c>
      <c r="HA123">
        <v>0</v>
      </c>
      <c r="HB123">
        <v>0</v>
      </c>
      <c r="HC123">
        <f t="shared" si="144"/>
        <v>0</v>
      </c>
      <c r="HE123" t="s">
        <v>3</v>
      </c>
      <c r="HF123" t="s">
        <v>3</v>
      </c>
      <c r="IK123">
        <v>0</v>
      </c>
    </row>
    <row r="124" spans="1:245" x14ac:dyDescent="0.2">
      <c r="A124">
        <v>18</v>
      </c>
      <c r="B124">
        <v>1</v>
      </c>
      <c r="C124">
        <v>47</v>
      </c>
      <c r="E124" t="s">
        <v>164</v>
      </c>
      <c r="F124" s="8" t="s">
        <v>633</v>
      </c>
      <c r="G124" t="s">
        <v>165</v>
      </c>
      <c r="H124" t="s">
        <v>166</v>
      </c>
      <c r="I124">
        <f>I120*J124</f>
        <v>1080</v>
      </c>
      <c r="J124">
        <v>385.71428571428572</v>
      </c>
      <c r="O124">
        <f t="shared" si="111"/>
        <v>8100</v>
      </c>
      <c r="P124">
        <f t="shared" si="112"/>
        <v>8100</v>
      </c>
      <c r="Q124">
        <f t="shared" si="113"/>
        <v>0</v>
      </c>
      <c r="R124">
        <f t="shared" si="114"/>
        <v>0</v>
      </c>
      <c r="S124">
        <f t="shared" si="115"/>
        <v>0</v>
      </c>
      <c r="T124">
        <f t="shared" si="116"/>
        <v>0</v>
      </c>
      <c r="U124">
        <f t="shared" si="117"/>
        <v>0</v>
      </c>
      <c r="V124">
        <f t="shared" si="118"/>
        <v>0</v>
      </c>
      <c r="W124">
        <f t="shared" si="119"/>
        <v>0</v>
      </c>
      <c r="X124">
        <f t="shared" si="120"/>
        <v>0</v>
      </c>
      <c r="Y124">
        <f t="shared" si="121"/>
        <v>0</v>
      </c>
      <c r="AA124">
        <v>56440881</v>
      </c>
      <c r="AB124">
        <f t="shared" si="122"/>
        <v>7.5</v>
      </c>
      <c r="AC124">
        <f t="shared" si="145"/>
        <v>7.5</v>
      </c>
      <c r="AD124">
        <f>ROUND((((ET124)-(EU124))+AE124),2)</f>
        <v>0</v>
      </c>
      <c r="AE124">
        <f t="shared" si="146"/>
        <v>0</v>
      </c>
      <c r="AF124">
        <f t="shared" si="146"/>
        <v>0</v>
      </c>
      <c r="AG124">
        <f t="shared" si="126"/>
        <v>0</v>
      </c>
      <c r="AH124">
        <f t="shared" si="147"/>
        <v>0</v>
      </c>
      <c r="AI124">
        <f t="shared" si="147"/>
        <v>0</v>
      </c>
      <c r="AJ124">
        <f t="shared" si="128"/>
        <v>0</v>
      </c>
      <c r="AK124">
        <v>7.5</v>
      </c>
      <c r="AL124">
        <v>7.5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70</v>
      </c>
      <c r="AU124">
        <v>10</v>
      </c>
      <c r="AV124">
        <v>1</v>
      </c>
      <c r="AW124">
        <v>1</v>
      </c>
      <c r="AZ124">
        <v>1</v>
      </c>
      <c r="BA124">
        <v>1</v>
      </c>
      <c r="BB124">
        <v>1</v>
      </c>
      <c r="BC124">
        <v>1</v>
      </c>
      <c r="BD124" t="s">
        <v>3</v>
      </c>
      <c r="BE124" t="s">
        <v>3</v>
      </c>
      <c r="BF124" t="s">
        <v>3</v>
      </c>
      <c r="BG124" t="s">
        <v>3</v>
      </c>
      <c r="BH124">
        <v>3</v>
      </c>
      <c r="BI124">
        <v>4</v>
      </c>
      <c r="BJ124" t="s">
        <v>3</v>
      </c>
      <c r="BM124">
        <v>0</v>
      </c>
      <c r="BN124">
        <v>0</v>
      </c>
      <c r="BO124" t="s">
        <v>3</v>
      </c>
      <c r="BP124">
        <v>0</v>
      </c>
      <c r="BQ124">
        <v>1</v>
      </c>
      <c r="BR124">
        <v>0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 t="s">
        <v>3</v>
      </c>
      <c r="BZ124">
        <v>70</v>
      </c>
      <c r="CA124">
        <v>10</v>
      </c>
      <c r="CE124">
        <v>0</v>
      </c>
      <c r="CF124">
        <v>0</v>
      </c>
      <c r="CG124">
        <v>0</v>
      </c>
      <c r="CM124">
        <v>0</v>
      </c>
      <c r="CN124" t="s">
        <v>3</v>
      </c>
      <c r="CO124">
        <v>0</v>
      </c>
      <c r="CP124">
        <f t="shared" si="129"/>
        <v>8100</v>
      </c>
      <c r="CQ124">
        <f>(AC124*BC124*AW124)</f>
        <v>7.5</v>
      </c>
      <c r="CR124">
        <f>((((ET124)*BB124-(EU124)*BS124)+AE124*BS124)*AV124)</f>
        <v>0</v>
      </c>
      <c r="CS124">
        <f>(AE124*BS124*AV124)</f>
        <v>0</v>
      </c>
      <c r="CT124">
        <f>(AF124*BA124*AV124)</f>
        <v>0</v>
      </c>
      <c r="CU124">
        <f t="shared" si="134"/>
        <v>0</v>
      </c>
      <c r="CV124">
        <f>(AH124*AV124)</f>
        <v>0</v>
      </c>
      <c r="CW124">
        <f t="shared" si="136"/>
        <v>0</v>
      </c>
      <c r="CX124">
        <f t="shared" si="137"/>
        <v>0</v>
      </c>
      <c r="CY124">
        <f>((S124*BZ124)/100)</f>
        <v>0</v>
      </c>
      <c r="CZ124">
        <f>((S124*CA124)/100)</f>
        <v>0</v>
      </c>
      <c r="DC124" t="s">
        <v>3</v>
      </c>
      <c r="DD124" t="s">
        <v>3</v>
      </c>
      <c r="DE124" t="s">
        <v>3</v>
      </c>
      <c r="DF124" t="s">
        <v>3</v>
      </c>
      <c r="DG124" t="s">
        <v>3</v>
      </c>
      <c r="DH124" t="s">
        <v>3</v>
      </c>
      <c r="DI124" t="s">
        <v>3</v>
      </c>
      <c r="DJ124" t="s">
        <v>3</v>
      </c>
      <c r="DK124" t="s">
        <v>3</v>
      </c>
      <c r="DL124" t="s">
        <v>3</v>
      </c>
      <c r="DM124" t="s">
        <v>3</v>
      </c>
      <c r="DN124">
        <v>0</v>
      </c>
      <c r="DO124">
        <v>0</v>
      </c>
      <c r="DP124">
        <v>1</v>
      </c>
      <c r="DQ124">
        <v>1</v>
      </c>
      <c r="DU124">
        <v>1010</v>
      </c>
      <c r="DV124" t="s">
        <v>166</v>
      </c>
      <c r="DW124" t="s">
        <v>166</v>
      </c>
      <c r="DX124">
        <v>1</v>
      </c>
      <c r="DZ124" t="s">
        <v>3</v>
      </c>
      <c r="EA124" t="s">
        <v>3</v>
      </c>
      <c r="EB124" t="s">
        <v>3</v>
      </c>
      <c r="EC124" t="s">
        <v>3</v>
      </c>
      <c r="EE124">
        <v>54545671</v>
      </c>
      <c r="EF124">
        <v>1</v>
      </c>
      <c r="EG124" t="s">
        <v>20</v>
      </c>
      <c r="EH124">
        <v>0</v>
      </c>
      <c r="EI124" t="s">
        <v>3</v>
      </c>
      <c r="EJ124">
        <v>4</v>
      </c>
      <c r="EK124">
        <v>0</v>
      </c>
      <c r="EL124" t="s">
        <v>21</v>
      </c>
      <c r="EM124" t="s">
        <v>22</v>
      </c>
      <c r="EO124" t="s">
        <v>3</v>
      </c>
      <c r="EQ124">
        <v>0</v>
      </c>
      <c r="ER124">
        <v>7.5</v>
      </c>
      <c r="ES124">
        <v>7.5</v>
      </c>
      <c r="ET124">
        <v>0</v>
      </c>
      <c r="EU124">
        <v>0</v>
      </c>
      <c r="EV124">
        <v>0</v>
      </c>
      <c r="EW124">
        <v>0</v>
      </c>
      <c r="EX124">
        <v>0</v>
      </c>
      <c r="EZ124">
        <v>5</v>
      </c>
      <c r="FC124">
        <v>1</v>
      </c>
      <c r="FD124">
        <v>18</v>
      </c>
      <c r="FF124">
        <v>9</v>
      </c>
      <c r="FQ124">
        <v>0</v>
      </c>
      <c r="FR124">
        <f t="shared" si="140"/>
        <v>0</v>
      </c>
      <c r="FS124">
        <v>0</v>
      </c>
      <c r="FX124">
        <v>70</v>
      </c>
      <c r="FY124">
        <v>10</v>
      </c>
      <c r="GA124" t="s">
        <v>167</v>
      </c>
      <c r="GD124">
        <v>0</v>
      </c>
      <c r="GF124">
        <v>-2122191956</v>
      </c>
      <c r="GG124">
        <v>2</v>
      </c>
      <c r="GH124">
        <v>3</v>
      </c>
      <c r="GI124">
        <v>-2</v>
      </c>
      <c r="GJ124">
        <v>0</v>
      </c>
      <c r="GK124">
        <f>ROUND(R124*(R12)/100,2)</f>
        <v>0</v>
      </c>
      <c r="GL124">
        <f t="shared" si="141"/>
        <v>0</v>
      </c>
      <c r="GM124">
        <f t="shared" si="148"/>
        <v>8100</v>
      </c>
      <c r="GN124">
        <f t="shared" si="149"/>
        <v>0</v>
      </c>
      <c r="GO124">
        <f t="shared" si="150"/>
        <v>0</v>
      </c>
      <c r="GP124">
        <f t="shared" si="151"/>
        <v>8100</v>
      </c>
      <c r="GR124">
        <v>1</v>
      </c>
      <c r="GS124">
        <v>1</v>
      </c>
      <c r="GT124">
        <v>0</v>
      </c>
      <c r="GU124" t="s">
        <v>3</v>
      </c>
      <c r="GV124">
        <f t="shared" si="142"/>
        <v>0</v>
      </c>
      <c r="GW124">
        <v>1</v>
      </c>
      <c r="GX124">
        <f t="shared" si="143"/>
        <v>0</v>
      </c>
      <c r="HA124">
        <v>0</v>
      </c>
      <c r="HB124">
        <v>0</v>
      </c>
      <c r="HC124">
        <f t="shared" si="144"/>
        <v>0</v>
      </c>
      <c r="HE124" t="s">
        <v>159</v>
      </c>
      <c r="HF124" t="s">
        <v>159</v>
      </c>
      <c r="IK124">
        <v>0</v>
      </c>
    </row>
    <row r="125" spans="1:245" x14ac:dyDescent="0.2">
      <c r="A125">
        <v>18</v>
      </c>
      <c r="B125">
        <v>1</v>
      </c>
      <c r="C125">
        <v>48</v>
      </c>
      <c r="E125" t="s">
        <v>168</v>
      </c>
      <c r="F125" s="8" t="s">
        <v>634</v>
      </c>
      <c r="G125" t="s">
        <v>169</v>
      </c>
      <c r="H125" t="s">
        <v>166</v>
      </c>
      <c r="I125">
        <f>I120*J125</f>
        <v>4492</v>
      </c>
      <c r="J125">
        <v>1604.2857142857144</v>
      </c>
      <c r="O125">
        <f t="shared" si="111"/>
        <v>33690</v>
      </c>
      <c r="P125">
        <f t="shared" si="112"/>
        <v>33690</v>
      </c>
      <c r="Q125">
        <f t="shared" si="113"/>
        <v>0</v>
      </c>
      <c r="R125">
        <f t="shared" si="114"/>
        <v>0</v>
      </c>
      <c r="S125">
        <f t="shared" si="115"/>
        <v>0</v>
      </c>
      <c r="T125">
        <f t="shared" si="116"/>
        <v>0</v>
      </c>
      <c r="U125">
        <f t="shared" si="117"/>
        <v>0</v>
      </c>
      <c r="V125">
        <f t="shared" si="118"/>
        <v>0</v>
      </c>
      <c r="W125">
        <f t="shared" si="119"/>
        <v>0</v>
      </c>
      <c r="X125">
        <f t="shared" si="120"/>
        <v>0</v>
      </c>
      <c r="Y125">
        <f t="shared" si="121"/>
        <v>0</v>
      </c>
      <c r="AA125">
        <v>56440881</v>
      </c>
      <c r="AB125">
        <f t="shared" si="122"/>
        <v>7.5</v>
      </c>
      <c r="AC125">
        <f t="shared" si="145"/>
        <v>7.5</v>
      </c>
      <c r="AD125">
        <f>ROUND((((ET125)-(EU125))+AE125),2)</f>
        <v>0</v>
      </c>
      <c r="AE125">
        <f t="shared" si="146"/>
        <v>0</v>
      </c>
      <c r="AF125">
        <f t="shared" si="146"/>
        <v>0</v>
      </c>
      <c r="AG125">
        <f t="shared" si="126"/>
        <v>0</v>
      </c>
      <c r="AH125">
        <f t="shared" si="147"/>
        <v>0</v>
      </c>
      <c r="AI125">
        <f t="shared" si="147"/>
        <v>0</v>
      </c>
      <c r="AJ125">
        <f t="shared" si="128"/>
        <v>0</v>
      </c>
      <c r="AK125">
        <v>7.5</v>
      </c>
      <c r="AL125">
        <v>7.5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70</v>
      </c>
      <c r="AU125">
        <v>10</v>
      </c>
      <c r="AV125">
        <v>1</v>
      </c>
      <c r="AW125">
        <v>1</v>
      </c>
      <c r="AZ125">
        <v>1</v>
      </c>
      <c r="BA125">
        <v>1</v>
      </c>
      <c r="BB125">
        <v>1</v>
      </c>
      <c r="BC125">
        <v>1</v>
      </c>
      <c r="BD125" t="s">
        <v>3</v>
      </c>
      <c r="BE125" t="s">
        <v>3</v>
      </c>
      <c r="BF125" t="s">
        <v>3</v>
      </c>
      <c r="BG125" t="s">
        <v>3</v>
      </c>
      <c r="BH125">
        <v>3</v>
      </c>
      <c r="BI125">
        <v>4</v>
      </c>
      <c r="BJ125" t="s">
        <v>3</v>
      </c>
      <c r="BM125">
        <v>0</v>
      </c>
      <c r="BN125">
        <v>0</v>
      </c>
      <c r="BO125" t="s">
        <v>3</v>
      </c>
      <c r="BP125">
        <v>0</v>
      </c>
      <c r="BQ125">
        <v>1</v>
      </c>
      <c r="BR125">
        <v>0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 t="s">
        <v>3</v>
      </c>
      <c r="BZ125">
        <v>70</v>
      </c>
      <c r="CA125">
        <v>10</v>
      </c>
      <c r="CE125">
        <v>0</v>
      </c>
      <c r="CF125">
        <v>0</v>
      </c>
      <c r="CG125">
        <v>0</v>
      </c>
      <c r="CM125">
        <v>0</v>
      </c>
      <c r="CN125" t="s">
        <v>3</v>
      </c>
      <c r="CO125">
        <v>0</v>
      </c>
      <c r="CP125">
        <f t="shared" si="129"/>
        <v>33690</v>
      </c>
      <c r="CQ125">
        <f>(AC125*BC125*AW125)</f>
        <v>7.5</v>
      </c>
      <c r="CR125">
        <f>((((ET125)*BB125-(EU125)*BS125)+AE125*BS125)*AV125)</f>
        <v>0</v>
      </c>
      <c r="CS125">
        <f>(AE125*BS125*AV125)</f>
        <v>0</v>
      </c>
      <c r="CT125">
        <f>(AF125*BA125*AV125)</f>
        <v>0</v>
      </c>
      <c r="CU125">
        <f t="shared" si="134"/>
        <v>0</v>
      </c>
      <c r="CV125">
        <f>(AH125*AV125)</f>
        <v>0</v>
      </c>
      <c r="CW125">
        <f t="shared" si="136"/>
        <v>0</v>
      </c>
      <c r="CX125">
        <f t="shared" si="137"/>
        <v>0</v>
      </c>
      <c r="CY125">
        <f>((S125*BZ125)/100)</f>
        <v>0</v>
      </c>
      <c r="CZ125">
        <f>((S125*CA125)/100)</f>
        <v>0</v>
      </c>
      <c r="DC125" t="s">
        <v>3</v>
      </c>
      <c r="DD125" t="s">
        <v>3</v>
      </c>
      <c r="DE125" t="s">
        <v>3</v>
      </c>
      <c r="DF125" t="s">
        <v>3</v>
      </c>
      <c r="DG125" t="s">
        <v>3</v>
      </c>
      <c r="DH125" t="s">
        <v>3</v>
      </c>
      <c r="DI125" t="s">
        <v>3</v>
      </c>
      <c r="DJ125" t="s">
        <v>3</v>
      </c>
      <c r="DK125" t="s">
        <v>3</v>
      </c>
      <c r="DL125" t="s">
        <v>3</v>
      </c>
      <c r="DM125" t="s">
        <v>3</v>
      </c>
      <c r="DN125">
        <v>0</v>
      </c>
      <c r="DO125">
        <v>0</v>
      </c>
      <c r="DP125">
        <v>1</v>
      </c>
      <c r="DQ125">
        <v>1</v>
      </c>
      <c r="DU125">
        <v>1010</v>
      </c>
      <c r="DV125" t="s">
        <v>166</v>
      </c>
      <c r="DW125" t="s">
        <v>166</v>
      </c>
      <c r="DX125">
        <v>1</v>
      </c>
      <c r="DZ125" t="s">
        <v>3</v>
      </c>
      <c r="EA125" t="s">
        <v>3</v>
      </c>
      <c r="EB125" t="s">
        <v>3</v>
      </c>
      <c r="EC125" t="s">
        <v>3</v>
      </c>
      <c r="EE125">
        <v>54545671</v>
      </c>
      <c r="EF125">
        <v>1</v>
      </c>
      <c r="EG125" t="s">
        <v>20</v>
      </c>
      <c r="EH125">
        <v>0</v>
      </c>
      <c r="EI125" t="s">
        <v>3</v>
      </c>
      <c r="EJ125">
        <v>4</v>
      </c>
      <c r="EK125">
        <v>0</v>
      </c>
      <c r="EL125" t="s">
        <v>21</v>
      </c>
      <c r="EM125" t="s">
        <v>22</v>
      </c>
      <c r="EO125" t="s">
        <v>3</v>
      </c>
      <c r="EQ125">
        <v>0</v>
      </c>
      <c r="ER125">
        <v>7.5</v>
      </c>
      <c r="ES125">
        <v>7.5</v>
      </c>
      <c r="ET125">
        <v>0</v>
      </c>
      <c r="EU125">
        <v>0</v>
      </c>
      <c r="EV125">
        <v>0</v>
      </c>
      <c r="EW125">
        <v>0</v>
      </c>
      <c r="EX125">
        <v>0</v>
      </c>
      <c r="EZ125">
        <v>5</v>
      </c>
      <c r="FC125">
        <v>1</v>
      </c>
      <c r="FD125">
        <v>18</v>
      </c>
      <c r="FF125">
        <v>9</v>
      </c>
      <c r="FQ125">
        <v>0</v>
      </c>
      <c r="FR125">
        <f t="shared" si="140"/>
        <v>0</v>
      </c>
      <c r="FS125">
        <v>0</v>
      </c>
      <c r="FX125">
        <v>70</v>
      </c>
      <c r="FY125">
        <v>10</v>
      </c>
      <c r="GA125" t="s">
        <v>167</v>
      </c>
      <c r="GD125">
        <v>0</v>
      </c>
      <c r="GF125">
        <v>-1557709343</v>
      </c>
      <c r="GG125">
        <v>2</v>
      </c>
      <c r="GH125">
        <v>3</v>
      </c>
      <c r="GI125">
        <v>-2</v>
      </c>
      <c r="GJ125">
        <v>0</v>
      </c>
      <c r="GK125">
        <f>ROUND(R125*(R12)/100,2)</f>
        <v>0</v>
      </c>
      <c r="GL125">
        <f t="shared" si="141"/>
        <v>0</v>
      </c>
      <c r="GM125">
        <f t="shared" si="148"/>
        <v>33690</v>
      </c>
      <c r="GN125">
        <f t="shared" si="149"/>
        <v>0</v>
      </c>
      <c r="GO125">
        <f t="shared" si="150"/>
        <v>0</v>
      </c>
      <c r="GP125">
        <f t="shared" si="151"/>
        <v>33690</v>
      </c>
      <c r="GR125">
        <v>1</v>
      </c>
      <c r="GS125">
        <v>1</v>
      </c>
      <c r="GT125">
        <v>0</v>
      </c>
      <c r="GU125" t="s">
        <v>3</v>
      </c>
      <c r="GV125">
        <f t="shared" si="142"/>
        <v>0</v>
      </c>
      <c r="GW125">
        <v>1</v>
      </c>
      <c r="GX125">
        <f t="shared" si="143"/>
        <v>0</v>
      </c>
      <c r="HA125">
        <v>0</v>
      </c>
      <c r="HB125">
        <v>0</v>
      </c>
      <c r="HC125">
        <f t="shared" si="144"/>
        <v>0</v>
      </c>
      <c r="HE125" t="s">
        <v>159</v>
      </c>
      <c r="HF125" t="s">
        <v>159</v>
      </c>
      <c r="IK125">
        <v>0</v>
      </c>
    </row>
    <row r="127" spans="1:245" x14ac:dyDescent="0.2">
      <c r="A127" s="2">
        <v>51</v>
      </c>
      <c r="B127" s="2">
        <f>B108</f>
        <v>1</v>
      </c>
      <c r="C127" s="2">
        <f>A108</f>
        <v>4</v>
      </c>
      <c r="D127" s="2">
        <f>ROW(A108)</f>
        <v>108</v>
      </c>
      <c r="E127" s="2"/>
      <c r="F127" s="2" t="str">
        <f>IF(F108&lt;&gt;"",F108,"")</f>
        <v>Новый раздел</v>
      </c>
      <c r="G127" s="2" t="str">
        <f>IF(G108&lt;&gt;"",G108,"")</f>
        <v>Ремонт веранд (280 м2)</v>
      </c>
      <c r="H127" s="2">
        <v>0</v>
      </c>
      <c r="I127" s="2"/>
      <c r="J127" s="2"/>
      <c r="K127" s="2"/>
      <c r="L127" s="2"/>
      <c r="M127" s="2"/>
      <c r="N127" s="2"/>
      <c r="O127" s="2">
        <f t="shared" ref="O127:T127" si="152">ROUND(AB127,2)</f>
        <v>341284.49</v>
      </c>
      <c r="P127" s="2">
        <f t="shared" si="152"/>
        <v>287233.42</v>
      </c>
      <c r="Q127" s="2">
        <f t="shared" si="152"/>
        <v>3893.33</v>
      </c>
      <c r="R127" s="2">
        <f t="shared" si="152"/>
        <v>2190.0700000000002</v>
      </c>
      <c r="S127" s="2">
        <f t="shared" si="152"/>
        <v>50157.74</v>
      </c>
      <c r="T127" s="2">
        <f t="shared" si="152"/>
        <v>0</v>
      </c>
      <c r="U127" s="2">
        <f>AH127</f>
        <v>270.45087999999998</v>
      </c>
      <c r="V127" s="2">
        <f>AI127</f>
        <v>0</v>
      </c>
      <c r="W127" s="2">
        <f>ROUND(AJ127,2)</f>
        <v>0</v>
      </c>
      <c r="X127" s="2">
        <f>ROUND(AK127,2)</f>
        <v>35110.42</v>
      </c>
      <c r="Y127" s="2">
        <f>ROUND(AL127,2)</f>
        <v>5015.78</v>
      </c>
      <c r="Z127" s="2"/>
      <c r="AA127" s="2"/>
      <c r="AB127" s="2">
        <f>ROUND(SUMIF(AA112:AA125,"=56440881",O112:O125),2)</f>
        <v>341284.49</v>
      </c>
      <c r="AC127" s="2">
        <f>ROUND(SUMIF(AA112:AA125,"=56440881",P112:P125),2)</f>
        <v>287233.42</v>
      </c>
      <c r="AD127" s="2">
        <f>ROUND(SUMIF(AA112:AA125,"=56440881",Q112:Q125),2)</f>
        <v>3893.33</v>
      </c>
      <c r="AE127" s="2">
        <f>ROUND(SUMIF(AA112:AA125,"=56440881",R112:R125),2)</f>
        <v>2190.0700000000002</v>
      </c>
      <c r="AF127" s="2">
        <f>ROUND(SUMIF(AA112:AA125,"=56440881",S112:S125),2)</f>
        <v>50157.74</v>
      </c>
      <c r="AG127" s="2">
        <f>ROUND(SUMIF(AA112:AA125,"=56440881",T112:T125),2)</f>
        <v>0</v>
      </c>
      <c r="AH127" s="2">
        <f>SUMIF(AA112:AA125,"=56440881",U112:U125)</f>
        <v>270.45087999999998</v>
      </c>
      <c r="AI127" s="2">
        <f>SUMIF(AA112:AA125,"=56440881",V112:V125)</f>
        <v>0</v>
      </c>
      <c r="AJ127" s="2">
        <f>ROUND(SUMIF(AA112:AA125,"=56440881",W112:W125),2)</f>
        <v>0</v>
      </c>
      <c r="AK127" s="2">
        <f>ROUND(SUMIF(AA112:AA125,"=56440881",X112:X125),2)</f>
        <v>35110.42</v>
      </c>
      <c r="AL127" s="2">
        <f>ROUND(SUMIF(AA112:AA125,"=56440881",Y112:Y125),2)</f>
        <v>5015.78</v>
      </c>
      <c r="AM127" s="2"/>
      <c r="AN127" s="2"/>
      <c r="AO127" s="2">
        <f t="shared" ref="AO127:BD127" si="153">ROUND(BX127,2)</f>
        <v>0</v>
      </c>
      <c r="AP127" s="2">
        <f t="shared" si="153"/>
        <v>0</v>
      </c>
      <c r="AQ127" s="2">
        <f t="shared" si="153"/>
        <v>0</v>
      </c>
      <c r="AR127" s="2">
        <f t="shared" si="153"/>
        <v>381505.61</v>
      </c>
      <c r="AS127" s="2">
        <f t="shared" si="153"/>
        <v>245000</v>
      </c>
      <c r="AT127" s="2">
        <f t="shared" si="153"/>
        <v>0</v>
      </c>
      <c r="AU127" s="2">
        <f t="shared" si="153"/>
        <v>136505.60999999999</v>
      </c>
      <c r="AV127" s="2">
        <f t="shared" si="153"/>
        <v>287233.42</v>
      </c>
      <c r="AW127" s="2">
        <f t="shared" si="153"/>
        <v>287233.42</v>
      </c>
      <c r="AX127" s="2">
        <f t="shared" si="153"/>
        <v>0</v>
      </c>
      <c r="AY127" s="2">
        <f t="shared" si="153"/>
        <v>287233.42</v>
      </c>
      <c r="AZ127" s="2">
        <f t="shared" si="153"/>
        <v>0</v>
      </c>
      <c r="BA127" s="2">
        <f t="shared" si="153"/>
        <v>0</v>
      </c>
      <c r="BB127" s="2">
        <f t="shared" si="153"/>
        <v>0</v>
      </c>
      <c r="BC127" s="2">
        <f t="shared" si="153"/>
        <v>0</v>
      </c>
      <c r="BD127" s="2">
        <f t="shared" si="153"/>
        <v>0</v>
      </c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>
        <f>ROUND(SUMIF(AA112:AA125,"=56440881",FQ112:FQ125),2)</f>
        <v>0</v>
      </c>
      <c r="BY127" s="2">
        <f>ROUND(SUMIF(AA112:AA125,"=56440881",FR112:FR125),2)</f>
        <v>0</v>
      </c>
      <c r="BZ127" s="2">
        <f>ROUND(SUMIF(AA112:AA125,"=56440881",GL112:GL125),2)</f>
        <v>0</v>
      </c>
      <c r="CA127" s="2">
        <f>ROUND(SUMIF(AA112:AA125,"=56440881",GM112:GM125),2)</f>
        <v>381505.61</v>
      </c>
      <c r="CB127" s="2">
        <f>ROUND(SUMIF(AA112:AA125,"=56440881",GN112:GN125),2)</f>
        <v>245000</v>
      </c>
      <c r="CC127" s="2">
        <f>ROUND(SUMIF(AA112:AA125,"=56440881",GO112:GO125),2)</f>
        <v>0</v>
      </c>
      <c r="CD127" s="2">
        <f>ROUND(SUMIF(AA112:AA125,"=56440881",GP112:GP125),2)</f>
        <v>136505.60999999999</v>
      </c>
      <c r="CE127" s="2">
        <f>AC127-BX127</f>
        <v>287233.42</v>
      </c>
      <c r="CF127" s="2">
        <f>AC127-BY127</f>
        <v>287233.42</v>
      </c>
      <c r="CG127" s="2">
        <f>BX127-BZ127</f>
        <v>0</v>
      </c>
      <c r="CH127" s="2">
        <f>AC127-BX127-BY127+BZ127</f>
        <v>287233.42</v>
      </c>
      <c r="CI127" s="2">
        <f>BY127-BZ127</f>
        <v>0</v>
      </c>
      <c r="CJ127" s="2">
        <f>ROUND(SUMIF(AA112:AA125,"=56440881",GX112:GX125),2)</f>
        <v>0</v>
      </c>
      <c r="CK127" s="2">
        <f>ROUND(SUMIF(AA112:AA125,"=56440881",GY112:GY125),2)</f>
        <v>0</v>
      </c>
      <c r="CL127" s="2">
        <f>ROUND(SUMIF(AA112:AA125,"=56440881",GZ112:GZ125),2)</f>
        <v>0</v>
      </c>
      <c r="CM127" s="2">
        <f>ROUND(SUMIF(AA112:AA125,"=56440881",HD112:HD125),2)</f>
        <v>0</v>
      </c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>
        <v>0</v>
      </c>
    </row>
    <row r="129" spans="1:23" x14ac:dyDescent="0.2">
      <c r="A129" s="4">
        <v>50</v>
      </c>
      <c r="B129" s="4">
        <v>0</v>
      </c>
      <c r="C129" s="4">
        <v>0</v>
      </c>
      <c r="D129" s="4">
        <v>1</v>
      </c>
      <c r="E129" s="4">
        <v>201</v>
      </c>
      <c r="F129" s="4">
        <f>ROUND(Source!O127,O129)</f>
        <v>341284.49</v>
      </c>
      <c r="G129" s="4" t="s">
        <v>50</v>
      </c>
      <c r="H129" s="4" t="s">
        <v>51</v>
      </c>
      <c r="I129" s="4"/>
      <c r="J129" s="4"/>
      <c r="K129" s="4">
        <v>-201</v>
      </c>
      <c r="L129" s="4">
        <v>1</v>
      </c>
      <c r="M129" s="4">
        <v>3</v>
      </c>
      <c r="N129" s="4" t="s">
        <v>3</v>
      </c>
      <c r="O129" s="4">
        <v>2</v>
      </c>
      <c r="P129" s="4"/>
      <c r="Q129" s="4"/>
      <c r="R129" s="4"/>
      <c r="S129" s="4"/>
      <c r="T129" s="4"/>
      <c r="U129" s="4"/>
      <c r="V129" s="4"/>
      <c r="W129" s="4"/>
    </row>
    <row r="130" spans="1:23" x14ac:dyDescent="0.2">
      <c r="A130" s="4">
        <v>50</v>
      </c>
      <c r="B130" s="4">
        <v>0</v>
      </c>
      <c r="C130" s="4">
        <v>0</v>
      </c>
      <c r="D130" s="4">
        <v>1</v>
      </c>
      <c r="E130" s="4">
        <v>202</v>
      </c>
      <c r="F130" s="4">
        <f>ROUND(Source!P127,O130)</f>
        <v>287233.42</v>
      </c>
      <c r="G130" s="4" t="s">
        <v>52</v>
      </c>
      <c r="H130" s="4" t="s">
        <v>53</v>
      </c>
      <c r="I130" s="4"/>
      <c r="J130" s="4"/>
      <c r="K130" s="4">
        <v>-202</v>
      </c>
      <c r="L130" s="4">
        <v>2</v>
      </c>
      <c r="M130" s="4">
        <v>3</v>
      </c>
      <c r="N130" s="4" t="s">
        <v>3</v>
      </c>
      <c r="O130" s="4">
        <v>2</v>
      </c>
      <c r="P130" s="4"/>
      <c r="Q130" s="4"/>
      <c r="R130" s="4"/>
      <c r="S130" s="4"/>
      <c r="T130" s="4"/>
      <c r="U130" s="4"/>
      <c r="V130" s="4"/>
      <c r="W130" s="4"/>
    </row>
    <row r="131" spans="1:23" x14ac:dyDescent="0.2">
      <c r="A131" s="4">
        <v>50</v>
      </c>
      <c r="B131" s="4">
        <v>0</v>
      </c>
      <c r="C131" s="4">
        <v>0</v>
      </c>
      <c r="D131" s="4">
        <v>1</v>
      </c>
      <c r="E131" s="4">
        <v>222</v>
      </c>
      <c r="F131" s="4">
        <f>ROUND(Source!AO127,O131)</f>
        <v>0</v>
      </c>
      <c r="G131" s="4" t="s">
        <v>54</v>
      </c>
      <c r="H131" s="4" t="s">
        <v>55</v>
      </c>
      <c r="I131" s="4"/>
      <c r="J131" s="4"/>
      <c r="K131" s="4">
        <v>-222</v>
      </c>
      <c r="L131" s="4">
        <v>3</v>
      </c>
      <c r="M131" s="4">
        <v>3</v>
      </c>
      <c r="N131" s="4" t="s">
        <v>3</v>
      </c>
      <c r="O131" s="4">
        <v>2</v>
      </c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4">
        <v>50</v>
      </c>
      <c r="B132" s="4">
        <v>0</v>
      </c>
      <c r="C132" s="4">
        <v>0</v>
      </c>
      <c r="D132" s="4">
        <v>1</v>
      </c>
      <c r="E132" s="4">
        <v>225</v>
      </c>
      <c r="F132" s="4">
        <f>ROUND(Source!AV127,O132)</f>
        <v>287233.42</v>
      </c>
      <c r="G132" s="4" t="s">
        <v>56</v>
      </c>
      <c r="H132" s="4" t="s">
        <v>57</v>
      </c>
      <c r="I132" s="4"/>
      <c r="J132" s="4"/>
      <c r="K132" s="4">
        <v>-225</v>
      </c>
      <c r="L132" s="4">
        <v>4</v>
      </c>
      <c r="M132" s="4">
        <v>3</v>
      </c>
      <c r="N132" s="4" t="s">
        <v>3</v>
      </c>
      <c r="O132" s="4">
        <v>2</v>
      </c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4">
        <v>50</v>
      </c>
      <c r="B133" s="4">
        <v>0</v>
      </c>
      <c r="C133" s="4">
        <v>0</v>
      </c>
      <c r="D133" s="4">
        <v>1</v>
      </c>
      <c r="E133" s="4">
        <v>226</v>
      </c>
      <c r="F133" s="4">
        <f>ROUND(Source!AW127,O133)</f>
        <v>287233.42</v>
      </c>
      <c r="G133" s="4" t="s">
        <v>58</v>
      </c>
      <c r="H133" s="4" t="s">
        <v>59</v>
      </c>
      <c r="I133" s="4"/>
      <c r="J133" s="4"/>
      <c r="K133" s="4">
        <v>-226</v>
      </c>
      <c r="L133" s="4">
        <v>5</v>
      </c>
      <c r="M133" s="4">
        <v>3</v>
      </c>
      <c r="N133" s="4" t="s">
        <v>3</v>
      </c>
      <c r="O133" s="4">
        <v>2</v>
      </c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4">
        <v>50</v>
      </c>
      <c r="B134" s="4">
        <v>0</v>
      </c>
      <c r="C134" s="4">
        <v>0</v>
      </c>
      <c r="D134" s="4">
        <v>1</v>
      </c>
      <c r="E134" s="4">
        <v>227</v>
      </c>
      <c r="F134" s="4">
        <f>ROUND(Source!AX127,O134)</f>
        <v>0</v>
      </c>
      <c r="G134" s="4" t="s">
        <v>60</v>
      </c>
      <c r="H134" s="4" t="s">
        <v>61</v>
      </c>
      <c r="I134" s="4"/>
      <c r="J134" s="4"/>
      <c r="K134" s="4">
        <v>-227</v>
      </c>
      <c r="L134" s="4">
        <v>6</v>
      </c>
      <c r="M134" s="4">
        <v>3</v>
      </c>
      <c r="N134" s="4" t="s">
        <v>3</v>
      </c>
      <c r="O134" s="4">
        <v>2</v>
      </c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4">
        <v>50</v>
      </c>
      <c r="B135" s="4">
        <v>0</v>
      </c>
      <c r="C135" s="4">
        <v>0</v>
      </c>
      <c r="D135" s="4">
        <v>1</v>
      </c>
      <c r="E135" s="4">
        <v>228</v>
      </c>
      <c r="F135" s="4">
        <f>ROUND(Source!AY127,O135)</f>
        <v>287233.42</v>
      </c>
      <c r="G135" s="4" t="s">
        <v>62</v>
      </c>
      <c r="H135" s="4" t="s">
        <v>63</v>
      </c>
      <c r="I135" s="4"/>
      <c r="J135" s="4"/>
      <c r="K135" s="4">
        <v>-228</v>
      </c>
      <c r="L135" s="4">
        <v>7</v>
      </c>
      <c r="M135" s="4">
        <v>3</v>
      </c>
      <c r="N135" s="4" t="s">
        <v>3</v>
      </c>
      <c r="O135" s="4">
        <v>2</v>
      </c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4">
        <v>50</v>
      </c>
      <c r="B136" s="4">
        <v>0</v>
      </c>
      <c r="C136" s="4">
        <v>0</v>
      </c>
      <c r="D136" s="4">
        <v>1</v>
      </c>
      <c r="E136" s="4">
        <v>216</v>
      </c>
      <c r="F136" s="4">
        <f>ROUND(Source!AP127,O136)</f>
        <v>0</v>
      </c>
      <c r="G136" s="4" t="s">
        <v>64</v>
      </c>
      <c r="H136" s="4" t="s">
        <v>65</v>
      </c>
      <c r="I136" s="4"/>
      <c r="J136" s="4"/>
      <c r="K136" s="4">
        <v>-216</v>
      </c>
      <c r="L136" s="4">
        <v>8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4">
        <v>50</v>
      </c>
      <c r="B137" s="4">
        <v>0</v>
      </c>
      <c r="C137" s="4">
        <v>0</v>
      </c>
      <c r="D137" s="4">
        <v>1</v>
      </c>
      <c r="E137" s="4">
        <v>223</v>
      </c>
      <c r="F137" s="4">
        <f>ROUND(Source!AQ127,O137)</f>
        <v>0</v>
      </c>
      <c r="G137" s="4" t="s">
        <v>66</v>
      </c>
      <c r="H137" s="4" t="s">
        <v>67</v>
      </c>
      <c r="I137" s="4"/>
      <c r="J137" s="4"/>
      <c r="K137" s="4">
        <v>-223</v>
      </c>
      <c r="L137" s="4">
        <v>9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4">
        <v>50</v>
      </c>
      <c r="B138" s="4">
        <v>0</v>
      </c>
      <c r="C138" s="4">
        <v>0</v>
      </c>
      <c r="D138" s="4">
        <v>1</v>
      </c>
      <c r="E138" s="4">
        <v>229</v>
      </c>
      <c r="F138" s="4">
        <f>ROUND(Source!AZ127,O138)</f>
        <v>0</v>
      </c>
      <c r="G138" s="4" t="s">
        <v>68</v>
      </c>
      <c r="H138" s="4" t="s">
        <v>69</v>
      </c>
      <c r="I138" s="4"/>
      <c r="J138" s="4"/>
      <c r="K138" s="4">
        <v>-229</v>
      </c>
      <c r="L138" s="4">
        <v>10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4">
        <v>50</v>
      </c>
      <c r="B139" s="4">
        <v>0</v>
      </c>
      <c r="C139" s="4">
        <v>0</v>
      </c>
      <c r="D139" s="4">
        <v>1</v>
      </c>
      <c r="E139" s="4">
        <v>203</v>
      </c>
      <c r="F139" s="4">
        <f>ROUND(Source!Q127,O139)</f>
        <v>3893.33</v>
      </c>
      <c r="G139" s="4" t="s">
        <v>70</v>
      </c>
      <c r="H139" s="4" t="s">
        <v>71</v>
      </c>
      <c r="I139" s="4"/>
      <c r="J139" s="4"/>
      <c r="K139" s="4">
        <v>-203</v>
      </c>
      <c r="L139" s="4">
        <v>11</v>
      </c>
      <c r="M139" s="4">
        <v>3</v>
      </c>
      <c r="N139" s="4" t="s">
        <v>3</v>
      </c>
      <c r="O139" s="4">
        <v>2</v>
      </c>
      <c r="P139" s="4"/>
      <c r="Q139" s="4"/>
      <c r="R139" s="4"/>
      <c r="S139" s="4"/>
      <c r="T139" s="4"/>
      <c r="U139" s="4"/>
      <c r="V139" s="4"/>
      <c r="W139" s="4"/>
    </row>
    <row r="140" spans="1:23" x14ac:dyDescent="0.2">
      <c r="A140" s="4">
        <v>50</v>
      </c>
      <c r="B140" s="4">
        <v>0</v>
      </c>
      <c r="C140" s="4">
        <v>0</v>
      </c>
      <c r="D140" s="4">
        <v>1</v>
      </c>
      <c r="E140" s="4">
        <v>231</v>
      </c>
      <c r="F140" s="4">
        <f>ROUND(Source!BB127,O140)</f>
        <v>0</v>
      </c>
      <c r="G140" s="4" t="s">
        <v>72</v>
      </c>
      <c r="H140" s="4" t="s">
        <v>73</v>
      </c>
      <c r="I140" s="4"/>
      <c r="J140" s="4"/>
      <c r="K140" s="4">
        <v>-231</v>
      </c>
      <c r="L140" s="4">
        <v>12</v>
      </c>
      <c r="M140" s="4">
        <v>3</v>
      </c>
      <c r="N140" s="4" t="s">
        <v>3</v>
      </c>
      <c r="O140" s="4">
        <v>2</v>
      </c>
      <c r="P140" s="4"/>
      <c r="Q140" s="4"/>
      <c r="R140" s="4"/>
      <c r="S140" s="4"/>
      <c r="T140" s="4"/>
      <c r="U140" s="4"/>
      <c r="V140" s="4"/>
      <c r="W140" s="4"/>
    </row>
    <row r="141" spans="1:23" x14ac:dyDescent="0.2">
      <c r="A141" s="4">
        <v>50</v>
      </c>
      <c r="B141" s="4">
        <v>0</v>
      </c>
      <c r="C141" s="4">
        <v>0</v>
      </c>
      <c r="D141" s="4">
        <v>1</v>
      </c>
      <c r="E141" s="4">
        <v>204</v>
      </c>
      <c r="F141" s="4">
        <f>ROUND(Source!R127,O141)</f>
        <v>2190.0700000000002</v>
      </c>
      <c r="G141" s="4" t="s">
        <v>74</v>
      </c>
      <c r="H141" s="4" t="s">
        <v>75</v>
      </c>
      <c r="I141" s="4"/>
      <c r="J141" s="4"/>
      <c r="K141" s="4">
        <v>-204</v>
      </c>
      <c r="L141" s="4">
        <v>13</v>
      </c>
      <c r="M141" s="4">
        <v>3</v>
      </c>
      <c r="N141" s="4" t="s">
        <v>3</v>
      </c>
      <c r="O141" s="4">
        <v>2</v>
      </c>
      <c r="P141" s="4"/>
      <c r="Q141" s="4"/>
      <c r="R141" s="4"/>
      <c r="S141" s="4"/>
      <c r="T141" s="4"/>
      <c r="U141" s="4"/>
      <c r="V141" s="4"/>
      <c r="W141" s="4"/>
    </row>
    <row r="142" spans="1:23" x14ac:dyDescent="0.2">
      <c r="A142" s="4">
        <v>50</v>
      </c>
      <c r="B142" s="4">
        <v>0</v>
      </c>
      <c r="C142" s="4">
        <v>0</v>
      </c>
      <c r="D142" s="4">
        <v>1</v>
      </c>
      <c r="E142" s="4">
        <v>205</v>
      </c>
      <c r="F142" s="4">
        <f>ROUND(Source!S127,O142)</f>
        <v>50157.74</v>
      </c>
      <c r="G142" s="4" t="s">
        <v>76</v>
      </c>
      <c r="H142" s="4" t="s">
        <v>77</v>
      </c>
      <c r="I142" s="4"/>
      <c r="J142" s="4"/>
      <c r="K142" s="4">
        <v>-205</v>
      </c>
      <c r="L142" s="4">
        <v>14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3" x14ac:dyDescent="0.2">
      <c r="A143" s="4">
        <v>50</v>
      </c>
      <c r="B143" s="4">
        <v>0</v>
      </c>
      <c r="C143" s="4">
        <v>0</v>
      </c>
      <c r="D143" s="4">
        <v>1</v>
      </c>
      <c r="E143" s="4">
        <v>232</v>
      </c>
      <c r="F143" s="4">
        <f>ROUND(Source!BC127,O143)</f>
        <v>0</v>
      </c>
      <c r="G143" s="4" t="s">
        <v>78</v>
      </c>
      <c r="H143" s="4" t="s">
        <v>79</v>
      </c>
      <c r="I143" s="4"/>
      <c r="J143" s="4"/>
      <c r="K143" s="4">
        <v>-232</v>
      </c>
      <c r="L143" s="4">
        <v>15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3" x14ac:dyDescent="0.2">
      <c r="A144" s="4">
        <v>50</v>
      </c>
      <c r="B144" s="4">
        <v>0</v>
      </c>
      <c r="C144" s="4">
        <v>0</v>
      </c>
      <c r="D144" s="4">
        <v>1</v>
      </c>
      <c r="E144" s="4">
        <v>214</v>
      </c>
      <c r="F144" s="4">
        <f>ROUND(Source!AS127,O144)</f>
        <v>245000</v>
      </c>
      <c r="G144" s="4" t="s">
        <v>80</v>
      </c>
      <c r="H144" s="4" t="s">
        <v>81</v>
      </c>
      <c r="I144" s="4"/>
      <c r="J144" s="4"/>
      <c r="K144" s="4">
        <v>-214</v>
      </c>
      <c r="L144" s="4">
        <v>16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06" x14ac:dyDescent="0.2">
      <c r="A145" s="4">
        <v>50</v>
      </c>
      <c r="B145" s="4">
        <v>0</v>
      </c>
      <c r="C145" s="4">
        <v>0</v>
      </c>
      <c r="D145" s="4">
        <v>1</v>
      </c>
      <c r="E145" s="4">
        <v>215</v>
      </c>
      <c r="F145" s="4">
        <f>ROUND(Source!AT127,O145)</f>
        <v>0</v>
      </c>
      <c r="G145" s="4" t="s">
        <v>82</v>
      </c>
      <c r="H145" s="4" t="s">
        <v>83</v>
      </c>
      <c r="I145" s="4"/>
      <c r="J145" s="4"/>
      <c r="K145" s="4">
        <v>-215</v>
      </c>
      <c r="L145" s="4">
        <v>17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06" x14ac:dyDescent="0.2">
      <c r="A146" s="4">
        <v>50</v>
      </c>
      <c r="B146" s="4">
        <v>0</v>
      </c>
      <c r="C146" s="4">
        <v>0</v>
      </c>
      <c r="D146" s="4">
        <v>1</v>
      </c>
      <c r="E146" s="4">
        <v>217</v>
      </c>
      <c r="F146" s="4">
        <f>ROUND(Source!AU127,O146)</f>
        <v>136505.60999999999</v>
      </c>
      <c r="G146" s="4" t="s">
        <v>84</v>
      </c>
      <c r="H146" s="4" t="s">
        <v>85</v>
      </c>
      <c r="I146" s="4"/>
      <c r="J146" s="4"/>
      <c r="K146" s="4">
        <v>-217</v>
      </c>
      <c r="L146" s="4">
        <v>18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/>
    </row>
    <row r="147" spans="1:206" x14ac:dyDescent="0.2">
      <c r="A147" s="4">
        <v>50</v>
      </c>
      <c r="B147" s="4">
        <v>0</v>
      </c>
      <c r="C147" s="4">
        <v>0</v>
      </c>
      <c r="D147" s="4">
        <v>1</v>
      </c>
      <c r="E147" s="4">
        <v>230</v>
      </c>
      <c r="F147" s="4">
        <f>ROUND(Source!BA127,O147)</f>
        <v>0</v>
      </c>
      <c r="G147" s="4" t="s">
        <v>86</v>
      </c>
      <c r="H147" s="4" t="s">
        <v>87</v>
      </c>
      <c r="I147" s="4"/>
      <c r="J147" s="4"/>
      <c r="K147" s="4">
        <v>-230</v>
      </c>
      <c r="L147" s="4">
        <v>19</v>
      </c>
      <c r="M147" s="4">
        <v>3</v>
      </c>
      <c r="N147" s="4" t="s">
        <v>3</v>
      </c>
      <c r="O147" s="4">
        <v>2</v>
      </c>
      <c r="P147" s="4"/>
      <c r="Q147" s="4"/>
      <c r="R147" s="4"/>
      <c r="S147" s="4"/>
      <c r="T147" s="4"/>
      <c r="U147" s="4"/>
      <c r="V147" s="4"/>
      <c r="W147" s="4"/>
    </row>
    <row r="148" spans="1:206" x14ac:dyDescent="0.2">
      <c r="A148" s="4">
        <v>50</v>
      </c>
      <c r="B148" s="4">
        <v>0</v>
      </c>
      <c r="C148" s="4">
        <v>0</v>
      </c>
      <c r="D148" s="4">
        <v>1</v>
      </c>
      <c r="E148" s="4">
        <v>206</v>
      </c>
      <c r="F148" s="4">
        <f>ROUND(Source!T127,O148)</f>
        <v>0</v>
      </c>
      <c r="G148" s="4" t="s">
        <v>88</v>
      </c>
      <c r="H148" s="4" t="s">
        <v>89</v>
      </c>
      <c r="I148" s="4"/>
      <c r="J148" s="4"/>
      <c r="K148" s="4">
        <v>-206</v>
      </c>
      <c r="L148" s="4">
        <v>20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06" x14ac:dyDescent="0.2">
      <c r="A149" s="4">
        <v>50</v>
      </c>
      <c r="B149" s="4">
        <v>0</v>
      </c>
      <c r="C149" s="4">
        <v>0</v>
      </c>
      <c r="D149" s="4">
        <v>1</v>
      </c>
      <c r="E149" s="4">
        <v>207</v>
      </c>
      <c r="F149" s="4">
        <f>Source!U127</f>
        <v>270.45087999999998</v>
      </c>
      <c r="G149" s="4" t="s">
        <v>90</v>
      </c>
      <c r="H149" s="4" t="s">
        <v>91</v>
      </c>
      <c r="I149" s="4"/>
      <c r="J149" s="4"/>
      <c r="K149" s="4">
        <v>-207</v>
      </c>
      <c r="L149" s="4">
        <v>21</v>
      </c>
      <c r="M149" s="4">
        <v>3</v>
      </c>
      <c r="N149" s="4" t="s">
        <v>3</v>
      </c>
      <c r="O149" s="4">
        <v>-1</v>
      </c>
      <c r="P149" s="4"/>
      <c r="Q149" s="4"/>
      <c r="R149" s="4"/>
      <c r="S149" s="4"/>
      <c r="T149" s="4"/>
      <c r="U149" s="4"/>
      <c r="V149" s="4"/>
      <c r="W149" s="4"/>
    </row>
    <row r="150" spans="1:206" x14ac:dyDescent="0.2">
      <c r="A150" s="4">
        <v>50</v>
      </c>
      <c r="B150" s="4">
        <v>0</v>
      </c>
      <c r="C150" s="4">
        <v>0</v>
      </c>
      <c r="D150" s="4">
        <v>1</v>
      </c>
      <c r="E150" s="4">
        <v>208</v>
      </c>
      <c r="F150" s="4">
        <f>Source!V127</f>
        <v>0</v>
      </c>
      <c r="G150" s="4" t="s">
        <v>92</v>
      </c>
      <c r="H150" s="4" t="s">
        <v>93</v>
      </c>
      <c r="I150" s="4"/>
      <c r="J150" s="4"/>
      <c r="K150" s="4">
        <v>-208</v>
      </c>
      <c r="L150" s="4">
        <v>22</v>
      </c>
      <c r="M150" s="4">
        <v>3</v>
      </c>
      <c r="N150" s="4" t="s">
        <v>3</v>
      </c>
      <c r="O150" s="4">
        <v>-1</v>
      </c>
      <c r="P150" s="4"/>
      <c r="Q150" s="4"/>
      <c r="R150" s="4"/>
      <c r="S150" s="4"/>
      <c r="T150" s="4"/>
      <c r="U150" s="4"/>
      <c r="V150" s="4"/>
      <c r="W150" s="4"/>
    </row>
    <row r="151" spans="1:206" x14ac:dyDescent="0.2">
      <c r="A151" s="4">
        <v>50</v>
      </c>
      <c r="B151" s="4">
        <v>0</v>
      </c>
      <c r="C151" s="4">
        <v>0</v>
      </c>
      <c r="D151" s="4">
        <v>1</v>
      </c>
      <c r="E151" s="4">
        <v>209</v>
      </c>
      <c r="F151" s="4">
        <f>ROUND(Source!W127,O151)</f>
        <v>0</v>
      </c>
      <c r="G151" s="4" t="s">
        <v>94</v>
      </c>
      <c r="H151" s="4" t="s">
        <v>95</v>
      </c>
      <c r="I151" s="4"/>
      <c r="J151" s="4"/>
      <c r="K151" s="4">
        <v>-209</v>
      </c>
      <c r="L151" s="4">
        <v>23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06" x14ac:dyDescent="0.2">
      <c r="A152" s="4">
        <v>50</v>
      </c>
      <c r="B152" s="4">
        <v>0</v>
      </c>
      <c r="C152" s="4">
        <v>0</v>
      </c>
      <c r="D152" s="4">
        <v>1</v>
      </c>
      <c r="E152" s="4">
        <v>233</v>
      </c>
      <c r="F152" s="4">
        <f>ROUND(Source!BD127,O152)</f>
        <v>0</v>
      </c>
      <c r="G152" s="4" t="s">
        <v>96</v>
      </c>
      <c r="H152" s="4" t="s">
        <v>97</v>
      </c>
      <c r="I152" s="4"/>
      <c r="J152" s="4"/>
      <c r="K152" s="4">
        <v>-233</v>
      </c>
      <c r="L152" s="4">
        <v>24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3" spans="1:206" x14ac:dyDescent="0.2">
      <c r="A153" s="4">
        <v>50</v>
      </c>
      <c r="B153" s="4">
        <v>0</v>
      </c>
      <c r="C153" s="4">
        <v>0</v>
      </c>
      <c r="D153" s="4">
        <v>1</v>
      </c>
      <c r="E153" s="4">
        <v>210</v>
      </c>
      <c r="F153" s="4">
        <f>ROUND(Source!X127,O153)</f>
        <v>35110.42</v>
      </c>
      <c r="G153" s="4" t="s">
        <v>98</v>
      </c>
      <c r="H153" s="4" t="s">
        <v>99</v>
      </c>
      <c r="I153" s="4"/>
      <c r="J153" s="4"/>
      <c r="K153" s="4">
        <v>-210</v>
      </c>
      <c r="L153" s="4">
        <v>25</v>
      </c>
      <c r="M153" s="4">
        <v>3</v>
      </c>
      <c r="N153" s="4" t="s">
        <v>3</v>
      </c>
      <c r="O153" s="4">
        <v>2</v>
      </c>
      <c r="P153" s="4"/>
      <c r="Q153" s="4"/>
      <c r="R153" s="4"/>
      <c r="S153" s="4"/>
      <c r="T153" s="4"/>
      <c r="U153" s="4"/>
      <c r="V153" s="4"/>
      <c r="W153" s="4"/>
    </row>
    <row r="154" spans="1:206" x14ac:dyDescent="0.2">
      <c r="A154" s="4">
        <v>50</v>
      </c>
      <c r="B154" s="4">
        <v>0</v>
      </c>
      <c r="C154" s="4">
        <v>0</v>
      </c>
      <c r="D154" s="4">
        <v>1</v>
      </c>
      <c r="E154" s="4">
        <v>211</v>
      </c>
      <c r="F154" s="4">
        <f>ROUND(Source!Y127,O154)</f>
        <v>5015.78</v>
      </c>
      <c r="G154" s="4" t="s">
        <v>100</v>
      </c>
      <c r="H154" s="4" t="s">
        <v>101</v>
      </c>
      <c r="I154" s="4"/>
      <c r="J154" s="4"/>
      <c r="K154" s="4">
        <v>-211</v>
      </c>
      <c r="L154" s="4">
        <v>26</v>
      </c>
      <c r="M154" s="4">
        <v>3</v>
      </c>
      <c r="N154" s="4" t="s">
        <v>3</v>
      </c>
      <c r="O154" s="4">
        <v>2</v>
      </c>
      <c r="P154" s="4"/>
      <c r="Q154" s="4"/>
      <c r="R154" s="4"/>
      <c r="S154" s="4"/>
      <c r="T154" s="4"/>
      <c r="U154" s="4"/>
      <c r="V154" s="4"/>
      <c r="W154" s="4"/>
    </row>
    <row r="155" spans="1:206" x14ac:dyDescent="0.2">
      <c r="A155" s="4">
        <v>50</v>
      </c>
      <c r="B155" s="4">
        <v>0</v>
      </c>
      <c r="C155" s="4">
        <v>0</v>
      </c>
      <c r="D155" s="4">
        <v>1</v>
      </c>
      <c r="E155" s="4">
        <v>224</v>
      </c>
      <c r="F155" s="4">
        <f>ROUND(Source!AR127,O155)</f>
        <v>381505.61</v>
      </c>
      <c r="G155" s="4" t="s">
        <v>102</v>
      </c>
      <c r="H155" s="4" t="s">
        <v>103</v>
      </c>
      <c r="I155" s="4"/>
      <c r="J155" s="4"/>
      <c r="K155" s="4">
        <v>-224</v>
      </c>
      <c r="L155" s="4">
        <v>27</v>
      </c>
      <c r="M155" s="4">
        <v>3</v>
      </c>
      <c r="N155" s="4" t="s">
        <v>3</v>
      </c>
      <c r="O155" s="4">
        <v>2</v>
      </c>
      <c r="P155" s="4"/>
      <c r="Q155" s="4"/>
      <c r="R155" s="4"/>
      <c r="S155" s="4"/>
      <c r="T155" s="4"/>
      <c r="U155" s="4"/>
      <c r="V155" s="4"/>
      <c r="W155" s="4"/>
    </row>
    <row r="157" spans="1:206" x14ac:dyDescent="0.2">
      <c r="A157" s="1">
        <v>4</v>
      </c>
      <c r="B157" s="1">
        <v>1</v>
      </c>
      <c r="C157" s="1"/>
      <c r="D157" s="1">
        <f>ROW(A164)</f>
        <v>164</v>
      </c>
      <c r="E157" s="1"/>
      <c r="F157" s="1" t="s">
        <v>13</v>
      </c>
      <c r="G157" s="1" t="s">
        <v>170</v>
      </c>
      <c r="H157" s="1" t="s">
        <v>3</v>
      </c>
      <c r="I157" s="1">
        <v>0</v>
      </c>
      <c r="J157" s="1"/>
      <c r="K157" s="1">
        <v>-1</v>
      </c>
      <c r="L157" s="1"/>
      <c r="M157" s="1" t="s">
        <v>3</v>
      </c>
      <c r="N157" s="1"/>
      <c r="O157" s="1"/>
      <c r="P157" s="1"/>
      <c r="Q157" s="1"/>
      <c r="R157" s="1"/>
      <c r="S157" s="1">
        <v>0</v>
      </c>
      <c r="T157" s="1"/>
      <c r="U157" s="1" t="s">
        <v>3</v>
      </c>
      <c r="V157" s="1">
        <v>7</v>
      </c>
      <c r="W157" s="1"/>
      <c r="X157" s="1"/>
      <c r="Y157" s="1"/>
      <c r="Z157" s="1"/>
      <c r="AA157" s="1"/>
      <c r="AB157" s="1" t="s">
        <v>3</v>
      </c>
      <c r="AC157" s="1" t="s">
        <v>3</v>
      </c>
      <c r="AD157" s="1" t="s">
        <v>3</v>
      </c>
      <c r="AE157" s="1" t="s">
        <v>3</v>
      </c>
      <c r="AF157" s="1" t="s">
        <v>3</v>
      </c>
      <c r="AG157" s="1" t="s">
        <v>3</v>
      </c>
      <c r="AH157" s="1"/>
      <c r="AI157" s="1"/>
      <c r="AJ157" s="1"/>
      <c r="AK157" s="1"/>
      <c r="AL157" s="1"/>
      <c r="AM157" s="1"/>
      <c r="AN157" s="1"/>
      <c r="AO157" s="1"/>
      <c r="AP157" s="1" t="s">
        <v>3</v>
      </c>
      <c r="AQ157" s="1" t="s">
        <v>3</v>
      </c>
      <c r="AR157" s="1" t="s">
        <v>3</v>
      </c>
      <c r="AS157" s="1"/>
      <c r="AT157" s="1"/>
      <c r="AU157" s="1"/>
      <c r="AV157" s="1"/>
      <c r="AW157" s="1"/>
      <c r="AX157" s="1"/>
      <c r="AY157" s="1"/>
      <c r="AZ157" s="1" t="s">
        <v>3</v>
      </c>
      <c r="BA157" s="1"/>
      <c r="BB157" s="1" t="s">
        <v>3</v>
      </c>
      <c r="BC157" s="1" t="s">
        <v>3</v>
      </c>
      <c r="BD157" s="1" t="s">
        <v>3</v>
      </c>
      <c r="BE157" s="1" t="s">
        <v>3</v>
      </c>
      <c r="BF157" s="1" t="s">
        <v>3</v>
      </c>
      <c r="BG157" s="1" t="s">
        <v>3</v>
      </c>
      <c r="BH157" s="1" t="s">
        <v>3</v>
      </c>
      <c r="BI157" s="1" t="s">
        <v>3</v>
      </c>
      <c r="BJ157" s="1" t="s">
        <v>3</v>
      </c>
      <c r="BK157" s="1" t="s">
        <v>3</v>
      </c>
      <c r="BL157" s="1" t="s">
        <v>3</v>
      </c>
      <c r="BM157" s="1" t="s">
        <v>3</v>
      </c>
      <c r="BN157" s="1" t="s">
        <v>3</v>
      </c>
      <c r="BO157" s="1" t="s">
        <v>3</v>
      </c>
      <c r="BP157" s="1" t="s">
        <v>3</v>
      </c>
      <c r="BQ157" s="1"/>
      <c r="BR157" s="1"/>
      <c r="BS157" s="1"/>
      <c r="BT157" s="1"/>
      <c r="BU157" s="1"/>
      <c r="BV157" s="1"/>
      <c r="BW157" s="1"/>
      <c r="BX157" s="1">
        <v>0</v>
      </c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>
        <v>0</v>
      </c>
    </row>
    <row r="159" spans="1:206" x14ac:dyDescent="0.2">
      <c r="A159" s="2">
        <v>52</v>
      </c>
      <c r="B159" s="2">
        <f t="shared" ref="B159:G159" si="154">B164</f>
        <v>1</v>
      </c>
      <c r="C159" s="2">
        <f t="shared" si="154"/>
        <v>4</v>
      </c>
      <c r="D159" s="2">
        <f t="shared" si="154"/>
        <v>157</v>
      </c>
      <c r="E159" s="2">
        <f t="shared" si="154"/>
        <v>0</v>
      </c>
      <c r="F159" s="2" t="str">
        <f t="shared" si="154"/>
        <v>Новый раздел</v>
      </c>
      <c r="G159" s="2" t="str">
        <f t="shared" si="154"/>
        <v>Ремонт металлического ограждения (330 мп)</v>
      </c>
      <c r="H159" s="2"/>
      <c r="I159" s="2"/>
      <c r="J159" s="2"/>
      <c r="K159" s="2"/>
      <c r="L159" s="2"/>
      <c r="M159" s="2"/>
      <c r="N159" s="2"/>
      <c r="O159" s="2">
        <f t="shared" ref="O159:AT159" si="155">O164</f>
        <v>147938.28</v>
      </c>
      <c r="P159" s="2">
        <f t="shared" si="155"/>
        <v>9160.67</v>
      </c>
      <c r="Q159" s="2">
        <f t="shared" si="155"/>
        <v>0</v>
      </c>
      <c r="R159" s="2">
        <f t="shared" si="155"/>
        <v>0</v>
      </c>
      <c r="S159" s="2">
        <f t="shared" si="155"/>
        <v>138777.60999999999</v>
      </c>
      <c r="T159" s="2">
        <f t="shared" si="155"/>
        <v>0</v>
      </c>
      <c r="U159" s="2">
        <f t="shared" si="155"/>
        <v>724.68</v>
      </c>
      <c r="V159" s="2">
        <f t="shared" si="155"/>
        <v>0</v>
      </c>
      <c r="W159" s="2">
        <f t="shared" si="155"/>
        <v>0</v>
      </c>
      <c r="X159" s="2">
        <f t="shared" si="155"/>
        <v>97144.33</v>
      </c>
      <c r="Y159" s="2">
        <f t="shared" si="155"/>
        <v>13877.76</v>
      </c>
      <c r="Z159" s="2">
        <f t="shared" si="155"/>
        <v>0</v>
      </c>
      <c r="AA159" s="2">
        <f t="shared" si="155"/>
        <v>0</v>
      </c>
      <c r="AB159" s="2">
        <f t="shared" si="155"/>
        <v>147938.28</v>
      </c>
      <c r="AC159" s="2">
        <f t="shared" si="155"/>
        <v>9160.67</v>
      </c>
      <c r="AD159" s="2">
        <f t="shared" si="155"/>
        <v>0</v>
      </c>
      <c r="AE159" s="2">
        <f t="shared" si="155"/>
        <v>0</v>
      </c>
      <c r="AF159" s="2">
        <f t="shared" si="155"/>
        <v>138777.60999999999</v>
      </c>
      <c r="AG159" s="2">
        <f t="shared" si="155"/>
        <v>0</v>
      </c>
      <c r="AH159" s="2">
        <f t="shared" si="155"/>
        <v>724.68</v>
      </c>
      <c r="AI159" s="2">
        <f t="shared" si="155"/>
        <v>0</v>
      </c>
      <c r="AJ159" s="2">
        <f t="shared" si="155"/>
        <v>0</v>
      </c>
      <c r="AK159" s="2">
        <f t="shared" si="155"/>
        <v>97144.33</v>
      </c>
      <c r="AL159" s="2">
        <f t="shared" si="155"/>
        <v>13877.76</v>
      </c>
      <c r="AM159" s="2">
        <f t="shared" si="155"/>
        <v>0</v>
      </c>
      <c r="AN159" s="2">
        <f t="shared" si="155"/>
        <v>0</v>
      </c>
      <c r="AO159" s="2">
        <f t="shared" si="155"/>
        <v>0</v>
      </c>
      <c r="AP159" s="2">
        <f t="shared" si="155"/>
        <v>0</v>
      </c>
      <c r="AQ159" s="2">
        <f t="shared" si="155"/>
        <v>0</v>
      </c>
      <c r="AR159" s="2">
        <f t="shared" si="155"/>
        <v>258960.37</v>
      </c>
      <c r="AS159" s="2">
        <f t="shared" si="155"/>
        <v>0</v>
      </c>
      <c r="AT159" s="2">
        <f t="shared" si="155"/>
        <v>0</v>
      </c>
      <c r="AU159" s="2">
        <f t="shared" ref="AU159:BZ159" si="156">AU164</f>
        <v>258960.37</v>
      </c>
      <c r="AV159" s="2">
        <f t="shared" si="156"/>
        <v>9160.67</v>
      </c>
      <c r="AW159" s="2">
        <f t="shared" si="156"/>
        <v>9160.67</v>
      </c>
      <c r="AX159" s="2">
        <f t="shared" si="156"/>
        <v>0</v>
      </c>
      <c r="AY159" s="2">
        <f t="shared" si="156"/>
        <v>9160.67</v>
      </c>
      <c r="AZ159" s="2">
        <f t="shared" si="156"/>
        <v>0</v>
      </c>
      <c r="BA159" s="2">
        <f t="shared" si="156"/>
        <v>0</v>
      </c>
      <c r="BB159" s="2">
        <f t="shared" si="156"/>
        <v>0</v>
      </c>
      <c r="BC159" s="2">
        <f t="shared" si="156"/>
        <v>0</v>
      </c>
      <c r="BD159" s="2">
        <f t="shared" si="156"/>
        <v>0</v>
      </c>
      <c r="BE159" s="2">
        <f t="shared" si="156"/>
        <v>0</v>
      </c>
      <c r="BF159" s="2">
        <f t="shared" si="156"/>
        <v>0</v>
      </c>
      <c r="BG159" s="2">
        <f t="shared" si="156"/>
        <v>0</v>
      </c>
      <c r="BH159" s="2">
        <f t="shared" si="156"/>
        <v>0</v>
      </c>
      <c r="BI159" s="2">
        <f t="shared" si="156"/>
        <v>0</v>
      </c>
      <c r="BJ159" s="2">
        <f t="shared" si="156"/>
        <v>0</v>
      </c>
      <c r="BK159" s="2">
        <f t="shared" si="156"/>
        <v>0</v>
      </c>
      <c r="BL159" s="2">
        <f t="shared" si="156"/>
        <v>0</v>
      </c>
      <c r="BM159" s="2">
        <f t="shared" si="156"/>
        <v>0</v>
      </c>
      <c r="BN159" s="2">
        <f t="shared" si="156"/>
        <v>0</v>
      </c>
      <c r="BO159" s="2">
        <f t="shared" si="156"/>
        <v>0</v>
      </c>
      <c r="BP159" s="2">
        <f t="shared" si="156"/>
        <v>0</v>
      </c>
      <c r="BQ159" s="2">
        <f t="shared" si="156"/>
        <v>0</v>
      </c>
      <c r="BR159" s="2">
        <f t="shared" si="156"/>
        <v>0</v>
      </c>
      <c r="BS159" s="2">
        <f t="shared" si="156"/>
        <v>0</v>
      </c>
      <c r="BT159" s="2">
        <f t="shared" si="156"/>
        <v>0</v>
      </c>
      <c r="BU159" s="2">
        <f t="shared" si="156"/>
        <v>0</v>
      </c>
      <c r="BV159" s="2">
        <f t="shared" si="156"/>
        <v>0</v>
      </c>
      <c r="BW159" s="2">
        <f t="shared" si="156"/>
        <v>0</v>
      </c>
      <c r="BX159" s="2">
        <f t="shared" si="156"/>
        <v>0</v>
      </c>
      <c r="BY159" s="2">
        <f t="shared" si="156"/>
        <v>0</v>
      </c>
      <c r="BZ159" s="2">
        <f t="shared" si="156"/>
        <v>0</v>
      </c>
      <c r="CA159" s="2">
        <f t="shared" ref="CA159:DF159" si="157">CA164</f>
        <v>258960.37</v>
      </c>
      <c r="CB159" s="2">
        <f t="shared" si="157"/>
        <v>0</v>
      </c>
      <c r="CC159" s="2">
        <f t="shared" si="157"/>
        <v>0</v>
      </c>
      <c r="CD159" s="2">
        <f t="shared" si="157"/>
        <v>258960.37</v>
      </c>
      <c r="CE159" s="2">
        <f t="shared" si="157"/>
        <v>9160.67</v>
      </c>
      <c r="CF159" s="2">
        <f t="shared" si="157"/>
        <v>9160.67</v>
      </c>
      <c r="CG159" s="2">
        <f t="shared" si="157"/>
        <v>0</v>
      </c>
      <c r="CH159" s="2">
        <f t="shared" si="157"/>
        <v>9160.67</v>
      </c>
      <c r="CI159" s="2">
        <f t="shared" si="157"/>
        <v>0</v>
      </c>
      <c r="CJ159" s="2">
        <f t="shared" si="157"/>
        <v>0</v>
      </c>
      <c r="CK159" s="2">
        <f t="shared" si="157"/>
        <v>0</v>
      </c>
      <c r="CL159" s="2">
        <f t="shared" si="157"/>
        <v>0</v>
      </c>
      <c r="CM159" s="2">
        <f t="shared" si="157"/>
        <v>0</v>
      </c>
      <c r="CN159" s="2">
        <f t="shared" si="157"/>
        <v>0</v>
      </c>
      <c r="CO159" s="2">
        <f t="shared" si="157"/>
        <v>0</v>
      </c>
      <c r="CP159" s="2">
        <f t="shared" si="157"/>
        <v>0</v>
      </c>
      <c r="CQ159" s="2">
        <f t="shared" si="157"/>
        <v>0</v>
      </c>
      <c r="CR159" s="2">
        <f t="shared" si="157"/>
        <v>0</v>
      </c>
      <c r="CS159" s="2">
        <f t="shared" si="157"/>
        <v>0</v>
      </c>
      <c r="CT159" s="2">
        <f t="shared" si="157"/>
        <v>0</v>
      </c>
      <c r="CU159" s="2">
        <f t="shared" si="157"/>
        <v>0</v>
      </c>
      <c r="CV159" s="2">
        <f t="shared" si="157"/>
        <v>0</v>
      </c>
      <c r="CW159" s="2">
        <f t="shared" si="157"/>
        <v>0</v>
      </c>
      <c r="CX159" s="2">
        <f t="shared" si="157"/>
        <v>0</v>
      </c>
      <c r="CY159" s="2">
        <f t="shared" si="157"/>
        <v>0</v>
      </c>
      <c r="CZ159" s="2">
        <f t="shared" si="157"/>
        <v>0</v>
      </c>
      <c r="DA159" s="2">
        <f t="shared" si="157"/>
        <v>0</v>
      </c>
      <c r="DB159" s="2">
        <f t="shared" si="157"/>
        <v>0</v>
      </c>
      <c r="DC159" s="2">
        <f t="shared" si="157"/>
        <v>0</v>
      </c>
      <c r="DD159" s="2">
        <f t="shared" si="157"/>
        <v>0</v>
      </c>
      <c r="DE159" s="2">
        <f t="shared" si="157"/>
        <v>0</v>
      </c>
      <c r="DF159" s="2">
        <f t="shared" si="157"/>
        <v>0</v>
      </c>
      <c r="DG159" s="3">
        <f t="shared" ref="DG159:EL159" si="158">DG164</f>
        <v>0</v>
      </c>
      <c r="DH159" s="3">
        <f t="shared" si="158"/>
        <v>0</v>
      </c>
      <c r="DI159" s="3">
        <f t="shared" si="158"/>
        <v>0</v>
      </c>
      <c r="DJ159" s="3">
        <f t="shared" si="158"/>
        <v>0</v>
      </c>
      <c r="DK159" s="3">
        <f t="shared" si="158"/>
        <v>0</v>
      </c>
      <c r="DL159" s="3">
        <f t="shared" si="158"/>
        <v>0</v>
      </c>
      <c r="DM159" s="3">
        <f t="shared" si="158"/>
        <v>0</v>
      </c>
      <c r="DN159" s="3">
        <f t="shared" si="158"/>
        <v>0</v>
      </c>
      <c r="DO159" s="3">
        <f t="shared" si="158"/>
        <v>0</v>
      </c>
      <c r="DP159" s="3">
        <f t="shared" si="158"/>
        <v>0</v>
      </c>
      <c r="DQ159" s="3">
        <f t="shared" si="158"/>
        <v>0</v>
      </c>
      <c r="DR159" s="3">
        <f t="shared" si="158"/>
        <v>0</v>
      </c>
      <c r="DS159" s="3">
        <f t="shared" si="158"/>
        <v>0</v>
      </c>
      <c r="DT159" s="3">
        <f t="shared" si="158"/>
        <v>0</v>
      </c>
      <c r="DU159" s="3">
        <f t="shared" si="158"/>
        <v>0</v>
      </c>
      <c r="DV159" s="3">
        <f t="shared" si="158"/>
        <v>0</v>
      </c>
      <c r="DW159" s="3">
        <f t="shared" si="158"/>
        <v>0</v>
      </c>
      <c r="DX159" s="3">
        <f t="shared" si="158"/>
        <v>0</v>
      </c>
      <c r="DY159" s="3">
        <f t="shared" si="158"/>
        <v>0</v>
      </c>
      <c r="DZ159" s="3">
        <f t="shared" si="158"/>
        <v>0</v>
      </c>
      <c r="EA159" s="3">
        <f t="shared" si="158"/>
        <v>0</v>
      </c>
      <c r="EB159" s="3">
        <f t="shared" si="158"/>
        <v>0</v>
      </c>
      <c r="EC159" s="3">
        <f t="shared" si="158"/>
        <v>0</v>
      </c>
      <c r="ED159" s="3">
        <f t="shared" si="158"/>
        <v>0</v>
      </c>
      <c r="EE159" s="3">
        <f t="shared" si="158"/>
        <v>0</v>
      </c>
      <c r="EF159" s="3">
        <f t="shared" si="158"/>
        <v>0</v>
      </c>
      <c r="EG159" s="3">
        <f t="shared" si="158"/>
        <v>0</v>
      </c>
      <c r="EH159" s="3">
        <f t="shared" si="158"/>
        <v>0</v>
      </c>
      <c r="EI159" s="3">
        <f t="shared" si="158"/>
        <v>0</v>
      </c>
      <c r="EJ159" s="3">
        <f t="shared" si="158"/>
        <v>0</v>
      </c>
      <c r="EK159" s="3">
        <f t="shared" si="158"/>
        <v>0</v>
      </c>
      <c r="EL159" s="3">
        <f t="shared" si="158"/>
        <v>0</v>
      </c>
      <c r="EM159" s="3">
        <f t="shared" ref="EM159:FR159" si="159">EM164</f>
        <v>0</v>
      </c>
      <c r="EN159" s="3">
        <f t="shared" si="159"/>
        <v>0</v>
      </c>
      <c r="EO159" s="3">
        <f t="shared" si="159"/>
        <v>0</v>
      </c>
      <c r="EP159" s="3">
        <f t="shared" si="159"/>
        <v>0</v>
      </c>
      <c r="EQ159" s="3">
        <f t="shared" si="159"/>
        <v>0</v>
      </c>
      <c r="ER159" s="3">
        <f t="shared" si="159"/>
        <v>0</v>
      </c>
      <c r="ES159" s="3">
        <f t="shared" si="159"/>
        <v>0</v>
      </c>
      <c r="ET159" s="3">
        <f t="shared" si="159"/>
        <v>0</v>
      </c>
      <c r="EU159" s="3">
        <f t="shared" si="159"/>
        <v>0</v>
      </c>
      <c r="EV159" s="3">
        <f t="shared" si="159"/>
        <v>0</v>
      </c>
      <c r="EW159" s="3">
        <f t="shared" si="159"/>
        <v>0</v>
      </c>
      <c r="EX159" s="3">
        <f t="shared" si="159"/>
        <v>0</v>
      </c>
      <c r="EY159" s="3">
        <f t="shared" si="159"/>
        <v>0</v>
      </c>
      <c r="EZ159" s="3">
        <f t="shared" si="159"/>
        <v>0</v>
      </c>
      <c r="FA159" s="3">
        <f t="shared" si="159"/>
        <v>0</v>
      </c>
      <c r="FB159" s="3">
        <f t="shared" si="159"/>
        <v>0</v>
      </c>
      <c r="FC159" s="3">
        <f t="shared" si="159"/>
        <v>0</v>
      </c>
      <c r="FD159" s="3">
        <f t="shared" si="159"/>
        <v>0</v>
      </c>
      <c r="FE159" s="3">
        <f t="shared" si="159"/>
        <v>0</v>
      </c>
      <c r="FF159" s="3">
        <f t="shared" si="159"/>
        <v>0</v>
      </c>
      <c r="FG159" s="3">
        <f t="shared" si="159"/>
        <v>0</v>
      </c>
      <c r="FH159" s="3">
        <f t="shared" si="159"/>
        <v>0</v>
      </c>
      <c r="FI159" s="3">
        <f t="shared" si="159"/>
        <v>0</v>
      </c>
      <c r="FJ159" s="3">
        <f t="shared" si="159"/>
        <v>0</v>
      </c>
      <c r="FK159" s="3">
        <f t="shared" si="159"/>
        <v>0</v>
      </c>
      <c r="FL159" s="3">
        <f t="shared" si="159"/>
        <v>0</v>
      </c>
      <c r="FM159" s="3">
        <f t="shared" si="159"/>
        <v>0</v>
      </c>
      <c r="FN159" s="3">
        <f t="shared" si="159"/>
        <v>0</v>
      </c>
      <c r="FO159" s="3">
        <f t="shared" si="159"/>
        <v>0</v>
      </c>
      <c r="FP159" s="3">
        <f t="shared" si="159"/>
        <v>0</v>
      </c>
      <c r="FQ159" s="3">
        <f t="shared" si="159"/>
        <v>0</v>
      </c>
      <c r="FR159" s="3">
        <f t="shared" si="159"/>
        <v>0</v>
      </c>
      <c r="FS159" s="3">
        <f t="shared" ref="FS159:GX159" si="160">FS164</f>
        <v>0</v>
      </c>
      <c r="FT159" s="3">
        <f t="shared" si="160"/>
        <v>0</v>
      </c>
      <c r="FU159" s="3">
        <f t="shared" si="160"/>
        <v>0</v>
      </c>
      <c r="FV159" s="3">
        <f t="shared" si="160"/>
        <v>0</v>
      </c>
      <c r="FW159" s="3">
        <f t="shared" si="160"/>
        <v>0</v>
      </c>
      <c r="FX159" s="3">
        <f t="shared" si="160"/>
        <v>0</v>
      </c>
      <c r="FY159" s="3">
        <f t="shared" si="160"/>
        <v>0</v>
      </c>
      <c r="FZ159" s="3">
        <f t="shared" si="160"/>
        <v>0</v>
      </c>
      <c r="GA159" s="3">
        <f t="shared" si="160"/>
        <v>0</v>
      </c>
      <c r="GB159" s="3">
        <f t="shared" si="160"/>
        <v>0</v>
      </c>
      <c r="GC159" s="3">
        <f t="shared" si="160"/>
        <v>0</v>
      </c>
      <c r="GD159" s="3">
        <f t="shared" si="160"/>
        <v>0</v>
      </c>
      <c r="GE159" s="3">
        <f t="shared" si="160"/>
        <v>0</v>
      </c>
      <c r="GF159" s="3">
        <f t="shared" si="160"/>
        <v>0</v>
      </c>
      <c r="GG159" s="3">
        <f t="shared" si="160"/>
        <v>0</v>
      </c>
      <c r="GH159" s="3">
        <f t="shared" si="160"/>
        <v>0</v>
      </c>
      <c r="GI159" s="3">
        <f t="shared" si="160"/>
        <v>0</v>
      </c>
      <c r="GJ159" s="3">
        <f t="shared" si="160"/>
        <v>0</v>
      </c>
      <c r="GK159" s="3">
        <f t="shared" si="160"/>
        <v>0</v>
      </c>
      <c r="GL159" s="3">
        <f t="shared" si="160"/>
        <v>0</v>
      </c>
      <c r="GM159" s="3">
        <f t="shared" si="160"/>
        <v>0</v>
      </c>
      <c r="GN159" s="3">
        <f t="shared" si="160"/>
        <v>0</v>
      </c>
      <c r="GO159" s="3">
        <f t="shared" si="160"/>
        <v>0</v>
      </c>
      <c r="GP159" s="3">
        <f t="shared" si="160"/>
        <v>0</v>
      </c>
      <c r="GQ159" s="3">
        <f t="shared" si="160"/>
        <v>0</v>
      </c>
      <c r="GR159" s="3">
        <f t="shared" si="160"/>
        <v>0</v>
      </c>
      <c r="GS159" s="3">
        <f t="shared" si="160"/>
        <v>0</v>
      </c>
      <c r="GT159" s="3">
        <f t="shared" si="160"/>
        <v>0</v>
      </c>
      <c r="GU159" s="3">
        <f t="shared" si="160"/>
        <v>0</v>
      </c>
      <c r="GV159" s="3">
        <f t="shared" si="160"/>
        <v>0</v>
      </c>
      <c r="GW159" s="3">
        <f t="shared" si="160"/>
        <v>0</v>
      </c>
      <c r="GX159" s="3">
        <f t="shared" si="160"/>
        <v>0</v>
      </c>
    </row>
    <row r="161" spans="1:245" x14ac:dyDescent="0.2">
      <c r="A161">
        <v>17</v>
      </c>
      <c r="B161">
        <v>1</v>
      </c>
      <c r="C161">
        <f>ROW(SmtRes!A49)</f>
        <v>49</v>
      </c>
      <c r="D161">
        <f>ROW(EtalonRes!A42)</f>
        <v>42</v>
      </c>
      <c r="E161" t="s">
        <v>171</v>
      </c>
      <c r="F161" t="s">
        <v>172</v>
      </c>
      <c r="G161" t="s">
        <v>173</v>
      </c>
      <c r="H161" t="s">
        <v>157</v>
      </c>
      <c r="I161">
        <v>396</v>
      </c>
      <c r="J161">
        <v>0</v>
      </c>
      <c r="O161">
        <f>ROUND(CP161,2)</f>
        <v>40898.879999999997</v>
      </c>
      <c r="P161">
        <f>ROUND(CQ161*I161,2)</f>
        <v>0</v>
      </c>
      <c r="Q161">
        <f>ROUND(CR161*I161,2)</f>
        <v>0</v>
      </c>
      <c r="R161">
        <f>ROUND(CS161*I161,2)</f>
        <v>0</v>
      </c>
      <c r="S161">
        <f>ROUND(CT161*I161,2)</f>
        <v>40898.879999999997</v>
      </c>
      <c r="T161">
        <f>ROUND(CU161*I161,2)</f>
        <v>0</v>
      </c>
      <c r="U161">
        <f>CV161*I161</f>
        <v>237.6</v>
      </c>
      <c r="V161">
        <f>CW161*I161</f>
        <v>0</v>
      </c>
      <c r="W161">
        <f>ROUND(CX161*I161,2)</f>
        <v>0</v>
      </c>
      <c r="X161">
        <f>ROUND(CY161,2)</f>
        <v>28629.22</v>
      </c>
      <c r="Y161">
        <f>ROUND(CZ161,2)</f>
        <v>4089.89</v>
      </c>
      <c r="AA161">
        <v>56440881</v>
      </c>
      <c r="AB161">
        <f>ROUND((AC161+AD161+AF161),2)</f>
        <v>103.28</v>
      </c>
      <c r="AC161">
        <f>ROUND((ES161),2)</f>
        <v>0</v>
      </c>
      <c r="AD161">
        <f>ROUND((((ET161)-(EU161))+AE161),2)</f>
        <v>0</v>
      </c>
      <c r="AE161">
        <f>ROUND((EU161),2)</f>
        <v>0</v>
      </c>
      <c r="AF161">
        <f>ROUND((EV161),2)</f>
        <v>103.28</v>
      </c>
      <c r="AG161">
        <f>ROUND((AP161),2)</f>
        <v>0</v>
      </c>
      <c r="AH161">
        <f>(EW161)</f>
        <v>0.6</v>
      </c>
      <c r="AI161">
        <f>(EX161)</f>
        <v>0</v>
      </c>
      <c r="AJ161">
        <f>(AS161)</f>
        <v>0</v>
      </c>
      <c r="AK161">
        <v>103.28</v>
      </c>
      <c r="AL161">
        <v>0</v>
      </c>
      <c r="AM161">
        <v>0</v>
      </c>
      <c r="AN161">
        <v>0</v>
      </c>
      <c r="AO161">
        <v>103.28</v>
      </c>
      <c r="AP161">
        <v>0</v>
      </c>
      <c r="AQ161">
        <v>0.6</v>
      </c>
      <c r="AR161">
        <v>0</v>
      </c>
      <c r="AS161">
        <v>0</v>
      </c>
      <c r="AT161">
        <v>70</v>
      </c>
      <c r="AU161">
        <v>10</v>
      </c>
      <c r="AV161">
        <v>1</v>
      </c>
      <c r="AW161">
        <v>1</v>
      </c>
      <c r="AZ161">
        <v>1</v>
      </c>
      <c r="BA161">
        <v>1</v>
      </c>
      <c r="BB161">
        <v>1</v>
      </c>
      <c r="BC161">
        <v>1</v>
      </c>
      <c r="BD161" t="s">
        <v>3</v>
      </c>
      <c r="BE161" t="s">
        <v>3</v>
      </c>
      <c r="BF161" t="s">
        <v>3</v>
      </c>
      <c r="BG161" t="s">
        <v>3</v>
      </c>
      <c r="BH161">
        <v>0</v>
      </c>
      <c r="BI161">
        <v>4</v>
      </c>
      <c r="BJ161" t="s">
        <v>174</v>
      </c>
      <c r="BM161">
        <v>0</v>
      </c>
      <c r="BN161">
        <v>0</v>
      </c>
      <c r="BO161" t="s">
        <v>3</v>
      </c>
      <c r="BP161">
        <v>0</v>
      </c>
      <c r="BQ161">
        <v>1</v>
      </c>
      <c r="BR161">
        <v>0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 t="s">
        <v>3</v>
      </c>
      <c r="BZ161">
        <v>70</v>
      </c>
      <c r="CA161">
        <v>10</v>
      </c>
      <c r="CE161">
        <v>0</v>
      </c>
      <c r="CF161">
        <v>0</v>
      </c>
      <c r="CG161">
        <v>0</v>
      </c>
      <c r="CM161">
        <v>0</v>
      </c>
      <c r="CN161" t="s">
        <v>3</v>
      </c>
      <c r="CO161">
        <v>0</v>
      </c>
      <c r="CP161">
        <f>(P161+Q161+S161)</f>
        <v>40898.879999999997</v>
      </c>
      <c r="CQ161">
        <f>(AC161*BC161*AW161)</f>
        <v>0</v>
      </c>
      <c r="CR161">
        <f>((((ET161)*BB161-(EU161)*BS161)+AE161*BS161)*AV161)</f>
        <v>0</v>
      </c>
      <c r="CS161">
        <f>(AE161*BS161*AV161)</f>
        <v>0</v>
      </c>
      <c r="CT161">
        <f>(AF161*BA161*AV161)</f>
        <v>103.28</v>
      </c>
      <c r="CU161">
        <f>AG161</f>
        <v>0</v>
      </c>
      <c r="CV161">
        <f>(AH161*AV161)</f>
        <v>0.6</v>
      </c>
      <c r="CW161">
        <f>AI161</f>
        <v>0</v>
      </c>
      <c r="CX161">
        <f>AJ161</f>
        <v>0</v>
      </c>
      <c r="CY161">
        <f>((S161*BZ161)/100)</f>
        <v>28629.215999999997</v>
      </c>
      <c r="CZ161">
        <f>((S161*CA161)/100)</f>
        <v>4089.8879999999999</v>
      </c>
      <c r="DC161" t="s">
        <v>3</v>
      </c>
      <c r="DD161" t="s">
        <v>3</v>
      </c>
      <c r="DE161" t="s">
        <v>3</v>
      </c>
      <c r="DF161" t="s">
        <v>3</v>
      </c>
      <c r="DG161" t="s">
        <v>3</v>
      </c>
      <c r="DH161" t="s">
        <v>3</v>
      </c>
      <c r="DI161" t="s">
        <v>3</v>
      </c>
      <c r="DJ161" t="s">
        <v>3</v>
      </c>
      <c r="DK161" t="s">
        <v>3</v>
      </c>
      <c r="DL161" t="s">
        <v>3</v>
      </c>
      <c r="DM161" t="s">
        <v>3</v>
      </c>
      <c r="DN161">
        <v>0</v>
      </c>
      <c r="DO161">
        <v>0</v>
      </c>
      <c r="DP161">
        <v>1</v>
      </c>
      <c r="DQ161">
        <v>1</v>
      </c>
      <c r="DU161">
        <v>1005</v>
      </c>
      <c r="DV161" t="s">
        <v>157</v>
      </c>
      <c r="DW161" t="s">
        <v>157</v>
      </c>
      <c r="DX161">
        <v>1</v>
      </c>
      <c r="DZ161" t="s">
        <v>3</v>
      </c>
      <c r="EA161" t="s">
        <v>3</v>
      </c>
      <c r="EB161" t="s">
        <v>3</v>
      </c>
      <c r="EC161" t="s">
        <v>3</v>
      </c>
      <c r="EE161">
        <v>54545671</v>
      </c>
      <c r="EF161">
        <v>1</v>
      </c>
      <c r="EG161" t="s">
        <v>20</v>
      </c>
      <c r="EH161">
        <v>0</v>
      </c>
      <c r="EI161" t="s">
        <v>3</v>
      </c>
      <c r="EJ161">
        <v>4</v>
      </c>
      <c r="EK161">
        <v>0</v>
      </c>
      <c r="EL161" t="s">
        <v>21</v>
      </c>
      <c r="EM161" t="s">
        <v>22</v>
      </c>
      <c r="EO161" t="s">
        <v>3</v>
      </c>
      <c r="EQ161">
        <v>0</v>
      </c>
      <c r="ER161">
        <v>103.28</v>
      </c>
      <c r="ES161">
        <v>0</v>
      </c>
      <c r="ET161">
        <v>0</v>
      </c>
      <c r="EU161">
        <v>0</v>
      </c>
      <c r="EV161">
        <v>103.28</v>
      </c>
      <c r="EW161">
        <v>0.6</v>
      </c>
      <c r="EX161">
        <v>0</v>
      </c>
      <c r="EY161">
        <v>0</v>
      </c>
      <c r="FQ161">
        <v>0</v>
      </c>
      <c r="FR161">
        <f>ROUND(IF(AND(BH161=3,BI161=3),P161,0),2)</f>
        <v>0</v>
      </c>
      <c r="FS161">
        <v>0</v>
      </c>
      <c r="FX161">
        <v>70</v>
      </c>
      <c r="FY161">
        <v>10</v>
      </c>
      <c r="GA161" t="s">
        <v>3</v>
      </c>
      <c r="GD161">
        <v>0</v>
      </c>
      <c r="GF161">
        <v>-1796146907</v>
      </c>
      <c r="GG161">
        <v>2</v>
      </c>
      <c r="GH161">
        <v>1</v>
      </c>
      <c r="GI161">
        <v>-2</v>
      </c>
      <c r="GJ161">
        <v>0</v>
      </c>
      <c r="GK161">
        <f>ROUND(R161*(R12)/100,2)</f>
        <v>0</v>
      </c>
      <c r="GL161">
        <f>ROUND(IF(AND(BH161=3,BI161=3,FS161&lt;&gt;0),P161,0),2)</f>
        <v>0</v>
      </c>
      <c r="GM161">
        <f>ROUND(O161+X161+Y161+GK161,2)+GX161</f>
        <v>73617.990000000005</v>
      </c>
      <c r="GN161">
        <f>IF(OR(BI161=0,BI161=1),ROUND(O161+X161+Y161+GK161,2),0)</f>
        <v>0</v>
      </c>
      <c r="GO161">
        <f>IF(BI161=2,ROUND(O161+X161+Y161+GK161,2),0)</f>
        <v>0</v>
      </c>
      <c r="GP161">
        <f>IF(BI161=4,ROUND(O161+X161+Y161+GK161,2)+GX161,0)</f>
        <v>73617.990000000005</v>
      </c>
      <c r="GR161">
        <v>0</v>
      </c>
      <c r="GS161">
        <v>3</v>
      </c>
      <c r="GT161">
        <v>0</v>
      </c>
      <c r="GU161" t="s">
        <v>3</v>
      </c>
      <c r="GV161">
        <f>ROUND((GT161),2)</f>
        <v>0</v>
      </c>
      <c r="GW161">
        <v>1</v>
      </c>
      <c r="GX161">
        <f>ROUND(HC161*I161,2)</f>
        <v>0</v>
      </c>
      <c r="HA161">
        <v>0</v>
      </c>
      <c r="HB161">
        <v>0</v>
      </c>
      <c r="HC161">
        <f>GV161*GW161</f>
        <v>0</v>
      </c>
      <c r="HE161" t="s">
        <v>3</v>
      </c>
      <c r="HF161" t="s">
        <v>3</v>
      </c>
      <c r="IK161">
        <v>0</v>
      </c>
    </row>
    <row r="162" spans="1:245" x14ac:dyDescent="0.2">
      <c r="A162">
        <v>17</v>
      </c>
      <c r="B162">
        <v>1</v>
      </c>
      <c r="C162">
        <f>ROW(SmtRes!A52)</f>
        <v>52</v>
      </c>
      <c r="D162">
        <f>ROW(EtalonRes!A45)</f>
        <v>45</v>
      </c>
      <c r="E162" t="s">
        <v>175</v>
      </c>
      <c r="F162" t="s">
        <v>176</v>
      </c>
      <c r="G162" t="s">
        <v>177</v>
      </c>
      <c r="H162" t="s">
        <v>39</v>
      </c>
      <c r="I162">
        <f>ROUND(660/100,9)</f>
        <v>6.6</v>
      </c>
      <c r="J162">
        <v>0</v>
      </c>
      <c r="O162">
        <f>ROUND(CP162,2)</f>
        <v>107039.4</v>
      </c>
      <c r="P162">
        <f>ROUND(CQ162*I162,2)</f>
        <v>9160.67</v>
      </c>
      <c r="Q162">
        <f>ROUND(CR162*I162,2)</f>
        <v>0</v>
      </c>
      <c r="R162">
        <f>ROUND(CS162*I162,2)</f>
        <v>0</v>
      </c>
      <c r="S162">
        <f>ROUND(CT162*I162,2)</f>
        <v>97878.73</v>
      </c>
      <c r="T162">
        <f>ROUND(CU162*I162,2)</f>
        <v>0</v>
      </c>
      <c r="U162">
        <f>CV162*I162</f>
        <v>487.07999999999993</v>
      </c>
      <c r="V162">
        <f>CW162*I162</f>
        <v>0</v>
      </c>
      <c r="W162">
        <f>ROUND(CX162*I162,2)</f>
        <v>0</v>
      </c>
      <c r="X162">
        <f>ROUND(CY162,2)</f>
        <v>68515.11</v>
      </c>
      <c r="Y162">
        <f>ROUND(CZ162,2)</f>
        <v>9787.8700000000008</v>
      </c>
      <c r="AA162">
        <v>56440881</v>
      </c>
      <c r="AB162">
        <f>ROUND((AC162+AD162+AF162),2)</f>
        <v>16218.09</v>
      </c>
      <c r="AC162">
        <f>ROUND((ES162),2)</f>
        <v>1387.98</v>
      </c>
      <c r="AD162">
        <f>ROUND((((ET162)-(EU162))+AE162),2)</f>
        <v>0</v>
      </c>
      <c r="AE162">
        <f>ROUND((EU162),2)</f>
        <v>0</v>
      </c>
      <c r="AF162">
        <f>ROUND((EV162),2)</f>
        <v>14830.11</v>
      </c>
      <c r="AG162">
        <f>ROUND((AP162),2)</f>
        <v>0</v>
      </c>
      <c r="AH162">
        <f>(EW162)</f>
        <v>73.8</v>
      </c>
      <c r="AI162">
        <f>(EX162)</f>
        <v>0</v>
      </c>
      <c r="AJ162">
        <f>(AS162)</f>
        <v>0</v>
      </c>
      <c r="AK162">
        <v>16218.09</v>
      </c>
      <c r="AL162">
        <v>1387.98</v>
      </c>
      <c r="AM162">
        <v>0</v>
      </c>
      <c r="AN162">
        <v>0</v>
      </c>
      <c r="AO162">
        <v>14830.11</v>
      </c>
      <c r="AP162">
        <v>0</v>
      </c>
      <c r="AQ162">
        <v>73.8</v>
      </c>
      <c r="AR162">
        <v>0</v>
      </c>
      <c r="AS162">
        <v>0</v>
      </c>
      <c r="AT162">
        <v>70</v>
      </c>
      <c r="AU162">
        <v>10</v>
      </c>
      <c r="AV162">
        <v>1</v>
      </c>
      <c r="AW162">
        <v>1</v>
      </c>
      <c r="AZ162">
        <v>1</v>
      </c>
      <c r="BA162">
        <v>1</v>
      </c>
      <c r="BB162">
        <v>1</v>
      </c>
      <c r="BC162">
        <v>1</v>
      </c>
      <c r="BD162" t="s">
        <v>3</v>
      </c>
      <c r="BE162" t="s">
        <v>3</v>
      </c>
      <c r="BF162" t="s">
        <v>3</v>
      </c>
      <c r="BG162" t="s">
        <v>3</v>
      </c>
      <c r="BH162">
        <v>0</v>
      </c>
      <c r="BI162">
        <v>4</v>
      </c>
      <c r="BJ162" t="s">
        <v>178</v>
      </c>
      <c r="BM162">
        <v>0</v>
      </c>
      <c r="BN162">
        <v>0</v>
      </c>
      <c r="BO162" t="s">
        <v>3</v>
      </c>
      <c r="BP162">
        <v>0</v>
      </c>
      <c r="BQ162">
        <v>1</v>
      </c>
      <c r="BR162">
        <v>0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 t="s">
        <v>3</v>
      </c>
      <c r="BZ162">
        <v>70</v>
      </c>
      <c r="CA162">
        <v>10</v>
      </c>
      <c r="CE162">
        <v>0</v>
      </c>
      <c r="CF162">
        <v>0</v>
      </c>
      <c r="CG162">
        <v>0</v>
      </c>
      <c r="CM162">
        <v>0</v>
      </c>
      <c r="CN162" t="s">
        <v>3</v>
      </c>
      <c r="CO162">
        <v>0</v>
      </c>
      <c r="CP162">
        <f>(P162+Q162+S162)</f>
        <v>107039.4</v>
      </c>
      <c r="CQ162">
        <f>(AC162*BC162*AW162)</f>
        <v>1387.98</v>
      </c>
      <c r="CR162">
        <f>((((ET162)*BB162-(EU162)*BS162)+AE162*BS162)*AV162)</f>
        <v>0</v>
      </c>
      <c r="CS162">
        <f>(AE162*BS162*AV162)</f>
        <v>0</v>
      </c>
      <c r="CT162">
        <f>(AF162*BA162*AV162)</f>
        <v>14830.11</v>
      </c>
      <c r="CU162">
        <f>AG162</f>
        <v>0</v>
      </c>
      <c r="CV162">
        <f>(AH162*AV162)</f>
        <v>73.8</v>
      </c>
      <c r="CW162">
        <f>AI162</f>
        <v>0</v>
      </c>
      <c r="CX162">
        <f>AJ162</f>
        <v>0</v>
      </c>
      <c r="CY162">
        <f>((S162*BZ162)/100)</f>
        <v>68515.11099999999</v>
      </c>
      <c r="CZ162">
        <f>((S162*CA162)/100)</f>
        <v>9787.8729999999996</v>
      </c>
      <c r="DC162" t="s">
        <v>3</v>
      </c>
      <c r="DD162" t="s">
        <v>3</v>
      </c>
      <c r="DE162" t="s">
        <v>3</v>
      </c>
      <c r="DF162" t="s">
        <v>3</v>
      </c>
      <c r="DG162" t="s">
        <v>3</v>
      </c>
      <c r="DH162" t="s">
        <v>3</v>
      </c>
      <c r="DI162" t="s">
        <v>3</v>
      </c>
      <c r="DJ162" t="s">
        <v>3</v>
      </c>
      <c r="DK162" t="s">
        <v>3</v>
      </c>
      <c r="DL162" t="s">
        <v>3</v>
      </c>
      <c r="DM162" t="s">
        <v>3</v>
      </c>
      <c r="DN162">
        <v>0</v>
      </c>
      <c r="DO162">
        <v>0</v>
      </c>
      <c r="DP162">
        <v>1</v>
      </c>
      <c r="DQ162">
        <v>1</v>
      </c>
      <c r="DU162">
        <v>1005</v>
      </c>
      <c r="DV162" t="s">
        <v>39</v>
      </c>
      <c r="DW162" t="s">
        <v>39</v>
      </c>
      <c r="DX162">
        <v>100</v>
      </c>
      <c r="DZ162" t="s">
        <v>3</v>
      </c>
      <c r="EA162" t="s">
        <v>3</v>
      </c>
      <c r="EB162" t="s">
        <v>3</v>
      </c>
      <c r="EC162" t="s">
        <v>3</v>
      </c>
      <c r="EE162">
        <v>54545671</v>
      </c>
      <c r="EF162">
        <v>1</v>
      </c>
      <c r="EG162" t="s">
        <v>20</v>
      </c>
      <c r="EH162">
        <v>0</v>
      </c>
      <c r="EI162" t="s">
        <v>3</v>
      </c>
      <c r="EJ162">
        <v>4</v>
      </c>
      <c r="EK162">
        <v>0</v>
      </c>
      <c r="EL162" t="s">
        <v>21</v>
      </c>
      <c r="EM162" t="s">
        <v>22</v>
      </c>
      <c r="EO162" t="s">
        <v>3</v>
      </c>
      <c r="EQ162">
        <v>0</v>
      </c>
      <c r="ER162">
        <v>16218.09</v>
      </c>
      <c r="ES162">
        <v>1387.98</v>
      </c>
      <c r="ET162">
        <v>0</v>
      </c>
      <c r="EU162">
        <v>0</v>
      </c>
      <c r="EV162">
        <v>14830.11</v>
      </c>
      <c r="EW162">
        <v>73.8</v>
      </c>
      <c r="EX162">
        <v>0</v>
      </c>
      <c r="EY162">
        <v>0</v>
      </c>
      <c r="FQ162">
        <v>0</v>
      </c>
      <c r="FR162">
        <f>ROUND(IF(AND(BH162=3,BI162=3),P162,0),2)</f>
        <v>0</v>
      </c>
      <c r="FS162">
        <v>0</v>
      </c>
      <c r="FX162">
        <v>70</v>
      </c>
      <c r="FY162">
        <v>10</v>
      </c>
      <c r="GA162" t="s">
        <v>3</v>
      </c>
      <c r="GD162">
        <v>0</v>
      </c>
      <c r="GF162">
        <v>-786932263</v>
      </c>
      <c r="GG162">
        <v>2</v>
      </c>
      <c r="GH162">
        <v>1</v>
      </c>
      <c r="GI162">
        <v>-2</v>
      </c>
      <c r="GJ162">
        <v>0</v>
      </c>
      <c r="GK162">
        <f>ROUND(R162*(R12)/100,2)</f>
        <v>0</v>
      </c>
      <c r="GL162">
        <f>ROUND(IF(AND(BH162=3,BI162=3,FS162&lt;&gt;0),P162,0),2)</f>
        <v>0</v>
      </c>
      <c r="GM162">
        <f>ROUND(O162+X162+Y162+GK162,2)+GX162</f>
        <v>185342.38</v>
      </c>
      <c r="GN162">
        <f>IF(OR(BI162=0,BI162=1),ROUND(O162+X162+Y162+GK162,2),0)</f>
        <v>0</v>
      </c>
      <c r="GO162">
        <f>IF(BI162=2,ROUND(O162+X162+Y162+GK162,2),0)</f>
        <v>0</v>
      </c>
      <c r="GP162">
        <f>IF(BI162=4,ROUND(O162+X162+Y162+GK162,2)+GX162,0)</f>
        <v>185342.38</v>
      </c>
      <c r="GR162">
        <v>0</v>
      </c>
      <c r="GS162">
        <v>3</v>
      </c>
      <c r="GT162">
        <v>0</v>
      </c>
      <c r="GU162" t="s">
        <v>3</v>
      </c>
      <c r="GV162">
        <f>ROUND((GT162),2)</f>
        <v>0</v>
      </c>
      <c r="GW162">
        <v>1</v>
      </c>
      <c r="GX162">
        <f>ROUND(HC162*I162,2)</f>
        <v>0</v>
      </c>
      <c r="HA162">
        <v>0</v>
      </c>
      <c r="HB162">
        <v>0</v>
      </c>
      <c r="HC162">
        <f>GV162*GW162</f>
        <v>0</v>
      </c>
      <c r="HE162" t="s">
        <v>3</v>
      </c>
      <c r="HF162" t="s">
        <v>3</v>
      </c>
      <c r="IK162">
        <v>0</v>
      </c>
    </row>
    <row r="164" spans="1:245" x14ac:dyDescent="0.2">
      <c r="A164" s="2">
        <v>51</v>
      </c>
      <c r="B164" s="2">
        <f>B157</f>
        <v>1</v>
      </c>
      <c r="C164" s="2">
        <f>A157</f>
        <v>4</v>
      </c>
      <c r="D164" s="2">
        <f>ROW(A157)</f>
        <v>157</v>
      </c>
      <c r="E164" s="2"/>
      <c r="F164" s="2" t="str">
        <f>IF(F157&lt;&gt;"",F157,"")</f>
        <v>Новый раздел</v>
      </c>
      <c r="G164" s="2" t="str">
        <f>IF(G157&lt;&gt;"",G157,"")</f>
        <v>Ремонт металлического ограждения (330 мп)</v>
      </c>
      <c r="H164" s="2">
        <v>0</v>
      </c>
      <c r="I164" s="2"/>
      <c r="J164" s="2"/>
      <c r="K164" s="2"/>
      <c r="L164" s="2"/>
      <c r="M164" s="2"/>
      <c r="N164" s="2"/>
      <c r="O164" s="2">
        <f t="shared" ref="O164:T164" si="161">ROUND(AB164,2)</f>
        <v>147938.28</v>
      </c>
      <c r="P164" s="2">
        <f t="shared" si="161"/>
        <v>9160.67</v>
      </c>
      <c r="Q164" s="2">
        <f t="shared" si="161"/>
        <v>0</v>
      </c>
      <c r="R164" s="2">
        <f t="shared" si="161"/>
        <v>0</v>
      </c>
      <c r="S164" s="2">
        <f t="shared" si="161"/>
        <v>138777.60999999999</v>
      </c>
      <c r="T164" s="2">
        <f t="shared" si="161"/>
        <v>0</v>
      </c>
      <c r="U164" s="2">
        <f>AH164</f>
        <v>724.68</v>
      </c>
      <c r="V164" s="2">
        <f>AI164</f>
        <v>0</v>
      </c>
      <c r="W164" s="2">
        <f>ROUND(AJ164,2)</f>
        <v>0</v>
      </c>
      <c r="X164" s="2">
        <f>ROUND(AK164,2)</f>
        <v>97144.33</v>
      </c>
      <c r="Y164" s="2">
        <f>ROUND(AL164,2)</f>
        <v>13877.76</v>
      </c>
      <c r="Z164" s="2"/>
      <c r="AA164" s="2"/>
      <c r="AB164" s="2">
        <f>ROUND(SUMIF(AA161:AA162,"=56440881",O161:O162),2)</f>
        <v>147938.28</v>
      </c>
      <c r="AC164" s="2">
        <f>ROUND(SUMIF(AA161:AA162,"=56440881",P161:P162),2)</f>
        <v>9160.67</v>
      </c>
      <c r="AD164" s="2">
        <f>ROUND(SUMIF(AA161:AA162,"=56440881",Q161:Q162),2)</f>
        <v>0</v>
      </c>
      <c r="AE164" s="2">
        <f>ROUND(SUMIF(AA161:AA162,"=56440881",R161:R162),2)</f>
        <v>0</v>
      </c>
      <c r="AF164" s="2">
        <f>ROUND(SUMIF(AA161:AA162,"=56440881",S161:S162),2)</f>
        <v>138777.60999999999</v>
      </c>
      <c r="AG164" s="2">
        <f>ROUND(SUMIF(AA161:AA162,"=56440881",T161:T162),2)</f>
        <v>0</v>
      </c>
      <c r="AH164" s="2">
        <f>SUMIF(AA161:AA162,"=56440881",U161:U162)</f>
        <v>724.68</v>
      </c>
      <c r="AI164" s="2">
        <f>SUMIF(AA161:AA162,"=56440881",V161:V162)</f>
        <v>0</v>
      </c>
      <c r="AJ164" s="2">
        <f>ROUND(SUMIF(AA161:AA162,"=56440881",W161:W162),2)</f>
        <v>0</v>
      </c>
      <c r="AK164" s="2">
        <f>ROUND(SUMIF(AA161:AA162,"=56440881",X161:X162),2)</f>
        <v>97144.33</v>
      </c>
      <c r="AL164" s="2">
        <f>ROUND(SUMIF(AA161:AA162,"=56440881",Y161:Y162),2)</f>
        <v>13877.76</v>
      </c>
      <c r="AM164" s="2"/>
      <c r="AN164" s="2"/>
      <c r="AO164" s="2">
        <f t="shared" ref="AO164:BD164" si="162">ROUND(BX164,2)</f>
        <v>0</v>
      </c>
      <c r="AP164" s="2">
        <f t="shared" si="162"/>
        <v>0</v>
      </c>
      <c r="AQ164" s="2">
        <f t="shared" si="162"/>
        <v>0</v>
      </c>
      <c r="AR164" s="2">
        <f t="shared" si="162"/>
        <v>258960.37</v>
      </c>
      <c r="AS164" s="2">
        <f t="shared" si="162"/>
        <v>0</v>
      </c>
      <c r="AT164" s="2">
        <f t="shared" si="162"/>
        <v>0</v>
      </c>
      <c r="AU164" s="2">
        <f t="shared" si="162"/>
        <v>258960.37</v>
      </c>
      <c r="AV164" s="2">
        <f t="shared" si="162"/>
        <v>9160.67</v>
      </c>
      <c r="AW164" s="2">
        <f t="shared" si="162"/>
        <v>9160.67</v>
      </c>
      <c r="AX164" s="2">
        <f t="shared" si="162"/>
        <v>0</v>
      </c>
      <c r="AY164" s="2">
        <f t="shared" si="162"/>
        <v>9160.67</v>
      </c>
      <c r="AZ164" s="2">
        <f t="shared" si="162"/>
        <v>0</v>
      </c>
      <c r="BA164" s="2">
        <f t="shared" si="162"/>
        <v>0</v>
      </c>
      <c r="BB164" s="2">
        <f t="shared" si="162"/>
        <v>0</v>
      </c>
      <c r="BC164" s="2">
        <f t="shared" si="162"/>
        <v>0</v>
      </c>
      <c r="BD164" s="2">
        <f t="shared" si="162"/>
        <v>0</v>
      </c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>
        <f>ROUND(SUMIF(AA161:AA162,"=56440881",FQ161:FQ162),2)</f>
        <v>0</v>
      </c>
      <c r="BY164" s="2">
        <f>ROUND(SUMIF(AA161:AA162,"=56440881",FR161:FR162),2)</f>
        <v>0</v>
      </c>
      <c r="BZ164" s="2">
        <f>ROUND(SUMIF(AA161:AA162,"=56440881",GL161:GL162),2)</f>
        <v>0</v>
      </c>
      <c r="CA164" s="2">
        <f>ROUND(SUMIF(AA161:AA162,"=56440881",GM161:GM162),2)</f>
        <v>258960.37</v>
      </c>
      <c r="CB164" s="2">
        <f>ROUND(SUMIF(AA161:AA162,"=56440881",GN161:GN162),2)</f>
        <v>0</v>
      </c>
      <c r="CC164" s="2">
        <f>ROUND(SUMIF(AA161:AA162,"=56440881",GO161:GO162),2)</f>
        <v>0</v>
      </c>
      <c r="CD164" s="2">
        <f>ROUND(SUMIF(AA161:AA162,"=56440881",GP161:GP162),2)</f>
        <v>258960.37</v>
      </c>
      <c r="CE164" s="2">
        <f>AC164-BX164</f>
        <v>9160.67</v>
      </c>
      <c r="CF164" s="2">
        <f>AC164-BY164</f>
        <v>9160.67</v>
      </c>
      <c r="CG164" s="2">
        <f>BX164-BZ164</f>
        <v>0</v>
      </c>
      <c r="CH164" s="2">
        <f>AC164-BX164-BY164+BZ164</f>
        <v>9160.67</v>
      </c>
      <c r="CI164" s="2">
        <f>BY164-BZ164</f>
        <v>0</v>
      </c>
      <c r="CJ164" s="2">
        <f>ROUND(SUMIF(AA161:AA162,"=56440881",GX161:GX162),2)</f>
        <v>0</v>
      </c>
      <c r="CK164" s="2">
        <f>ROUND(SUMIF(AA161:AA162,"=56440881",GY161:GY162),2)</f>
        <v>0</v>
      </c>
      <c r="CL164" s="2">
        <f>ROUND(SUMIF(AA161:AA162,"=56440881",GZ161:GZ162),2)</f>
        <v>0</v>
      </c>
      <c r="CM164" s="2">
        <f>ROUND(SUMIF(AA161:AA162,"=56440881",HD161:HD162),2)</f>
        <v>0</v>
      </c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>
        <v>0</v>
      </c>
    </row>
    <row r="166" spans="1:245" x14ac:dyDescent="0.2">
      <c r="A166" s="4">
        <v>50</v>
      </c>
      <c r="B166" s="4">
        <v>0</v>
      </c>
      <c r="C166" s="4">
        <v>0</v>
      </c>
      <c r="D166" s="4">
        <v>1</v>
      </c>
      <c r="E166" s="4">
        <v>201</v>
      </c>
      <c r="F166" s="4">
        <f>ROUND(Source!O164,O166)</f>
        <v>147938.28</v>
      </c>
      <c r="G166" s="4" t="s">
        <v>50</v>
      </c>
      <c r="H166" s="4" t="s">
        <v>51</v>
      </c>
      <c r="I166" s="4"/>
      <c r="J166" s="4"/>
      <c r="K166" s="4">
        <v>-201</v>
      </c>
      <c r="L166" s="4">
        <v>1</v>
      </c>
      <c r="M166" s="4">
        <v>3</v>
      </c>
      <c r="N166" s="4" t="s">
        <v>3</v>
      </c>
      <c r="O166" s="4">
        <v>2</v>
      </c>
      <c r="P166" s="4"/>
      <c r="Q166" s="4"/>
      <c r="R166" s="4"/>
      <c r="S166" s="4"/>
      <c r="T166" s="4"/>
      <c r="U166" s="4"/>
      <c r="V166" s="4"/>
      <c r="W166" s="4"/>
    </row>
    <row r="167" spans="1:245" x14ac:dyDescent="0.2">
      <c r="A167" s="4">
        <v>50</v>
      </c>
      <c r="B167" s="4">
        <v>0</v>
      </c>
      <c r="C167" s="4">
        <v>0</v>
      </c>
      <c r="D167" s="4">
        <v>1</v>
      </c>
      <c r="E167" s="4">
        <v>202</v>
      </c>
      <c r="F167" s="4">
        <f>ROUND(Source!P164,O167)</f>
        <v>9160.67</v>
      </c>
      <c r="G167" s="4" t="s">
        <v>52</v>
      </c>
      <c r="H167" s="4" t="s">
        <v>53</v>
      </c>
      <c r="I167" s="4"/>
      <c r="J167" s="4"/>
      <c r="K167" s="4">
        <v>-202</v>
      </c>
      <c r="L167" s="4">
        <v>2</v>
      </c>
      <c r="M167" s="4">
        <v>3</v>
      </c>
      <c r="N167" s="4" t="s">
        <v>3</v>
      </c>
      <c r="O167" s="4">
        <v>2</v>
      </c>
      <c r="P167" s="4"/>
      <c r="Q167" s="4"/>
      <c r="R167" s="4"/>
      <c r="S167" s="4"/>
      <c r="T167" s="4"/>
      <c r="U167" s="4"/>
      <c r="V167" s="4"/>
      <c r="W167" s="4"/>
    </row>
    <row r="168" spans="1:245" x14ac:dyDescent="0.2">
      <c r="A168" s="4">
        <v>50</v>
      </c>
      <c r="B168" s="4">
        <v>0</v>
      </c>
      <c r="C168" s="4">
        <v>0</v>
      </c>
      <c r="D168" s="4">
        <v>1</v>
      </c>
      <c r="E168" s="4">
        <v>222</v>
      </c>
      <c r="F168" s="4">
        <f>ROUND(Source!AO164,O168)</f>
        <v>0</v>
      </c>
      <c r="G168" s="4" t="s">
        <v>54</v>
      </c>
      <c r="H168" s="4" t="s">
        <v>55</v>
      </c>
      <c r="I168" s="4"/>
      <c r="J168" s="4"/>
      <c r="K168" s="4">
        <v>-222</v>
      </c>
      <c r="L168" s="4">
        <v>3</v>
      </c>
      <c r="M168" s="4">
        <v>3</v>
      </c>
      <c r="N168" s="4" t="s">
        <v>3</v>
      </c>
      <c r="O168" s="4">
        <v>2</v>
      </c>
      <c r="P168" s="4"/>
      <c r="Q168" s="4"/>
      <c r="R168" s="4"/>
      <c r="S168" s="4"/>
      <c r="T168" s="4"/>
      <c r="U168" s="4"/>
      <c r="V168" s="4"/>
      <c r="W168" s="4"/>
    </row>
    <row r="169" spans="1:245" x14ac:dyDescent="0.2">
      <c r="A169" s="4">
        <v>50</v>
      </c>
      <c r="B169" s="4">
        <v>0</v>
      </c>
      <c r="C169" s="4">
        <v>0</v>
      </c>
      <c r="D169" s="4">
        <v>1</v>
      </c>
      <c r="E169" s="4">
        <v>225</v>
      </c>
      <c r="F169" s="4">
        <f>ROUND(Source!AV164,O169)</f>
        <v>9160.67</v>
      </c>
      <c r="G169" s="4" t="s">
        <v>56</v>
      </c>
      <c r="H169" s="4" t="s">
        <v>57</v>
      </c>
      <c r="I169" s="4"/>
      <c r="J169" s="4"/>
      <c r="K169" s="4">
        <v>-225</v>
      </c>
      <c r="L169" s="4">
        <v>4</v>
      </c>
      <c r="M169" s="4">
        <v>3</v>
      </c>
      <c r="N169" s="4" t="s">
        <v>3</v>
      </c>
      <c r="O169" s="4">
        <v>2</v>
      </c>
      <c r="P169" s="4"/>
      <c r="Q169" s="4"/>
      <c r="R169" s="4"/>
      <c r="S169" s="4"/>
      <c r="T169" s="4"/>
      <c r="U169" s="4"/>
      <c r="V169" s="4"/>
      <c r="W169" s="4"/>
    </row>
    <row r="170" spans="1:245" x14ac:dyDescent="0.2">
      <c r="A170" s="4">
        <v>50</v>
      </c>
      <c r="B170" s="4">
        <v>0</v>
      </c>
      <c r="C170" s="4">
        <v>0</v>
      </c>
      <c r="D170" s="4">
        <v>1</v>
      </c>
      <c r="E170" s="4">
        <v>226</v>
      </c>
      <c r="F170" s="4">
        <f>ROUND(Source!AW164,O170)</f>
        <v>9160.67</v>
      </c>
      <c r="G170" s="4" t="s">
        <v>58</v>
      </c>
      <c r="H170" s="4" t="s">
        <v>59</v>
      </c>
      <c r="I170" s="4"/>
      <c r="J170" s="4"/>
      <c r="K170" s="4">
        <v>-226</v>
      </c>
      <c r="L170" s="4">
        <v>5</v>
      </c>
      <c r="M170" s="4">
        <v>3</v>
      </c>
      <c r="N170" s="4" t="s">
        <v>3</v>
      </c>
      <c r="O170" s="4">
        <v>2</v>
      </c>
      <c r="P170" s="4"/>
      <c r="Q170" s="4"/>
      <c r="R170" s="4"/>
      <c r="S170" s="4"/>
      <c r="T170" s="4"/>
      <c r="U170" s="4"/>
      <c r="V170" s="4"/>
      <c r="W170" s="4"/>
    </row>
    <row r="171" spans="1:245" x14ac:dyDescent="0.2">
      <c r="A171" s="4">
        <v>50</v>
      </c>
      <c r="B171" s="4">
        <v>0</v>
      </c>
      <c r="C171" s="4">
        <v>0</v>
      </c>
      <c r="D171" s="4">
        <v>1</v>
      </c>
      <c r="E171" s="4">
        <v>227</v>
      </c>
      <c r="F171" s="4">
        <f>ROUND(Source!AX164,O171)</f>
        <v>0</v>
      </c>
      <c r="G171" s="4" t="s">
        <v>60</v>
      </c>
      <c r="H171" s="4" t="s">
        <v>61</v>
      </c>
      <c r="I171" s="4"/>
      <c r="J171" s="4"/>
      <c r="K171" s="4">
        <v>-227</v>
      </c>
      <c r="L171" s="4">
        <v>6</v>
      </c>
      <c r="M171" s="4">
        <v>3</v>
      </c>
      <c r="N171" s="4" t="s">
        <v>3</v>
      </c>
      <c r="O171" s="4">
        <v>2</v>
      </c>
      <c r="P171" s="4"/>
      <c r="Q171" s="4"/>
      <c r="R171" s="4"/>
      <c r="S171" s="4"/>
      <c r="T171" s="4"/>
      <c r="U171" s="4"/>
      <c r="V171" s="4"/>
      <c r="W171" s="4"/>
    </row>
    <row r="172" spans="1:245" x14ac:dyDescent="0.2">
      <c r="A172" s="4">
        <v>50</v>
      </c>
      <c r="B172" s="4">
        <v>0</v>
      </c>
      <c r="C172" s="4">
        <v>0</v>
      </c>
      <c r="D172" s="4">
        <v>1</v>
      </c>
      <c r="E172" s="4">
        <v>228</v>
      </c>
      <c r="F172" s="4">
        <f>ROUND(Source!AY164,O172)</f>
        <v>9160.67</v>
      </c>
      <c r="G172" s="4" t="s">
        <v>62</v>
      </c>
      <c r="H172" s="4" t="s">
        <v>63</v>
      </c>
      <c r="I172" s="4"/>
      <c r="J172" s="4"/>
      <c r="K172" s="4">
        <v>-228</v>
      </c>
      <c r="L172" s="4">
        <v>7</v>
      </c>
      <c r="M172" s="4">
        <v>3</v>
      </c>
      <c r="N172" s="4" t="s">
        <v>3</v>
      </c>
      <c r="O172" s="4">
        <v>2</v>
      </c>
      <c r="P172" s="4"/>
      <c r="Q172" s="4"/>
      <c r="R172" s="4"/>
      <c r="S172" s="4"/>
      <c r="T172" s="4"/>
      <c r="U172" s="4"/>
      <c r="V172" s="4"/>
      <c r="W172" s="4"/>
    </row>
    <row r="173" spans="1:245" x14ac:dyDescent="0.2">
      <c r="A173" s="4">
        <v>50</v>
      </c>
      <c r="B173" s="4">
        <v>0</v>
      </c>
      <c r="C173" s="4">
        <v>0</v>
      </c>
      <c r="D173" s="4">
        <v>1</v>
      </c>
      <c r="E173" s="4">
        <v>216</v>
      </c>
      <c r="F173" s="4">
        <f>ROUND(Source!AP164,O173)</f>
        <v>0</v>
      </c>
      <c r="G173" s="4" t="s">
        <v>64</v>
      </c>
      <c r="H173" s="4" t="s">
        <v>65</v>
      </c>
      <c r="I173" s="4"/>
      <c r="J173" s="4"/>
      <c r="K173" s="4">
        <v>-216</v>
      </c>
      <c r="L173" s="4">
        <v>8</v>
      </c>
      <c r="M173" s="4">
        <v>3</v>
      </c>
      <c r="N173" s="4" t="s">
        <v>3</v>
      </c>
      <c r="O173" s="4">
        <v>2</v>
      </c>
      <c r="P173" s="4"/>
      <c r="Q173" s="4"/>
      <c r="R173" s="4"/>
      <c r="S173" s="4"/>
      <c r="T173" s="4"/>
      <c r="U173" s="4"/>
      <c r="V173" s="4"/>
      <c r="W173" s="4"/>
    </row>
    <row r="174" spans="1:245" x14ac:dyDescent="0.2">
      <c r="A174" s="4">
        <v>50</v>
      </c>
      <c r="B174" s="4">
        <v>0</v>
      </c>
      <c r="C174" s="4">
        <v>0</v>
      </c>
      <c r="D174" s="4">
        <v>1</v>
      </c>
      <c r="E174" s="4">
        <v>223</v>
      </c>
      <c r="F174" s="4">
        <f>ROUND(Source!AQ164,O174)</f>
        <v>0</v>
      </c>
      <c r="G174" s="4" t="s">
        <v>66</v>
      </c>
      <c r="H174" s="4" t="s">
        <v>67</v>
      </c>
      <c r="I174" s="4"/>
      <c r="J174" s="4"/>
      <c r="K174" s="4">
        <v>-223</v>
      </c>
      <c r="L174" s="4">
        <v>9</v>
      </c>
      <c r="M174" s="4">
        <v>3</v>
      </c>
      <c r="N174" s="4" t="s">
        <v>3</v>
      </c>
      <c r="O174" s="4">
        <v>2</v>
      </c>
      <c r="P174" s="4"/>
      <c r="Q174" s="4"/>
      <c r="R174" s="4"/>
      <c r="S174" s="4"/>
      <c r="T174" s="4"/>
      <c r="U174" s="4"/>
      <c r="V174" s="4"/>
      <c r="W174" s="4"/>
    </row>
    <row r="175" spans="1:245" x14ac:dyDescent="0.2">
      <c r="A175" s="4">
        <v>50</v>
      </c>
      <c r="B175" s="4">
        <v>0</v>
      </c>
      <c r="C175" s="4">
        <v>0</v>
      </c>
      <c r="D175" s="4">
        <v>1</v>
      </c>
      <c r="E175" s="4">
        <v>229</v>
      </c>
      <c r="F175" s="4">
        <f>ROUND(Source!AZ164,O175)</f>
        <v>0</v>
      </c>
      <c r="G175" s="4" t="s">
        <v>68</v>
      </c>
      <c r="H175" s="4" t="s">
        <v>69</v>
      </c>
      <c r="I175" s="4"/>
      <c r="J175" s="4"/>
      <c r="K175" s="4">
        <v>-229</v>
      </c>
      <c r="L175" s="4">
        <v>10</v>
      </c>
      <c r="M175" s="4">
        <v>3</v>
      </c>
      <c r="N175" s="4" t="s">
        <v>3</v>
      </c>
      <c r="O175" s="4">
        <v>2</v>
      </c>
      <c r="P175" s="4"/>
      <c r="Q175" s="4"/>
      <c r="R175" s="4"/>
      <c r="S175" s="4"/>
      <c r="T175" s="4"/>
      <c r="U175" s="4"/>
      <c r="V175" s="4"/>
      <c r="W175" s="4"/>
    </row>
    <row r="176" spans="1:245" x14ac:dyDescent="0.2">
      <c r="A176" s="4">
        <v>50</v>
      </c>
      <c r="B176" s="4">
        <v>0</v>
      </c>
      <c r="C176" s="4">
        <v>0</v>
      </c>
      <c r="D176" s="4">
        <v>1</v>
      </c>
      <c r="E176" s="4">
        <v>203</v>
      </c>
      <c r="F176" s="4">
        <f>ROUND(Source!Q164,O176)</f>
        <v>0</v>
      </c>
      <c r="G176" s="4" t="s">
        <v>70</v>
      </c>
      <c r="H176" s="4" t="s">
        <v>71</v>
      </c>
      <c r="I176" s="4"/>
      <c r="J176" s="4"/>
      <c r="K176" s="4">
        <v>-203</v>
      </c>
      <c r="L176" s="4">
        <v>11</v>
      </c>
      <c r="M176" s="4">
        <v>3</v>
      </c>
      <c r="N176" s="4" t="s">
        <v>3</v>
      </c>
      <c r="O176" s="4">
        <v>2</v>
      </c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4">
        <v>50</v>
      </c>
      <c r="B177" s="4">
        <v>0</v>
      </c>
      <c r="C177" s="4">
        <v>0</v>
      </c>
      <c r="D177" s="4">
        <v>1</v>
      </c>
      <c r="E177" s="4">
        <v>231</v>
      </c>
      <c r="F177" s="4">
        <f>ROUND(Source!BB164,O177)</f>
        <v>0</v>
      </c>
      <c r="G177" s="4" t="s">
        <v>72</v>
      </c>
      <c r="H177" s="4" t="s">
        <v>73</v>
      </c>
      <c r="I177" s="4"/>
      <c r="J177" s="4"/>
      <c r="K177" s="4">
        <v>-231</v>
      </c>
      <c r="L177" s="4">
        <v>12</v>
      </c>
      <c r="M177" s="4">
        <v>3</v>
      </c>
      <c r="N177" s="4" t="s">
        <v>3</v>
      </c>
      <c r="O177" s="4">
        <v>2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4">
        <v>50</v>
      </c>
      <c r="B178" s="4">
        <v>0</v>
      </c>
      <c r="C178" s="4">
        <v>0</v>
      </c>
      <c r="D178" s="4">
        <v>1</v>
      </c>
      <c r="E178" s="4">
        <v>204</v>
      </c>
      <c r="F178" s="4">
        <f>ROUND(Source!R164,O178)</f>
        <v>0</v>
      </c>
      <c r="G178" s="4" t="s">
        <v>74</v>
      </c>
      <c r="H178" s="4" t="s">
        <v>75</v>
      </c>
      <c r="I178" s="4"/>
      <c r="J178" s="4"/>
      <c r="K178" s="4">
        <v>-204</v>
      </c>
      <c r="L178" s="4">
        <v>13</v>
      </c>
      <c r="M178" s="4">
        <v>3</v>
      </c>
      <c r="N178" s="4" t="s">
        <v>3</v>
      </c>
      <c r="O178" s="4">
        <v>2</v>
      </c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4">
        <v>50</v>
      </c>
      <c r="B179" s="4">
        <v>0</v>
      </c>
      <c r="C179" s="4">
        <v>0</v>
      </c>
      <c r="D179" s="4">
        <v>1</v>
      </c>
      <c r="E179" s="4">
        <v>205</v>
      </c>
      <c r="F179" s="4">
        <f>ROUND(Source!S164,O179)</f>
        <v>138777.60999999999</v>
      </c>
      <c r="G179" s="4" t="s">
        <v>76</v>
      </c>
      <c r="H179" s="4" t="s">
        <v>77</v>
      </c>
      <c r="I179" s="4"/>
      <c r="J179" s="4"/>
      <c r="K179" s="4">
        <v>-205</v>
      </c>
      <c r="L179" s="4">
        <v>14</v>
      </c>
      <c r="M179" s="4">
        <v>3</v>
      </c>
      <c r="N179" s="4" t="s">
        <v>3</v>
      </c>
      <c r="O179" s="4">
        <v>2</v>
      </c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4">
        <v>50</v>
      </c>
      <c r="B180" s="4">
        <v>0</v>
      </c>
      <c r="C180" s="4">
        <v>0</v>
      </c>
      <c r="D180" s="4">
        <v>1</v>
      </c>
      <c r="E180" s="4">
        <v>232</v>
      </c>
      <c r="F180" s="4">
        <f>ROUND(Source!BC164,O180)</f>
        <v>0</v>
      </c>
      <c r="G180" s="4" t="s">
        <v>78</v>
      </c>
      <c r="H180" s="4" t="s">
        <v>79</v>
      </c>
      <c r="I180" s="4"/>
      <c r="J180" s="4"/>
      <c r="K180" s="4">
        <v>-232</v>
      </c>
      <c r="L180" s="4">
        <v>15</v>
      </c>
      <c r="M180" s="4">
        <v>3</v>
      </c>
      <c r="N180" s="4" t="s">
        <v>3</v>
      </c>
      <c r="O180" s="4">
        <v>2</v>
      </c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4">
        <v>50</v>
      </c>
      <c r="B181" s="4">
        <v>0</v>
      </c>
      <c r="C181" s="4">
        <v>0</v>
      </c>
      <c r="D181" s="4">
        <v>1</v>
      </c>
      <c r="E181" s="4">
        <v>214</v>
      </c>
      <c r="F181" s="4">
        <f>ROUND(Source!AS164,O181)</f>
        <v>0</v>
      </c>
      <c r="G181" s="4" t="s">
        <v>80</v>
      </c>
      <c r="H181" s="4" t="s">
        <v>81</v>
      </c>
      <c r="I181" s="4"/>
      <c r="J181" s="4"/>
      <c r="K181" s="4">
        <v>-214</v>
      </c>
      <c r="L181" s="4">
        <v>16</v>
      </c>
      <c r="M181" s="4">
        <v>3</v>
      </c>
      <c r="N181" s="4" t="s">
        <v>3</v>
      </c>
      <c r="O181" s="4">
        <v>2</v>
      </c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4">
        <v>50</v>
      </c>
      <c r="B182" s="4">
        <v>0</v>
      </c>
      <c r="C182" s="4">
        <v>0</v>
      </c>
      <c r="D182" s="4">
        <v>1</v>
      </c>
      <c r="E182" s="4">
        <v>215</v>
      </c>
      <c r="F182" s="4">
        <f>ROUND(Source!AT164,O182)</f>
        <v>0</v>
      </c>
      <c r="G182" s="4" t="s">
        <v>82</v>
      </c>
      <c r="H182" s="4" t="s">
        <v>83</v>
      </c>
      <c r="I182" s="4"/>
      <c r="J182" s="4"/>
      <c r="K182" s="4">
        <v>-215</v>
      </c>
      <c r="L182" s="4">
        <v>17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4">
        <v>50</v>
      </c>
      <c r="B183" s="4">
        <v>0</v>
      </c>
      <c r="C183" s="4">
        <v>0</v>
      </c>
      <c r="D183" s="4">
        <v>1</v>
      </c>
      <c r="E183" s="4">
        <v>217</v>
      </c>
      <c r="F183" s="4">
        <f>ROUND(Source!AU164,O183)</f>
        <v>258960.37</v>
      </c>
      <c r="G183" s="4" t="s">
        <v>84</v>
      </c>
      <c r="H183" s="4" t="s">
        <v>85</v>
      </c>
      <c r="I183" s="4"/>
      <c r="J183" s="4"/>
      <c r="K183" s="4">
        <v>-217</v>
      </c>
      <c r="L183" s="4">
        <v>18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4">
        <v>50</v>
      </c>
      <c r="B184" s="4">
        <v>0</v>
      </c>
      <c r="C184" s="4">
        <v>0</v>
      </c>
      <c r="D184" s="4">
        <v>1</v>
      </c>
      <c r="E184" s="4">
        <v>230</v>
      </c>
      <c r="F184" s="4">
        <f>ROUND(Source!BA164,O184)</f>
        <v>0</v>
      </c>
      <c r="G184" s="4" t="s">
        <v>86</v>
      </c>
      <c r="H184" s="4" t="s">
        <v>87</v>
      </c>
      <c r="I184" s="4"/>
      <c r="J184" s="4"/>
      <c r="K184" s="4">
        <v>-230</v>
      </c>
      <c r="L184" s="4">
        <v>19</v>
      </c>
      <c r="M184" s="4">
        <v>3</v>
      </c>
      <c r="N184" s="4" t="s">
        <v>3</v>
      </c>
      <c r="O184" s="4">
        <v>2</v>
      </c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4">
        <v>50</v>
      </c>
      <c r="B185" s="4">
        <v>0</v>
      </c>
      <c r="C185" s="4">
        <v>0</v>
      </c>
      <c r="D185" s="4">
        <v>1</v>
      </c>
      <c r="E185" s="4">
        <v>206</v>
      </c>
      <c r="F185" s="4">
        <f>ROUND(Source!T164,O185)</f>
        <v>0</v>
      </c>
      <c r="G185" s="4" t="s">
        <v>88</v>
      </c>
      <c r="H185" s="4" t="s">
        <v>89</v>
      </c>
      <c r="I185" s="4"/>
      <c r="J185" s="4"/>
      <c r="K185" s="4">
        <v>-206</v>
      </c>
      <c r="L185" s="4">
        <v>20</v>
      </c>
      <c r="M185" s="4">
        <v>3</v>
      </c>
      <c r="N185" s="4" t="s">
        <v>3</v>
      </c>
      <c r="O185" s="4">
        <v>2</v>
      </c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4">
        <v>50</v>
      </c>
      <c r="B186" s="4">
        <v>0</v>
      </c>
      <c r="C186" s="4">
        <v>0</v>
      </c>
      <c r="D186" s="4">
        <v>1</v>
      </c>
      <c r="E186" s="4">
        <v>207</v>
      </c>
      <c r="F186" s="4">
        <f>Source!U164</f>
        <v>724.68</v>
      </c>
      <c r="G186" s="4" t="s">
        <v>90</v>
      </c>
      <c r="H186" s="4" t="s">
        <v>91</v>
      </c>
      <c r="I186" s="4"/>
      <c r="J186" s="4"/>
      <c r="K186" s="4">
        <v>-207</v>
      </c>
      <c r="L186" s="4">
        <v>21</v>
      </c>
      <c r="M186" s="4">
        <v>3</v>
      </c>
      <c r="N186" s="4" t="s">
        <v>3</v>
      </c>
      <c r="O186" s="4">
        <v>-1</v>
      </c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4">
        <v>50</v>
      </c>
      <c r="B187" s="4">
        <v>0</v>
      </c>
      <c r="C187" s="4">
        <v>0</v>
      </c>
      <c r="D187" s="4">
        <v>1</v>
      </c>
      <c r="E187" s="4">
        <v>208</v>
      </c>
      <c r="F187" s="4">
        <f>Source!V164</f>
        <v>0</v>
      </c>
      <c r="G187" s="4" t="s">
        <v>92</v>
      </c>
      <c r="H187" s="4" t="s">
        <v>93</v>
      </c>
      <c r="I187" s="4"/>
      <c r="J187" s="4"/>
      <c r="K187" s="4">
        <v>-208</v>
      </c>
      <c r="L187" s="4">
        <v>22</v>
      </c>
      <c r="M187" s="4">
        <v>3</v>
      </c>
      <c r="N187" s="4" t="s">
        <v>3</v>
      </c>
      <c r="O187" s="4">
        <v>-1</v>
      </c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4">
        <v>50</v>
      </c>
      <c r="B188" s="4">
        <v>0</v>
      </c>
      <c r="C188" s="4">
        <v>0</v>
      </c>
      <c r="D188" s="4">
        <v>1</v>
      </c>
      <c r="E188" s="4">
        <v>209</v>
      </c>
      <c r="F188" s="4">
        <f>ROUND(Source!W164,O188)</f>
        <v>0</v>
      </c>
      <c r="G188" s="4" t="s">
        <v>94</v>
      </c>
      <c r="H188" s="4" t="s">
        <v>95</v>
      </c>
      <c r="I188" s="4"/>
      <c r="J188" s="4"/>
      <c r="K188" s="4">
        <v>-209</v>
      </c>
      <c r="L188" s="4">
        <v>23</v>
      </c>
      <c r="M188" s="4">
        <v>3</v>
      </c>
      <c r="N188" s="4" t="s">
        <v>3</v>
      </c>
      <c r="O188" s="4">
        <v>2</v>
      </c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4">
        <v>50</v>
      </c>
      <c r="B189" s="4">
        <v>0</v>
      </c>
      <c r="C189" s="4">
        <v>0</v>
      </c>
      <c r="D189" s="4">
        <v>1</v>
      </c>
      <c r="E189" s="4">
        <v>233</v>
      </c>
      <c r="F189" s="4">
        <f>ROUND(Source!BD164,O189)</f>
        <v>0</v>
      </c>
      <c r="G189" s="4" t="s">
        <v>96</v>
      </c>
      <c r="H189" s="4" t="s">
        <v>97</v>
      </c>
      <c r="I189" s="4"/>
      <c r="J189" s="4"/>
      <c r="K189" s="4">
        <v>-233</v>
      </c>
      <c r="L189" s="4">
        <v>24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4">
        <v>50</v>
      </c>
      <c r="B190" s="4">
        <v>0</v>
      </c>
      <c r="C190" s="4">
        <v>0</v>
      </c>
      <c r="D190" s="4">
        <v>1</v>
      </c>
      <c r="E190" s="4">
        <v>210</v>
      </c>
      <c r="F190" s="4">
        <f>ROUND(Source!X164,O190)</f>
        <v>97144.33</v>
      </c>
      <c r="G190" s="4" t="s">
        <v>98</v>
      </c>
      <c r="H190" s="4" t="s">
        <v>99</v>
      </c>
      <c r="I190" s="4"/>
      <c r="J190" s="4"/>
      <c r="K190" s="4">
        <v>-210</v>
      </c>
      <c r="L190" s="4">
        <v>25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4">
        <v>50</v>
      </c>
      <c r="B191" s="4">
        <v>0</v>
      </c>
      <c r="C191" s="4">
        <v>0</v>
      </c>
      <c r="D191" s="4">
        <v>1</v>
      </c>
      <c r="E191" s="4">
        <v>211</v>
      </c>
      <c r="F191" s="4">
        <f>ROUND(Source!Y164,O191)</f>
        <v>13877.76</v>
      </c>
      <c r="G191" s="4" t="s">
        <v>100</v>
      </c>
      <c r="H191" s="4" t="s">
        <v>101</v>
      </c>
      <c r="I191" s="4"/>
      <c r="J191" s="4"/>
      <c r="K191" s="4">
        <v>-211</v>
      </c>
      <c r="L191" s="4">
        <v>26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4">
        <v>50</v>
      </c>
      <c r="B192" s="4">
        <v>0</v>
      </c>
      <c r="C192" s="4">
        <v>0</v>
      </c>
      <c r="D192" s="4">
        <v>1</v>
      </c>
      <c r="E192" s="4">
        <v>224</v>
      </c>
      <c r="F192" s="4">
        <f>ROUND(Source!AR164,O192)</f>
        <v>258960.37</v>
      </c>
      <c r="G192" s="4" t="s">
        <v>102</v>
      </c>
      <c r="H192" s="4" t="s">
        <v>103</v>
      </c>
      <c r="I192" s="4"/>
      <c r="J192" s="4"/>
      <c r="K192" s="4">
        <v>-224</v>
      </c>
      <c r="L192" s="4">
        <v>27</v>
      </c>
      <c r="M192" s="4">
        <v>3</v>
      </c>
      <c r="N192" s="4" t="s">
        <v>3</v>
      </c>
      <c r="O192" s="4">
        <v>2</v>
      </c>
      <c r="P192" s="4"/>
      <c r="Q192" s="4"/>
      <c r="R192" s="4"/>
      <c r="S192" s="4"/>
      <c r="T192" s="4"/>
      <c r="U192" s="4"/>
      <c r="V192" s="4"/>
      <c r="W192" s="4"/>
    </row>
    <row r="194" spans="1:245" x14ac:dyDescent="0.2">
      <c r="A194" s="1">
        <v>4</v>
      </c>
      <c r="B194" s="1">
        <v>1</v>
      </c>
      <c r="C194" s="1"/>
      <c r="D194" s="1">
        <f>ROW(A205)</f>
        <v>205</v>
      </c>
      <c r="E194" s="1"/>
      <c r="F194" s="1" t="s">
        <v>13</v>
      </c>
      <c r="G194" s="1" t="s">
        <v>179</v>
      </c>
      <c r="H194" s="1" t="s">
        <v>3</v>
      </c>
      <c r="I194" s="1">
        <v>0</v>
      </c>
      <c r="J194" s="1"/>
      <c r="K194" s="1">
        <v>-1</v>
      </c>
      <c r="L194" s="1"/>
      <c r="M194" s="1" t="s">
        <v>3</v>
      </c>
      <c r="N194" s="1"/>
      <c r="O194" s="1"/>
      <c r="P194" s="1"/>
      <c r="Q194" s="1"/>
      <c r="R194" s="1"/>
      <c r="S194" s="1">
        <v>0</v>
      </c>
      <c r="T194" s="1"/>
      <c r="U194" s="1" t="s">
        <v>3</v>
      </c>
      <c r="V194" s="1">
        <v>7</v>
      </c>
      <c r="W194" s="1"/>
      <c r="X194" s="1"/>
      <c r="Y194" s="1"/>
      <c r="Z194" s="1"/>
      <c r="AA194" s="1"/>
      <c r="AB194" s="1" t="s">
        <v>3</v>
      </c>
      <c r="AC194" s="1" t="s">
        <v>3</v>
      </c>
      <c r="AD194" s="1" t="s">
        <v>3</v>
      </c>
      <c r="AE194" s="1" t="s">
        <v>3</v>
      </c>
      <c r="AF194" s="1" t="s">
        <v>3</v>
      </c>
      <c r="AG194" s="1" t="s">
        <v>3</v>
      </c>
      <c r="AH194" s="1"/>
      <c r="AI194" s="1"/>
      <c r="AJ194" s="1"/>
      <c r="AK194" s="1"/>
      <c r="AL194" s="1"/>
      <c r="AM194" s="1"/>
      <c r="AN194" s="1"/>
      <c r="AO194" s="1"/>
      <c r="AP194" s="1" t="s">
        <v>3</v>
      </c>
      <c r="AQ194" s="1" t="s">
        <v>3</v>
      </c>
      <c r="AR194" s="1" t="s">
        <v>3</v>
      </c>
      <c r="AS194" s="1"/>
      <c r="AT194" s="1"/>
      <c r="AU194" s="1"/>
      <c r="AV194" s="1"/>
      <c r="AW194" s="1"/>
      <c r="AX194" s="1"/>
      <c r="AY194" s="1"/>
      <c r="AZ194" s="1" t="s">
        <v>3</v>
      </c>
      <c r="BA194" s="1"/>
      <c r="BB194" s="1" t="s">
        <v>3</v>
      </c>
      <c r="BC194" s="1" t="s">
        <v>3</v>
      </c>
      <c r="BD194" s="1" t="s">
        <v>3</v>
      </c>
      <c r="BE194" s="1" t="s">
        <v>3</v>
      </c>
      <c r="BF194" s="1" t="s">
        <v>3</v>
      </c>
      <c r="BG194" s="1" t="s">
        <v>3</v>
      </c>
      <c r="BH194" s="1" t="s">
        <v>3</v>
      </c>
      <c r="BI194" s="1" t="s">
        <v>3</v>
      </c>
      <c r="BJ194" s="1" t="s">
        <v>3</v>
      </c>
      <c r="BK194" s="1" t="s">
        <v>3</v>
      </c>
      <c r="BL194" s="1" t="s">
        <v>3</v>
      </c>
      <c r="BM194" s="1" t="s">
        <v>3</v>
      </c>
      <c r="BN194" s="1" t="s">
        <v>3</v>
      </c>
      <c r="BO194" s="1" t="s">
        <v>3</v>
      </c>
      <c r="BP194" s="1" t="s">
        <v>3</v>
      </c>
      <c r="BQ194" s="1"/>
      <c r="BR194" s="1"/>
      <c r="BS194" s="1"/>
      <c r="BT194" s="1"/>
      <c r="BU194" s="1"/>
      <c r="BV194" s="1"/>
      <c r="BW194" s="1"/>
      <c r="BX194" s="1">
        <v>0</v>
      </c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>
        <v>0</v>
      </c>
    </row>
    <row r="196" spans="1:245" x14ac:dyDescent="0.2">
      <c r="A196" s="2">
        <v>52</v>
      </c>
      <c r="B196" s="2">
        <f t="shared" ref="B196:G196" si="163">B205</f>
        <v>1</v>
      </c>
      <c r="C196" s="2">
        <f t="shared" si="163"/>
        <v>4</v>
      </c>
      <c r="D196" s="2">
        <f t="shared" si="163"/>
        <v>194</v>
      </c>
      <c r="E196" s="2">
        <f t="shared" si="163"/>
        <v>0</v>
      </c>
      <c r="F196" s="2" t="str">
        <f t="shared" si="163"/>
        <v>Новый раздел</v>
      </c>
      <c r="G196" s="2" t="str">
        <f t="shared" si="163"/>
        <v>Ремонт покрытия из брусчатки (1484 м2)</v>
      </c>
      <c r="H196" s="2"/>
      <c r="I196" s="2"/>
      <c r="J196" s="2"/>
      <c r="K196" s="2"/>
      <c r="L196" s="2"/>
      <c r="M196" s="2"/>
      <c r="N196" s="2"/>
      <c r="O196" s="2">
        <f t="shared" ref="O196:AT196" si="164">O205</f>
        <v>2248238.4900000002</v>
      </c>
      <c r="P196" s="2">
        <f t="shared" si="164"/>
        <v>1813221.4</v>
      </c>
      <c r="Q196" s="2">
        <f t="shared" si="164"/>
        <v>43962.23</v>
      </c>
      <c r="R196" s="2">
        <f t="shared" si="164"/>
        <v>15821.53</v>
      </c>
      <c r="S196" s="2">
        <f t="shared" si="164"/>
        <v>391054.86</v>
      </c>
      <c r="T196" s="2">
        <f t="shared" si="164"/>
        <v>0</v>
      </c>
      <c r="U196" s="2">
        <f t="shared" si="164"/>
        <v>2028.6087080000002</v>
      </c>
      <c r="V196" s="2">
        <f t="shared" si="164"/>
        <v>0</v>
      </c>
      <c r="W196" s="2">
        <f t="shared" si="164"/>
        <v>0</v>
      </c>
      <c r="X196" s="2">
        <f t="shared" si="164"/>
        <v>273738.40000000002</v>
      </c>
      <c r="Y196" s="2">
        <f t="shared" si="164"/>
        <v>39105.480000000003</v>
      </c>
      <c r="Z196" s="2">
        <f t="shared" si="164"/>
        <v>0</v>
      </c>
      <c r="AA196" s="2">
        <f t="shared" si="164"/>
        <v>0</v>
      </c>
      <c r="AB196" s="2">
        <f t="shared" si="164"/>
        <v>2248238.4900000002</v>
      </c>
      <c r="AC196" s="2">
        <f t="shared" si="164"/>
        <v>1813221.4</v>
      </c>
      <c r="AD196" s="2">
        <f t="shared" si="164"/>
        <v>43962.23</v>
      </c>
      <c r="AE196" s="2">
        <f t="shared" si="164"/>
        <v>15821.53</v>
      </c>
      <c r="AF196" s="2">
        <f t="shared" si="164"/>
        <v>391054.86</v>
      </c>
      <c r="AG196" s="2">
        <f t="shared" si="164"/>
        <v>0</v>
      </c>
      <c r="AH196" s="2">
        <f t="shared" si="164"/>
        <v>2028.6087080000002</v>
      </c>
      <c r="AI196" s="2">
        <f t="shared" si="164"/>
        <v>0</v>
      </c>
      <c r="AJ196" s="2">
        <f t="shared" si="164"/>
        <v>0</v>
      </c>
      <c r="AK196" s="2">
        <f t="shared" si="164"/>
        <v>273738.40000000002</v>
      </c>
      <c r="AL196" s="2">
        <f t="shared" si="164"/>
        <v>39105.480000000003</v>
      </c>
      <c r="AM196" s="2">
        <f t="shared" si="164"/>
        <v>0</v>
      </c>
      <c r="AN196" s="2">
        <f t="shared" si="164"/>
        <v>0</v>
      </c>
      <c r="AO196" s="2">
        <f t="shared" si="164"/>
        <v>0</v>
      </c>
      <c r="AP196" s="2">
        <f t="shared" si="164"/>
        <v>0</v>
      </c>
      <c r="AQ196" s="2">
        <f t="shared" si="164"/>
        <v>0</v>
      </c>
      <c r="AR196" s="2">
        <f t="shared" si="164"/>
        <v>2578169.62</v>
      </c>
      <c r="AS196" s="2">
        <f t="shared" si="164"/>
        <v>0</v>
      </c>
      <c r="AT196" s="2">
        <f t="shared" si="164"/>
        <v>0</v>
      </c>
      <c r="AU196" s="2">
        <f t="shared" ref="AU196:BZ196" si="165">AU205</f>
        <v>2578169.62</v>
      </c>
      <c r="AV196" s="2">
        <f t="shared" si="165"/>
        <v>1813221.4</v>
      </c>
      <c r="AW196" s="2">
        <f t="shared" si="165"/>
        <v>1813221.4</v>
      </c>
      <c r="AX196" s="2">
        <f t="shared" si="165"/>
        <v>0</v>
      </c>
      <c r="AY196" s="2">
        <f t="shared" si="165"/>
        <v>1813221.4</v>
      </c>
      <c r="AZ196" s="2">
        <f t="shared" si="165"/>
        <v>0</v>
      </c>
      <c r="BA196" s="2">
        <f t="shared" si="165"/>
        <v>0</v>
      </c>
      <c r="BB196" s="2">
        <f t="shared" si="165"/>
        <v>0</v>
      </c>
      <c r="BC196" s="2">
        <f t="shared" si="165"/>
        <v>0</v>
      </c>
      <c r="BD196" s="2">
        <f t="shared" si="165"/>
        <v>0</v>
      </c>
      <c r="BE196" s="2">
        <f t="shared" si="165"/>
        <v>0</v>
      </c>
      <c r="BF196" s="2">
        <f t="shared" si="165"/>
        <v>0</v>
      </c>
      <c r="BG196" s="2">
        <f t="shared" si="165"/>
        <v>0</v>
      </c>
      <c r="BH196" s="2">
        <f t="shared" si="165"/>
        <v>0</v>
      </c>
      <c r="BI196" s="2">
        <f t="shared" si="165"/>
        <v>0</v>
      </c>
      <c r="BJ196" s="2">
        <f t="shared" si="165"/>
        <v>0</v>
      </c>
      <c r="BK196" s="2">
        <f t="shared" si="165"/>
        <v>0</v>
      </c>
      <c r="BL196" s="2">
        <f t="shared" si="165"/>
        <v>0</v>
      </c>
      <c r="BM196" s="2">
        <f t="shared" si="165"/>
        <v>0</v>
      </c>
      <c r="BN196" s="2">
        <f t="shared" si="165"/>
        <v>0</v>
      </c>
      <c r="BO196" s="2">
        <f t="shared" si="165"/>
        <v>0</v>
      </c>
      <c r="BP196" s="2">
        <f t="shared" si="165"/>
        <v>0</v>
      </c>
      <c r="BQ196" s="2">
        <f t="shared" si="165"/>
        <v>0</v>
      </c>
      <c r="BR196" s="2">
        <f t="shared" si="165"/>
        <v>0</v>
      </c>
      <c r="BS196" s="2">
        <f t="shared" si="165"/>
        <v>0</v>
      </c>
      <c r="BT196" s="2">
        <f t="shared" si="165"/>
        <v>0</v>
      </c>
      <c r="BU196" s="2">
        <f t="shared" si="165"/>
        <v>0</v>
      </c>
      <c r="BV196" s="2">
        <f t="shared" si="165"/>
        <v>0</v>
      </c>
      <c r="BW196" s="2">
        <f t="shared" si="165"/>
        <v>0</v>
      </c>
      <c r="BX196" s="2">
        <f t="shared" si="165"/>
        <v>0</v>
      </c>
      <c r="BY196" s="2">
        <f t="shared" si="165"/>
        <v>0</v>
      </c>
      <c r="BZ196" s="2">
        <f t="shared" si="165"/>
        <v>0</v>
      </c>
      <c r="CA196" s="2">
        <f t="shared" ref="CA196:DF196" si="166">CA205</f>
        <v>2578169.62</v>
      </c>
      <c r="CB196" s="2">
        <f t="shared" si="166"/>
        <v>0</v>
      </c>
      <c r="CC196" s="2">
        <f t="shared" si="166"/>
        <v>0</v>
      </c>
      <c r="CD196" s="2">
        <f t="shared" si="166"/>
        <v>2578169.62</v>
      </c>
      <c r="CE196" s="2">
        <f t="shared" si="166"/>
        <v>1813221.4</v>
      </c>
      <c r="CF196" s="2">
        <f t="shared" si="166"/>
        <v>1813221.4</v>
      </c>
      <c r="CG196" s="2">
        <f t="shared" si="166"/>
        <v>0</v>
      </c>
      <c r="CH196" s="2">
        <f t="shared" si="166"/>
        <v>1813221.4</v>
      </c>
      <c r="CI196" s="2">
        <f t="shared" si="166"/>
        <v>0</v>
      </c>
      <c r="CJ196" s="2">
        <f t="shared" si="166"/>
        <v>0</v>
      </c>
      <c r="CK196" s="2">
        <f t="shared" si="166"/>
        <v>0</v>
      </c>
      <c r="CL196" s="2">
        <f t="shared" si="166"/>
        <v>0</v>
      </c>
      <c r="CM196" s="2">
        <f t="shared" si="166"/>
        <v>0</v>
      </c>
      <c r="CN196" s="2">
        <f t="shared" si="166"/>
        <v>0</v>
      </c>
      <c r="CO196" s="2">
        <f t="shared" si="166"/>
        <v>0</v>
      </c>
      <c r="CP196" s="2">
        <f t="shared" si="166"/>
        <v>0</v>
      </c>
      <c r="CQ196" s="2">
        <f t="shared" si="166"/>
        <v>0</v>
      </c>
      <c r="CR196" s="2">
        <f t="shared" si="166"/>
        <v>0</v>
      </c>
      <c r="CS196" s="2">
        <f t="shared" si="166"/>
        <v>0</v>
      </c>
      <c r="CT196" s="2">
        <f t="shared" si="166"/>
        <v>0</v>
      </c>
      <c r="CU196" s="2">
        <f t="shared" si="166"/>
        <v>0</v>
      </c>
      <c r="CV196" s="2">
        <f t="shared" si="166"/>
        <v>0</v>
      </c>
      <c r="CW196" s="2">
        <f t="shared" si="166"/>
        <v>0</v>
      </c>
      <c r="CX196" s="2">
        <f t="shared" si="166"/>
        <v>0</v>
      </c>
      <c r="CY196" s="2">
        <f t="shared" si="166"/>
        <v>0</v>
      </c>
      <c r="CZ196" s="2">
        <f t="shared" si="166"/>
        <v>0</v>
      </c>
      <c r="DA196" s="2">
        <f t="shared" si="166"/>
        <v>0</v>
      </c>
      <c r="DB196" s="2">
        <f t="shared" si="166"/>
        <v>0</v>
      </c>
      <c r="DC196" s="2">
        <f t="shared" si="166"/>
        <v>0</v>
      </c>
      <c r="DD196" s="2">
        <f t="shared" si="166"/>
        <v>0</v>
      </c>
      <c r="DE196" s="2">
        <f t="shared" si="166"/>
        <v>0</v>
      </c>
      <c r="DF196" s="2">
        <f t="shared" si="166"/>
        <v>0</v>
      </c>
      <c r="DG196" s="3">
        <f t="shared" ref="DG196:EL196" si="167">DG205</f>
        <v>0</v>
      </c>
      <c r="DH196" s="3">
        <f t="shared" si="167"/>
        <v>0</v>
      </c>
      <c r="DI196" s="3">
        <f t="shared" si="167"/>
        <v>0</v>
      </c>
      <c r="DJ196" s="3">
        <f t="shared" si="167"/>
        <v>0</v>
      </c>
      <c r="DK196" s="3">
        <f t="shared" si="167"/>
        <v>0</v>
      </c>
      <c r="DL196" s="3">
        <f t="shared" si="167"/>
        <v>0</v>
      </c>
      <c r="DM196" s="3">
        <f t="shared" si="167"/>
        <v>0</v>
      </c>
      <c r="DN196" s="3">
        <f t="shared" si="167"/>
        <v>0</v>
      </c>
      <c r="DO196" s="3">
        <f t="shared" si="167"/>
        <v>0</v>
      </c>
      <c r="DP196" s="3">
        <f t="shared" si="167"/>
        <v>0</v>
      </c>
      <c r="DQ196" s="3">
        <f t="shared" si="167"/>
        <v>0</v>
      </c>
      <c r="DR196" s="3">
        <f t="shared" si="167"/>
        <v>0</v>
      </c>
      <c r="DS196" s="3">
        <f t="shared" si="167"/>
        <v>0</v>
      </c>
      <c r="DT196" s="3">
        <f t="shared" si="167"/>
        <v>0</v>
      </c>
      <c r="DU196" s="3">
        <f t="shared" si="167"/>
        <v>0</v>
      </c>
      <c r="DV196" s="3">
        <f t="shared" si="167"/>
        <v>0</v>
      </c>
      <c r="DW196" s="3">
        <f t="shared" si="167"/>
        <v>0</v>
      </c>
      <c r="DX196" s="3">
        <f t="shared" si="167"/>
        <v>0</v>
      </c>
      <c r="DY196" s="3">
        <f t="shared" si="167"/>
        <v>0</v>
      </c>
      <c r="DZ196" s="3">
        <f t="shared" si="167"/>
        <v>0</v>
      </c>
      <c r="EA196" s="3">
        <f t="shared" si="167"/>
        <v>0</v>
      </c>
      <c r="EB196" s="3">
        <f t="shared" si="167"/>
        <v>0</v>
      </c>
      <c r="EC196" s="3">
        <f t="shared" si="167"/>
        <v>0</v>
      </c>
      <c r="ED196" s="3">
        <f t="shared" si="167"/>
        <v>0</v>
      </c>
      <c r="EE196" s="3">
        <f t="shared" si="167"/>
        <v>0</v>
      </c>
      <c r="EF196" s="3">
        <f t="shared" si="167"/>
        <v>0</v>
      </c>
      <c r="EG196" s="3">
        <f t="shared" si="167"/>
        <v>0</v>
      </c>
      <c r="EH196" s="3">
        <f t="shared" si="167"/>
        <v>0</v>
      </c>
      <c r="EI196" s="3">
        <f t="shared" si="167"/>
        <v>0</v>
      </c>
      <c r="EJ196" s="3">
        <f t="shared" si="167"/>
        <v>0</v>
      </c>
      <c r="EK196" s="3">
        <f t="shared" si="167"/>
        <v>0</v>
      </c>
      <c r="EL196" s="3">
        <f t="shared" si="167"/>
        <v>0</v>
      </c>
      <c r="EM196" s="3">
        <f t="shared" ref="EM196:FR196" si="168">EM205</f>
        <v>0</v>
      </c>
      <c r="EN196" s="3">
        <f t="shared" si="168"/>
        <v>0</v>
      </c>
      <c r="EO196" s="3">
        <f t="shared" si="168"/>
        <v>0</v>
      </c>
      <c r="EP196" s="3">
        <f t="shared" si="168"/>
        <v>0</v>
      </c>
      <c r="EQ196" s="3">
        <f t="shared" si="168"/>
        <v>0</v>
      </c>
      <c r="ER196" s="3">
        <f t="shared" si="168"/>
        <v>0</v>
      </c>
      <c r="ES196" s="3">
        <f t="shared" si="168"/>
        <v>0</v>
      </c>
      <c r="ET196" s="3">
        <f t="shared" si="168"/>
        <v>0</v>
      </c>
      <c r="EU196" s="3">
        <f t="shared" si="168"/>
        <v>0</v>
      </c>
      <c r="EV196" s="3">
        <f t="shared" si="168"/>
        <v>0</v>
      </c>
      <c r="EW196" s="3">
        <f t="shared" si="168"/>
        <v>0</v>
      </c>
      <c r="EX196" s="3">
        <f t="shared" si="168"/>
        <v>0</v>
      </c>
      <c r="EY196" s="3">
        <f t="shared" si="168"/>
        <v>0</v>
      </c>
      <c r="EZ196" s="3">
        <f t="shared" si="168"/>
        <v>0</v>
      </c>
      <c r="FA196" s="3">
        <f t="shared" si="168"/>
        <v>0</v>
      </c>
      <c r="FB196" s="3">
        <f t="shared" si="168"/>
        <v>0</v>
      </c>
      <c r="FC196" s="3">
        <f t="shared" si="168"/>
        <v>0</v>
      </c>
      <c r="FD196" s="3">
        <f t="shared" si="168"/>
        <v>0</v>
      </c>
      <c r="FE196" s="3">
        <f t="shared" si="168"/>
        <v>0</v>
      </c>
      <c r="FF196" s="3">
        <f t="shared" si="168"/>
        <v>0</v>
      </c>
      <c r="FG196" s="3">
        <f t="shared" si="168"/>
        <v>0</v>
      </c>
      <c r="FH196" s="3">
        <f t="shared" si="168"/>
        <v>0</v>
      </c>
      <c r="FI196" s="3">
        <f t="shared" si="168"/>
        <v>0</v>
      </c>
      <c r="FJ196" s="3">
        <f t="shared" si="168"/>
        <v>0</v>
      </c>
      <c r="FK196" s="3">
        <f t="shared" si="168"/>
        <v>0</v>
      </c>
      <c r="FL196" s="3">
        <f t="shared" si="168"/>
        <v>0</v>
      </c>
      <c r="FM196" s="3">
        <f t="shared" si="168"/>
        <v>0</v>
      </c>
      <c r="FN196" s="3">
        <f t="shared" si="168"/>
        <v>0</v>
      </c>
      <c r="FO196" s="3">
        <f t="shared" si="168"/>
        <v>0</v>
      </c>
      <c r="FP196" s="3">
        <f t="shared" si="168"/>
        <v>0</v>
      </c>
      <c r="FQ196" s="3">
        <f t="shared" si="168"/>
        <v>0</v>
      </c>
      <c r="FR196" s="3">
        <f t="shared" si="168"/>
        <v>0</v>
      </c>
      <c r="FS196" s="3">
        <f t="shared" ref="FS196:GX196" si="169">FS205</f>
        <v>0</v>
      </c>
      <c r="FT196" s="3">
        <f t="shared" si="169"/>
        <v>0</v>
      </c>
      <c r="FU196" s="3">
        <f t="shared" si="169"/>
        <v>0</v>
      </c>
      <c r="FV196" s="3">
        <f t="shared" si="169"/>
        <v>0</v>
      </c>
      <c r="FW196" s="3">
        <f t="shared" si="169"/>
        <v>0</v>
      </c>
      <c r="FX196" s="3">
        <f t="shared" si="169"/>
        <v>0</v>
      </c>
      <c r="FY196" s="3">
        <f t="shared" si="169"/>
        <v>0</v>
      </c>
      <c r="FZ196" s="3">
        <f t="shared" si="169"/>
        <v>0</v>
      </c>
      <c r="GA196" s="3">
        <f t="shared" si="169"/>
        <v>0</v>
      </c>
      <c r="GB196" s="3">
        <f t="shared" si="169"/>
        <v>0</v>
      </c>
      <c r="GC196" s="3">
        <f t="shared" si="169"/>
        <v>0</v>
      </c>
      <c r="GD196" s="3">
        <f t="shared" si="169"/>
        <v>0</v>
      </c>
      <c r="GE196" s="3">
        <f t="shared" si="169"/>
        <v>0</v>
      </c>
      <c r="GF196" s="3">
        <f t="shared" si="169"/>
        <v>0</v>
      </c>
      <c r="GG196" s="3">
        <f t="shared" si="169"/>
        <v>0</v>
      </c>
      <c r="GH196" s="3">
        <f t="shared" si="169"/>
        <v>0</v>
      </c>
      <c r="GI196" s="3">
        <f t="shared" si="169"/>
        <v>0</v>
      </c>
      <c r="GJ196" s="3">
        <f t="shared" si="169"/>
        <v>0</v>
      </c>
      <c r="GK196" s="3">
        <f t="shared" si="169"/>
        <v>0</v>
      </c>
      <c r="GL196" s="3">
        <f t="shared" si="169"/>
        <v>0</v>
      </c>
      <c r="GM196" s="3">
        <f t="shared" si="169"/>
        <v>0</v>
      </c>
      <c r="GN196" s="3">
        <f t="shared" si="169"/>
        <v>0</v>
      </c>
      <c r="GO196" s="3">
        <f t="shared" si="169"/>
        <v>0</v>
      </c>
      <c r="GP196" s="3">
        <f t="shared" si="169"/>
        <v>0</v>
      </c>
      <c r="GQ196" s="3">
        <f t="shared" si="169"/>
        <v>0</v>
      </c>
      <c r="GR196" s="3">
        <f t="shared" si="169"/>
        <v>0</v>
      </c>
      <c r="GS196" s="3">
        <f t="shared" si="169"/>
        <v>0</v>
      </c>
      <c r="GT196" s="3">
        <f t="shared" si="169"/>
        <v>0</v>
      </c>
      <c r="GU196" s="3">
        <f t="shared" si="169"/>
        <v>0</v>
      </c>
      <c r="GV196" s="3">
        <f t="shared" si="169"/>
        <v>0</v>
      </c>
      <c r="GW196" s="3">
        <f t="shared" si="169"/>
        <v>0</v>
      </c>
      <c r="GX196" s="3">
        <f t="shared" si="169"/>
        <v>0</v>
      </c>
    </row>
    <row r="198" spans="1:245" x14ac:dyDescent="0.2">
      <c r="A198">
        <v>17</v>
      </c>
      <c r="B198">
        <v>1</v>
      </c>
      <c r="C198">
        <f>ROW(SmtRes!A62)</f>
        <v>62</v>
      </c>
      <c r="D198">
        <f>ROW(EtalonRes!A54)</f>
        <v>54</v>
      </c>
      <c r="E198" t="s">
        <v>180</v>
      </c>
      <c r="F198" t="s">
        <v>16</v>
      </c>
      <c r="G198" t="s">
        <v>17</v>
      </c>
      <c r="H198" t="s">
        <v>18</v>
      </c>
      <c r="I198">
        <f>ROUND((I202*0.3)/10,9)</f>
        <v>0.44519999999999998</v>
      </c>
      <c r="J198">
        <v>0</v>
      </c>
      <c r="O198">
        <f t="shared" ref="O198:O203" si="170">ROUND(CP198,2)</f>
        <v>99839.76</v>
      </c>
      <c r="P198">
        <f t="shared" ref="P198:P203" si="171">ROUND(CQ198*I198,2)</f>
        <v>54373.71</v>
      </c>
      <c r="Q198">
        <f t="shared" ref="Q198:Q203" si="172">ROUND(CR198*I198,2)</f>
        <v>38459.71</v>
      </c>
      <c r="R198">
        <f t="shared" ref="R198:R203" si="173">ROUND(CS198*I198,2)</f>
        <v>15569.25</v>
      </c>
      <c r="S198">
        <f t="shared" ref="S198:S203" si="174">ROUND(CT198*I198,2)</f>
        <v>7006.34</v>
      </c>
      <c r="T198">
        <f t="shared" ref="T198:T203" si="175">ROUND(CU198*I198,2)</f>
        <v>0</v>
      </c>
      <c r="U198">
        <f t="shared" ref="U198:U203" si="176">CV198*I198</f>
        <v>38.861508000000001</v>
      </c>
      <c r="V198">
        <f t="shared" ref="V198:V203" si="177">CW198*I198</f>
        <v>0</v>
      </c>
      <c r="W198">
        <f t="shared" ref="W198:W203" si="178">ROUND(CX198*I198,2)</f>
        <v>0</v>
      </c>
      <c r="X198">
        <f t="shared" ref="X198:Y203" si="179">ROUND(CY198,2)</f>
        <v>4904.4399999999996</v>
      </c>
      <c r="Y198">
        <f t="shared" si="179"/>
        <v>700.63</v>
      </c>
      <c r="AA198">
        <v>56440881</v>
      </c>
      <c r="AB198">
        <f t="shared" ref="AB198:AB203" si="180">ROUND((AC198+AD198+AF198),2)</f>
        <v>224258.21</v>
      </c>
      <c r="AC198">
        <f t="shared" ref="AC198:AC203" si="181">ROUND((ES198),2)</f>
        <v>122133.21</v>
      </c>
      <c r="AD198">
        <f t="shared" ref="AD198:AD203" si="182">ROUND((((ET198)-(EU198))+AE198),2)</f>
        <v>86387.49</v>
      </c>
      <c r="AE198">
        <f t="shared" ref="AE198:AF203" si="183">ROUND((EU198),2)</f>
        <v>34971.35</v>
      </c>
      <c r="AF198">
        <f t="shared" si="183"/>
        <v>15737.51</v>
      </c>
      <c r="AG198">
        <f t="shared" ref="AG198:AG203" si="184">ROUND((AP198),2)</f>
        <v>0</v>
      </c>
      <c r="AH198">
        <f t="shared" ref="AH198:AI203" si="185">(EW198)</f>
        <v>87.29</v>
      </c>
      <c r="AI198">
        <f t="shared" si="185"/>
        <v>0</v>
      </c>
      <c r="AJ198">
        <f t="shared" ref="AJ198:AJ203" si="186">(AS198)</f>
        <v>0</v>
      </c>
      <c r="AK198">
        <v>224258.21</v>
      </c>
      <c r="AL198">
        <v>122133.21</v>
      </c>
      <c r="AM198">
        <v>86387.49</v>
      </c>
      <c r="AN198">
        <v>34971.35</v>
      </c>
      <c r="AO198">
        <v>15737.51</v>
      </c>
      <c r="AP198">
        <v>0</v>
      </c>
      <c r="AQ198">
        <v>87.29</v>
      </c>
      <c r="AR198">
        <v>0</v>
      </c>
      <c r="AS198">
        <v>0</v>
      </c>
      <c r="AT198">
        <v>70</v>
      </c>
      <c r="AU198">
        <v>10</v>
      </c>
      <c r="AV198">
        <v>1</v>
      </c>
      <c r="AW198">
        <v>1</v>
      </c>
      <c r="AZ198">
        <v>1</v>
      </c>
      <c r="BA198">
        <v>1</v>
      </c>
      <c r="BB198">
        <v>1</v>
      </c>
      <c r="BC198">
        <v>1</v>
      </c>
      <c r="BD198" t="s">
        <v>3</v>
      </c>
      <c r="BE198" t="s">
        <v>3</v>
      </c>
      <c r="BF198" t="s">
        <v>3</v>
      </c>
      <c r="BG198" t="s">
        <v>3</v>
      </c>
      <c r="BH198">
        <v>0</v>
      </c>
      <c r="BI198">
        <v>4</v>
      </c>
      <c r="BJ198" t="s">
        <v>19</v>
      </c>
      <c r="BM198">
        <v>0</v>
      </c>
      <c r="BN198">
        <v>0</v>
      </c>
      <c r="BO198" t="s">
        <v>3</v>
      </c>
      <c r="BP198">
        <v>0</v>
      </c>
      <c r="BQ198">
        <v>1</v>
      </c>
      <c r="BR198">
        <v>0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 t="s">
        <v>3</v>
      </c>
      <c r="BZ198">
        <v>70</v>
      </c>
      <c r="CA198">
        <v>10</v>
      </c>
      <c r="CE198">
        <v>0</v>
      </c>
      <c r="CF198">
        <v>0</v>
      </c>
      <c r="CG198">
        <v>0</v>
      </c>
      <c r="CM198">
        <v>0</v>
      </c>
      <c r="CN198" t="s">
        <v>3</v>
      </c>
      <c r="CO198">
        <v>0</v>
      </c>
      <c r="CP198">
        <f t="shared" ref="CP198:CP203" si="187">(P198+Q198+S198)</f>
        <v>99839.76</v>
      </c>
      <c r="CQ198">
        <f t="shared" ref="CQ198:CQ203" si="188">(AC198*BC198*AW198)</f>
        <v>122133.21</v>
      </c>
      <c r="CR198">
        <f t="shared" ref="CR198:CR203" si="189">((((ET198)*BB198-(EU198)*BS198)+AE198*BS198)*AV198)</f>
        <v>86387.49</v>
      </c>
      <c r="CS198">
        <f t="shared" ref="CS198:CS203" si="190">(AE198*BS198*AV198)</f>
        <v>34971.35</v>
      </c>
      <c r="CT198">
        <f t="shared" ref="CT198:CT203" si="191">(AF198*BA198*AV198)</f>
        <v>15737.51</v>
      </c>
      <c r="CU198">
        <f t="shared" ref="CU198:CU203" si="192">AG198</f>
        <v>0</v>
      </c>
      <c r="CV198">
        <f t="shared" ref="CV198:CV203" si="193">(AH198*AV198)</f>
        <v>87.29</v>
      </c>
      <c r="CW198">
        <f t="shared" ref="CW198:CX203" si="194">AI198</f>
        <v>0</v>
      </c>
      <c r="CX198">
        <f t="shared" si="194"/>
        <v>0</v>
      </c>
      <c r="CY198">
        <f t="shared" ref="CY198:CY203" si="195">((S198*BZ198)/100)</f>
        <v>4904.4380000000001</v>
      </c>
      <c r="CZ198">
        <f t="shared" ref="CZ198:CZ203" si="196">((S198*CA198)/100)</f>
        <v>700.6339999999999</v>
      </c>
      <c r="DC198" t="s">
        <v>3</v>
      </c>
      <c r="DD198" t="s">
        <v>3</v>
      </c>
      <c r="DE198" t="s">
        <v>3</v>
      </c>
      <c r="DF198" t="s">
        <v>3</v>
      </c>
      <c r="DG198" t="s">
        <v>3</v>
      </c>
      <c r="DH198" t="s">
        <v>3</v>
      </c>
      <c r="DI198" t="s">
        <v>3</v>
      </c>
      <c r="DJ198" t="s">
        <v>3</v>
      </c>
      <c r="DK198" t="s">
        <v>3</v>
      </c>
      <c r="DL198" t="s">
        <v>3</v>
      </c>
      <c r="DM198" t="s">
        <v>3</v>
      </c>
      <c r="DN198">
        <v>0</v>
      </c>
      <c r="DO198">
        <v>0</v>
      </c>
      <c r="DP198">
        <v>1</v>
      </c>
      <c r="DQ198">
        <v>1</v>
      </c>
      <c r="DU198">
        <v>1005</v>
      </c>
      <c r="DV198" t="s">
        <v>18</v>
      </c>
      <c r="DW198" t="s">
        <v>18</v>
      </c>
      <c r="DX198">
        <v>1000</v>
      </c>
      <c r="DZ198" t="s">
        <v>3</v>
      </c>
      <c r="EA198" t="s">
        <v>3</v>
      </c>
      <c r="EB198" t="s">
        <v>3</v>
      </c>
      <c r="EC198" t="s">
        <v>3</v>
      </c>
      <c r="EE198">
        <v>54545671</v>
      </c>
      <c r="EF198">
        <v>1</v>
      </c>
      <c r="EG198" t="s">
        <v>20</v>
      </c>
      <c r="EH198">
        <v>0</v>
      </c>
      <c r="EI198" t="s">
        <v>3</v>
      </c>
      <c r="EJ198">
        <v>4</v>
      </c>
      <c r="EK198">
        <v>0</v>
      </c>
      <c r="EL198" t="s">
        <v>21</v>
      </c>
      <c r="EM198" t="s">
        <v>22</v>
      </c>
      <c r="EO198" t="s">
        <v>3</v>
      </c>
      <c r="EQ198">
        <v>0</v>
      </c>
      <c r="ER198">
        <v>224258.21</v>
      </c>
      <c r="ES198">
        <v>122133.21</v>
      </c>
      <c r="ET198">
        <v>86387.49</v>
      </c>
      <c r="EU198">
        <v>34971.35</v>
      </c>
      <c r="EV198">
        <v>15737.51</v>
      </c>
      <c r="EW198">
        <v>87.29</v>
      </c>
      <c r="EX198">
        <v>0</v>
      </c>
      <c r="EY198">
        <v>0</v>
      </c>
      <c r="FQ198">
        <v>0</v>
      </c>
      <c r="FR198">
        <f t="shared" ref="FR198:FR203" si="197">ROUND(IF(AND(BH198=3,BI198=3),P198,0),2)</f>
        <v>0</v>
      </c>
      <c r="FS198">
        <v>0</v>
      </c>
      <c r="FX198">
        <v>70</v>
      </c>
      <c r="FY198">
        <v>10</v>
      </c>
      <c r="GA198" t="s">
        <v>3</v>
      </c>
      <c r="GD198">
        <v>0</v>
      </c>
      <c r="GF198">
        <v>-24945221</v>
      </c>
      <c r="GG198">
        <v>2</v>
      </c>
      <c r="GH198">
        <v>1</v>
      </c>
      <c r="GI198">
        <v>-2</v>
      </c>
      <c r="GJ198">
        <v>0</v>
      </c>
      <c r="GK198">
        <f>ROUND(R198*(R12)/100,2)</f>
        <v>16814.79</v>
      </c>
      <c r="GL198">
        <f t="shared" ref="GL198:GL203" si="198">ROUND(IF(AND(BH198=3,BI198=3,FS198&lt;&gt;0),P198,0),2)</f>
        <v>0</v>
      </c>
      <c r="GM198">
        <f t="shared" ref="GM198:GM203" si="199">ROUND(O198+X198+Y198+GK198,2)+GX198</f>
        <v>122259.62</v>
      </c>
      <c r="GN198">
        <f t="shared" ref="GN198:GN203" si="200">IF(OR(BI198=0,BI198=1),ROUND(O198+X198+Y198+GK198,2),0)</f>
        <v>0</v>
      </c>
      <c r="GO198">
        <f t="shared" ref="GO198:GO203" si="201">IF(BI198=2,ROUND(O198+X198+Y198+GK198,2),0)</f>
        <v>0</v>
      </c>
      <c r="GP198">
        <f t="shared" ref="GP198:GP203" si="202">IF(BI198=4,ROUND(O198+X198+Y198+GK198,2)+GX198,0)</f>
        <v>122259.62</v>
      </c>
      <c r="GR198">
        <v>0</v>
      </c>
      <c r="GS198">
        <v>3</v>
      </c>
      <c r="GT198">
        <v>0</v>
      </c>
      <c r="GU198" t="s">
        <v>3</v>
      </c>
      <c r="GV198">
        <f t="shared" ref="GV198:GV203" si="203">ROUND((GT198),2)</f>
        <v>0</v>
      </c>
      <c r="GW198">
        <v>1</v>
      </c>
      <c r="GX198">
        <f t="shared" ref="GX198:GX203" si="204">ROUND(HC198*I198,2)</f>
        <v>0</v>
      </c>
      <c r="HA198">
        <v>0</v>
      </c>
      <c r="HB198">
        <v>0</v>
      </c>
      <c r="HC198">
        <f t="shared" ref="HC198:HC203" si="205">GV198*GW198</f>
        <v>0</v>
      </c>
      <c r="HE198" t="s">
        <v>3</v>
      </c>
      <c r="HF198" t="s">
        <v>3</v>
      </c>
      <c r="IK198">
        <v>0</v>
      </c>
    </row>
    <row r="199" spans="1:245" x14ac:dyDescent="0.2">
      <c r="A199">
        <v>18</v>
      </c>
      <c r="B199">
        <v>1</v>
      </c>
      <c r="C199">
        <v>60</v>
      </c>
      <c r="E199" t="s">
        <v>181</v>
      </c>
      <c r="F199" t="s">
        <v>24</v>
      </c>
      <c r="G199" t="s">
        <v>25</v>
      </c>
      <c r="H199" t="s">
        <v>26</v>
      </c>
      <c r="I199">
        <f>I198*J199</f>
        <v>-5.1197999999999997</v>
      </c>
      <c r="J199">
        <v>-11.5</v>
      </c>
      <c r="O199">
        <f t="shared" si="170"/>
        <v>-9769.9599999999991</v>
      </c>
      <c r="P199">
        <f t="shared" si="171"/>
        <v>-9769.9599999999991</v>
      </c>
      <c r="Q199">
        <f t="shared" si="172"/>
        <v>0</v>
      </c>
      <c r="R199">
        <f t="shared" si="173"/>
        <v>0</v>
      </c>
      <c r="S199">
        <f t="shared" si="174"/>
        <v>0</v>
      </c>
      <c r="T199">
        <f t="shared" si="175"/>
        <v>0</v>
      </c>
      <c r="U199">
        <f t="shared" si="176"/>
        <v>0</v>
      </c>
      <c r="V199">
        <f t="shared" si="177"/>
        <v>0</v>
      </c>
      <c r="W199">
        <f t="shared" si="178"/>
        <v>0</v>
      </c>
      <c r="X199">
        <f t="shared" si="179"/>
        <v>0</v>
      </c>
      <c r="Y199">
        <f t="shared" si="179"/>
        <v>0</v>
      </c>
      <c r="AA199">
        <v>56440881</v>
      </c>
      <c r="AB199">
        <f t="shared" si="180"/>
        <v>1908.27</v>
      </c>
      <c r="AC199">
        <f t="shared" si="181"/>
        <v>1908.27</v>
      </c>
      <c r="AD199">
        <f t="shared" si="182"/>
        <v>0</v>
      </c>
      <c r="AE199">
        <f t="shared" si="183"/>
        <v>0</v>
      </c>
      <c r="AF199">
        <f t="shared" si="183"/>
        <v>0</v>
      </c>
      <c r="AG199">
        <f t="shared" si="184"/>
        <v>0</v>
      </c>
      <c r="AH199">
        <f t="shared" si="185"/>
        <v>0</v>
      </c>
      <c r="AI199">
        <f t="shared" si="185"/>
        <v>0</v>
      </c>
      <c r="AJ199">
        <f t="shared" si="186"/>
        <v>0</v>
      </c>
      <c r="AK199">
        <v>1908.27</v>
      </c>
      <c r="AL199">
        <v>1908.27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70</v>
      </c>
      <c r="AU199">
        <v>10</v>
      </c>
      <c r="AV199">
        <v>1</v>
      </c>
      <c r="AW199">
        <v>1</v>
      </c>
      <c r="AZ199">
        <v>1</v>
      </c>
      <c r="BA199">
        <v>1</v>
      </c>
      <c r="BB199">
        <v>1</v>
      </c>
      <c r="BC199">
        <v>1</v>
      </c>
      <c r="BD199" t="s">
        <v>3</v>
      </c>
      <c r="BE199" t="s">
        <v>3</v>
      </c>
      <c r="BF199" t="s">
        <v>3</v>
      </c>
      <c r="BG199" t="s">
        <v>3</v>
      </c>
      <c r="BH199">
        <v>3</v>
      </c>
      <c r="BI199">
        <v>4</v>
      </c>
      <c r="BJ199" t="s">
        <v>27</v>
      </c>
      <c r="BM199">
        <v>0</v>
      </c>
      <c r="BN199">
        <v>0</v>
      </c>
      <c r="BO199" t="s">
        <v>3</v>
      </c>
      <c r="BP199">
        <v>0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 t="s">
        <v>3</v>
      </c>
      <c r="BZ199">
        <v>70</v>
      </c>
      <c r="CA199">
        <v>10</v>
      </c>
      <c r="CE199">
        <v>0</v>
      </c>
      <c r="CF199">
        <v>0</v>
      </c>
      <c r="CG199">
        <v>0</v>
      </c>
      <c r="CM199">
        <v>0</v>
      </c>
      <c r="CN199" t="s">
        <v>3</v>
      </c>
      <c r="CO199">
        <v>0</v>
      </c>
      <c r="CP199">
        <f t="shared" si="187"/>
        <v>-9769.9599999999991</v>
      </c>
      <c r="CQ199">
        <f t="shared" si="188"/>
        <v>1908.27</v>
      </c>
      <c r="CR199">
        <f t="shared" si="189"/>
        <v>0</v>
      </c>
      <c r="CS199">
        <f t="shared" si="190"/>
        <v>0</v>
      </c>
      <c r="CT199">
        <f t="shared" si="191"/>
        <v>0</v>
      </c>
      <c r="CU199">
        <f t="shared" si="192"/>
        <v>0</v>
      </c>
      <c r="CV199">
        <f t="shared" si="193"/>
        <v>0</v>
      </c>
      <c r="CW199">
        <f t="shared" si="194"/>
        <v>0</v>
      </c>
      <c r="CX199">
        <f t="shared" si="194"/>
        <v>0</v>
      </c>
      <c r="CY199">
        <f t="shared" si="195"/>
        <v>0</v>
      </c>
      <c r="CZ199">
        <f t="shared" si="196"/>
        <v>0</v>
      </c>
      <c r="DC199" t="s">
        <v>3</v>
      </c>
      <c r="DD199" t="s">
        <v>3</v>
      </c>
      <c r="DE199" t="s">
        <v>3</v>
      </c>
      <c r="DF199" t="s">
        <v>3</v>
      </c>
      <c r="DG199" t="s">
        <v>3</v>
      </c>
      <c r="DH199" t="s">
        <v>3</v>
      </c>
      <c r="DI199" t="s">
        <v>3</v>
      </c>
      <c r="DJ199" t="s">
        <v>3</v>
      </c>
      <c r="DK199" t="s">
        <v>3</v>
      </c>
      <c r="DL199" t="s">
        <v>3</v>
      </c>
      <c r="DM199" t="s">
        <v>3</v>
      </c>
      <c r="DN199">
        <v>0</v>
      </c>
      <c r="DO199">
        <v>0</v>
      </c>
      <c r="DP199">
        <v>1</v>
      </c>
      <c r="DQ199">
        <v>1</v>
      </c>
      <c r="DU199">
        <v>1007</v>
      </c>
      <c r="DV199" t="s">
        <v>26</v>
      </c>
      <c r="DW199" t="s">
        <v>26</v>
      </c>
      <c r="DX199">
        <v>1</v>
      </c>
      <c r="DZ199" t="s">
        <v>3</v>
      </c>
      <c r="EA199" t="s">
        <v>3</v>
      </c>
      <c r="EB199" t="s">
        <v>3</v>
      </c>
      <c r="EC199" t="s">
        <v>3</v>
      </c>
      <c r="EE199">
        <v>54545671</v>
      </c>
      <c r="EF199">
        <v>1</v>
      </c>
      <c r="EG199" t="s">
        <v>20</v>
      </c>
      <c r="EH199">
        <v>0</v>
      </c>
      <c r="EI199" t="s">
        <v>3</v>
      </c>
      <c r="EJ199">
        <v>4</v>
      </c>
      <c r="EK199">
        <v>0</v>
      </c>
      <c r="EL199" t="s">
        <v>21</v>
      </c>
      <c r="EM199" t="s">
        <v>22</v>
      </c>
      <c r="EO199" t="s">
        <v>3</v>
      </c>
      <c r="EQ199">
        <v>32768</v>
      </c>
      <c r="ER199">
        <v>1908.27</v>
      </c>
      <c r="ES199">
        <v>1908.27</v>
      </c>
      <c r="ET199">
        <v>0</v>
      </c>
      <c r="EU199">
        <v>0</v>
      </c>
      <c r="EV199">
        <v>0</v>
      </c>
      <c r="EW199">
        <v>0</v>
      </c>
      <c r="EX199">
        <v>0</v>
      </c>
      <c r="FQ199">
        <v>0</v>
      </c>
      <c r="FR199">
        <f t="shared" si="197"/>
        <v>0</v>
      </c>
      <c r="FS199">
        <v>0</v>
      </c>
      <c r="FX199">
        <v>70</v>
      </c>
      <c r="FY199">
        <v>10</v>
      </c>
      <c r="GA199" t="s">
        <v>3</v>
      </c>
      <c r="GD199">
        <v>0</v>
      </c>
      <c r="GF199">
        <v>-1830627637</v>
      </c>
      <c r="GG199">
        <v>2</v>
      </c>
      <c r="GH199">
        <v>1</v>
      </c>
      <c r="GI199">
        <v>-2</v>
      </c>
      <c r="GJ199">
        <v>0</v>
      </c>
      <c r="GK199">
        <f>ROUND(R199*(R12)/100,2)</f>
        <v>0</v>
      </c>
      <c r="GL199">
        <f t="shared" si="198"/>
        <v>0</v>
      </c>
      <c r="GM199">
        <f t="shared" si="199"/>
        <v>-9769.9599999999991</v>
      </c>
      <c r="GN199">
        <f t="shared" si="200"/>
        <v>0</v>
      </c>
      <c r="GO199">
        <f t="shared" si="201"/>
        <v>0</v>
      </c>
      <c r="GP199">
        <f t="shared" si="202"/>
        <v>-9769.9599999999991</v>
      </c>
      <c r="GR199">
        <v>0</v>
      </c>
      <c r="GS199">
        <v>3</v>
      </c>
      <c r="GT199">
        <v>0</v>
      </c>
      <c r="GU199" t="s">
        <v>3</v>
      </c>
      <c r="GV199">
        <f t="shared" si="203"/>
        <v>0</v>
      </c>
      <c r="GW199">
        <v>1</v>
      </c>
      <c r="GX199">
        <f t="shared" si="204"/>
        <v>0</v>
      </c>
      <c r="HA199">
        <v>0</v>
      </c>
      <c r="HB199">
        <v>0</v>
      </c>
      <c r="HC199">
        <f t="shared" si="205"/>
        <v>0</v>
      </c>
      <c r="HE199" t="s">
        <v>3</v>
      </c>
      <c r="HF199" t="s">
        <v>3</v>
      </c>
      <c r="IK199">
        <v>0</v>
      </c>
    </row>
    <row r="200" spans="1:245" x14ac:dyDescent="0.2">
      <c r="A200">
        <v>18</v>
      </c>
      <c r="B200">
        <v>1</v>
      </c>
      <c r="C200">
        <v>61</v>
      </c>
      <c r="E200" t="s">
        <v>182</v>
      </c>
      <c r="F200" t="s">
        <v>29</v>
      </c>
      <c r="G200" t="s">
        <v>30</v>
      </c>
      <c r="H200" t="s">
        <v>26</v>
      </c>
      <c r="I200">
        <f>I198*J200</f>
        <v>-24.486000000000001</v>
      </c>
      <c r="J200">
        <v>-55</v>
      </c>
      <c r="O200">
        <f t="shared" si="170"/>
        <v>-44228.33</v>
      </c>
      <c r="P200">
        <f t="shared" si="171"/>
        <v>-44228.33</v>
      </c>
      <c r="Q200">
        <f t="shared" si="172"/>
        <v>0</v>
      </c>
      <c r="R200">
        <f t="shared" si="173"/>
        <v>0</v>
      </c>
      <c r="S200">
        <f t="shared" si="174"/>
        <v>0</v>
      </c>
      <c r="T200">
        <f t="shared" si="175"/>
        <v>0</v>
      </c>
      <c r="U200">
        <f t="shared" si="176"/>
        <v>0</v>
      </c>
      <c r="V200">
        <f t="shared" si="177"/>
        <v>0</v>
      </c>
      <c r="W200">
        <f t="shared" si="178"/>
        <v>0</v>
      </c>
      <c r="X200">
        <f t="shared" si="179"/>
        <v>0</v>
      </c>
      <c r="Y200">
        <f t="shared" si="179"/>
        <v>0</v>
      </c>
      <c r="AA200">
        <v>56440881</v>
      </c>
      <c r="AB200">
        <f t="shared" si="180"/>
        <v>1806.27</v>
      </c>
      <c r="AC200">
        <f t="shared" si="181"/>
        <v>1806.27</v>
      </c>
      <c r="AD200">
        <f t="shared" si="182"/>
        <v>0</v>
      </c>
      <c r="AE200">
        <f t="shared" si="183"/>
        <v>0</v>
      </c>
      <c r="AF200">
        <f t="shared" si="183"/>
        <v>0</v>
      </c>
      <c r="AG200">
        <f t="shared" si="184"/>
        <v>0</v>
      </c>
      <c r="AH200">
        <f t="shared" si="185"/>
        <v>0</v>
      </c>
      <c r="AI200">
        <f t="shared" si="185"/>
        <v>0</v>
      </c>
      <c r="AJ200">
        <f t="shared" si="186"/>
        <v>0</v>
      </c>
      <c r="AK200">
        <v>1806.27</v>
      </c>
      <c r="AL200">
        <v>1806.27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70</v>
      </c>
      <c r="AU200">
        <v>10</v>
      </c>
      <c r="AV200">
        <v>1</v>
      </c>
      <c r="AW200">
        <v>1</v>
      </c>
      <c r="AZ200">
        <v>1</v>
      </c>
      <c r="BA200">
        <v>1</v>
      </c>
      <c r="BB200">
        <v>1</v>
      </c>
      <c r="BC200">
        <v>1</v>
      </c>
      <c r="BD200" t="s">
        <v>3</v>
      </c>
      <c r="BE200" t="s">
        <v>3</v>
      </c>
      <c r="BF200" t="s">
        <v>3</v>
      </c>
      <c r="BG200" t="s">
        <v>3</v>
      </c>
      <c r="BH200">
        <v>3</v>
      </c>
      <c r="BI200">
        <v>4</v>
      </c>
      <c r="BJ200" t="s">
        <v>31</v>
      </c>
      <c r="BM200">
        <v>0</v>
      </c>
      <c r="BN200">
        <v>0</v>
      </c>
      <c r="BO200" t="s">
        <v>3</v>
      </c>
      <c r="BP200">
        <v>0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 t="s">
        <v>3</v>
      </c>
      <c r="BZ200">
        <v>70</v>
      </c>
      <c r="CA200">
        <v>10</v>
      </c>
      <c r="CE200">
        <v>0</v>
      </c>
      <c r="CF200">
        <v>0</v>
      </c>
      <c r="CG200">
        <v>0</v>
      </c>
      <c r="CM200">
        <v>0</v>
      </c>
      <c r="CN200" t="s">
        <v>3</v>
      </c>
      <c r="CO200">
        <v>0</v>
      </c>
      <c r="CP200">
        <f t="shared" si="187"/>
        <v>-44228.33</v>
      </c>
      <c r="CQ200">
        <f t="shared" si="188"/>
        <v>1806.27</v>
      </c>
      <c r="CR200">
        <f t="shared" si="189"/>
        <v>0</v>
      </c>
      <c r="CS200">
        <f t="shared" si="190"/>
        <v>0</v>
      </c>
      <c r="CT200">
        <f t="shared" si="191"/>
        <v>0</v>
      </c>
      <c r="CU200">
        <f t="shared" si="192"/>
        <v>0</v>
      </c>
      <c r="CV200">
        <f t="shared" si="193"/>
        <v>0</v>
      </c>
      <c r="CW200">
        <f t="shared" si="194"/>
        <v>0</v>
      </c>
      <c r="CX200">
        <f t="shared" si="194"/>
        <v>0</v>
      </c>
      <c r="CY200">
        <f t="shared" si="195"/>
        <v>0</v>
      </c>
      <c r="CZ200">
        <f t="shared" si="196"/>
        <v>0</v>
      </c>
      <c r="DC200" t="s">
        <v>3</v>
      </c>
      <c r="DD200" t="s">
        <v>3</v>
      </c>
      <c r="DE200" t="s">
        <v>3</v>
      </c>
      <c r="DF200" t="s">
        <v>3</v>
      </c>
      <c r="DG200" t="s">
        <v>3</v>
      </c>
      <c r="DH200" t="s">
        <v>3</v>
      </c>
      <c r="DI200" t="s">
        <v>3</v>
      </c>
      <c r="DJ200" t="s">
        <v>3</v>
      </c>
      <c r="DK200" t="s">
        <v>3</v>
      </c>
      <c r="DL200" t="s">
        <v>3</v>
      </c>
      <c r="DM200" t="s">
        <v>3</v>
      </c>
      <c r="DN200">
        <v>0</v>
      </c>
      <c r="DO200">
        <v>0</v>
      </c>
      <c r="DP200">
        <v>1</v>
      </c>
      <c r="DQ200">
        <v>1</v>
      </c>
      <c r="DU200">
        <v>1007</v>
      </c>
      <c r="DV200" t="s">
        <v>26</v>
      </c>
      <c r="DW200" t="s">
        <v>26</v>
      </c>
      <c r="DX200">
        <v>1</v>
      </c>
      <c r="DZ200" t="s">
        <v>3</v>
      </c>
      <c r="EA200" t="s">
        <v>3</v>
      </c>
      <c r="EB200" t="s">
        <v>3</v>
      </c>
      <c r="EC200" t="s">
        <v>3</v>
      </c>
      <c r="EE200">
        <v>54545671</v>
      </c>
      <c r="EF200">
        <v>1</v>
      </c>
      <c r="EG200" t="s">
        <v>20</v>
      </c>
      <c r="EH200">
        <v>0</v>
      </c>
      <c r="EI200" t="s">
        <v>3</v>
      </c>
      <c r="EJ200">
        <v>4</v>
      </c>
      <c r="EK200">
        <v>0</v>
      </c>
      <c r="EL200" t="s">
        <v>21</v>
      </c>
      <c r="EM200" t="s">
        <v>22</v>
      </c>
      <c r="EO200" t="s">
        <v>3</v>
      </c>
      <c r="EQ200">
        <v>32768</v>
      </c>
      <c r="ER200">
        <v>1806.27</v>
      </c>
      <c r="ES200">
        <v>1806.27</v>
      </c>
      <c r="ET200">
        <v>0</v>
      </c>
      <c r="EU200">
        <v>0</v>
      </c>
      <c r="EV200">
        <v>0</v>
      </c>
      <c r="EW200">
        <v>0</v>
      </c>
      <c r="EX200">
        <v>0</v>
      </c>
      <c r="FQ200">
        <v>0</v>
      </c>
      <c r="FR200">
        <f t="shared" si="197"/>
        <v>0</v>
      </c>
      <c r="FS200">
        <v>0</v>
      </c>
      <c r="FX200">
        <v>70</v>
      </c>
      <c r="FY200">
        <v>10</v>
      </c>
      <c r="GA200" t="s">
        <v>3</v>
      </c>
      <c r="GD200">
        <v>0</v>
      </c>
      <c r="GF200">
        <v>407286016</v>
      </c>
      <c r="GG200">
        <v>2</v>
      </c>
      <c r="GH200">
        <v>1</v>
      </c>
      <c r="GI200">
        <v>-2</v>
      </c>
      <c r="GJ200">
        <v>0</v>
      </c>
      <c r="GK200">
        <f>ROUND(R200*(R12)/100,2)</f>
        <v>0</v>
      </c>
      <c r="GL200">
        <f t="shared" si="198"/>
        <v>0</v>
      </c>
      <c r="GM200">
        <f t="shared" si="199"/>
        <v>-44228.33</v>
      </c>
      <c r="GN200">
        <f t="shared" si="200"/>
        <v>0</v>
      </c>
      <c r="GO200">
        <f t="shared" si="201"/>
        <v>0</v>
      </c>
      <c r="GP200">
        <f t="shared" si="202"/>
        <v>-44228.33</v>
      </c>
      <c r="GR200">
        <v>0</v>
      </c>
      <c r="GS200">
        <v>3</v>
      </c>
      <c r="GT200">
        <v>0</v>
      </c>
      <c r="GU200" t="s">
        <v>3</v>
      </c>
      <c r="GV200">
        <f t="shared" si="203"/>
        <v>0</v>
      </c>
      <c r="GW200">
        <v>1</v>
      </c>
      <c r="GX200">
        <f t="shared" si="204"/>
        <v>0</v>
      </c>
      <c r="HA200">
        <v>0</v>
      </c>
      <c r="HB200">
        <v>0</v>
      </c>
      <c r="HC200">
        <f t="shared" si="205"/>
        <v>0</v>
      </c>
      <c r="HE200" t="s">
        <v>3</v>
      </c>
      <c r="HF200" t="s">
        <v>3</v>
      </c>
      <c r="IK200">
        <v>0</v>
      </c>
    </row>
    <row r="201" spans="1:245" x14ac:dyDescent="0.2">
      <c r="A201">
        <v>18</v>
      </c>
      <c r="B201">
        <v>1</v>
      </c>
      <c r="C201">
        <v>59</v>
      </c>
      <c r="E201" t="s">
        <v>183</v>
      </c>
      <c r="F201" t="s">
        <v>33</v>
      </c>
      <c r="G201" t="s">
        <v>34</v>
      </c>
      <c r="H201" t="s">
        <v>26</v>
      </c>
      <c r="I201">
        <f>I198*J201</f>
        <v>29.605799999999999</v>
      </c>
      <c r="J201">
        <v>66.5</v>
      </c>
      <c r="O201">
        <f t="shared" si="170"/>
        <v>44039.22</v>
      </c>
      <c r="P201">
        <f t="shared" si="171"/>
        <v>44039.22</v>
      </c>
      <c r="Q201">
        <f t="shared" si="172"/>
        <v>0</v>
      </c>
      <c r="R201">
        <f t="shared" si="173"/>
        <v>0</v>
      </c>
      <c r="S201">
        <f t="shared" si="174"/>
        <v>0</v>
      </c>
      <c r="T201">
        <f t="shared" si="175"/>
        <v>0</v>
      </c>
      <c r="U201">
        <f t="shared" si="176"/>
        <v>0</v>
      </c>
      <c r="V201">
        <f t="shared" si="177"/>
        <v>0</v>
      </c>
      <c r="W201">
        <f t="shared" si="178"/>
        <v>0</v>
      </c>
      <c r="X201">
        <f t="shared" si="179"/>
        <v>0</v>
      </c>
      <c r="Y201">
        <f t="shared" si="179"/>
        <v>0</v>
      </c>
      <c r="AA201">
        <v>56440881</v>
      </c>
      <c r="AB201">
        <f t="shared" si="180"/>
        <v>1487.52</v>
      </c>
      <c r="AC201">
        <f t="shared" si="181"/>
        <v>1487.52</v>
      </c>
      <c r="AD201">
        <f t="shared" si="182"/>
        <v>0</v>
      </c>
      <c r="AE201">
        <f t="shared" si="183"/>
        <v>0</v>
      </c>
      <c r="AF201">
        <f t="shared" si="183"/>
        <v>0</v>
      </c>
      <c r="AG201">
        <f t="shared" si="184"/>
        <v>0</v>
      </c>
      <c r="AH201">
        <f t="shared" si="185"/>
        <v>0</v>
      </c>
      <c r="AI201">
        <f t="shared" si="185"/>
        <v>0</v>
      </c>
      <c r="AJ201">
        <f t="shared" si="186"/>
        <v>0</v>
      </c>
      <c r="AK201">
        <v>1487.52</v>
      </c>
      <c r="AL201">
        <v>1487.52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70</v>
      </c>
      <c r="AU201">
        <v>10</v>
      </c>
      <c r="AV201">
        <v>1</v>
      </c>
      <c r="AW201">
        <v>1</v>
      </c>
      <c r="AZ201">
        <v>1</v>
      </c>
      <c r="BA201">
        <v>1</v>
      </c>
      <c r="BB201">
        <v>1</v>
      </c>
      <c r="BC201">
        <v>1</v>
      </c>
      <c r="BD201" t="s">
        <v>3</v>
      </c>
      <c r="BE201" t="s">
        <v>3</v>
      </c>
      <c r="BF201" t="s">
        <v>3</v>
      </c>
      <c r="BG201" t="s">
        <v>3</v>
      </c>
      <c r="BH201">
        <v>3</v>
      </c>
      <c r="BI201">
        <v>4</v>
      </c>
      <c r="BJ201" t="s">
        <v>35</v>
      </c>
      <c r="BM201">
        <v>0</v>
      </c>
      <c r="BN201">
        <v>0</v>
      </c>
      <c r="BO201" t="s">
        <v>3</v>
      </c>
      <c r="BP201">
        <v>0</v>
      </c>
      <c r="BQ201">
        <v>1</v>
      </c>
      <c r="BR201">
        <v>0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 t="s">
        <v>3</v>
      </c>
      <c r="BZ201">
        <v>70</v>
      </c>
      <c r="CA201">
        <v>10</v>
      </c>
      <c r="CE201">
        <v>0</v>
      </c>
      <c r="CF201">
        <v>0</v>
      </c>
      <c r="CG201">
        <v>0</v>
      </c>
      <c r="CM201">
        <v>0</v>
      </c>
      <c r="CN201" t="s">
        <v>3</v>
      </c>
      <c r="CO201">
        <v>0</v>
      </c>
      <c r="CP201">
        <f t="shared" si="187"/>
        <v>44039.22</v>
      </c>
      <c r="CQ201">
        <f t="shared" si="188"/>
        <v>1487.52</v>
      </c>
      <c r="CR201">
        <f t="shared" si="189"/>
        <v>0</v>
      </c>
      <c r="CS201">
        <f t="shared" si="190"/>
        <v>0</v>
      </c>
      <c r="CT201">
        <f t="shared" si="191"/>
        <v>0</v>
      </c>
      <c r="CU201">
        <f t="shared" si="192"/>
        <v>0</v>
      </c>
      <c r="CV201">
        <f t="shared" si="193"/>
        <v>0</v>
      </c>
      <c r="CW201">
        <f t="shared" si="194"/>
        <v>0</v>
      </c>
      <c r="CX201">
        <f t="shared" si="194"/>
        <v>0</v>
      </c>
      <c r="CY201">
        <f t="shared" si="195"/>
        <v>0</v>
      </c>
      <c r="CZ201">
        <f t="shared" si="196"/>
        <v>0</v>
      </c>
      <c r="DC201" t="s">
        <v>3</v>
      </c>
      <c r="DD201" t="s">
        <v>3</v>
      </c>
      <c r="DE201" t="s">
        <v>3</v>
      </c>
      <c r="DF201" t="s">
        <v>3</v>
      </c>
      <c r="DG201" t="s">
        <v>3</v>
      </c>
      <c r="DH201" t="s">
        <v>3</v>
      </c>
      <c r="DI201" t="s">
        <v>3</v>
      </c>
      <c r="DJ201" t="s">
        <v>3</v>
      </c>
      <c r="DK201" t="s">
        <v>3</v>
      </c>
      <c r="DL201" t="s">
        <v>3</v>
      </c>
      <c r="DM201" t="s">
        <v>3</v>
      </c>
      <c r="DN201">
        <v>0</v>
      </c>
      <c r="DO201">
        <v>0</v>
      </c>
      <c r="DP201">
        <v>1</v>
      </c>
      <c r="DQ201">
        <v>1</v>
      </c>
      <c r="DU201">
        <v>1007</v>
      </c>
      <c r="DV201" t="s">
        <v>26</v>
      </c>
      <c r="DW201" t="s">
        <v>26</v>
      </c>
      <c r="DX201">
        <v>1</v>
      </c>
      <c r="DZ201" t="s">
        <v>3</v>
      </c>
      <c r="EA201" t="s">
        <v>3</v>
      </c>
      <c r="EB201" t="s">
        <v>3</v>
      </c>
      <c r="EC201" t="s">
        <v>3</v>
      </c>
      <c r="EE201">
        <v>54545671</v>
      </c>
      <c r="EF201">
        <v>1</v>
      </c>
      <c r="EG201" t="s">
        <v>20</v>
      </c>
      <c r="EH201">
        <v>0</v>
      </c>
      <c r="EI201" t="s">
        <v>3</v>
      </c>
      <c r="EJ201">
        <v>4</v>
      </c>
      <c r="EK201">
        <v>0</v>
      </c>
      <c r="EL201" t="s">
        <v>21</v>
      </c>
      <c r="EM201" t="s">
        <v>22</v>
      </c>
      <c r="EO201" t="s">
        <v>3</v>
      </c>
      <c r="EQ201">
        <v>0</v>
      </c>
      <c r="ER201">
        <v>1487.52</v>
      </c>
      <c r="ES201">
        <v>1487.52</v>
      </c>
      <c r="ET201">
        <v>0</v>
      </c>
      <c r="EU201">
        <v>0</v>
      </c>
      <c r="EV201">
        <v>0</v>
      </c>
      <c r="EW201">
        <v>0</v>
      </c>
      <c r="EX201">
        <v>0</v>
      </c>
      <c r="FQ201">
        <v>0</v>
      </c>
      <c r="FR201">
        <f t="shared" si="197"/>
        <v>0</v>
      </c>
      <c r="FS201">
        <v>0</v>
      </c>
      <c r="FX201">
        <v>70</v>
      </c>
      <c r="FY201">
        <v>10</v>
      </c>
      <c r="GA201" t="s">
        <v>3</v>
      </c>
      <c r="GD201">
        <v>0</v>
      </c>
      <c r="GF201">
        <v>2025333854</v>
      </c>
      <c r="GG201">
        <v>2</v>
      </c>
      <c r="GH201">
        <v>1</v>
      </c>
      <c r="GI201">
        <v>-2</v>
      </c>
      <c r="GJ201">
        <v>0</v>
      </c>
      <c r="GK201">
        <f>ROUND(R201*(R12)/100,2)</f>
        <v>0</v>
      </c>
      <c r="GL201">
        <f t="shared" si="198"/>
        <v>0</v>
      </c>
      <c r="GM201">
        <f t="shared" si="199"/>
        <v>44039.22</v>
      </c>
      <c r="GN201">
        <f t="shared" si="200"/>
        <v>0</v>
      </c>
      <c r="GO201">
        <f t="shared" si="201"/>
        <v>0</v>
      </c>
      <c r="GP201">
        <f t="shared" si="202"/>
        <v>44039.22</v>
      </c>
      <c r="GR201">
        <v>0</v>
      </c>
      <c r="GS201">
        <v>3</v>
      </c>
      <c r="GT201">
        <v>0</v>
      </c>
      <c r="GU201" t="s">
        <v>3</v>
      </c>
      <c r="GV201">
        <f t="shared" si="203"/>
        <v>0</v>
      </c>
      <c r="GW201">
        <v>1</v>
      </c>
      <c r="GX201">
        <f t="shared" si="204"/>
        <v>0</v>
      </c>
      <c r="HA201">
        <v>0</v>
      </c>
      <c r="HB201">
        <v>0</v>
      </c>
      <c r="HC201">
        <f t="shared" si="205"/>
        <v>0</v>
      </c>
      <c r="HE201" t="s">
        <v>3</v>
      </c>
      <c r="HF201" t="s">
        <v>3</v>
      </c>
      <c r="IK201">
        <v>0</v>
      </c>
    </row>
    <row r="202" spans="1:245" x14ac:dyDescent="0.2">
      <c r="A202">
        <v>17</v>
      </c>
      <c r="B202">
        <v>1</v>
      </c>
      <c r="C202">
        <f>ROW(SmtRes!A69)</f>
        <v>69</v>
      </c>
      <c r="D202">
        <f>ROW(EtalonRes!A61)</f>
        <v>61</v>
      </c>
      <c r="E202" t="s">
        <v>184</v>
      </c>
      <c r="F202" t="s">
        <v>185</v>
      </c>
      <c r="G202" t="s">
        <v>186</v>
      </c>
      <c r="H202" t="s">
        <v>39</v>
      </c>
      <c r="I202">
        <f>ROUND(1484/100,9)</f>
        <v>14.84</v>
      </c>
      <c r="J202">
        <v>0</v>
      </c>
      <c r="O202">
        <f t="shared" si="170"/>
        <v>880509.14</v>
      </c>
      <c r="P202">
        <f t="shared" si="171"/>
        <v>490958.1</v>
      </c>
      <c r="Q202">
        <f t="shared" si="172"/>
        <v>5502.52</v>
      </c>
      <c r="R202">
        <f t="shared" si="173"/>
        <v>252.28</v>
      </c>
      <c r="S202">
        <f t="shared" si="174"/>
        <v>384048.52</v>
      </c>
      <c r="T202">
        <f t="shared" si="175"/>
        <v>0</v>
      </c>
      <c r="U202">
        <f t="shared" si="176"/>
        <v>1989.7472000000002</v>
      </c>
      <c r="V202">
        <f t="shared" si="177"/>
        <v>0</v>
      </c>
      <c r="W202">
        <f t="shared" si="178"/>
        <v>0</v>
      </c>
      <c r="X202">
        <f t="shared" si="179"/>
        <v>268833.96000000002</v>
      </c>
      <c r="Y202">
        <f t="shared" si="179"/>
        <v>38404.85</v>
      </c>
      <c r="AA202">
        <v>56440881</v>
      </c>
      <c r="AB202">
        <f t="shared" si="180"/>
        <v>59333.5</v>
      </c>
      <c r="AC202">
        <f t="shared" si="181"/>
        <v>33083.43</v>
      </c>
      <c r="AD202">
        <f t="shared" si="182"/>
        <v>370.79</v>
      </c>
      <c r="AE202">
        <f t="shared" si="183"/>
        <v>17</v>
      </c>
      <c r="AF202">
        <f t="shared" si="183"/>
        <v>25879.279999999999</v>
      </c>
      <c r="AG202">
        <f t="shared" si="184"/>
        <v>0</v>
      </c>
      <c r="AH202">
        <f t="shared" si="185"/>
        <v>134.08000000000001</v>
      </c>
      <c r="AI202">
        <f t="shared" si="185"/>
        <v>0</v>
      </c>
      <c r="AJ202">
        <f t="shared" si="186"/>
        <v>0</v>
      </c>
      <c r="AK202">
        <v>59333.5</v>
      </c>
      <c r="AL202">
        <v>33083.43</v>
      </c>
      <c r="AM202">
        <v>370.79</v>
      </c>
      <c r="AN202">
        <v>17</v>
      </c>
      <c r="AO202">
        <v>25879.279999999999</v>
      </c>
      <c r="AP202">
        <v>0</v>
      </c>
      <c r="AQ202">
        <v>134.08000000000001</v>
      </c>
      <c r="AR202">
        <v>0</v>
      </c>
      <c r="AS202">
        <v>0</v>
      </c>
      <c r="AT202">
        <v>70</v>
      </c>
      <c r="AU202">
        <v>10</v>
      </c>
      <c r="AV202">
        <v>1</v>
      </c>
      <c r="AW202">
        <v>1</v>
      </c>
      <c r="AZ202">
        <v>1</v>
      </c>
      <c r="BA202">
        <v>1</v>
      </c>
      <c r="BB202">
        <v>1</v>
      </c>
      <c r="BC202">
        <v>1</v>
      </c>
      <c r="BD202" t="s">
        <v>3</v>
      </c>
      <c r="BE202" t="s">
        <v>3</v>
      </c>
      <c r="BF202" t="s">
        <v>3</v>
      </c>
      <c r="BG202" t="s">
        <v>3</v>
      </c>
      <c r="BH202">
        <v>0</v>
      </c>
      <c r="BI202">
        <v>4</v>
      </c>
      <c r="BJ202" t="s">
        <v>187</v>
      </c>
      <c r="BM202">
        <v>0</v>
      </c>
      <c r="BN202">
        <v>0</v>
      </c>
      <c r="BO202" t="s">
        <v>3</v>
      </c>
      <c r="BP202">
        <v>0</v>
      </c>
      <c r="BQ202">
        <v>1</v>
      </c>
      <c r="BR202">
        <v>0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 t="s">
        <v>3</v>
      </c>
      <c r="BZ202">
        <v>70</v>
      </c>
      <c r="CA202">
        <v>10</v>
      </c>
      <c r="CE202">
        <v>0</v>
      </c>
      <c r="CF202">
        <v>0</v>
      </c>
      <c r="CG202">
        <v>0</v>
      </c>
      <c r="CM202">
        <v>0</v>
      </c>
      <c r="CN202" t="s">
        <v>3</v>
      </c>
      <c r="CO202">
        <v>0</v>
      </c>
      <c r="CP202">
        <f t="shared" si="187"/>
        <v>880509.14</v>
      </c>
      <c r="CQ202">
        <f t="shared" si="188"/>
        <v>33083.43</v>
      </c>
      <c r="CR202">
        <f t="shared" si="189"/>
        <v>370.79</v>
      </c>
      <c r="CS202">
        <f t="shared" si="190"/>
        <v>17</v>
      </c>
      <c r="CT202">
        <f t="shared" si="191"/>
        <v>25879.279999999999</v>
      </c>
      <c r="CU202">
        <f t="shared" si="192"/>
        <v>0</v>
      </c>
      <c r="CV202">
        <f t="shared" si="193"/>
        <v>134.08000000000001</v>
      </c>
      <c r="CW202">
        <f t="shared" si="194"/>
        <v>0</v>
      </c>
      <c r="CX202">
        <f t="shared" si="194"/>
        <v>0</v>
      </c>
      <c r="CY202">
        <f t="shared" si="195"/>
        <v>268833.96400000004</v>
      </c>
      <c r="CZ202">
        <f t="shared" si="196"/>
        <v>38404.851999999999</v>
      </c>
      <c r="DC202" t="s">
        <v>3</v>
      </c>
      <c r="DD202" t="s">
        <v>3</v>
      </c>
      <c r="DE202" t="s">
        <v>3</v>
      </c>
      <c r="DF202" t="s">
        <v>3</v>
      </c>
      <c r="DG202" t="s">
        <v>3</v>
      </c>
      <c r="DH202" t="s">
        <v>3</v>
      </c>
      <c r="DI202" t="s">
        <v>3</v>
      </c>
      <c r="DJ202" t="s">
        <v>3</v>
      </c>
      <c r="DK202" t="s">
        <v>3</v>
      </c>
      <c r="DL202" t="s">
        <v>3</v>
      </c>
      <c r="DM202" t="s">
        <v>3</v>
      </c>
      <c r="DN202">
        <v>0</v>
      </c>
      <c r="DO202">
        <v>0</v>
      </c>
      <c r="DP202">
        <v>1</v>
      </c>
      <c r="DQ202">
        <v>1</v>
      </c>
      <c r="DU202">
        <v>1005</v>
      </c>
      <c r="DV202" t="s">
        <v>39</v>
      </c>
      <c r="DW202" t="s">
        <v>39</v>
      </c>
      <c r="DX202">
        <v>100</v>
      </c>
      <c r="DZ202" t="s">
        <v>3</v>
      </c>
      <c r="EA202" t="s">
        <v>3</v>
      </c>
      <c r="EB202" t="s">
        <v>3</v>
      </c>
      <c r="EC202" t="s">
        <v>3</v>
      </c>
      <c r="EE202">
        <v>54545671</v>
      </c>
      <c r="EF202">
        <v>1</v>
      </c>
      <c r="EG202" t="s">
        <v>20</v>
      </c>
      <c r="EH202">
        <v>0</v>
      </c>
      <c r="EI202" t="s">
        <v>3</v>
      </c>
      <c r="EJ202">
        <v>4</v>
      </c>
      <c r="EK202">
        <v>0</v>
      </c>
      <c r="EL202" t="s">
        <v>21</v>
      </c>
      <c r="EM202" t="s">
        <v>22</v>
      </c>
      <c r="EO202" t="s">
        <v>3</v>
      </c>
      <c r="EQ202">
        <v>0</v>
      </c>
      <c r="ER202">
        <v>59333.5</v>
      </c>
      <c r="ES202">
        <v>33083.43</v>
      </c>
      <c r="ET202">
        <v>370.79</v>
      </c>
      <c r="EU202">
        <v>17</v>
      </c>
      <c r="EV202">
        <v>25879.279999999999</v>
      </c>
      <c r="EW202">
        <v>134.08000000000001</v>
      </c>
      <c r="EX202">
        <v>0</v>
      </c>
      <c r="EY202">
        <v>0</v>
      </c>
      <c r="FQ202">
        <v>0</v>
      </c>
      <c r="FR202">
        <f t="shared" si="197"/>
        <v>0</v>
      </c>
      <c r="FS202">
        <v>0</v>
      </c>
      <c r="FX202">
        <v>70</v>
      </c>
      <c r="FY202">
        <v>10</v>
      </c>
      <c r="GA202" t="s">
        <v>3</v>
      </c>
      <c r="GD202">
        <v>0</v>
      </c>
      <c r="GF202">
        <v>-137121089</v>
      </c>
      <c r="GG202">
        <v>2</v>
      </c>
      <c r="GH202">
        <v>1</v>
      </c>
      <c r="GI202">
        <v>-2</v>
      </c>
      <c r="GJ202">
        <v>0</v>
      </c>
      <c r="GK202">
        <f>ROUND(R202*(R12)/100,2)</f>
        <v>272.45999999999998</v>
      </c>
      <c r="GL202">
        <f t="shared" si="198"/>
        <v>0</v>
      </c>
      <c r="GM202">
        <f t="shared" si="199"/>
        <v>1188020.4099999999</v>
      </c>
      <c r="GN202">
        <f t="shared" si="200"/>
        <v>0</v>
      </c>
      <c r="GO202">
        <f t="shared" si="201"/>
        <v>0</v>
      </c>
      <c r="GP202">
        <f t="shared" si="202"/>
        <v>1188020.4099999999</v>
      </c>
      <c r="GR202">
        <v>0</v>
      </c>
      <c r="GS202">
        <v>3</v>
      </c>
      <c r="GT202">
        <v>0</v>
      </c>
      <c r="GU202" t="s">
        <v>3</v>
      </c>
      <c r="GV202">
        <f t="shared" si="203"/>
        <v>0</v>
      </c>
      <c r="GW202">
        <v>1</v>
      </c>
      <c r="GX202">
        <f t="shared" si="204"/>
        <v>0</v>
      </c>
      <c r="HA202">
        <v>0</v>
      </c>
      <c r="HB202">
        <v>0</v>
      </c>
      <c r="HC202">
        <f t="shared" si="205"/>
        <v>0</v>
      </c>
      <c r="HE202" t="s">
        <v>3</v>
      </c>
      <c r="HF202" t="s">
        <v>3</v>
      </c>
      <c r="IK202">
        <v>0</v>
      </c>
    </row>
    <row r="203" spans="1:245" x14ac:dyDescent="0.2">
      <c r="A203">
        <v>18</v>
      </c>
      <c r="B203">
        <v>1</v>
      </c>
      <c r="C203">
        <v>68</v>
      </c>
      <c r="E203" t="s">
        <v>188</v>
      </c>
      <c r="F203" t="s">
        <v>189</v>
      </c>
      <c r="G203" t="s">
        <v>190</v>
      </c>
      <c r="H203" t="s">
        <v>157</v>
      </c>
      <c r="I203">
        <f>I202*J203</f>
        <v>1558.2</v>
      </c>
      <c r="J203">
        <v>105</v>
      </c>
      <c r="O203">
        <f t="shared" si="170"/>
        <v>1277848.6599999999</v>
      </c>
      <c r="P203">
        <f t="shared" si="171"/>
        <v>1277848.6599999999</v>
      </c>
      <c r="Q203">
        <f t="shared" si="172"/>
        <v>0</v>
      </c>
      <c r="R203">
        <f t="shared" si="173"/>
        <v>0</v>
      </c>
      <c r="S203">
        <f t="shared" si="174"/>
        <v>0</v>
      </c>
      <c r="T203">
        <f t="shared" si="175"/>
        <v>0</v>
      </c>
      <c r="U203">
        <f t="shared" si="176"/>
        <v>0</v>
      </c>
      <c r="V203">
        <f t="shared" si="177"/>
        <v>0</v>
      </c>
      <c r="W203">
        <f t="shared" si="178"/>
        <v>0</v>
      </c>
      <c r="X203">
        <f t="shared" si="179"/>
        <v>0</v>
      </c>
      <c r="Y203">
        <f t="shared" si="179"/>
        <v>0</v>
      </c>
      <c r="AA203">
        <v>56440881</v>
      </c>
      <c r="AB203">
        <f t="shared" si="180"/>
        <v>820.08</v>
      </c>
      <c r="AC203">
        <f t="shared" si="181"/>
        <v>820.08</v>
      </c>
      <c r="AD203">
        <f t="shared" si="182"/>
        <v>0</v>
      </c>
      <c r="AE203">
        <f t="shared" si="183"/>
        <v>0</v>
      </c>
      <c r="AF203">
        <f t="shared" si="183"/>
        <v>0</v>
      </c>
      <c r="AG203">
        <f t="shared" si="184"/>
        <v>0</v>
      </c>
      <c r="AH203">
        <f t="shared" si="185"/>
        <v>0</v>
      </c>
      <c r="AI203">
        <f t="shared" si="185"/>
        <v>0</v>
      </c>
      <c r="AJ203">
        <f t="shared" si="186"/>
        <v>0</v>
      </c>
      <c r="AK203">
        <v>820.08</v>
      </c>
      <c r="AL203">
        <v>820.08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70</v>
      </c>
      <c r="AU203">
        <v>10</v>
      </c>
      <c r="AV203">
        <v>1</v>
      </c>
      <c r="AW203">
        <v>1</v>
      </c>
      <c r="AZ203">
        <v>1</v>
      </c>
      <c r="BA203">
        <v>1</v>
      </c>
      <c r="BB203">
        <v>1</v>
      </c>
      <c r="BC203">
        <v>1</v>
      </c>
      <c r="BD203" t="s">
        <v>3</v>
      </c>
      <c r="BE203" t="s">
        <v>3</v>
      </c>
      <c r="BF203" t="s">
        <v>3</v>
      </c>
      <c r="BG203" t="s">
        <v>3</v>
      </c>
      <c r="BH203">
        <v>3</v>
      </c>
      <c r="BI203">
        <v>4</v>
      </c>
      <c r="BJ203" t="s">
        <v>191</v>
      </c>
      <c r="BM203">
        <v>0</v>
      </c>
      <c r="BN203">
        <v>0</v>
      </c>
      <c r="BO203" t="s">
        <v>3</v>
      </c>
      <c r="BP203">
        <v>0</v>
      </c>
      <c r="BQ203">
        <v>1</v>
      </c>
      <c r="BR203">
        <v>0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 t="s">
        <v>3</v>
      </c>
      <c r="BZ203">
        <v>70</v>
      </c>
      <c r="CA203">
        <v>10</v>
      </c>
      <c r="CE203">
        <v>0</v>
      </c>
      <c r="CF203">
        <v>0</v>
      </c>
      <c r="CG203">
        <v>0</v>
      </c>
      <c r="CM203">
        <v>0</v>
      </c>
      <c r="CN203" t="s">
        <v>3</v>
      </c>
      <c r="CO203">
        <v>0</v>
      </c>
      <c r="CP203">
        <f t="shared" si="187"/>
        <v>1277848.6599999999</v>
      </c>
      <c r="CQ203">
        <f t="shared" si="188"/>
        <v>820.08</v>
      </c>
      <c r="CR203">
        <f t="shared" si="189"/>
        <v>0</v>
      </c>
      <c r="CS203">
        <f t="shared" si="190"/>
        <v>0</v>
      </c>
      <c r="CT203">
        <f t="shared" si="191"/>
        <v>0</v>
      </c>
      <c r="CU203">
        <f t="shared" si="192"/>
        <v>0</v>
      </c>
      <c r="CV203">
        <f t="shared" si="193"/>
        <v>0</v>
      </c>
      <c r="CW203">
        <f t="shared" si="194"/>
        <v>0</v>
      </c>
      <c r="CX203">
        <f t="shared" si="194"/>
        <v>0</v>
      </c>
      <c r="CY203">
        <f t="shared" si="195"/>
        <v>0</v>
      </c>
      <c r="CZ203">
        <f t="shared" si="196"/>
        <v>0</v>
      </c>
      <c r="DC203" t="s">
        <v>3</v>
      </c>
      <c r="DD203" t="s">
        <v>3</v>
      </c>
      <c r="DE203" t="s">
        <v>3</v>
      </c>
      <c r="DF203" t="s">
        <v>3</v>
      </c>
      <c r="DG203" t="s">
        <v>3</v>
      </c>
      <c r="DH203" t="s">
        <v>3</v>
      </c>
      <c r="DI203" t="s">
        <v>3</v>
      </c>
      <c r="DJ203" t="s">
        <v>3</v>
      </c>
      <c r="DK203" t="s">
        <v>3</v>
      </c>
      <c r="DL203" t="s">
        <v>3</v>
      </c>
      <c r="DM203" t="s">
        <v>3</v>
      </c>
      <c r="DN203">
        <v>0</v>
      </c>
      <c r="DO203">
        <v>0</v>
      </c>
      <c r="DP203">
        <v>1</v>
      </c>
      <c r="DQ203">
        <v>1</v>
      </c>
      <c r="DU203">
        <v>1005</v>
      </c>
      <c r="DV203" t="s">
        <v>157</v>
      </c>
      <c r="DW203" t="s">
        <v>157</v>
      </c>
      <c r="DX203">
        <v>1</v>
      </c>
      <c r="DZ203" t="s">
        <v>3</v>
      </c>
      <c r="EA203" t="s">
        <v>3</v>
      </c>
      <c r="EB203" t="s">
        <v>3</v>
      </c>
      <c r="EC203" t="s">
        <v>3</v>
      </c>
      <c r="EE203">
        <v>54545671</v>
      </c>
      <c r="EF203">
        <v>1</v>
      </c>
      <c r="EG203" t="s">
        <v>20</v>
      </c>
      <c r="EH203">
        <v>0</v>
      </c>
      <c r="EI203" t="s">
        <v>3</v>
      </c>
      <c r="EJ203">
        <v>4</v>
      </c>
      <c r="EK203">
        <v>0</v>
      </c>
      <c r="EL203" t="s">
        <v>21</v>
      </c>
      <c r="EM203" t="s">
        <v>22</v>
      </c>
      <c r="EO203" t="s">
        <v>3</v>
      </c>
      <c r="EQ203">
        <v>0</v>
      </c>
      <c r="ER203">
        <v>820.08</v>
      </c>
      <c r="ES203">
        <v>820.08</v>
      </c>
      <c r="ET203">
        <v>0</v>
      </c>
      <c r="EU203">
        <v>0</v>
      </c>
      <c r="EV203">
        <v>0</v>
      </c>
      <c r="EW203">
        <v>0</v>
      </c>
      <c r="EX203">
        <v>0</v>
      </c>
      <c r="FQ203">
        <v>0</v>
      </c>
      <c r="FR203">
        <f t="shared" si="197"/>
        <v>0</v>
      </c>
      <c r="FS203">
        <v>0</v>
      </c>
      <c r="FX203">
        <v>70</v>
      </c>
      <c r="FY203">
        <v>10</v>
      </c>
      <c r="GA203" t="s">
        <v>3</v>
      </c>
      <c r="GD203">
        <v>0</v>
      </c>
      <c r="GF203">
        <v>1563995597</v>
      </c>
      <c r="GG203">
        <v>2</v>
      </c>
      <c r="GH203">
        <v>1</v>
      </c>
      <c r="GI203">
        <v>-2</v>
      </c>
      <c r="GJ203">
        <v>0</v>
      </c>
      <c r="GK203">
        <f>ROUND(R203*(R12)/100,2)</f>
        <v>0</v>
      </c>
      <c r="GL203">
        <f t="shared" si="198"/>
        <v>0</v>
      </c>
      <c r="GM203">
        <f t="shared" si="199"/>
        <v>1277848.6599999999</v>
      </c>
      <c r="GN203">
        <f t="shared" si="200"/>
        <v>0</v>
      </c>
      <c r="GO203">
        <f t="shared" si="201"/>
        <v>0</v>
      </c>
      <c r="GP203">
        <f t="shared" si="202"/>
        <v>1277848.6599999999</v>
      </c>
      <c r="GR203">
        <v>0</v>
      </c>
      <c r="GS203">
        <v>3</v>
      </c>
      <c r="GT203">
        <v>0</v>
      </c>
      <c r="GU203" t="s">
        <v>3</v>
      </c>
      <c r="GV203">
        <f t="shared" si="203"/>
        <v>0</v>
      </c>
      <c r="GW203">
        <v>1</v>
      </c>
      <c r="GX203">
        <f t="shared" si="204"/>
        <v>0</v>
      </c>
      <c r="HA203">
        <v>0</v>
      </c>
      <c r="HB203">
        <v>0</v>
      </c>
      <c r="HC203">
        <f t="shared" si="205"/>
        <v>0</v>
      </c>
      <c r="HE203" t="s">
        <v>3</v>
      </c>
      <c r="HF203" t="s">
        <v>3</v>
      </c>
      <c r="IK203">
        <v>0</v>
      </c>
    </row>
    <row r="205" spans="1:245" x14ac:dyDescent="0.2">
      <c r="A205" s="2">
        <v>51</v>
      </c>
      <c r="B205" s="2">
        <f>B194</f>
        <v>1</v>
      </c>
      <c r="C205" s="2">
        <f>A194</f>
        <v>4</v>
      </c>
      <c r="D205" s="2">
        <f>ROW(A194)</f>
        <v>194</v>
      </c>
      <c r="E205" s="2"/>
      <c r="F205" s="2" t="str">
        <f>IF(F194&lt;&gt;"",F194,"")</f>
        <v>Новый раздел</v>
      </c>
      <c r="G205" s="2" t="str">
        <f>IF(G194&lt;&gt;"",G194,"")</f>
        <v>Ремонт покрытия из брусчатки (1484 м2)</v>
      </c>
      <c r="H205" s="2">
        <v>0</v>
      </c>
      <c r="I205" s="2"/>
      <c r="J205" s="2"/>
      <c r="K205" s="2"/>
      <c r="L205" s="2"/>
      <c r="M205" s="2"/>
      <c r="N205" s="2"/>
      <c r="O205" s="2">
        <f t="shared" ref="O205:T205" si="206">ROUND(AB205,2)</f>
        <v>2248238.4900000002</v>
      </c>
      <c r="P205" s="2">
        <f t="shared" si="206"/>
        <v>1813221.4</v>
      </c>
      <c r="Q205" s="2">
        <f t="shared" si="206"/>
        <v>43962.23</v>
      </c>
      <c r="R205" s="2">
        <f t="shared" si="206"/>
        <v>15821.53</v>
      </c>
      <c r="S205" s="2">
        <f t="shared" si="206"/>
        <v>391054.86</v>
      </c>
      <c r="T205" s="2">
        <f t="shared" si="206"/>
        <v>0</v>
      </c>
      <c r="U205" s="2">
        <f>AH205</f>
        <v>2028.6087080000002</v>
      </c>
      <c r="V205" s="2">
        <f>AI205</f>
        <v>0</v>
      </c>
      <c r="W205" s="2">
        <f>ROUND(AJ205,2)</f>
        <v>0</v>
      </c>
      <c r="X205" s="2">
        <f>ROUND(AK205,2)</f>
        <v>273738.40000000002</v>
      </c>
      <c r="Y205" s="2">
        <f>ROUND(AL205,2)</f>
        <v>39105.480000000003</v>
      </c>
      <c r="Z205" s="2"/>
      <c r="AA205" s="2"/>
      <c r="AB205" s="2">
        <f>ROUND(SUMIF(AA198:AA203,"=56440881",O198:O203),2)</f>
        <v>2248238.4900000002</v>
      </c>
      <c r="AC205" s="2">
        <f>ROUND(SUMIF(AA198:AA203,"=56440881",P198:P203),2)</f>
        <v>1813221.4</v>
      </c>
      <c r="AD205" s="2">
        <f>ROUND(SUMIF(AA198:AA203,"=56440881",Q198:Q203),2)</f>
        <v>43962.23</v>
      </c>
      <c r="AE205" s="2">
        <f>ROUND(SUMIF(AA198:AA203,"=56440881",R198:R203),2)</f>
        <v>15821.53</v>
      </c>
      <c r="AF205" s="2">
        <f>ROUND(SUMIF(AA198:AA203,"=56440881",S198:S203),2)</f>
        <v>391054.86</v>
      </c>
      <c r="AG205" s="2">
        <f>ROUND(SUMIF(AA198:AA203,"=56440881",T198:T203),2)</f>
        <v>0</v>
      </c>
      <c r="AH205" s="2">
        <f>SUMIF(AA198:AA203,"=56440881",U198:U203)</f>
        <v>2028.6087080000002</v>
      </c>
      <c r="AI205" s="2">
        <f>SUMIF(AA198:AA203,"=56440881",V198:V203)</f>
        <v>0</v>
      </c>
      <c r="AJ205" s="2">
        <f>ROUND(SUMIF(AA198:AA203,"=56440881",W198:W203),2)</f>
        <v>0</v>
      </c>
      <c r="AK205" s="2">
        <f>ROUND(SUMIF(AA198:AA203,"=56440881",X198:X203),2)</f>
        <v>273738.40000000002</v>
      </c>
      <c r="AL205" s="2">
        <f>ROUND(SUMIF(AA198:AA203,"=56440881",Y198:Y203),2)</f>
        <v>39105.480000000003</v>
      </c>
      <c r="AM205" s="2"/>
      <c r="AN205" s="2"/>
      <c r="AO205" s="2">
        <f t="shared" ref="AO205:BD205" si="207">ROUND(BX205,2)</f>
        <v>0</v>
      </c>
      <c r="AP205" s="2">
        <f t="shared" si="207"/>
        <v>0</v>
      </c>
      <c r="AQ205" s="2">
        <f t="shared" si="207"/>
        <v>0</v>
      </c>
      <c r="AR205" s="2">
        <f t="shared" si="207"/>
        <v>2578169.62</v>
      </c>
      <c r="AS205" s="2">
        <f t="shared" si="207"/>
        <v>0</v>
      </c>
      <c r="AT205" s="2">
        <f t="shared" si="207"/>
        <v>0</v>
      </c>
      <c r="AU205" s="2">
        <f t="shared" si="207"/>
        <v>2578169.62</v>
      </c>
      <c r="AV205" s="2">
        <f t="shared" si="207"/>
        <v>1813221.4</v>
      </c>
      <c r="AW205" s="2">
        <f t="shared" si="207"/>
        <v>1813221.4</v>
      </c>
      <c r="AX205" s="2">
        <f t="shared" si="207"/>
        <v>0</v>
      </c>
      <c r="AY205" s="2">
        <f t="shared" si="207"/>
        <v>1813221.4</v>
      </c>
      <c r="AZ205" s="2">
        <f t="shared" si="207"/>
        <v>0</v>
      </c>
      <c r="BA205" s="2">
        <f t="shared" si="207"/>
        <v>0</v>
      </c>
      <c r="BB205" s="2">
        <f t="shared" si="207"/>
        <v>0</v>
      </c>
      <c r="BC205" s="2">
        <f t="shared" si="207"/>
        <v>0</v>
      </c>
      <c r="BD205" s="2">
        <f t="shared" si="207"/>
        <v>0</v>
      </c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>
        <f>ROUND(SUMIF(AA198:AA203,"=56440881",FQ198:FQ203),2)</f>
        <v>0</v>
      </c>
      <c r="BY205" s="2">
        <f>ROUND(SUMIF(AA198:AA203,"=56440881",FR198:FR203),2)</f>
        <v>0</v>
      </c>
      <c r="BZ205" s="2">
        <f>ROUND(SUMIF(AA198:AA203,"=56440881",GL198:GL203),2)</f>
        <v>0</v>
      </c>
      <c r="CA205" s="2">
        <f>ROUND(SUMIF(AA198:AA203,"=56440881",GM198:GM203),2)</f>
        <v>2578169.62</v>
      </c>
      <c r="CB205" s="2">
        <f>ROUND(SUMIF(AA198:AA203,"=56440881",GN198:GN203),2)</f>
        <v>0</v>
      </c>
      <c r="CC205" s="2">
        <f>ROUND(SUMIF(AA198:AA203,"=56440881",GO198:GO203),2)</f>
        <v>0</v>
      </c>
      <c r="CD205" s="2">
        <f>ROUND(SUMIF(AA198:AA203,"=56440881",GP198:GP203),2)</f>
        <v>2578169.62</v>
      </c>
      <c r="CE205" s="2">
        <f>AC205-BX205</f>
        <v>1813221.4</v>
      </c>
      <c r="CF205" s="2">
        <f>AC205-BY205</f>
        <v>1813221.4</v>
      </c>
      <c r="CG205" s="2">
        <f>BX205-BZ205</f>
        <v>0</v>
      </c>
      <c r="CH205" s="2">
        <f>AC205-BX205-BY205+BZ205</f>
        <v>1813221.4</v>
      </c>
      <c r="CI205" s="2">
        <f>BY205-BZ205</f>
        <v>0</v>
      </c>
      <c r="CJ205" s="2">
        <f>ROUND(SUMIF(AA198:AA203,"=56440881",GX198:GX203),2)</f>
        <v>0</v>
      </c>
      <c r="CK205" s="2">
        <f>ROUND(SUMIF(AA198:AA203,"=56440881",GY198:GY203),2)</f>
        <v>0</v>
      </c>
      <c r="CL205" s="2">
        <f>ROUND(SUMIF(AA198:AA203,"=56440881",GZ198:GZ203),2)</f>
        <v>0</v>
      </c>
      <c r="CM205" s="2">
        <f>ROUND(SUMIF(AA198:AA203,"=56440881",HD198:HD203),2)</f>
        <v>0</v>
      </c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>
        <v>0</v>
      </c>
    </row>
    <row r="207" spans="1:245" x14ac:dyDescent="0.2">
      <c r="A207" s="4">
        <v>50</v>
      </c>
      <c r="B207" s="4">
        <v>0</v>
      </c>
      <c r="C207" s="4">
        <v>0</v>
      </c>
      <c r="D207" s="4">
        <v>1</v>
      </c>
      <c r="E207" s="4">
        <v>201</v>
      </c>
      <c r="F207" s="4">
        <f>ROUND(Source!O205,O207)</f>
        <v>2248238.4900000002</v>
      </c>
      <c r="G207" s="4" t="s">
        <v>50</v>
      </c>
      <c r="H207" s="4" t="s">
        <v>51</v>
      </c>
      <c r="I207" s="4"/>
      <c r="J207" s="4"/>
      <c r="K207" s="4">
        <v>-201</v>
      </c>
      <c r="L207" s="4">
        <v>1</v>
      </c>
      <c r="M207" s="4">
        <v>3</v>
      </c>
      <c r="N207" s="4" t="s">
        <v>3</v>
      </c>
      <c r="O207" s="4">
        <v>2</v>
      </c>
      <c r="P207" s="4"/>
      <c r="Q207" s="4"/>
      <c r="R207" s="4"/>
      <c r="S207" s="4"/>
      <c r="T207" s="4"/>
      <c r="U207" s="4"/>
      <c r="V207" s="4"/>
      <c r="W207" s="4"/>
    </row>
    <row r="208" spans="1:245" x14ac:dyDescent="0.2">
      <c r="A208" s="4">
        <v>50</v>
      </c>
      <c r="B208" s="4">
        <v>0</v>
      </c>
      <c r="C208" s="4">
        <v>0</v>
      </c>
      <c r="D208" s="4">
        <v>1</v>
      </c>
      <c r="E208" s="4">
        <v>202</v>
      </c>
      <c r="F208" s="4">
        <f>ROUND(Source!P205,O208)</f>
        <v>1813221.4</v>
      </c>
      <c r="G208" s="4" t="s">
        <v>52</v>
      </c>
      <c r="H208" s="4" t="s">
        <v>53</v>
      </c>
      <c r="I208" s="4"/>
      <c r="J208" s="4"/>
      <c r="K208" s="4">
        <v>-202</v>
      </c>
      <c r="L208" s="4">
        <v>2</v>
      </c>
      <c r="M208" s="4">
        <v>3</v>
      </c>
      <c r="N208" s="4" t="s">
        <v>3</v>
      </c>
      <c r="O208" s="4">
        <v>2</v>
      </c>
      <c r="P208" s="4"/>
      <c r="Q208" s="4"/>
      <c r="R208" s="4"/>
      <c r="S208" s="4"/>
      <c r="T208" s="4"/>
      <c r="U208" s="4"/>
      <c r="V208" s="4"/>
      <c r="W208" s="4"/>
    </row>
    <row r="209" spans="1:23" x14ac:dyDescent="0.2">
      <c r="A209" s="4">
        <v>50</v>
      </c>
      <c r="B209" s="4">
        <v>0</v>
      </c>
      <c r="C209" s="4">
        <v>0</v>
      </c>
      <c r="D209" s="4">
        <v>1</v>
      </c>
      <c r="E209" s="4">
        <v>222</v>
      </c>
      <c r="F209" s="4">
        <f>ROUND(Source!AO205,O209)</f>
        <v>0</v>
      </c>
      <c r="G209" s="4" t="s">
        <v>54</v>
      </c>
      <c r="H209" s="4" t="s">
        <v>55</v>
      </c>
      <c r="I209" s="4"/>
      <c r="J209" s="4"/>
      <c r="K209" s="4">
        <v>-222</v>
      </c>
      <c r="L209" s="4">
        <v>3</v>
      </c>
      <c r="M209" s="4">
        <v>3</v>
      </c>
      <c r="N209" s="4" t="s">
        <v>3</v>
      </c>
      <c r="O209" s="4">
        <v>2</v>
      </c>
      <c r="P209" s="4"/>
      <c r="Q209" s="4"/>
      <c r="R209" s="4"/>
      <c r="S209" s="4"/>
      <c r="T209" s="4"/>
      <c r="U209" s="4"/>
      <c r="V209" s="4"/>
      <c r="W209" s="4"/>
    </row>
    <row r="210" spans="1:23" x14ac:dyDescent="0.2">
      <c r="A210" s="4">
        <v>50</v>
      </c>
      <c r="B210" s="4">
        <v>0</v>
      </c>
      <c r="C210" s="4">
        <v>0</v>
      </c>
      <c r="D210" s="4">
        <v>1</v>
      </c>
      <c r="E210" s="4">
        <v>225</v>
      </c>
      <c r="F210" s="4">
        <f>ROUND(Source!AV205,O210)</f>
        <v>1813221.4</v>
      </c>
      <c r="G210" s="4" t="s">
        <v>56</v>
      </c>
      <c r="H210" s="4" t="s">
        <v>57</v>
      </c>
      <c r="I210" s="4"/>
      <c r="J210" s="4"/>
      <c r="K210" s="4">
        <v>-225</v>
      </c>
      <c r="L210" s="4">
        <v>4</v>
      </c>
      <c r="M210" s="4">
        <v>3</v>
      </c>
      <c r="N210" s="4" t="s">
        <v>3</v>
      </c>
      <c r="O210" s="4">
        <v>2</v>
      </c>
      <c r="P210" s="4"/>
      <c r="Q210" s="4"/>
      <c r="R210" s="4"/>
      <c r="S210" s="4"/>
      <c r="T210" s="4"/>
      <c r="U210" s="4"/>
      <c r="V210" s="4"/>
      <c r="W210" s="4"/>
    </row>
    <row r="211" spans="1:23" x14ac:dyDescent="0.2">
      <c r="A211" s="4">
        <v>50</v>
      </c>
      <c r="B211" s="4">
        <v>0</v>
      </c>
      <c r="C211" s="4">
        <v>0</v>
      </c>
      <c r="D211" s="4">
        <v>1</v>
      </c>
      <c r="E211" s="4">
        <v>226</v>
      </c>
      <c r="F211" s="4">
        <f>ROUND(Source!AW205,O211)</f>
        <v>1813221.4</v>
      </c>
      <c r="G211" s="4" t="s">
        <v>58</v>
      </c>
      <c r="H211" s="4" t="s">
        <v>59</v>
      </c>
      <c r="I211" s="4"/>
      <c r="J211" s="4"/>
      <c r="K211" s="4">
        <v>-226</v>
      </c>
      <c r="L211" s="4">
        <v>5</v>
      </c>
      <c r="M211" s="4">
        <v>3</v>
      </c>
      <c r="N211" s="4" t="s">
        <v>3</v>
      </c>
      <c r="O211" s="4">
        <v>2</v>
      </c>
      <c r="P211" s="4"/>
      <c r="Q211" s="4"/>
      <c r="R211" s="4"/>
      <c r="S211" s="4"/>
      <c r="T211" s="4"/>
      <c r="U211" s="4"/>
      <c r="V211" s="4"/>
      <c r="W211" s="4"/>
    </row>
    <row r="212" spans="1:23" x14ac:dyDescent="0.2">
      <c r="A212" s="4">
        <v>50</v>
      </c>
      <c r="B212" s="4">
        <v>0</v>
      </c>
      <c r="C212" s="4">
        <v>0</v>
      </c>
      <c r="D212" s="4">
        <v>1</v>
      </c>
      <c r="E212" s="4">
        <v>227</v>
      </c>
      <c r="F212" s="4">
        <f>ROUND(Source!AX205,O212)</f>
        <v>0</v>
      </c>
      <c r="G212" s="4" t="s">
        <v>60</v>
      </c>
      <c r="H212" s="4" t="s">
        <v>61</v>
      </c>
      <c r="I212" s="4"/>
      <c r="J212" s="4"/>
      <c r="K212" s="4">
        <v>-227</v>
      </c>
      <c r="L212" s="4">
        <v>6</v>
      </c>
      <c r="M212" s="4">
        <v>3</v>
      </c>
      <c r="N212" s="4" t="s">
        <v>3</v>
      </c>
      <c r="O212" s="4">
        <v>2</v>
      </c>
      <c r="P212" s="4"/>
      <c r="Q212" s="4"/>
      <c r="R212" s="4"/>
      <c r="S212" s="4"/>
      <c r="T212" s="4"/>
      <c r="U212" s="4"/>
      <c r="V212" s="4"/>
      <c r="W212" s="4"/>
    </row>
    <row r="213" spans="1:23" x14ac:dyDescent="0.2">
      <c r="A213" s="4">
        <v>50</v>
      </c>
      <c r="B213" s="4">
        <v>0</v>
      </c>
      <c r="C213" s="4">
        <v>0</v>
      </c>
      <c r="D213" s="4">
        <v>1</v>
      </c>
      <c r="E213" s="4">
        <v>228</v>
      </c>
      <c r="F213" s="4">
        <f>ROUND(Source!AY205,O213)</f>
        <v>1813221.4</v>
      </c>
      <c r="G213" s="4" t="s">
        <v>62</v>
      </c>
      <c r="H213" s="4" t="s">
        <v>63</v>
      </c>
      <c r="I213" s="4"/>
      <c r="J213" s="4"/>
      <c r="K213" s="4">
        <v>-228</v>
      </c>
      <c r="L213" s="4">
        <v>7</v>
      </c>
      <c r="M213" s="4">
        <v>3</v>
      </c>
      <c r="N213" s="4" t="s">
        <v>3</v>
      </c>
      <c r="O213" s="4">
        <v>2</v>
      </c>
      <c r="P213" s="4"/>
      <c r="Q213" s="4"/>
      <c r="R213" s="4"/>
      <c r="S213" s="4"/>
      <c r="T213" s="4"/>
      <c r="U213" s="4"/>
      <c r="V213" s="4"/>
      <c r="W213" s="4"/>
    </row>
    <row r="214" spans="1:23" x14ac:dyDescent="0.2">
      <c r="A214" s="4">
        <v>50</v>
      </c>
      <c r="B214" s="4">
        <v>0</v>
      </c>
      <c r="C214" s="4">
        <v>0</v>
      </c>
      <c r="D214" s="4">
        <v>1</v>
      </c>
      <c r="E214" s="4">
        <v>216</v>
      </c>
      <c r="F214" s="4">
        <f>ROUND(Source!AP205,O214)</f>
        <v>0</v>
      </c>
      <c r="G214" s="4" t="s">
        <v>64</v>
      </c>
      <c r="H214" s="4" t="s">
        <v>65</v>
      </c>
      <c r="I214" s="4"/>
      <c r="J214" s="4"/>
      <c r="K214" s="4">
        <v>-216</v>
      </c>
      <c r="L214" s="4">
        <v>8</v>
      </c>
      <c r="M214" s="4">
        <v>3</v>
      </c>
      <c r="N214" s="4" t="s">
        <v>3</v>
      </c>
      <c r="O214" s="4">
        <v>2</v>
      </c>
      <c r="P214" s="4"/>
      <c r="Q214" s="4"/>
      <c r="R214" s="4"/>
      <c r="S214" s="4"/>
      <c r="T214" s="4"/>
      <c r="U214" s="4"/>
      <c r="V214" s="4"/>
      <c r="W214" s="4"/>
    </row>
    <row r="215" spans="1:23" x14ac:dyDescent="0.2">
      <c r="A215" s="4">
        <v>50</v>
      </c>
      <c r="B215" s="4">
        <v>0</v>
      </c>
      <c r="C215" s="4">
        <v>0</v>
      </c>
      <c r="D215" s="4">
        <v>1</v>
      </c>
      <c r="E215" s="4">
        <v>223</v>
      </c>
      <c r="F215" s="4">
        <f>ROUND(Source!AQ205,O215)</f>
        <v>0</v>
      </c>
      <c r="G215" s="4" t="s">
        <v>66</v>
      </c>
      <c r="H215" s="4" t="s">
        <v>67</v>
      </c>
      <c r="I215" s="4"/>
      <c r="J215" s="4"/>
      <c r="K215" s="4">
        <v>-223</v>
      </c>
      <c r="L215" s="4">
        <v>9</v>
      </c>
      <c r="M215" s="4">
        <v>3</v>
      </c>
      <c r="N215" s="4" t="s">
        <v>3</v>
      </c>
      <c r="O215" s="4">
        <v>2</v>
      </c>
      <c r="P215" s="4"/>
      <c r="Q215" s="4"/>
      <c r="R215" s="4"/>
      <c r="S215" s="4"/>
      <c r="T215" s="4"/>
      <c r="U215" s="4"/>
      <c r="V215" s="4"/>
      <c r="W215" s="4"/>
    </row>
    <row r="216" spans="1:23" x14ac:dyDescent="0.2">
      <c r="A216" s="4">
        <v>50</v>
      </c>
      <c r="B216" s="4">
        <v>0</v>
      </c>
      <c r="C216" s="4">
        <v>0</v>
      </c>
      <c r="D216" s="4">
        <v>1</v>
      </c>
      <c r="E216" s="4">
        <v>229</v>
      </c>
      <c r="F216" s="4">
        <f>ROUND(Source!AZ205,O216)</f>
        <v>0</v>
      </c>
      <c r="G216" s="4" t="s">
        <v>68</v>
      </c>
      <c r="H216" s="4" t="s">
        <v>69</v>
      </c>
      <c r="I216" s="4"/>
      <c r="J216" s="4"/>
      <c r="K216" s="4">
        <v>-229</v>
      </c>
      <c r="L216" s="4">
        <v>10</v>
      </c>
      <c r="M216" s="4">
        <v>3</v>
      </c>
      <c r="N216" s="4" t="s">
        <v>3</v>
      </c>
      <c r="O216" s="4">
        <v>2</v>
      </c>
      <c r="P216" s="4"/>
      <c r="Q216" s="4"/>
      <c r="R216" s="4"/>
      <c r="S216" s="4"/>
      <c r="T216" s="4"/>
      <c r="U216" s="4"/>
      <c r="V216" s="4"/>
      <c r="W216" s="4"/>
    </row>
    <row r="217" spans="1:23" x14ac:dyDescent="0.2">
      <c r="A217" s="4">
        <v>50</v>
      </c>
      <c r="B217" s="4">
        <v>0</v>
      </c>
      <c r="C217" s="4">
        <v>0</v>
      </c>
      <c r="D217" s="4">
        <v>1</v>
      </c>
      <c r="E217" s="4">
        <v>203</v>
      </c>
      <c r="F217" s="4">
        <f>ROUND(Source!Q205,O217)</f>
        <v>43962.23</v>
      </c>
      <c r="G217" s="4" t="s">
        <v>70</v>
      </c>
      <c r="H217" s="4" t="s">
        <v>71</v>
      </c>
      <c r="I217" s="4"/>
      <c r="J217" s="4"/>
      <c r="K217" s="4">
        <v>-203</v>
      </c>
      <c r="L217" s="4">
        <v>11</v>
      </c>
      <c r="M217" s="4">
        <v>3</v>
      </c>
      <c r="N217" s="4" t="s">
        <v>3</v>
      </c>
      <c r="O217" s="4">
        <v>2</v>
      </c>
      <c r="P217" s="4"/>
      <c r="Q217" s="4"/>
      <c r="R217" s="4"/>
      <c r="S217" s="4"/>
      <c r="T217" s="4"/>
      <c r="U217" s="4"/>
      <c r="V217" s="4"/>
      <c r="W217" s="4"/>
    </row>
    <row r="218" spans="1:23" x14ac:dyDescent="0.2">
      <c r="A218" s="4">
        <v>50</v>
      </c>
      <c r="B218" s="4">
        <v>0</v>
      </c>
      <c r="C218" s="4">
        <v>0</v>
      </c>
      <c r="D218" s="4">
        <v>1</v>
      </c>
      <c r="E218" s="4">
        <v>231</v>
      </c>
      <c r="F218" s="4">
        <f>ROUND(Source!BB205,O218)</f>
        <v>0</v>
      </c>
      <c r="G218" s="4" t="s">
        <v>72</v>
      </c>
      <c r="H218" s="4" t="s">
        <v>73</v>
      </c>
      <c r="I218" s="4"/>
      <c r="J218" s="4"/>
      <c r="K218" s="4">
        <v>-231</v>
      </c>
      <c r="L218" s="4">
        <v>12</v>
      </c>
      <c r="M218" s="4">
        <v>3</v>
      </c>
      <c r="N218" s="4" t="s">
        <v>3</v>
      </c>
      <c r="O218" s="4">
        <v>2</v>
      </c>
      <c r="P218" s="4"/>
      <c r="Q218" s="4"/>
      <c r="R218" s="4"/>
      <c r="S218" s="4"/>
      <c r="T218" s="4"/>
      <c r="U218" s="4"/>
      <c r="V218" s="4"/>
      <c r="W218" s="4"/>
    </row>
    <row r="219" spans="1:23" x14ac:dyDescent="0.2">
      <c r="A219" s="4">
        <v>50</v>
      </c>
      <c r="B219" s="4">
        <v>0</v>
      </c>
      <c r="C219" s="4">
        <v>0</v>
      </c>
      <c r="D219" s="4">
        <v>1</v>
      </c>
      <c r="E219" s="4">
        <v>204</v>
      </c>
      <c r="F219" s="4">
        <f>ROUND(Source!R205,O219)</f>
        <v>15821.53</v>
      </c>
      <c r="G219" s="4" t="s">
        <v>74</v>
      </c>
      <c r="H219" s="4" t="s">
        <v>75</v>
      </c>
      <c r="I219" s="4"/>
      <c r="J219" s="4"/>
      <c r="K219" s="4">
        <v>-204</v>
      </c>
      <c r="L219" s="4">
        <v>13</v>
      </c>
      <c r="M219" s="4">
        <v>3</v>
      </c>
      <c r="N219" s="4" t="s">
        <v>3</v>
      </c>
      <c r="O219" s="4">
        <v>2</v>
      </c>
      <c r="P219" s="4"/>
      <c r="Q219" s="4"/>
      <c r="R219" s="4"/>
      <c r="S219" s="4"/>
      <c r="T219" s="4"/>
      <c r="U219" s="4"/>
      <c r="V219" s="4"/>
      <c r="W219" s="4"/>
    </row>
    <row r="220" spans="1:23" x14ac:dyDescent="0.2">
      <c r="A220" s="4">
        <v>50</v>
      </c>
      <c r="B220" s="4">
        <v>0</v>
      </c>
      <c r="C220" s="4">
        <v>0</v>
      </c>
      <c r="D220" s="4">
        <v>1</v>
      </c>
      <c r="E220" s="4">
        <v>205</v>
      </c>
      <c r="F220" s="4">
        <f>ROUND(Source!S205,O220)</f>
        <v>391054.86</v>
      </c>
      <c r="G220" s="4" t="s">
        <v>76</v>
      </c>
      <c r="H220" s="4" t="s">
        <v>77</v>
      </c>
      <c r="I220" s="4"/>
      <c r="J220" s="4"/>
      <c r="K220" s="4">
        <v>-205</v>
      </c>
      <c r="L220" s="4">
        <v>14</v>
      </c>
      <c r="M220" s="4">
        <v>3</v>
      </c>
      <c r="N220" s="4" t="s">
        <v>3</v>
      </c>
      <c r="O220" s="4">
        <v>2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2">
      <c r="A221" s="4">
        <v>50</v>
      </c>
      <c r="B221" s="4">
        <v>0</v>
      </c>
      <c r="C221" s="4">
        <v>0</v>
      </c>
      <c r="D221" s="4">
        <v>1</v>
      </c>
      <c r="E221" s="4">
        <v>232</v>
      </c>
      <c r="F221" s="4">
        <f>ROUND(Source!BC205,O221)</f>
        <v>0</v>
      </c>
      <c r="G221" s="4" t="s">
        <v>78</v>
      </c>
      <c r="H221" s="4" t="s">
        <v>79</v>
      </c>
      <c r="I221" s="4"/>
      <c r="J221" s="4"/>
      <c r="K221" s="4">
        <v>-232</v>
      </c>
      <c r="L221" s="4">
        <v>15</v>
      </c>
      <c r="M221" s="4">
        <v>3</v>
      </c>
      <c r="N221" s="4" t="s">
        <v>3</v>
      </c>
      <c r="O221" s="4">
        <v>2</v>
      </c>
      <c r="P221" s="4"/>
      <c r="Q221" s="4"/>
      <c r="R221" s="4"/>
      <c r="S221" s="4"/>
      <c r="T221" s="4"/>
      <c r="U221" s="4"/>
      <c r="V221" s="4"/>
      <c r="W221" s="4"/>
    </row>
    <row r="222" spans="1:23" x14ac:dyDescent="0.2">
      <c r="A222" s="4">
        <v>50</v>
      </c>
      <c r="B222" s="4">
        <v>0</v>
      </c>
      <c r="C222" s="4">
        <v>0</v>
      </c>
      <c r="D222" s="4">
        <v>1</v>
      </c>
      <c r="E222" s="4">
        <v>214</v>
      </c>
      <c r="F222" s="4">
        <f>ROUND(Source!AS205,O222)</f>
        <v>0</v>
      </c>
      <c r="G222" s="4" t="s">
        <v>80</v>
      </c>
      <c r="H222" s="4" t="s">
        <v>81</v>
      </c>
      <c r="I222" s="4"/>
      <c r="J222" s="4"/>
      <c r="K222" s="4">
        <v>-214</v>
      </c>
      <c r="L222" s="4">
        <v>16</v>
      </c>
      <c r="M222" s="4">
        <v>3</v>
      </c>
      <c r="N222" s="4" t="s">
        <v>3</v>
      </c>
      <c r="O222" s="4">
        <v>2</v>
      </c>
      <c r="P222" s="4"/>
      <c r="Q222" s="4"/>
      <c r="R222" s="4"/>
      <c r="S222" s="4"/>
      <c r="T222" s="4"/>
      <c r="U222" s="4"/>
      <c r="V222" s="4"/>
      <c r="W222" s="4"/>
    </row>
    <row r="223" spans="1:23" x14ac:dyDescent="0.2">
      <c r="A223" s="4">
        <v>50</v>
      </c>
      <c r="B223" s="4">
        <v>0</v>
      </c>
      <c r="C223" s="4">
        <v>0</v>
      </c>
      <c r="D223" s="4">
        <v>1</v>
      </c>
      <c r="E223" s="4">
        <v>215</v>
      </c>
      <c r="F223" s="4">
        <f>ROUND(Source!AT205,O223)</f>
        <v>0</v>
      </c>
      <c r="G223" s="4" t="s">
        <v>82</v>
      </c>
      <c r="H223" s="4" t="s">
        <v>83</v>
      </c>
      <c r="I223" s="4"/>
      <c r="J223" s="4"/>
      <c r="K223" s="4">
        <v>-215</v>
      </c>
      <c r="L223" s="4">
        <v>17</v>
      </c>
      <c r="M223" s="4">
        <v>3</v>
      </c>
      <c r="N223" s="4" t="s">
        <v>3</v>
      </c>
      <c r="O223" s="4">
        <v>2</v>
      </c>
      <c r="P223" s="4"/>
      <c r="Q223" s="4"/>
      <c r="R223" s="4"/>
      <c r="S223" s="4"/>
      <c r="T223" s="4"/>
      <c r="U223" s="4"/>
      <c r="V223" s="4"/>
      <c r="W223" s="4"/>
    </row>
    <row r="224" spans="1:23" x14ac:dyDescent="0.2">
      <c r="A224" s="4">
        <v>50</v>
      </c>
      <c r="B224" s="4">
        <v>0</v>
      </c>
      <c r="C224" s="4">
        <v>0</v>
      </c>
      <c r="D224" s="4">
        <v>1</v>
      </c>
      <c r="E224" s="4">
        <v>217</v>
      </c>
      <c r="F224" s="4">
        <f>ROUND(Source!AU205,O224)</f>
        <v>2578169.62</v>
      </c>
      <c r="G224" s="4" t="s">
        <v>84</v>
      </c>
      <c r="H224" s="4" t="s">
        <v>85</v>
      </c>
      <c r="I224" s="4"/>
      <c r="J224" s="4"/>
      <c r="K224" s="4">
        <v>-217</v>
      </c>
      <c r="L224" s="4">
        <v>18</v>
      </c>
      <c r="M224" s="4">
        <v>3</v>
      </c>
      <c r="N224" s="4" t="s">
        <v>3</v>
      </c>
      <c r="O224" s="4">
        <v>2</v>
      </c>
      <c r="P224" s="4"/>
      <c r="Q224" s="4"/>
      <c r="R224" s="4"/>
      <c r="S224" s="4"/>
      <c r="T224" s="4"/>
      <c r="U224" s="4"/>
      <c r="V224" s="4"/>
      <c r="W224" s="4"/>
    </row>
    <row r="225" spans="1:245" x14ac:dyDescent="0.2">
      <c r="A225" s="4">
        <v>50</v>
      </c>
      <c r="B225" s="4">
        <v>0</v>
      </c>
      <c r="C225" s="4">
        <v>0</v>
      </c>
      <c r="D225" s="4">
        <v>1</v>
      </c>
      <c r="E225" s="4">
        <v>230</v>
      </c>
      <c r="F225" s="4">
        <f>ROUND(Source!BA205,O225)</f>
        <v>0</v>
      </c>
      <c r="G225" s="4" t="s">
        <v>86</v>
      </c>
      <c r="H225" s="4" t="s">
        <v>87</v>
      </c>
      <c r="I225" s="4"/>
      <c r="J225" s="4"/>
      <c r="K225" s="4">
        <v>-230</v>
      </c>
      <c r="L225" s="4">
        <v>19</v>
      </c>
      <c r="M225" s="4">
        <v>3</v>
      </c>
      <c r="N225" s="4" t="s">
        <v>3</v>
      </c>
      <c r="O225" s="4">
        <v>2</v>
      </c>
      <c r="P225" s="4"/>
      <c r="Q225" s="4"/>
      <c r="R225" s="4"/>
      <c r="S225" s="4"/>
      <c r="T225" s="4"/>
      <c r="U225" s="4"/>
      <c r="V225" s="4"/>
      <c r="W225" s="4"/>
    </row>
    <row r="226" spans="1:245" x14ac:dyDescent="0.2">
      <c r="A226" s="4">
        <v>50</v>
      </c>
      <c r="B226" s="4">
        <v>0</v>
      </c>
      <c r="C226" s="4">
        <v>0</v>
      </c>
      <c r="D226" s="4">
        <v>1</v>
      </c>
      <c r="E226" s="4">
        <v>206</v>
      </c>
      <c r="F226" s="4">
        <f>ROUND(Source!T205,O226)</f>
        <v>0</v>
      </c>
      <c r="G226" s="4" t="s">
        <v>88</v>
      </c>
      <c r="H226" s="4" t="s">
        <v>89</v>
      </c>
      <c r="I226" s="4"/>
      <c r="J226" s="4"/>
      <c r="K226" s="4">
        <v>-206</v>
      </c>
      <c r="L226" s="4">
        <v>20</v>
      </c>
      <c r="M226" s="4">
        <v>3</v>
      </c>
      <c r="N226" s="4" t="s">
        <v>3</v>
      </c>
      <c r="O226" s="4">
        <v>2</v>
      </c>
      <c r="P226" s="4"/>
      <c r="Q226" s="4"/>
      <c r="R226" s="4"/>
      <c r="S226" s="4"/>
      <c r="T226" s="4"/>
      <c r="U226" s="4"/>
      <c r="V226" s="4"/>
      <c r="W226" s="4"/>
    </row>
    <row r="227" spans="1:245" x14ac:dyDescent="0.2">
      <c r="A227" s="4">
        <v>50</v>
      </c>
      <c r="B227" s="4">
        <v>0</v>
      </c>
      <c r="C227" s="4">
        <v>0</v>
      </c>
      <c r="D227" s="4">
        <v>1</v>
      </c>
      <c r="E227" s="4">
        <v>207</v>
      </c>
      <c r="F227" s="4">
        <f>Source!U205</f>
        <v>2028.6087080000002</v>
      </c>
      <c r="G227" s="4" t="s">
        <v>90</v>
      </c>
      <c r="H227" s="4" t="s">
        <v>91</v>
      </c>
      <c r="I227" s="4"/>
      <c r="J227" s="4"/>
      <c r="K227" s="4">
        <v>-207</v>
      </c>
      <c r="L227" s="4">
        <v>21</v>
      </c>
      <c r="M227" s="4">
        <v>3</v>
      </c>
      <c r="N227" s="4" t="s">
        <v>3</v>
      </c>
      <c r="O227" s="4">
        <v>-1</v>
      </c>
      <c r="P227" s="4"/>
      <c r="Q227" s="4"/>
      <c r="R227" s="4"/>
      <c r="S227" s="4"/>
      <c r="T227" s="4"/>
      <c r="U227" s="4"/>
      <c r="V227" s="4"/>
      <c r="W227" s="4"/>
    </row>
    <row r="228" spans="1:245" x14ac:dyDescent="0.2">
      <c r="A228" s="4">
        <v>50</v>
      </c>
      <c r="B228" s="4">
        <v>0</v>
      </c>
      <c r="C228" s="4">
        <v>0</v>
      </c>
      <c r="D228" s="4">
        <v>1</v>
      </c>
      <c r="E228" s="4">
        <v>208</v>
      </c>
      <c r="F228" s="4">
        <f>Source!V205</f>
        <v>0</v>
      </c>
      <c r="G228" s="4" t="s">
        <v>92</v>
      </c>
      <c r="H228" s="4" t="s">
        <v>93</v>
      </c>
      <c r="I228" s="4"/>
      <c r="J228" s="4"/>
      <c r="K228" s="4">
        <v>-208</v>
      </c>
      <c r="L228" s="4">
        <v>22</v>
      </c>
      <c r="M228" s="4">
        <v>3</v>
      </c>
      <c r="N228" s="4" t="s">
        <v>3</v>
      </c>
      <c r="O228" s="4">
        <v>-1</v>
      </c>
      <c r="P228" s="4"/>
      <c r="Q228" s="4"/>
      <c r="R228" s="4"/>
      <c r="S228" s="4"/>
      <c r="T228" s="4"/>
      <c r="U228" s="4"/>
      <c r="V228" s="4"/>
      <c r="W228" s="4"/>
    </row>
    <row r="229" spans="1:245" x14ac:dyDescent="0.2">
      <c r="A229" s="4">
        <v>50</v>
      </c>
      <c r="B229" s="4">
        <v>0</v>
      </c>
      <c r="C229" s="4">
        <v>0</v>
      </c>
      <c r="D229" s="4">
        <v>1</v>
      </c>
      <c r="E229" s="4">
        <v>209</v>
      </c>
      <c r="F229" s="4">
        <f>ROUND(Source!W205,O229)</f>
        <v>0</v>
      </c>
      <c r="G229" s="4" t="s">
        <v>94</v>
      </c>
      <c r="H229" s="4" t="s">
        <v>95</v>
      </c>
      <c r="I229" s="4"/>
      <c r="J229" s="4"/>
      <c r="K229" s="4">
        <v>-209</v>
      </c>
      <c r="L229" s="4">
        <v>23</v>
      </c>
      <c r="M229" s="4">
        <v>3</v>
      </c>
      <c r="N229" s="4" t="s">
        <v>3</v>
      </c>
      <c r="O229" s="4">
        <v>2</v>
      </c>
      <c r="P229" s="4"/>
      <c r="Q229" s="4"/>
      <c r="R229" s="4"/>
      <c r="S229" s="4"/>
      <c r="T229" s="4"/>
      <c r="U229" s="4"/>
      <c r="V229" s="4"/>
      <c r="W229" s="4"/>
    </row>
    <row r="230" spans="1:245" x14ac:dyDescent="0.2">
      <c r="A230" s="4">
        <v>50</v>
      </c>
      <c r="B230" s="4">
        <v>0</v>
      </c>
      <c r="C230" s="4">
        <v>0</v>
      </c>
      <c r="D230" s="4">
        <v>1</v>
      </c>
      <c r="E230" s="4">
        <v>233</v>
      </c>
      <c r="F230" s="4">
        <f>ROUND(Source!BD205,O230)</f>
        <v>0</v>
      </c>
      <c r="G230" s="4" t="s">
        <v>96</v>
      </c>
      <c r="H230" s="4" t="s">
        <v>97</v>
      </c>
      <c r="I230" s="4"/>
      <c r="J230" s="4"/>
      <c r="K230" s="4">
        <v>-233</v>
      </c>
      <c r="L230" s="4">
        <v>24</v>
      </c>
      <c r="M230" s="4">
        <v>3</v>
      </c>
      <c r="N230" s="4" t="s">
        <v>3</v>
      </c>
      <c r="O230" s="4">
        <v>2</v>
      </c>
      <c r="P230" s="4"/>
      <c r="Q230" s="4"/>
      <c r="R230" s="4"/>
      <c r="S230" s="4"/>
      <c r="T230" s="4"/>
      <c r="U230" s="4"/>
      <c r="V230" s="4"/>
      <c r="W230" s="4"/>
    </row>
    <row r="231" spans="1:245" x14ac:dyDescent="0.2">
      <c r="A231" s="4">
        <v>50</v>
      </c>
      <c r="B231" s="4">
        <v>0</v>
      </c>
      <c r="C231" s="4">
        <v>0</v>
      </c>
      <c r="D231" s="4">
        <v>1</v>
      </c>
      <c r="E231" s="4">
        <v>210</v>
      </c>
      <c r="F231" s="4">
        <f>ROUND(Source!X205,O231)</f>
        <v>273738.40000000002</v>
      </c>
      <c r="G231" s="4" t="s">
        <v>98</v>
      </c>
      <c r="H231" s="4" t="s">
        <v>99</v>
      </c>
      <c r="I231" s="4"/>
      <c r="J231" s="4"/>
      <c r="K231" s="4">
        <v>-210</v>
      </c>
      <c r="L231" s="4">
        <v>25</v>
      </c>
      <c r="M231" s="4">
        <v>3</v>
      </c>
      <c r="N231" s="4" t="s">
        <v>3</v>
      </c>
      <c r="O231" s="4">
        <v>2</v>
      </c>
      <c r="P231" s="4"/>
      <c r="Q231" s="4"/>
      <c r="R231" s="4"/>
      <c r="S231" s="4"/>
      <c r="T231" s="4"/>
      <c r="U231" s="4"/>
      <c r="V231" s="4"/>
      <c r="W231" s="4"/>
    </row>
    <row r="232" spans="1:245" x14ac:dyDescent="0.2">
      <c r="A232" s="4">
        <v>50</v>
      </c>
      <c r="B232" s="4">
        <v>0</v>
      </c>
      <c r="C232" s="4">
        <v>0</v>
      </c>
      <c r="D232" s="4">
        <v>1</v>
      </c>
      <c r="E232" s="4">
        <v>211</v>
      </c>
      <c r="F232" s="4">
        <f>ROUND(Source!Y205,O232)</f>
        <v>39105.480000000003</v>
      </c>
      <c r="G232" s="4" t="s">
        <v>100</v>
      </c>
      <c r="H232" s="4" t="s">
        <v>101</v>
      </c>
      <c r="I232" s="4"/>
      <c r="J232" s="4"/>
      <c r="K232" s="4">
        <v>-211</v>
      </c>
      <c r="L232" s="4">
        <v>26</v>
      </c>
      <c r="M232" s="4">
        <v>3</v>
      </c>
      <c r="N232" s="4" t="s">
        <v>3</v>
      </c>
      <c r="O232" s="4">
        <v>2</v>
      </c>
      <c r="P232" s="4"/>
      <c r="Q232" s="4"/>
      <c r="R232" s="4"/>
      <c r="S232" s="4"/>
      <c r="T232" s="4"/>
      <c r="U232" s="4"/>
      <c r="V232" s="4"/>
      <c r="W232" s="4"/>
    </row>
    <row r="233" spans="1:245" x14ac:dyDescent="0.2">
      <c r="A233" s="4">
        <v>50</v>
      </c>
      <c r="B233" s="4">
        <v>0</v>
      </c>
      <c r="C233" s="4">
        <v>0</v>
      </c>
      <c r="D233" s="4">
        <v>1</v>
      </c>
      <c r="E233" s="4">
        <v>224</v>
      </c>
      <c r="F233" s="4">
        <f>ROUND(Source!AR205,O233)</f>
        <v>2578169.62</v>
      </c>
      <c r="G233" s="4" t="s">
        <v>102</v>
      </c>
      <c r="H233" s="4" t="s">
        <v>103</v>
      </c>
      <c r="I233" s="4"/>
      <c r="J233" s="4"/>
      <c r="K233" s="4">
        <v>-224</v>
      </c>
      <c r="L233" s="4">
        <v>27</v>
      </c>
      <c r="M233" s="4">
        <v>3</v>
      </c>
      <c r="N233" s="4" t="s">
        <v>3</v>
      </c>
      <c r="O233" s="4">
        <v>2</v>
      </c>
      <c r="P233" s="4"/>
      <c r="Q233" s="4"/>
      <c r="R233" s="4"/>
      <c r="S233" s="4"/>
      <c r="T233" s="4"/>
      <c r="U233" s="4"/>
      <c r="V233" s="4"/>
      <c r="W233" s="4"/>
    </row>
    <row r="235" spans="1:245" x14ac:dyDescent="0.2">
      <c r="A235" s="1">
        <v>4</v>
      </c>
      <c r="B235" s="1">
        <v>1</v>
      </c>
      <c r="C235" s="1"/>
      <c r="D235" s="1">
        <f>ROW(A245)</f>
        <v>245</v>
      </c>
      <c r="E235" s="1"/>
      <c r="F235" s="1" t="s">
        <v>13</v>
      </c>
      <c r="G235" s="1" t="s">
        <v>192</v>
      </c>
      <c r="H235" s="1" t="s">
        <v>3</v>
      </c>
      <c r="I235" s="1">
        <v>0</v>
      </c>
      <c r="J235" s="1"/>
      <c r="K235" s="1">
        <v>-1</v>
      </c>
      <c r="L235" s="1"/>
      <c r="M235" s="1" t="s">
        <v>3</v>
      </c>
      <c r="N235" s="1"/>
      <c r="O235" s="1"/>
      <c r="P235" s="1"/>
      <c r="Q235" s="1"/>
      <c r="R235" s="1"/>
      <c r="S235" s="1">
        <v>0</v>
      </c>
      <c r="T235" s="1"/>
      <c r="U235" s="1" t="s">
        <v>3</v>
      </c>
      <c r="V235" s="1">
        <v>7</v>
      </c>
      <c r="W235" s="1"/>
      <c r="X235" s="1"/>
      <c r="Y235" s="1"/>
      <c r="Z235" s="1"/>
      <c r="AA235" s="1"/>
      <c r="AB235" s="1" t="s">
        <v>3</v>
      </c>
      <c r="AC235" s="1" t="s">
        <v>3</v>
      </c>
      <c r="AD235" s="1" t="s">
        <v>3</v>
      </c>
      <c r="AE235" s="1" t="s">
        <v>3</v>
      </c>
      <c r="AF235" s="1" t="s">
        <v>3</v>
      </c>
      <c r="AG235" s="1" t="s">
        <v>3</v>
      </c>
      <c r="AH235" s="1"/>
      <c r="AI235" s="1"/>
      <c r="AJ235" s="1"/>
      <c r="AK235" s="1"/>
      <c r="AL235" s="1"/>
      <c r="AM235" s="1"/>
      <c r="AN235" s="1"/>
      <c r="AO235" s="1"/>
      <c r="AP235" s="1" t="s">
        <v>3</v>
      </c>
      <c r="AQ235" s="1" t="s">
        <v>3</v>
      </c>
      <c r="AR235" s="1" t="s">
        <v>3</v>
      </c>
      <c r="AS235" s="1"/>
      <c r="AT235" s="1"/>
      <c r="AU235" s="1"/>
      <c r="AV235" s="1"/>
      <c r="AW235" s="1"/>
      <c r="AX235" s="1"/>
      <c r="AY235" s="1"/>
      <c r="AZ235" s="1" t="s">
        <v>3</v>
      </c>
      <c r="BA235" s="1"/>
      <c r="BB235" s="1" t="s">
        <v>3</v>
      </c>
      <c r="BC235" s="1" t="s">
        <v>3</v>
      </c>
      <c r="BD235" s="1" t="s">
        <v>3</v>
      </c>
      <c r="BE235" s="1" t="s">
        <v>3</v>
      </c>
      <c r="BF235" s="1" t="s">
        <v>3</v>
      </c>
      <c r="BG235" s="1" t="s">
        <v>3</v>
      </c>
      <c r="BH235" s="1" t="s">
        <v>3</v>
      </c>
      <c r="BI235" s="1" t="s">
        <v>3</v>
      </c>
      <c r="BJ235" s="1" t="s">
        <v>3</v>
      </c>
      <c r="BK235" s="1" t="s">
        <v>3</v>
      </c>
      <c r="BL235" s="1" t="s">
        <v>3</v>
      </c>
      <c r="BM235" s="1" t="s">
        <v>3</v>
      </c>
      <c r="BN235" s="1" t="s">
        <v>3</v>
      </c>
      <c r="BO235" s="1" t="s">
        <v>3</v>
      </c>
      <c r="BP235" s="1" t="s">
        <v>3</v>
      </c>
      <c r="BQ235" s="1"/>
      <c r="BR235" s="1"/>
      <c r="BS235" s="1"/>
      <c r="BT235" s="1"/>
      <c r="BU235" s="1"/>
      <c r="BV235" s="1"/>
      <c r="BW235" s="1"/>
      <c r="BX235" s="1">
        <v>0</v>
      </c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>
        <v>0</v>
      </c>
    </row>
    <row r="237" spans="1:245" x14ac:dyDescent="0.2">
      <c r="A237" s="2">
        <v>52</v>
      </c>
      <c r="B237" s="2">
        <f t="shared" ref="B237:G237" si="208">B245</f>
        <v>1</v>
      </c>
      <c r="C237" s="2">
        <f t="shared" si="208"/>
        <v>4</v>
      </c>
      <c r="D237" s="2">
        <f t="shared" si="208"/>
        <v>235</v>
      </c>
      <c r="E237" s="2">
        <f t="shared" si="208"/>
        <v>0</v>
      </c>
      <c r="F237" s="2" t="str">
        <f t="shared" si="208"/>
        <v>Новый раздел</v>
      </c>
      <c r="G237" s="2" t="str">
        <f t="shared" si="208"/>
        <v>Ремонт покрытия из резиновой крошки (392 м2)</v>
      </c>
      <c r="H237" s="2"/>
      <c r="I237" s="2"/>
      <c r="J237" s="2"/>
      <c r="K237" s="2"/>
      <c r="L237" s="2"/>
      <c r="M237" s="2"/>
      <c r="N237" s="2"/>
      <c r="O237" s="2">
        <f t="shared" ref="O237:AT237" si="209">O245</f>
        <v>517367.44</v>
      </c>
      <c r="P237" s="2">
        <f t="shared" si="209"/>
        <v>471832.17</v>
      </c>
      <c r="Q237" s="2">
        <f t="shared" si="209"/>
        <v>19066.8</v>
      </c>
      <c r="R237" s="2">
        <f t="shared" si="209"/>
        <v>14965.03</v>
      </c>
      <c r="S237" s="2">
        <f t="shared" si="209"/>
        <v>26468.47</v>
      </c>
      <c r="T237" s="2">
        <f t="shared" si="209"/>
        <v>0</v>
      </c>
      <c r="U237" s="2">
        <f t="shared" si="209"/>
        <v>124.2248</v>
      </c>
      <c r="V237" s="2">
        <f t="shared" si="209"/>
        <v>0</v>
      </c>
      <c r="W237" s="2">
        <f t="shared" si="209"/>
        <v>0</v>
      </c>
      <c r="X237" s="2">
        <f t="shared" si="209"/>
        <v>18527.93</v>
      </c>
      <c r="Y237" s="2">
        <f t="shared" si="209"/>
        <v>2646.84</v>
      </c>
      <c r="Z237" s="2">
        <f t="shared" si="209"/>
        <v>0</v>
      </c>
      <c r="AA237" s="2">
        <f t="shared" si="209"/>
        <v>0</v>
      </c>
      <c r="AB237" s="2">
        <f t="shared" si="209"/>
        <v>517367.44</v>
      </c>
      <c r="AC237" s="2">
        <f t="shared" si="209"/>
        <v>471832.17</v>
      </c>
      <c r="AD237" s="2">
        <f t="shared" si="209"/>
        <v>19066.8</v>
      </c>
      <c r="AE237" s="2">
        <f t="shared" si="209"/>
        <v>14965.03</v>
      </c>
      <c r="AF237" s="2">
        <f t="shared" si="209"/>
        <v>26468.47</v>
      </c>
      <c r="AG237" s="2">
        <f t="shared" si="209"/>
        <v>0</v>
      </c>
      <c r="AH237" s="2">
        <f t="shared" si="209"/>
        <v>124.2248</v>
      </c>
      <c r="AI237" s="2">
        <f t="shared" si="209"/>
        <v>0</v>
      </c>
      <c r="AJ237" s="2">
        <f t="shared" si="209"/>
        <v>0</v>
      </c>
      <c r="AK237" s="2">
        <f t="shared" si="209"/>
        <v>18527.93</v>
      </c>
      <c r="AL237" s="2">
        <f t="shared" si="209"/>
        <v>2646.84</v>
      </c>
      <c r="AM237" s="2">
        <f t="shared" si="209"/>
        <v>0</v>
      </c>
      <c r="AN237" s="2">
        <f t="shared" si="209"/>
        <v>0</v>
      </c>
      <c r="AO237" s="2">
        <f t="shared" si="209"/>
        <v>0</v>
      </c>
      <c r="AP237" s="2">
        <f t="shared" si="209"/>
        <v>0</v>
      </c>
      <c r="AQ237" s="2">
        <f t="shared" si="209"/>
        <v>0</v>
      </c>
      <c r="AR237" s="2">
        <f t="shared" si="209"/>
        <v>554704.43999999994</v>
      </c>
      <c r="AS237" s="2">
        <f t="shared" si="209"/>
        <v>0</v>
      </c>
      <c r="AT237" s="2">
        <f t="shared" si="209"/>
        <v>0</v>
      </c>
      <c r="AU237" s="2">
        <f t="shared" ref="AU237:BZ237" si="210">AU245</f>
        <v>554704.43999999994</v>
      </c>
      <c r="AV237" s="2">
        <f t="shared" si="210"/>
        <v>471832.17</v>
      </c>
      <c r="AW237" s="2">
        <f t="shared" si="210"/>
        <v>471832.17</v>
      </c>
      <c r="AX237" s="2">
        <f t="shared" si="210"/>
        <v>0</v>
      </c>
      <c r="AY237" s="2">
        <f t="shared" si="210"/>
        <v>471832.17</v>
      </c>
      <c r="AZ237" s="2">
        <f t="shared" si="210"/>
        <v>0</v>
      </c>
      <c r="BA237" s="2">
        <f t="shared" si="210"/>
        <v>0</v>
      </c>
      <c r="BB237" s="2">
        <f t="shared" si="210"/>
        <v>0</v>
      </c>
      <c r="BC237" s="2">
        <f t="shared" si="210"/>
        <v>0</v>
      </c>
      <c r="BD237" s="2">
        <f t="shared" si="210"/>
        <v>0</v>
      </c>
      <c r="BE237" s="2">
        <f t="shared" si="210"/>
        <v>0</v>
      </c>
      <c r="BF237" s="2">
        <f t="shared" si="210"/>
        <v>0</v>
      </c>
      <c r="BG237" s="2">
        <f t="shared" si="210"/>
        <v>0</v>
      </c>
      <c r="BH237" s="2">
        <f t="shared" si="210"/>
        <v>0</v>
      </c>
      <c r="BI237" s="2">
        <f t="shared" si="210"/>
        <v>0</v>
      </c>
      <c r="BJ237" s="2">
        <f t="shared" si="210"/>
        <v>0</v>
      </c>
      <c r="BK237" s="2">
        <f t="shared" si="210"/>
        <v>0</v>
      </c>
      <c r="BL237" s="2">
        <f t="shared" si="210"/>
        <v>0</v>
      </c>
      <c r="BM237" s="2">
        <f t="shared" si="210"/>
        <v>0</v>
      </c>
      <c r="BN237" s="2">
        <f t="shared" si="210"/>
        <v>0</v>
      </c>
      <c r="BO237" s="2">
        <f t="shared" si="210"/>
        <v>0</v>
      </c>
      <c r="BP237" s="2">
        <f t="shared" si="210"/>
        <v>0</v>
      </c>
      <c r="BQ237" s="2">
        <f t="shared" si="210"/>
        <v>0</v>
      </c>
      <c r="BR237" s="2">
        <f t="shared" si="210"/>
        <v>0</v>
      </c>
      <c r="BS237" s="2">
        <f t="shared" si="210"/>
        <v>0</v>
      </c>
      <c r="BT237" s="2">
        <f t="shared" si="210"/>
        <v>0</v>
      </c>
      <c r="BU237" s="2">
        <f t="shared" si="210"/>
        <v>0</v>
      </c>
      <c r="BV237" s="2">
        <f t="shared" si="210"/>
        <v>0</v>
      </c>
      <c r="BW237" s="2">
        <f t="shared" si="210"/>
        <v>0</v>
      </c>
      <c r="BX237" s="2">
        <f t="shared" si="210"/>
        <v>0</v>
      </c>
      <c r="BY237" s="2">
        <f t="shared" si="210"/>
        <v>0</v>
      </c>
      <c r="BZ237" s="2">
        <f t="shared" si="210"/>
        <v>0</v>
      </c>
      <c r="CA237" s="2">
        <f t="shared" ref="CA237:DF237" si="211">CA245</f>
        <v>554704.43999999994</v>
      </c>
      <c r="CB237" s="2">
        <f t="shared" si="211"/>
        <v>0</v>
      </c>
      <c r="CC237" s="2">
        <f t="shared" si="211"/>
        <v>0</v>
      </c>
      <c r="CD237" s="2">
        <f t="shared" si="211"/>
        <v>554704.43999999994</v>
      </c>
      <c r="CE237" s="2">
        <f t="shared" si="211"/>
        <v>471832.17</v>
      </c>
      <c r="CF237" s="2">
        <f t="shared" si="211"/>
        <v>471832.17</v>
      </c>
      <c r="CG237" s="2">
        <f t="shared" si="211"/>
        <v>0</v>
      </c>
      <c r="CH237" s="2">
        <f t="shared" si="211"/>
        <v>471832.17</v>
      </c>
      <c r="CI237" s="2">
        <f t="shared" si="211"/>
        <v>0</v>
      </c>
      <c r="CJ237" s="2">
        <f t="shared" si="211"/>
        <v>0</v>
      </c>
      <c r="CK237" s="2">
        <f t="shared" si="211"/>
        <v>0</v>
      </c>
      <c r="CL237" s="2">
        <f t="shared" si="211"/>
        <v>0</v>
      </c>
      <c r="CM237" s="2">
        <f t="shared" si="211"/>
        <v>0</v>
      </c>
      <c r="CN237" s="2">
        <f t="shared" si="211"/>
        <v>0</v>
      </c>
      <c r="CO237" s="2">
        <f t="shared" si="211"/>
        <v>0</v>
      </c>
      <c r="CP237" s="2">
        <f t="shared" si="211"/>
        <v>0</v>
      </c>
      <c r="CQ237" s="2">
        <f t="shared" si="211"/>
        <v>0</v>
      </c>
      <c r="CR237" s="2">
        <f t="shared" si="211"/>
        <v>0</v>
      </c>
      <c r="CS237" s="2">
        <f t="shared" si="211"/>
        <v>0</v>
      </c>
      <c r="CT237" s="2">
        <f t="shared" si="211"/>
        <v>0</v>
      </c>
      <c r="CU237" s="2">
        <f t="shared" si="211"/>
        <v>0</v>
      </c>
      <c r="CV237" s="2">
        <f t="shared" si="211"/>
        <v>0</v>
      </c>
      <c r="CW237" s="2">
        <f t="shared" si="211"/>
        <v>0</v>
      </c>
      <c r="CX237" s="2">
        <f t="shared" si="211"/>
        <v>0</v>
      </c>
      <c r="CY237" s="2">
        <f t="shared" si="211"/>
        <v>0</v>
      </c>
      <c r="CZ237" s="2">
        <f t="shared" si="211"/>
        <v>0</v>
      </c>
      <c r="DA237" s="2">
        <f t="shared" si="211"/>
        <v>0</v>
      </c>
      <c r="DB237" s="2">
        <f t="shared" si="211"/>
        <v>0</v>
      </c>
      <c r="DC237" s="2">
        <f t="shared" si="211"/>
        <v>0</v>
      </c>
      <c r="DD237" s="2">
        <f t="shared" si="211"/>
        <v>0</v>
      </c>
      <c r="DE237" s="2">
        <f t="shared" si="211"/>
        <v>0</v>
      </c>
      <c r="DF237" s="2">
        <f t="shared" si="211"/>
        <v>0</v>
      </c>
      <c r="DG237" s="3">
        <f t="shared" ref="DG237:EL237" si="212">DG245</f>
        <v>0</v>
      </c>
      <c r="DH237" s="3">
        <f t="shared" si="212"/>
        <v>0</v>
      </c>
      <c r="DI237" s="3">
        <f t="shared" si="212"/>
        <v>0</v>
      </c>
      <c r="DJ237" s="3">
        <f t="shared" si="212"/>
        <v>0</v>
      </c>
      <c r="DK237" s="3">
        <f t="shared" si="212"/>
        <v>0</v>
      </c>
      <c r="DL237" s="3">
        <f t="shared" si="212"/>
        <v>0</v>
      </c>
      <c r="DM237" s="3">
        <f t="shared" si="212"/>
        <v>0</v>
      </c>
      <c r="DN237" s="3">
        <f t="shared" si="212"/>
        <v>0</v>
      </c>
      <c r="DO237" s="3">
        <f t="shared" si="212"/>
        <v>0</v>
      </c>
      <c r="DP237" s="3">
        <f t="shared" si="212"/>
        <v>0</v>
      </c>
      <c r="DQ237" s="3">
        <f t="shared" si="212"/>
        <v>0</v>
      </c>
      <c r="DR237" s="3">
        <f t="shared" si="212"/>
        <v>0</v>
      </c>
      <c r="DS237" s="3">
        <f t="shared" si="212"/>
        <v>0</v>
      </c>
      <c r="DT237" s="3">
        <f t="shared" si="212"/>
        <v>0</v>
      </c>
      <c r="DU237" s="3">
        <f t="shared" si="212"/>
        <v>0</v>
      </c>
      <c r="DV237" s="3">
        <f t="shared" si="212"/>
        <v>0</v>
      </c>
      <c r="DW237" s="3">
        <f t="shared" si="212"/>
        <v>0</v>
      </c>
      <c r="DX237" s="3">
        <f t="shared" si="212"/>
        <v>0</v>
      </c>
      <c r="DY237" s="3">
        <f t="shared" si="212"/>
        <v>0</v>
      </c>
      <c r="DZ237" s="3">
        <f t="shared" si="212"/>
        <v>0</v>
      </c>
      <c r="EA237" s="3">
        <f t="shared" si="212"/>
        <v>0</v>
      </c>
      <c r="EB237" s="3">
        <f t="shared" si="212"/>
        <v>0</v>
      </c>
      <c r="EC237" s="3">
        <f t="shared" si="212"/>
        <v>0</v>
      </c>
      <c r="ED237" s="3">
        <f t="shared" si="212"/>
        <v>0</v>
      </c>
      <c r="EE237" s="3">
        <f t="shared" si="212"/>
        <v>0</v>
      </c>
      <c r="EF237" s="3">
        <f t="shared" si="212"/>
        <v>0</v>
      </c>
      <c r="EG237" s="3">
        <f t="shared" si="212"/>
        <v>0</v>
      </c>
      <c r="EH237" s="3">
        <f t="shared" si="212"/>
        <v>0</v>
      </c>
      <c r="EI237" s="3">
        <f t="shared" si="212"/>
        <v>0</v>
      </c>
      <c r="EJ237" s="3">
        <f t="shared" si="212"/>
        <v>0</v>
      </c>
      <c r="EK237" s="3">
        <f t="shared" si="212"/>
        <v>0</v>
      </c>
      <c r="EL237" s="3">
        <f t="shared" si="212"/>
        <v>0</v>
      </c>
      <c r="EM237" s="3">
        <f t="shared" ref="EM237:FR237" si="213">EM245</f>
        <v>0</v>
      </c>
      <c r="EN237" s="3">
        <f t="shared" si="213"/>
        <v>0</v>
      </c>
      <c r="EO237" s="3">
        <f t="shared" si="213"/>
        <v>0</v>
      </c>
      <c r="EP237" s="3">
        <f t="shared" si="213"/>
        <v>0</v>
      </c>
      <c r="EQ237" s="3">
        <f t="shared" si="213"/>
        <v>0</v>
      </c>
      <c r="ER237" s="3">
        <f t="shared" si="213"/>
        <v>0</v>
      </c>
      <c r="ES237" s="3">
        <f t="shared" si="213"/>
        <v>0</v>
      </c>
      <c r="ET237" s="3">
        <f t="shared" si="213"/>
        <v>0</v>
      </c>
      <c r="EU237" s="3">
        <f t="shared" si="213"/>
        <v>0</v>
      </c>
      <c r="EV237" s="3">
        <f t="shared" si="213"/>
        <v>0</v>
      </c>
      <c r="EW237" s="3">
        <f t="shared" si="213"/>
        <v>0</v>
      </c>
      <c r="EX237" s="3">
        <f t="shared" si="213"/>
        <v>0</v>
      </c>
      <c r="EY237" s="3">
        <f t="shared" si="213"/>
        <v>0</v>
      </c>
      <c r="EZ237" s="3">
        <f t="shared" si="213"/>
        <v>0</v>
      </c>
      <c r="FA237" s="3">
        <f t="shared" si="213"/>
        <v>0</v>
      </c>
      <c r="FB237" s="3">
        <f t="shared" si="213"/>
        <v>0</v>
      </c>
      <c r="FC237" s="3">
        <f t="shared" si="213"/>
        <v>0</v>
      </c>
      <c r="FD237" s="3">
        <f t="shared" si="213"/>
        <v>0</v>
      </c>
      <c r="FE237" s="3">
        <f t="shared" si="213"/>
        <v>0</v>
      </c>
      <c r="FF237" s="3">
        <f t="shared" si="213"/>
        <v>0</v>
      </c>
      <c r="FG237" s="3">
        <f t="shared" si="213"/>
        <v>0</v>
      </c>
      <c r="FH237" s="3">
        <f t="shared" si="213"/>
        <v>0</v>
      </c>
      <c r="FI237" s="3">
        <f t="shared" si="213"/>
        <v>0</v>
      </c>
      <c r="FJ237" s="3">
        <f t="shared" si="213"/>
        <v>0</v>
      </c>
      <c r="FK237" s="3">
        <f t="shared" si="213"/>
        <v>0</v>
      </c>
      <c r="FL237" s="3">
        <f t="shared" si="213"/>
        <v>0</v>
      </c>
      <c r="FM237" s="3">
        <f t="shared" si="213"/>
        <v>0</v>
      </c>
      <c r="FN237" s="3">
        <f t="shared" si="213"/>
        <v>0</v>
      </c>
      <c r="FO237" s="3">
        <f t="shared" si="213"/>
        <v>0</v>
      </c>
      <c r="FP237" s="3">
        <f t="shared" si="213"/>
        <v>0</v>
      </c>
      <c r="FQ237" s="3">
        <f t="shared" si="213"/>
        <v>0</v>
      </c>
      <c r="FR237" s="3">
        <f t="shared" si="213"/>
        <v>0</v>
      </c>
      <c r="FS237" s="3">
        <f t="shared" ref="FS237:GX237" si="214">FS245</f>
        <v>0</v>
      </c>
      <c r="FT237" s="3">
        <f t="shared" si="214"/>
        <v>0</v>
      </c>
      <c r="FU237" s="3">
        <f t="shared" si="214"/>
        <v>0</v>
      </c>
      <c r="FV237" s="3">
        <f t="shared" si="214"/>
        <v>0</v>
      </c>
      <c r="FW237" s="3">
        <f t="shared" si="214"/>
        <v>0</v>
      </c>
      <c r="FX237" s="3">
        <f t="shared" si="214"/>
        <v>0</v>
      </c>
      <c r="FY237" s="3">
        <f t="shared" si="214"/>
        <v>0</v>
      </c>
      <c r="FZ237" s="3">
        <f t="shared" si="214"/>
        <v>0</v>
      </c>
      <c r="GA237" s="3">
        <f t="shared" si="214"/>
        <v>0</v>
      </c>
      <c r="GB237" s="3">
        <f t="shared" si="214"/>
        <v>0</v>
      </c>
      <c r="GC237" s="3">
        <f t="shared" si="214"/>
        <v>0</v>
      </c>
      <c r="GD237" s="3">
        <f t="shared" si="214"/>
        <v>0</v>
      </c>
      <c r="GE237" s="3">
        <f t="shared" si="214"/>
        <v>0</v>
      </c>
      <c r="GF237" s="3">
        <f t="shared" si="214"/>
        <v>0</v>
      </c>
      <c r="GG237" s="3">
        <f t="shared" si="214"/>
        <v>0</v>
      </c>
      <c r="GH237" s="3">
        <f t="shared" si="214"/>
        <v>0</v>
      </c>
      <c r="GI237" s="3">
        <f t="shared" si="214"/>
        <v>0</v>
      </c>
      <c r="GJ237" s="3">
        <f t="shared" si="214"/>
        <v>0</v>
      </c>
      <c r="GK237" s="3">
        <f t="shared" si="214"/>
        <v>0</v>
      </c>
      <c r="GL237" s="3">
        <f t="shared" si="214"/>
        <v>0</v>
      </c>
      <c r="GM237" s="3">
        <f t="shared" si="214"/>
        <v>0</v>
      </c>
      <c r="GN237" s="3">
        <f t="shared" si="214"/>
        <v>0</v>
      </c>
      <c r="GO237" s="3">
        <f t="shared" si="214"/>
        <v>0</v>
      </c>
      <c r="GP237" s="3">
        <f t="shared" si="214"/>
        <v>0</v>
      </c>
      <c r="GQ237" s="3">
        <f t="shared" si="214"/>
        <v>0</v>
      </c>
      <c r="GR237" s="3">
        <f t="shared" si="214"/>
        <v>0</v>
      </c>
      <c r="GS237" s="3">
        <f t="shared" si="214"/>
        <v>0</v>
      </c>
      <c r="GT237" s="3">
        <f t="shared" si="214"/>
        <v>0</v>
      </c>
      <c r="GU237" s="3">
        <f t="shared" si="214"/>
        <v>0</v>
      </c>
      <c r="GV237" s="3">
        <f t="shared" si="214"/>
        <v>0</v>
      </c>
      <c r="GW237" s="3">
        <f t="shared" si="214"/>
        <v>0</v>
      </c>
      <c r="GX237" s="3">
        <f t="shared" si="214"/>
        <v>0</v>
      </c>
    </row>
    <row r="239" spans="1:245" x14ac:dyDescent="0.2">
      <c r="A239">
        <v>17</v>
      </c>
      <c r="B239">
        <v>1</v>
      </c>
      <c r="C239">
        <f>ROW(SmtRes!A79)</f>
        <v>79</v>
      </c>
      <c r="D239">
        <f>ROW(EtalonRes!A71)</f>
        <v>71</v>
      </c>
      <c r="E239" t="s">
        <v>193</v>
      </c>
      <c r="F239" t="s">
        <v>194</v>
      </c>
      <c r="G239" t="s">
        <v>195</v>
      </c>
      <c r="H239" t="s">
        <v>39</v>
      </c>
      <c r="I239">
        <f>ROUND(392/100,9)</f>
        <v>3.92</v>
      </c>
      <c r="J239">
        <v>0</v>
      </c>
      <c r="O239">
        <f>ROUND(CP239,2)</f>
        <v>416151.99</v>
      </c>
      <c r="P239">
        <f>ROUND(CQ239*I239,2)</f>
        <v>391110.87</v>
      </c>
      <c r="Q239">
        <f>ROUND(CR239*I239,2)</f>
        <v>9821.68</v>
      </c>
      <c r="R239">
        <f>ROUND(CS239*I239,2)</f>
        <v>7697.74</v>
      </c>
      <c r="S239">
        <f>ROUND(CT239*I239,2)</f>
        <v>15219.44</v>
      </c>
      <c r="T239">
        <f>ROUND(CU239*I239,2)</f>
        <v>0</v>
      </c>
      <c r="U239">
        <f>CV239*I239</f>
        <v>72.284800000000004</v>
      </c>
      <c r="V239">
        <f>CW239*I239</f>
        <v>0</v>
      </c>
      <c r="W239">
        <f>ROUND(CX239*I239,2)</f>
        <v>0</v>
      </c>
      <c r="X239">
        <f t="shared" ref="X239:Y243" si="215">ROUND(CY239,2)</f>
        <v>10653.61</v>
      </c>
      <c r="Y239">
        <f t="shared" si="215"/>
        <v>1521.94</v>
      </c>
      <c r="AA239">
        <v>56440881</v>
      </c>
      <c r="AB239">
        <f>ROUND((AC239+AD239+AF239),2)</f>
        <v>106161.22</v>
      </c>
      <c r="AC239">
        <f>ROUND((ES239),2)</f>
        <v>99773.18</v>
      </c>
      <c r="AD239">
        <f>ROUND((((ET239)-(EU239))+AE239),2)</f>
        <v>2505.5300000000002</v>
      </c>
      <c r="AE239">
        <f>ROUND((EU239),2)</f>
        <v>1963.71</v>
      </c>
      <c r="AF239">
        <f>ROUND((EV239),2)</f>
        <v>3882.51</v>
      </c>
      <c r="AG239">
        <f>ROUND((AP239),2)</f>
        <v>0</v>
      </c>
      <c r="AH239">
        <f>(EW239)</f>
        <v>18.440000000000001</v>
      </c>
      <c r="AI239">
        <f>(EX239)</f>
        <v>0</v>
      </c>
      <c r="AJ239">
        <f>(AS239)</f>
        <v>0</v>
      </c>
      <c r="AK239">
        <v>106161.22</v>
      </c>
      <c r="AL239">
        <v>99773.18</v>
      </c>
      <c r="AM239">
        <v>2505.5300000000002</v>
      </c>
      <c r="AN239">
        <v>1963.71</v>
      </c>
      <c r="AO239">
        <v>3882.51</v>
      </c>
      <c r="AP239">
        <v>0</v>
      </c>
      <c r="AQ239">
        <v>18.440000000000001</v>
      </c>
      <c r="AR239">
        <v>0</v>
      </c>
      <c r="AS239">
        <v>0</v>
      </c>
      <c r="AT239">
        <v>70</v>
      </c>
      <c r="AU239">
        <v>10</v>
      </c>
      <c r="AV239">
        <v>1</v>
      </c>
      <c r="AW239">
        <v>1</v>
      </c>
      <c r="AZ239">
        <v>1</v>
      </c>
      <c r="BA239">
        <v>1</v>
      </c>
      <c r="BB239">
        <v>1</v>
      </c>
      <c r="BC239">
        <v>1</v>
      </c>
      <c r="BD239" t="s">
        <v>3</v>
      </c>
      <c r="BE239" t="s">
        <v>3</v>
      </c>
      <c r="BF239" t="s">
        <v>3</v>
      </c>
      <c r="BG239" t="s">
        <v>3</v>
      </c>
      <c r="BH239">
        <v>0</v>
      </c>
      <c r="BI239">
        <v>4</v>
      </c>
      <c r="BJ239" t="s">
        <v>196</v>
      </c>
      <c r="BM239">
        <v>0</v>
      </c>
      <c r="BN239">
        <v>0</v>
      </c>
      <c r="BO239" t="s">
        <v>3</v>
      </c>
      <c r="BP239">
        <v>0</v>
      </c>
      <c r="BQ239">
        <v>1</v>
      </c>
      <c r="BR239">
        <v>0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 t="s">
        <v>3</v>
      </c>
      <c r="BZ239">
        <v>70</v>
      </c>
      <c r="CA239">
        <v>10</v>
      </c>
      <c r="CE239">
        <v>0</v>
      </c>
      <c r="CF239">
        <v>0</v>
      </c>
      <c r="CG239">
        <v>0</v>
      </c>
      <c r="CM239">
        <v>0</v>
      </c>
      <c r="CN239" t="s">
        <v>3</v>
      </c>
      <c r="CO239">
        <v>0</v>
      </c>
      <c r="CP239">
        <f>(P239+Q239+S239)</f>
        <v>416151.99</v>
      </c>
      <c r="CQ239">
        <f>(AC239*BC239*AW239)</f>
        <v>99773.18</v>
      </c>
      <c r="CR239">
        <f>((((ET239)*BB239-(EU239)*BS239)+AE239*BS239)*AV239)</f>
        <v>2505.5300000000002</v>
      </c>
      <c r="CS239">
        <f>(AE239*BS239*AV239)</f>
        <v>1963.71</v>
      </c>
      <c r="CT239">
        <f>(AF239*BA239*AV239)</f>
        <v>3882.51</v>
      </c>
      <c r="CU239">
        <f>AG239</f>
        <v>0</v>
      </c>
      <c r="CV239">
        <f>(AH239*AV239)</f>
        <v>18.440000000000001</v>
      </c>
      <c r="CW239">
        <f t="shared" ref="CW239:CX243" si="216">AI239</f>
        <v>0</v>
      </c>
      <c r="CX239">
        <f t="shared" si="216"/>
        <v>0</v>
      </c>
      <c r="CY239">
        <f>((S239*BZ239)/100)</f>
        <v>10653.608</v>
      </c>
      <c r="CZ239">
        <f>((S239*CA239)/100)</f>
        <v>1521.944</v>
      </c>
      <c r="DC239" t="s">
        <v>3</v>
      </c>
      <c r="DD239" t="s">
        <v>3</v>
      </c>
      <c r="DE239" t="s">
        <v>3</v>
      </c>
      <c r="DF239" t="s">
        <v>3</v>
      </c>
      <c r="DG239" t="s">
        <v>3</v>
      </c>
      <c r="DH239" t="s">
        <v>3</v>
      </c>
      <c r="DI239" t="s">
        <v>3</v>
      </c>
      <c r="DJ239" t="s">
        <v>3</v>
      </c>
      <c r="DK239" t="s">
        <v>3</v>
      </c>
      <c r="DL239" t="s">
        <v>3</v>
      </c>
      <c r="DM239" t="s">
        <v>3</v>
      </c>
      <c r="DN239">
        <v>0</v>
      </c>
      <c r="DO239">
        <v>0</v>
      </c>
      <c r="DP239">
        <v>1</v>
      </c>
      <c r="DQ239">
        <v>1</v>
      </c>
      <c r="DU239">
        <v>1005</v>
      </c>
      <c r="DV239" t="s">
        <v>39</v>
      </c>
      <c r="DW239" t="s">
        <v>39</v>
      </c>
      <c r="DX239">
        <v>100</v>
      </c>
      <c r="DZ239" t="s">
        <v>3</v>
      </c>
      <c r="EA239" t="s">
        <v>3</v>
      </c>
      <c r="EB239" t="s">
        <v>3</v>
      </c>
      <c r="EC239" t="s">
        <v>3</v>
      </c>
      <c r="EE239">
        <v>54545671</v>
      </c>
      <c r="EF239">
        <v>1</v>
      </c>
      <c r="EG239" t="s">
        <v>20</v>
      </c>
      <c r="EH239">
        <v>0</v>
      </c>
      <c r="EI239" t="s">
        <v>3</v>
      </c>
      <c r="EJ239">
        <v>4</v>
      </c>
      <c r="EK239">
        <v>0</v>
      </c>
      <c r="EL239" t="s">
        <v>21</v>
      </c>
      <c r="EM239" t="s">
        <v>22</v>
      </c>
      <c r="EO239" t="s">
        <v>3</v>
      </c>
      <c r="EQ239">
        <v>0</v>
      </c>
      <c r="ER239">
        <v>106161.22</v>
      </c>
      <c r="ES239">
        <v>99773.18</v>
      </c>
      <c r="ET239">
        <v>2505.5300000000002</v>
      </c>
      <c r="EU239">
        <v>1963.71</v>
      </c>
      <c r="EV239">
        <v>3882.51</v>
      </c>
      <c r="EW239">
        <v>18.440000000000001</v>
      </c>
      <c r="EX239">
        <v>0</v>
      </c>
      <c r="EY239">
        <v>0</v>
      </c>
      <c r="FQ239">
        <v>0</v>
      </c>
      <c r="FR239">
        <f>ROUND(IF(AND(BH239=3,BI239=3),P239,0),2)</f>
        <v>0</v>
      </c>
      <c r="FS239">
        <v>0</v>
      </c>
      <c r="FX239">
        <v>70</v>
      </c>
      <c r="FY239">
        <v>10</v>
      </c>
      <c r="GA239" t="s">
        <v>3</v>
      </c>
      <c r="GD239">
        <v>0</v>
      </c>
      <c r="GF239">
        <v>1797744374</v>
      </c>
      <c r="GG239">
        <v>2</v>
      </c>
      <c r="GH239">
        <v>1</v>
      </c>
      <c r="GI239">
        <v>-2</v>
      </c>
      <c r="GJ239">
        <v>0</v>
      </c>
      <c r="GK239">
        <f>ROUND(R239*(R12)/100,2)</f>
        <v>8313.56</v>
      </c>
      <c r="GL239">
        <f>ROUND(IF(AND(BH239=3,BI239=3,FS239&lt;&gt;0),P239,0),2)</f>
        <v>0</v>
      </c>
      <c r="GM239">
        <f>ROUND(O239+X239+Y239+GK239,2)+GX239</f>
        <v>436641.1</v>
      </c>
      <c r="GN239">
        <f>IF(OR(BI239=0,BI239=1),ROUND(O239+X239+Y239+GK239,2),0)</f>
        <v>0</v>
      </c>
      <c r="GO239">
        <f>IF(BI239=2,ROUND(O239+X239+Y239+GK239,2),0)</f>
        <v>0</v>
      </c>
      <c r="GP239">
        <f>IF(BI239=4,ROUND(O239+X239+Y239+GK239,2)+GX239,0)</f>
        <v>436641.1</v>
      </c>
      <c r="GR239">
        <v>0</v>
      </c>
      <c r="GS239">
        <v>3</v>
      </c>
      <c r="GT239">
        <v>0</v>
      </c>
      <c r="GU239" t="s">
        <v>3</v>
      </c>
      <c r="GV239">
        <f>ROUND((GT239),2)</f>
        <v>0</v>
      </c>
      <c r="GW239">
        <v>1</v>
      </c>
      <c r="GX239">
        <f>ROUND(HC239*I239,2)</f>
        <v>0</v>
      </c>
      <c r="HA239">
        <v>0</v>
      </c>
      <c r="HB239">
        <v>0</v>
      </c>
      <c r="HC239">
        <f>GV239*GW239</f>
        <v>0</v>
      </c>
      <c r="HE239" t="s">
        <v>3</v>
      </c>
      <c r="HF239" t="s">
        <v>3</v>
      </c>
      <c r="IK239">
        <v>0</v>
      </c>
    </row>
    <row r="240" spans="1:245" x14ac:dyDescent="0.2">
      <c r="A240">
        <v>18</v>
      </c>
      <c r="B240">
        <v>1</v>
      </c>
      <c r="C240">
        <v>79</v>
      </c>
      <c r="E240" t="s">
        <v>197</v>
      </c>
      <c r="F240" t="s">
        <v>198</v>
      </c>
      <c r="G240" t="s">
        <v>199</v>
      </c>
      <c r="H240" t="s">
        <v>44</v>
      </c>
      <c r="I240">
        <f>I239*J240</f>
        <v>-0.20580000000000001</v>
      </c>
      <c r="J240">
        <v>-5.2500000000000005E-2</v>
      </c>
      <c r="O240">
        <f>ROUND(CP240,2)</f>
        <v>-153997.75</v>
      </c>
      <c r="P240">
        <f>ROUND(CQ240*I240,2)</f>
        <v>-153997.75</v>
      </c>
      <c r="Q240">
        <f>ROUND(CR240*I240,2)</f>
        <v>0</v>
      </c>
      <c r="R240">
        <f>ROUND(CS240*I240,2)</f>
        <v>0</v>
      </c>
      <c r="S240">
        <f>ROUND(CT240*I240,2)</f>
        <v>0</v>
      </c>
      <c r="T240">
        <f>ROUND(CU240*I240,2)</f>
        <v>0</v>
      </c>
      <c r="U240">
        <f>CV240*I240</f>
        <v>0</v>
      </c>
      <c r="V240">
        <f>CW240*I240</f>
        <v>0</v>
      </c>
      <c r="W240">
        <f>ROUND(CX240*I240,2)</f>
        <v>0</v>
      </c>
      <c r="X240">
        <f t="shared" si="215"/>
        <v>0</v>
      </c>
      <c r="Y240">
        <f t="shared" si="215"/>
        <v>0</v>
      </c>
      <c r="AA240">
        <v>56440881</v>
      </c>
      <c r="AB240">
        <f>ROUND((AC240+AD240+AF240),2)</f>
        <v>748288.41</v>
      </c>
      <c r="AC240">
        <f>ROUND((ES240),2)</f>
        <v>748288.41</v>
      </c>
      <c r="AD240">
        <f>ROUND((((ET240)-(EU240))+AE240),2)</f>
        <v>0</v>
      </c>
      <c r="AE240">
        <f>ROUND((EU240),2)</f>
        <v>0</v>
      </c>
      <c r="AF240">
        <f>ROUND((EV240),2)</f>
        <v>0</v>
      </c>
      <c r="AG240">
        <f>ROUND((AP240),2)</f>
        <v>0</v>
      </c>
      <c r="AH240">
        <f>(EW240)</f>
        <v>0</v>
      </c>
      <c r="AI240">
        <f>(EX240)</f>
        <v>0</v>
      </c>
      <c r="AJ240">
        <f>(AS240)</f>
        <v>0</v>
      </c>
      <c r="AK240">
        <v>748288.41</v>
      </c>
      <c r="AL240">
        <v>748288.41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70</v>
      </c>
      <c r="AU240">
        <v>10</v>
      </c>
      <c r="AV240">
        <v>1</v>
      </c>
      <c r="AW240">
        <v>1</v>
      </c>
      <c r="AZ240">
        <v>1</v>
      </c>
      <c r="BA240">
        <v>1</v>
      </c>
      <c r="BB240">
        <v>1</v>
      </c>
      <c r="BC240">
        <v>1</v>
      </c>
      <c r="BD240" t="s">
        <v>3</v>
      </c>
      <c r="BE240" t="s">
        <v>3</v>
      </c>
      <c r="BF240" t="s">
        <v>3</v>
      </c>
      <c r="BG240" t="s">
        <v>3</v>
      </c>
      <c r="BH240">
        <v>3</v>
      </c>
      <c r="BI240">
        <v>4</v>
      </c>
      <c r="BJ240" t="s">
        <v>200</v>
      </c>
      <c r="BM240">
        <v>0</v>
      </c>
      <c r="BN240">
        <v>0</v>
      </c>
      <c r="BO240" t="s">
        <v>3</v>
      </c>
      <c r="BP240">
        <v>0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 t="s">
        <v>3</v>
      </c>
      <c r="BZ240">
        <v>70</v>
      </c>
      <c r="CA240">
        <v>10</v>
      </c>
      <c r="CE240">
        <v>0</v>
      </c>
      <c r="CF240">
        <v>0</v>
      </c>
      <c r="CG240">
        <v>0</v>
      </c>
      <c r="CM240">
        <v>0</v>
      </c>
      <c r="CN240" t="s">
        <v>3</v>
      </c>
      <c r="CO240">
        <v>0</v>
      </c>
      <c r="CP240">
        <f>(P240+Q240+S240)</f>
        <v>-153997.75</v>
      </c>
      <c r="CQ240">
        <f>(AC240*BC240*AW240)</f>
        <v>748288.41</v>
      </c>
      <c r="CR240">
        <f>((((ET240)*BB240-(EU240)*BS240)+AE240*BS240)*AV240)</f>
        <v>0</v>
      </c>
      <c r="CS240">
        <f>(AE240*BS240*AV240)</f>
        <v>0</v>
      </c>
      <c r="CT240">
        <f>(AF240*BA240*AV240)</f>
        <v>0</v>
      </c>
      <c r="CU240">
        <f>AG240</f>
        <v>0</v>
      </c>
      <c r="CV240">
        <f>(AH240*AV240)</f>
        <v>0</v>
      </c>
      <c r="CW240">
        <f t="shared" si="216"/>
        <v>0</v>
      </c>
      <c r="CX240">
        <f t="shared" si="216"/>
        <v>0</v>
      </c>
      <c r="CY240">
        <f>((S240*BZ240)/100)</f>
        <v>0</v>
      </c>
      <c r="CZ240">
        <f>((S240*CA240)/100)</f>
        <v>0</v>
      </c>
      <c r="DC240" t="s">
        <v>3</v>
      </c>
      <c r="DD240" t="s">
        <v>3</v>
      </c>
      <c r="DE240" t="s">
        <v>3</v>
      </c>
      <c r="DF240" t="s">
        <v>3</v>
      </c>
      <c r="DG240" t="s">
        <v>3</v>
      </c>
      <c r="DH240" t="s">
        <v>3</v>
      </c>
      <c r="DI240" t="s">
        <v>3</v>
      </c>
      <c r="DJ240" t="s">
        <v>3</v>
      </c>
      <c r="DK240" t="s">
        <v>3</v>
      </c>
      <c r="DL240" t="s">
        <v>3</v>
      </c>
      <c r="DM240" t="s">
        <v>3</v>
      </c>
      <c r="DN240">
        <v>0</v>
      </c>
      <c r="DO240">
        <v>0</v>
      </c>
      <c r="DP240">
        <v>1</v>
      </c>
      <c r="DQ240">
        <v>1</v>
      </c>
      <c r="DU240">
        <v>1009</v>
      </c>
      <c r="DV240" t="s">
        <v>44</v>
      </c>
      <c r="DW240" t="s">
        <v>44</v>
      </c>
      <c r="DX240">
        <v>1000</v>
      </c>
      <c r="DZ240" t="s">
        <v>3</v>
      </c>
      <c r="EA240" t="s">
        <v>3</v>
      </c>
      <c r="EB240" t="s">
        <v>3</v>
      </c>
      <c r="EC240" t="s">
        <v>3</v>
      </c>
      <c r="EE240">
        <v>54545671</v>
      </c>
      <c r="EF240">
        <v>1</v>
      </c>
      <c r="EG240" t="s">
        <v>20</v>
      </c>
      <c r="EH240">
        <v>0</v>
      </c>
      <c r="EI240" t="s">
        <v>3</v>
      </c>
      <c r="EJ240">
        <v>4</v>
      </c>
      <c r="EK240">
        <v>0</v>
      </c>
      <c r="EL240" t="s">
        <v>21</v>
      </c>
      <c r="EM240" t="s">
        <v>22</v>
      </c>
      <c r="EO240" t="s">
        <v>3</v>
      </c>
      <c r="EQ240">
        <v>0</v>
      </c>
      <c r="ER240">
        <v>748288.41</v>
      </c>
      <c r="ES240">
        <v>748288.41</v>
      </c>
      <c r="ET240">
        <v>0</v>
      </c>
      <c r="EU240">
        <v>0</v>
      </c>
      <c r="EV240">
        <v>0</v>
      </c>
      <c r="EW240">
        <v>0</v>
      </c>
      <c r="EX240">
        <v>0</v>
      </c>
      <c r="FQ240">
        <v>0</v>
      </c>
      <c r="FR240">
        <f>ROUND(IF(AND(BH240=3,BI240=3),P240,0),2)</f>
        <v>0</v>
      </c>
      <c r="FS240">
        <v>0</v>
      </c>
      <c r="FX240">
        <v>70</v>
      </c>
      <c r="FY240">
        <v>10</v>
      </c>
      <c r="GA240" t="s">
        <v>3</v>
      </c>
      <c r="GD240">
        <v>0</v>
      </c>
      <c r="GF240">
        <v>-1486531542</v>
      </c>
      <c r="GG240">
        <v>2</v>
      </c>
      <c r="GH240">
        <v>1</v>
      </c>
      <c r="GI240">
        <v>-2</v>
      </c>
      <c r="GJ240">
        <v>0</v>
      </c>
      <c r="GK240">
        <f>ROUND(R240*(R12)/100,2)</f>
        <v>0</v>
      </c>
      <c r="GL240">
        <f>ROUND(IF(AND(BH240=3,BI240=3,FS240&lt;&gt;0),P240,0),2)</f>
        <v>0</v>
      </c>
      <c r="GM240">
        <f>ROUND(O240+X240+Y240+GK240,2)+GX240</f>
        <v>-153997.75</v>
      </c>
      <c r="GN240">
        <f>IF(OR(BI240=0,BI240=1),ROUND(O240+X240+Y240+GK240,2),0)</f>
        <v>0</v>
      </c>
      <c r="GO240">
        <f>IF(BI240=2,ROUND(O240+X240+Y240+GK240,2),0)</f>
        <v>0</v>
      </c>
      <c r="GP240">
        <f>IF(BI240=4,ROUND(O240+X240+Y240+GK240,2)+GX240,0)</f>
        <v>-153997.75</v>
      </c>
      <c r="GR240">
        <v>0</v>
      </c>
      <c r="GS240">
        <v>3</v>
      </c>
      <c r="GT240">
        <v>0</v>
      </c>
      <c r="GU240" t="s">
        <v>3</v>
      </c>
      <c r="GV240">
        <f>ROUND((GT240),2)</f>
        <v>0</v>
      </c>
      <c r="GW240">
        <v>1</v>
      </c>
      <c r="GX240">
        <f>ROUND(HC240*I240,2)</f>
        <v>0</v>
      </c>
      <c r="HA240">
        <v>0</v>
      </c>
      <c r="HB240">
        <v>0</v>
      </c>
      <c r="HC240">
        <f>GV240*GW240</f>
        <v>0</v>
      </c>
      <c r="HE240" t="s">
        <v>3</v>
      </c>
      <c r="HF240" t="s">
        <v>3</v>
      </c>
      <c r="IK240">
        <v>0</v>
      </c>
    </row>
    <row r="241" spans="1:245" x14ac:dyDescent="0.2">
      <c r="A241">
        <v>17</v>
      </c>
      <c r="B241">
        <v>1</v>
      </c>
      <c r="C241">
        <f>ROW(SmtRes!A86)</f>
        <v>86</v>
      </c>
      <c r="D241">
        <f>ROW(EtalonRes!A77)</f>
        <v>77</v>
      </c>
      <c r="E241" t="s">
        <v>201</v>
      </c>
      <c r="F241" t="s">
        <v>202</v>
      </c>
      <c r="G241" t="s">
        <v>203</v>
      </c>
      <c r="H241" t="s">
        <v>39</v>
      </c>
      <c r="I241">
        <f>ROUND(I239,9)</f>
        <v>3.92</v>
      </c>
      <c r="J241">
        <v>0</v>
      </c>
      <c r="O241">
        <f>ROUND(CP241,2)</f>
        <v>383592.97</v>
      </c>
      <c r="P241">
        <f>ROUND(CQ241*I241,2)</f>
        <v>363098.82</v>
      </c>
      <c r="Q241">
        <f>ROUND(CR241*I241,2)</f>
        <v>9245.1200000000008</v>
      </c>
      <c r="R241">
        <f>ROUND(CS241*I241,2)</f>
        <v>7267.29</v>
      </c>
      <c r="S241">
        <f>ROUND(CT241*I241,2)</f>
        <v>11249.03</v>
      </c>
      <c r="T241">
        <f>ROUND(CU241*I241,2)</f>
        <v>0</v>
      </c>
      <c r="U241">
        <f>CV241*I241</f>
        <v>51.94</v>
      </c>
      <c r="V241">
        <f>CW241*I241</f>
        <v>0</v>
      </c>
      <c r="W241">
        <f>ROUND(CX241*I241,2)</f>
        <v>0</v>
      </c>
      <c r="X241">
        <f t="shared" si="215"/>
        <v>7874.32</v>
      </c>
      <c r="Y241">
        <f t="shared" si="215"/>
        <v>1124.9000000000001</v>
      </c>
      <c r="AA241">
        <v>56440881</v>
      </c>
      <c r="AB241">
        <f>ROUND((AC241+AD241+AF241),2)</f>
        <v>97855.35</v>
      </c>
      <c r="AC241">
        <f>ROUND(((ES241*5)),2)</f>
        <v>92627.25</v>
      </c>
      <c r="AD241">
        <f>ROUND(((((ET241*5))-((EU241*5)))+AE241),2)</f>
        <v>2358.4499999999998</v>
      </c>
      <c r="AE241">
        <f>ROUND(((EU241*5)),2)</f>
        <v>1853.9</v>
      </c>
      <c r="AF241">
        <f>ROUND(((EV241*5)),2)</f>
        <v>2869.65</v>
      </c>
      <c r="AG241">
        <f>ROUND((AP241),2)</f>
        <v>0</v>
      </c>
      <c r="AH241">
        <f>((EW241*5))</f>
        <v>13.25</v>
      </c>
      <c r="AI241">
        <f>((EX241*5))</f>
        <v>0</v>
      </c>
      <c r="AJ241">
        <f>(AS241)</f>
        <v>0</v>
      </c>
      <c r="AK241">
        <v>19571.07</v>
      </c>
      <c r="AL241">
        <v>18525.45</v>
      </c>
      <c r="AM241">
        <v>471.69</v>
      </c>
      <c r="AN241">
        <v>370.78</v>
      </c>
      <c r="AO241">
        <v>573.92999999999995</v>
      </c>
      <c r="AP241">
        <v>0</v>
      </c>
      <c r="AQ241">
        <v>2.65</v>
      </c>
      <c r="AR241">
        <v>0</v>
      </c>
      <c r="AS241">
        <v>0</v>
      </c>
      <c r="AT241">
        <v>70</v>
      </c>
      <c r="AU241">
        <v>10</v>
      </c>
      <c r="AV241">
        <v>1</v>
      </c>
      <c r="AW241">
        <v>1</v>
      </c>
      <c r="AZ241">
        <v>1</v>
      </c>
      <c r="BA241">
        <v>1</v>
      </c>
      <c r="BB241">
        <v>1</v>
      </c>
      <c r="BC241">
        <v>1</v>
      </c>
      <c r="BD241" t="s">
        <v>3</v>
      </c>
      <c r="BE241" t="s">
        <v>3</v>
      </c>
      <c r="BF241" t="s">
        <v>3</v>
      </c>
      <c r="BG241" t="s">
        <v>3</v>
      </c>
      <c r="BH241">
        <v>0</v>
      </c>
      <c r="BI241">
        <v>4</v>
      </c>
      <c r="BJ241" t="s">
        <v>204</v>
      </c>
      <c r="BM241">
        <v>0</v>
      </c>
      <c r="BN241">
        <v>0</v>
      </c>
      <c r="BO241" t="s">
        <v>3</v>
      </c>
      <c r="BP241">
        <v>0</v>
      </c>
      <c r="BQ241">
        <v>1</v>
      </c>
      <c r="BR241">
        <v>0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 t="s">
        <v>3</v>
      </c>
      <c r="BZ241">
        <v>70</v>
      </c>
      <c r="CA241">
        <v>10</v>
      </c>
      <c r="CE241">
        <v>0</v>
      </c>
      <c r="CF241">
        <v>0</v>
      </c>
      <c r="CG241">
        <v>0</v>
      </c>
      <c r="CM241">
        <v>0</v>
      </c>
      <c r="CN241" t="s">
        <v>3</v>
      </c>
      <c r="CO241">
        <v>0</v>
      </c>
      <c r="CP241">
        <f>(P241+Q241+S241)</f>
        <v>383592.97000000003</v>
      </c>
      <c r="CQ241">
        <f>(AC241*BC241*AW241)</f>
        <v>92627.25</v>
      </c>
      <c r="CR241">
        <f>(((((ET241*5))*BB241-((EU241*5))*BS241)+AE241*BS241)*AV241)</f>
        <v>2358.4499999999998</v>
      </c>
      <c r="CS241">
        <f>(AE241*BS241*AV241)</f>
        <v>1853.9</v>
      </c>
      <c r="CT241">
        <f>(AF241*BA241*AV241)</f>
        <v>2869.65</v>
      </c>
      <c r="CU241">
        <f>AG241</f>
        <v>0</v>
      </c>
      <c r="CV241">
        <f>(AH241*AV241)</f>
        <v>13.25</v>
      </c>
      <c r="CW241">
        <f t="shared" si="216"/>
        <v>0</v>
      </c>
      <c r="CX241">
        <f t="shared" si="216"/>
        <v>0</v>
      </c>
      <c r="CY241">
        <f>((S241*BZ241)/100)</f>
        <v>7874.3210000000008</v>
      </c>
      <c r="CZ241">
        <f>((S241*CA241)/100)</f>
        <v>1124.903</v>
      </c>
      <c r="DC241" t="s">
        <v>3</v>
      </c>
      <c r="DD241" t="s">
        <v>205</v>
      </c>
      <c r="DE241" t="s">
        <v>205</v>
      </c>
      <c r="DF241" t="s">
        <v>205</v>
      </c>
      <c r="DG241" t="s">
        <v>205</v>
      </c>
      <c r="DH241" t="s">
        <v>3</v>
      </c>
      <c r="DI241" t="s">
        <v>205</v>
      </c>
      <c r="DJ241" t="s">
        <v>205</v>
      </c>
      <c r="DK241" t="s">
        <v>3</v>
      </c>
      <c r="DL241" t="s">
        <v>3</v>
      </c>
      <c r="DM241" t="s">
        <v>3</v>
      </c>
      <c r="DN241">
        <v>0</v>
      </c>
      <c r="DO241">
        <v>0</v>
      </c>
      <c r="DP241">
        <v>1</v>
      </c>
      <c r="DQ241">
        <v>1</v>
      </c>
      <c r="DU241">
        <v>1005</v>
      </c>
      <c r="DV241" t="s">
        <v>39</v>
      </c>
      <c r="DW241" t="s">
        <v>39</v>
      </c>
      <c r="DX241">
        <v>100</v>
      </c>
      <c r="DZ241" t="s">
        <v>3</v>
      </c>
      <c r="EA241" t="s">
        <v>3</v>
      </c>
      <c r="EB241" t="s">
        <v>3</v>
      </c>
      <c r="EC241" t="s">
        <v>3</v>
      </c>
      <c r="EE241">
        <v>54545671</v>
      </c>
      <c r="EF241">
        <v>1</v>
      </c>
      <c r="EG241" t="s">
        <v>20</v>
      </c>
      <c r="EH241">
        <v>0</v>
      </c>
      <c r="EI241" t="s">
        <v>3</v>
      </c>
      <c r="EJ241">
        <v>4</v>
      </c>
      <c r="EK241">
        <v>0</v>
      </c>
      <c r="EL241" t="s">
        <v>21</v>
      </c>
      <c r="EM241" t="s">
        <v>22</v>
      </c>
      <c r="EO241" t="s">
        <v>3</v>
      </c>
      <c r="EQ241">
        <v>0</v>
      </c>
      <c r="ER241">
        <v>19571.07</v>
      </c>
      <c r="ES241">
        <v>18525.45</v>
      </c>
      <c r="ET241">
        <v>471.69</v>
      </c>
      <c r="EU241">
        <v>370.78</v>
      </c>
      <c r="EV241">
        <v>573.92999999999995</v>
      </c>
      <c r="EW241">
        <v>2.65</v>
      </c>
      <c r="EX241">
        <v>0</v>
      </c>
      <c r="EY241">
        <v>0</v>
      </c>
      <c r="FQ241">
        <v>0</v>
      </c>
      <c r="FR241">
        <f>ROUND(IF(AND(BH241=3,BI241=3),P241,0),2)</f>
        <v>0</v>
      </c>
      <c r="FS241">
        <v>0</v>
      </c>
      <c r="FX241">
        <v>70</v>
      </c>
      <c r="FY241">
        <v>10</v>
      </c>
      <c r="GA241" t="s">
        <v>3</v>
      </c>
      <c r="GD241">
        <v>0</v>
      </c>
      <c r="GF241">
        <v>1403047607</v>
      </c>
      <c r="GG241">
        <v>2</v>
      </c>
      <c r="GH241">
        <v>1</v>
      </c>
      <c r="GI241">
        <v>-2</v>
      </c>
      <c r="GJ241">
        <v>0</v>
      </c>
      <c r="GK241">
        <f>ROUND(R241*(R12)/100,2)</f>
        <v>7848.67</v>
      </c>
      <c r="GL241">
        <f>ROUND(IF(AND(BH241=3,BI241=3,FS241&lt;&gt;0),P241,0),2)</f>
        <v>0</v>
      </c>
      <c r="GM241">
        <f>ROUND(O241+X241+Y241+GK241,2)+GX241</f>
        <v>400440.86</v>
      </c>
      <c r="GN241">
        <f>IF(OR(BI241=0,BI241=1),ROUND(O241+X241+Y241+GK241,2),0)</f>
        <v>0</v>
      </c>
      <c r="GO241">
        <f>IF(BI241=2,ROUND(O241+X241+Y241+GK241,2),0)</f>
        <v>0</v>
      </c>
      <c r="GP241">
        <f>IF(BI241=4,ROUND(O241+X241+Y241+GK241,2)+GX241,0)</f>
        <v>400440.86</v>
      </c>
      <c r="GR241">
        <v>0</v>
      </c>
      <c r="GS241">
        <v>3</v>
      </c>
      <c r="GT241">
        <v>0</v>
      </c>
      <c r="GU241" t="s">
        <v>3</v>
      </c>
      <c r="GV241">
        <f>ROUND((GT241),2)</f>
        <v>0</v>
      </c>
      <c r="GW241">
        <v>1</v>
      </c>
      <c r="GX241">
        <f>ROUND(HC241*I241,2)</f>
        <v>0</v>
      </c>
      <c r="HA241">
        <v>0</v>
      </c>
      <c r="HB241">
        <v>0</v>
      </c>
      <c r="HC241">
        <f>GV241*GW241</f>
        <v>0</v>
      </c>
      <c r="HE241" t="s">
        <v>3</v>
      </c>
      <c r="HF241" t="s">
        <v>3</v>
      </c>
      <c r="IK241">
        <v>0</v>
      </c>
    </row>
    <row r="242" spans="1:245" x14ac:dyDescent="0.2">
      <c r="A242">
        <v>18</v>
      </c>
      <c r="B242">
        <v>1</v>
      </c>
      <c r="C242">
        <v>85</v>
      </c>
      <c r="E242" t="s">
        <v>206</v>
      </c>
      <c r="F242" t="s">
        <v>198</v>
      </c>
      <c r="G242" t="s">
        <v>199</v>
      </c>
      <c r="H242" t="s">
        <v>44</v>
      </c>
      <c r="I242">
        <f>I241*J242</f>
        <v>-0.20580000000000001</v>
      </c>
      <c r="J242">
        <v>-5.2500000000000005E-2</v>
      </c>
      <c r="O242">
        <f>ROUND(CP242,2)</f>
        <v>-153997.75</v>
      </c>
      <c r="P242">
        <f>ROUND(CQ242*I242,2)</f>
        <v>-153997.75</v>
      </c>
      <c r="Q242">
        <f>ROUND(CR242*I242,2)</f>
        <v>0</v>
      </c>
      <c r="R242">
        <f>ROUND(CS242*I242,2)</f>
        <v>0</v>
      </c>
      <c r="S242">
        <f>ROUND(CT242*I242,2)</f>
        <v>0</v>
      </c>
      <c r="T242">
        <f>ROUND(CU242*I242,2)</f>
        <v>0</v>
      </c>
      <c r="U242">
        <f>CV242*I242</f>
        <v>0</v>
      </c>
      <c r="V242">
        <f>CW242*I242</f>
        <v>0</v>
      </c>
      <c r="W242">
        <f>ROUND(CX242*I242,2)</f>
        <v>0</v>
      </c>
      <c r="X242">
        <f t="shared" si="215"/>
        <v>0</v>
      </c>
      <c r="Y242">
        <f t="shared" si="215"/>
        <v>0</v>
      </c>
      <c r="AA242">
        <v>56440881</v>
      </c>
      <c r="AB242">
        <f>ROUND((AC242+AD242+AF242),2)</f>
        <v>748288.41</v>
      </c>
      <c r="AC242">
        <f>ROUND((ES242),2)</f>
        <v>748288.41</v>
      </c>
      <c r="AD242">
        <f>ROUND((((ET242)-(EU242))+AE242),2)</f>
        <v>0</v>
      </c>
      <c r="AE242">
        <f>ROUND((EU242),2)</f>
        <v>0</v>
      </c>
      <c r="AF242">
        <f>ROUND((EV242),2)</f>
        <v>0</v>
      </c>
      <c r="AG242">
        <f>ROUND((AP242),2)</f>
        <v>0</v>
      </c>
      <c r="AH242">
        <f>(EW242)</f>
        <v>0</v>
      </c>
      <c r="AI242">
        <f>(EX242)</f>
        <v>0</v>
      </c>
      <c r="AJ242">
        <f>(AS242)</f>
        <v>0</v>
      </c>
      <c r="AK242">
        <v>748288.41</v>
      </c>
      <c r="AL242">
        <v>748288.41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70</v>
      </c>
      <c r="AU242">
        <v>10</v>
      </c>
      <c r="AV242">
        <v>1</v>
      </c>
      <c r="AW242">
        <v>1</v>
      </c>
      <c r="AZ242">
        <v>1</v>
      </c>
      <c r="BA242">
        <v>1</v>
      </c>
      <c r="BB242">
        <v>1</v>
      </c>
      <c r="BC242">
        <v>1</v>
      </c>
      <c r="BD242" t="s">
        <v>3</v>
      </c>
      <c r="BE242" t="s">
        <v>3</v>
      </c>
      <c r="BF242" t="s">
        <v>3</v>
      </c>
      <c r="BG242" t="s">
        <v>3</v>
      </c>
      <c r="BH242">
        <v>3</v>
      </c>
      <c r="BI242">
        <v>4</v>
      </c>
      <c r="BJ242" t="s">
        <v>200</v>
      </c>
      <c r="BM242">
        <v>0</v>
      </c>
      <c r="BN242">
        <v>0</v>
      </c>
      <c r="BO242" t="s">
        <v>3</v>
      </c>
      <c r="BP242">
        <v>0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 t="s">
        <v>3</v>
      </c>
      <c r="BZ242">
        <v>70</v>
      </c>
      <c r="CA242">
        <v>10</v>
      </c>
      <c r="CE242">
        <v>0</v>
      </c>
      <c r="CF242">
        <v>0</v>
      </c>
      <c r="CG242">
        <v>0</v>
      </c>
      <c r="CM242">
        <v>0</v>
      </c>
      <c r="CN242" t="s">
        <v>3</v>
      </c>
      <c r="CO242">
        <v>0</v>
      </c>
      <c r="CP242">
        <f>(P242+Q242+S242)</f>
        <v>-153997.75</v>
      </c>
      <c r="CQ242">
        <f>(AC242*BC242*AW242)</f>
        <v>748288.41</v>
      </c>
      <c r="CR242">
        <f>((((ET242)*BB242-(EU242)*BS242)+AE242*BS242)*AV242)</f>
        <v>0</v>
      </c>
      <c r="CS242">
        <f>(AE242*BS242*AV242)</f>
        <v>0</v>
      </c>
      <c r="CT242">
        <f>(AF242*BA242*AV242)</f>
        <v>0</v>
      </c>
      <c r="CU242">
        <f>AG242</f>
        <v>0</v>
      </c>
      <c r="CV242">
        <f>(AH242*AV242)</f>
        <v>0</v>
      </c>
      <c r="CW242">
        <f t="shared" si="216"/>
        <v>0</v>
      </c>
      <c r="CX242">
        <f t="shared" si="216"/>
        <v>0</v>
      </c>
      <c r="CY242">
        <f>((S242*BZ242)/100)</f>
        <v>0</v>
      </c>
      <c r="CZ242">
        <f>((S242*CA242)/100)</f>
        <v>0</v>
      </c>
      <c r="DC242" t="s">
        <v>3</v>
      </c>
      <c r="DD242" t="s">
        <v>3</v>
      </c>
      <c r="DE242" t="s">
        <v>3</v>
      </c>
      <c r="DF242" t="s">
        <v>3</v>
      </c>
      <c r="DG242" t="s">
        <v>3</v>
      </c>
      <c r="DH242" t="s">
        <v>3</v>
      </c>
      <c r="DI242" t="s">
        <v>3</v>
      </c>
      <c r="DJ242" t="s">
        <v>3</v>
      </c>
      <c r="DK242" t="s">
        <v>3</v>
      </c>
      <c r="DL242" t="s">
        <v>3</v>
      </c>
      <c r="DM242" t="s">
        <v>3</v>
      </c>
      <c r="DN242">
        <v>0</v>
      </c>
      <c r="DO242">
        <v>0</v>
      </c>
      <c r="DP242">
        <v>1</v>
      </c>
      <c r="DQ242">
        <v>1</v>
      </c>
      <c r="DU242">
        <v>1009</v>
      </c>
      <c r="DV242" t="s">
        <v>44</v>
      </c>
      <c r="DW242" t="s">
        <v>44</v>
      </c>
      <c r="DX242">
        <v>1000</v>
      </c>
      <c r="DZ242" t="s">
        <v>3</v>
      </c>
      <c r="EA242" t="s">
        <v>3</v>
      </c>
      <c r="EB242" t="s">
        <v>3</v>
      </c>
      <c r="EC242" t="s">
        <v>3</v>
      </c>
      <c r="EE242">
        <v>54545671</v>
      </c>
      <c r="EF242">
        <v>1</v>
      </c>
      <c r="EG242" t="s">
        <v>20</v>
      </c>
      <c r="EH242">
        <v>0</v>
      </c>
      <c r="EI242" t="s">
        <v>3</v>
      </c>
      <c r="EJ242">
        <v>4</v>
      </c>
      <c r="EK242">
        <v>0</v>
      </c>
      <c r="EL242" t="s">
        <v>21</v>
      </c>
      <c r="EM242" t="s">
        <v>22</v>
      </c>
      <c r="EO242" t="s">
        <v>3</v>
      </c>
      <c r="EQ242">
        <v>0</v>
      </c>
      <c r="ER242">
        <v>748288.41</v>
      </c>
      <c r="ES242">
        <v>748288.41</v>
      </c>
      <c r="ET242">
        <v>0</v>
      </c>
      <c r="EU242">
        <v>0</v>
      </c>
      <c r="EV242">
        <v>0</v>
      </c>
      <c r="EW242">
        <v>0</v>
      </c>
      <c r="EX242">
        <v>0</v>
      </c>
      <c r="FQ242">
        <v>0</v>
      </c>
      <c r="FR242">
        <f>ROUND(IF(AND(BH242=3,BI242=3),P242,0),2)</f>
        <v>0</v>
      </c>
      <c r="FS242">
        <v>0</v>
      </c>
      <c r="FX242">
        <v>70</v>
      </c>
      <c r="FY242">
        <v>10</v>
      </c>
      <c r="GA242" t="s">
        <v>3</v>
      </c>
      <c r="GD242">
        <v>0</v>
      </c>
      <c r="GF242">
        <v>-1486531542</v>
      </c>
      <c r="GG242">
        <v>2</v>
      </c>
      <c r="GH242">
        <v>1</v>
      </c>
      <c r="GI242">
        <v>-2</v>
      </c>
      <c r="GJ242">
        <v>0</v>
      </c>
      <c r="GK242">
        <f>ROUND(R242*(R12)/100,2)</f>
        <v>0</v>
      </c>
      <c r="GL242">
        <f>ROUND(IF(AND(BH242=3,BI242=3,FS242&lt;&gt;0),P242,0),2)</f>
        <v>0</v>
      </c>
      <c r="GM242">
        <f>ROUND(O242+X242+Y242+GK242,2)+GX242</f>
        <v>-153997.75</v>
      </c>
      <c r="GN242">
        <f>IF(OR(BI242=0,BI242=1),ROUND(O242+X242+Y242+GK242,2),0)</f>
        <v>0</v>
      </c>
      <c r="GO242">
        <f>IF(BI242=2,ROUND(O242+X242+Y242+GK242,2),0)</f>
        <v>0</v>
      </c>
      <c r="GP242">
        <f>IF(BI242=4,ROUND(O242+X242+Y242+GK242,2)+GX242,0)</f>
        <v>-153997.75</v>
      </c>
      <c r="GR242">
        <v>0</v>
      </c>
      <c r="GS242">
        <v>3</v>
      </c>
      <c r="GT242">
        <v>0</v>
      </c>
      <c r="GU242" t="s">
        <v>3</v>
      </c>
      <c r="GV242">
        <f>ROUND((GT242),2)</f>
        <v>0</v>
      </c>
      <c r="GW242">
        <v>1</v>
      </c>
      <c r="GX242">
        <f>ROUND(HC242*I242,2)</f>
        <v>0</v>
      </c>
      <c r="HA242">
        <v>0</v>
      </c>
      <c r="HB242">
        <v>0</v>
      </c>
      <c r="HC242">
        <f>GV242*GW242</f>
        <v>0</v>
      </c>
      <c r="HE242" t="s">
        <v>3</v>
      </c>
      <c r="HF242" t="s">
        <v>3</v>
      </c>
      <c r="IK242">
        <v>0</v>
      </c>
    </row>
    <row r="243" spans="1:245" x14ac:dyDescent="0.2">
      <c r="A243">
        <v>18</v>
      </c>
      <c r="B243">
        <v>1</v>
      </c>
      <c r="C243">
        <v>86</v>
      </c>
      <c r="E243" t="s">
        <v>207</v>
      </c>
      <c r="F243" t="s">
        <v>208</v>
      </c>
      <c r="G243" t="s">
        <v>209</v>
      </c>
      <c r="H243" t="s">
        <v>210</v>
      </c>
      <c r="I243">
        <f>I241*J243</f>
        <v>205.8</v>
      </c>
      <c r="J243">
        <v>52.500000000000007</v>
      </c>
      <c r="O243">
        <f>ROUND(CP243,2)</f>
        <v>25617.98</v>
      </c>
      <c r="P243">
        <f>ROUND(CQ243*I243,2)</f>
        <v>25617.98</v>
      </c>
      <c r="Q243">
        <f>ROUND(CR243*I243,2)</f>
        <v>0</v>
      </c>
      <c r="R243">
        <f>ROUND(CS243*I243,2)</f>
        <v>0</v>
      </c>
      <c r="S243">
        <f>ROUND(CT243*I243,2)</f>
        <v>0</v>
      </c>
      <c r="T243">
        <f>ROUND(CU243*I243,2)</f>
        <v>0</v>
      </c>
      <c r="U243">
        <f>CV243*I243</f>
        <v>0</v>
      </c>
      <c r="V243">
        <f>CW243*I243</f>
        <v>0</v>
      </c>
      <c r="W243">
        <f>ROUND(CX243*I243,2)</f>
        <v>0</v>
      </c>
      <c r="X243">
        <f t="shared" si="215"/>
        <v>0</v>
      </c>
      <c r="Y243">
        <f t="shared" si="215"/>
        <v>0</v>
      </c>
      <c r="AA243">
        <v>56440881</v>
      </c>
      <c r="AB243">
        <f>ROUND((AC243+AD243+AF243),2)</f>
        <v>124.48</v>
      </c>
      <c r="AC243">
        <f>ROUND((ES243),2)</f>
        <v>124.48</v>
      </c>
      <c r="AD243">
        <f>ROUND((((ET243)-(EU243))+AE243),2)</f>
        <v>0</v>
      </c>
      <c r="AE243">
        <f>ROUND((EU243),2)</f>
        <v>0</v>
      </c>
      <c r="AF243">
        <f>ROUND((EV243),2)</f>
        <v>0</v>
      </c>
      <c r="AG243">
        <f>ROUND((AP243),2)</f>
        <v>0</v>
      </c>
      <c r="AH243">
        <f>(EW243)</f>
        <v>0</v>
      </c>
      <c r="AI243">
        <f>(EX243)</f>
        <v>0</v>
      </c>
      <c r="AJ243">
        <f>(AS243)</f>
        <v>0</v>
      </c>
      <c r="AK243">
        <v>124.48</v>
      </c>
      <c r="AL243">
        <v>124.48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70</v>
      </c>
      <c r="AU243">
        <v>10</v>
      </c>
      <c r="AV243">
        <v>1</v>
      </c>
      <c r="AW243">
        <v>1</v>
      </c>
      <c r="AZ243">
        <v>1</v>
      </c>
      <c r="BA243">
        <v>1</v>
      </c>
      <c r="BB243">
        <v>1</v>
      </c>
      <c r="BC243">
        <v>1</v>
      </c>
      <c r="BD243" t="s">
        <v>3</v>
      </c>
      <c r="BE243" t="s">
        <v>3</v>
      </c>
      <c r="BF243" t="s">
        <v>3</v>
      </c>
      <c r="BG243" t="s">
        <v>3</v>
      </c>
      <c r="BH243">
        <v>3</v>
      </c>
      <c r="BI243">
        <v>4</v>
      </c>
      <c r="BJ243" t="s">
        <v>211</v>
      </c>
      <c r="BM243">
        <v>0</v>
      </c>
      <c r="BN243">
        <v>0</v>
      </c>
      <c r="BO243" t="s">
        <v>3</v>
      </c>
      <c r="BP243">
        <v>0</v>
      </c>
      <c r="BQ243">
        <v>1</v>
      </c>
      <c r="BR243">
        <v>0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 t="s">
        <v>3</v>
      </c>
      <c r="BZ243">
        <v>70</v>
      </c>
      <c r="CA243">
        <v>10</v>
      </c>
      <c r="CE243">
        <v>0</v>
      </c>
      <c r="CF243">
        <v>0</v>
      </c>
      <c r="CG243">
        <v>0</v>
      </c>
      <c r="CM243">
        <v>0</v>
      </c>
      <c r="CN243" t="s">
        <v>3</v>
      </c>
      <c r="CO243">
        <v>0</v>
      </c>
      <c r="CP243">
        <f>(P243+Q243+S243)</f>
        <v>25617.98</v>
      </c>
      <c r="CQ243">
        <f>(AC243*BC243*AW243)</f>
        <v>124.48</v>
      </c>
      <c r="CR243">
        <f>((((ET243)*BB243-(EU243)*BS243)+AE243*BS243)*AV243)</f>
        <v>0</v>
      </c>
      <c r="CS243">
        <f>(AE243*BS243*AV243)</f>
        <v>0</v>
      </c>
      <c r="CT243">
        <f>(AF243*BA243*AV243)</f>
        <v>0</v>
      </c>
      <c r="CU243">
        <f>AG243</f>
        <v>0</v>
      </c>
      <c r="CV243">
        <f>(AH243*AV243)</f>
        <v>0</v>
      </c>
      <c r="CW243">
        <f t="shared" si="216"/>
        <v>0</v>
      </c>
      <c r="CX243">
        <f t="shared" si="216"/>
        <v>0</v>
      </c>
      <c r="CY243">
        <f>((S243*BZ243)/100)</f>
        <v>0</v>
      </c>
      <c r="CZ243">
        <f>((S243*CA243)/100)</f>
        <v>0</v>
      </c>
      <c r="DC243" t="s">
        <v>3</v>
      </c>
      <c r="DD243" t="s">
        <v>3</v>
      </c>
      <c r="DE243" t="s">
        <v>3</v>
      </c>
      <c r="DF243" t="s">
        <v>3</v>
      </c>
      <c r="DG243" t="s">
        <v>3</v>
      </c>
      <c r="DH243" t="s">
        <v>3</v>
      </c>
      <c r="DI243" t="s">
        <v>3</v>
      </c>
      <c r="DJ243" t="s">
        <v>3</v>
      </c>
      <c r="DK243" t="s">
        <v>3</v>
      </c>
      <c r="DL243" t="s">
        <v>3</v>
      </c>
      <c r="DM243" t="s">
        <v>3</v>
      </c>
      <c r="DN243">
        <v>0</v>
      </c>
      <c r="DO243">
        <v>0</v>
      </c>
      <c r="DP243">
        <v>1</v>
      </c>
      <c r="DQ243">
        <v>1</v>
      </c>
      <c r="DU243">
        <v>1009</v>
      </c>
      <c r="DV243" t="s">
        <v>210</v>
      </c>
      <c r="DW243" t="s">
        <v>210</v>
      </c>
      <c r="DX243">
        <v>1</v>
      </c>
      <c r="DZ243" t="s">
        <v>3</v>
      </c>
      <c r="EA243" t="s">
        <v>3</v>
      </c>
      <c r="EB243" t="s">
        <v>3</v>
      </c>
      <c r="EC243" t="s">
        <v>3</v>
      </c>
      <c r="EE243">
        <v>54545671</v>
      </c>
      <c r="EF243">
        <v>1</v>
      </c>
      <c r="EG243" t="s">
        <v>20</v>
      </c>
      <c r="EH243">
        <v>0</v>
      </c>
      <c r="EI243" t="s">
        <v>3</v>
      </c>
      <c r="EJ243">
        <v>4</v>
      </c>
      <c r="EK243">
        <v>0</v>
      </c>
      <c r="EL243" t="s">
        <v>21</v>
      </c>
      <c r="EM243" t="s">
        <v>22</v>
      </c>
      <c r="EO243" t="s">
        <v>3</v>
      </c>
      <c r="EQ243">
        <v>0</v>
      </c>
      <c r="ER243">
        <v>124.48</v>
      </c>
      <c r="ES243">
        <v>124.48</v>
      </c>
      <c r="ET243">
        <v>0</v>
      </c>
      <c r="EU243">
        <v>0</v>
      </c>
      <c r="EV243">
        <v>0</v>
      </c>
      <c r="EW243">
        <v>0</v>
      </c>
      <c r="EX243">
        <v>0</v>
      </c>
      <c r="FQ243">
        <v>0</v>
      </c>
      <c r="FR243">
        <f>ROUND(IF(AND(BH243=3,BI243=3),P243,0),2)</f>
        <v>0</v>
      </c>
      <c r="FS243">
        <v>0</v>
      </c>
      <c r="FX243">
        <v>70</v>
      </c>
      <c r="FY243">
        <v>10</v>
      </c>
      <c r="GA243" t="s">
        <v>3</v>
      </c>
      <c r="GD243">
        <v>0</v>
      </c>
      <c r="GF243">
        <v>-1858947663</v>
      </c>
      <c r="GG243">
        <v>2</v>
      </c>
      <c r="GH243">
        <v>1</v>
      </c>
      <c r="GI243">
        <v>-2</v>
      </c>
      <c r="GJ243">
        <v>0</v>
      </c>
      <c r="GK243">
        <f>ROUND(R243*(R12)/100,2)</f>
        <v>0</v>
      </c>
      <c r="GL243">
        <f>ROUND(IF(AND(BH243=3,BI243=3,FS243&lt;&gt;0),P243,0),2)</f>
        <v>0</v>
      </c>
      <c r="GM243">
        <f>ROUND(O243+X243+Y243+GK243,2)+GX243</f>
        <v>25617.98</v>
      </c>
      <c r="GN243">
        <f>IF(OR(BI243=0,BI243=1),ROUND(O243+X243+Y243+GK243,2),0)</f>
        <v>0</v>
      </c>
      <c r="GO243">
        <f>IF(BI243=2,ROUND(O243+X243+Y243+GK243,2),0)</f>
        <v>0</v>
      </c>
      <c r="GP243">
        <f>IF(BI243=4,ROUND(O243+X243+Y243+GK243,2)+GX243,0)</f>
        <v>25617.98</v>
      </c>
      <c r="GR243">
        <v>0</v>
      </c>
      <c r="GS243">
        <v>3</v>
      </c>
      <c r="GT243">
        <v>0</v>
      </c>
      <c r="GU243" t="s">
        <v>3</v>
      </c>
      <c r="GV243">
        <f>ROUND((GT243),2)</f>
        <v>0</v>
      </c>
      <c r="GW243">
        <v>1</v>
      </c>
      <c r="GX243">
        <f>ROUND(HC243*I243,2)</f>
        <v>0</v>
      </c>
      <c r="HA243">
        <v>0</v>
      </c>
      <c r="HB243">
        <v>0</v>
      </c>
      <c r="HC243">
        <f>GV243*GW243</f>
        <v>0</v>
      </c>
      <c r="HE243" t="s">
        <v>3</v>
      </c>
      <c r="HF243" t="s">
        <v>3</v>
      </c>
      <c r="IK243">
        <v>0</v>
      </c>
    </row>
    <row r="245" spans="1:245" x14ac:dyDescent="0.2">
      <c r="A245" s="2">
        <v>51</v>
      </c>
      <c r="B245" s="2">
        <f>B235</f>
        <v>1</v>
      </c>
      <c r="C245" s="2">
        <f>A235</f>
        <v>4</v>
      </c>
      <c r="D245" s="2">
        <f>ROW(A235)</f>
        <v>235</v>
      </c>
      <c r="E245" s="2"/>
      <c r="F245" s="2" t="str">
        <f>IF(F235&lt;&gt;"",F235,"")</f>
        <v>Новый раздел</v>
      </c>
      <c r="G245" s="2" t="str">
        <f>IF(G235&lt;&gt;"",G235,"")</f>
        <v>Ремонт покрытия из резиновой крошки (392 м2)</v>
      </c>
      <c r="H245" s="2">
        <v>0</v>
      </c>
      <c r="I245" s="2"/>
      <c r="J245" s="2"/>
      <c r="K245" s="2"/>
      <c r="L245" s="2"/>
      <c r="M245" s="2"/>
      <c r="N245" s="2"/>
      <c r="O245" s="2">
        <f t="shared" ref="O245:T245" si="217">ROUND(AB245,2)</f>
        <v>517367.44</v>
      </c>
      <c r="P245" s="2">
        <f t="shared" si="217"/>
        <v>471832.17</v>
      </c>
      <c r="Q245" s="2">
        <f t="shared" si="217"/>
        <v>19066.8</v>
      </c>
      <c r="R245" s="2">
        <f t="shared" si="217"/>
        <v>14965.03</v>
      </c>
      <c r="S245" s="2">
        <f t="shared" si="217"/>
        <v>26468.47</v>
      </c>
      <c r="T245" s="2">
        <f t="shared" si="217"/>
        <v>0</v>
      </c>
      <c r="U245" s="2">
        <f>AH245</f>
        <v>124.2248</v>
      </c>
      <c r="V245" s="2">
        <f>AI245</f>
        <v>0</v>
      </c>
      <c r="W245" s="2">
        <f>ROUND(AJ245,2)</f>
        <v>0</v>
      </c>
      <c r="X245" s="2">
        <f>ROUND(AK245,2)</f>
        <v>18527.93</v>
      </c>
      <c r="Y245" s="2">
        <f>ROUND(AL245,2)</f>
        <v>2646.84</v>
      </c>
      <c r="Z245" s="2"/>
      <c r="AA245" s="2"/>
      <c r="AB245" s="2">
        <f>ROUND(SUMIF(AA239:AA243,"=56440881",O239:O243),2)</f>
        <v>517367.44</v>
      </c>
      <c r="AC245" s="2">
        <f>ROUND(SUMIF(AA239:AA243,"=56440881",P239:P243),2)</f>
        <v>471832.17</v>
      </c>
      <c r="AD245" s="2">
        <f>ROUND(SUMIF(AA239:AA243,"=56440881",Q239:Q243),2)</f>
        <v>19066.8</v>
      </c>
      <c r="AE245" s="2">
        <f>ROUND(SUMIF(AA239:AA243,"=56440881",R239:R243),2)</f>
        <v>14965.03</v>
      </c>
      <c r="AF245" s="2">
        <f>ROUND(SUMIF(AA239:AA243,"=56440881",S239:S243),2)</f>
        <v>26468.47</v>
      </c>
      <c r="AG245" s="2">
        <f>ROUND(SUMIF(AA239:AA243,"=56440881",T239:T243),2)</f>
        <v>0</v>
      </c>
      <c r="AH245" s="2">
        <f>SUMIF(AA239:AA243,"=56440881",U239:U243)</f>
        <v>124.2248</v>
      </c>
      <c r="AI245" s="2">
        <f>SUMIF(AA239:AA243,"=56440881",V239:V243)</f>
        <v>0</v>
      </c>
      <c r="AJ245" s="2">
        <f>ROUND(SUMIF(AA239:AA243,"=56440881",W239:W243),2)</f>
        <v>0</v>
      </c>
      <c r="AK245" s="2">
        <f>ROUND(SUMIF(AA239:AA243,"=56440881",X239:X243),2)</f>
        <v>18527.93</v>
      </c>
      <c r="AL245" s="2">
        <f>ROUND(SUMIF(AA239:AA243,"=56440881",Y239:Y243),2)</f>
        <v>2646.84</v>
      </c>
      <c r="AM245" s="2"/>
      <c r="AN245" s="2"/>
      <c r="AO245" s="2">
        <f t="shared" ref="AO245:BD245" si="218">ROUND(BX245,2)</f>
        <v>0</v>
      </c>
      <c r="AP245" s="2">
        <f t="shared" si="218"/>
        <v>0</v>
      </c>
      <c r="AQ245" s="2">
        <f t="shared" si="218"/>
        <v>0</v>
      </c>
      <c r="AR245" s="2">
        <f t="shared" si="218"/>
        <v>554704.43999999994</v>
      </c>
      <c r="AS245" s="2">
        <f t="shared" si="218"/>
        <v>0</v>
      </c>
      <c r="AT245" s="2">
        <f t="shared" si="218"/>
        <v>0</v>
      </c>
      <c r="AU245" s="2">
        <f t="shared" si="218"/>
        <v>554704.43999999994</v>
      </c>
      <c r="AV245" s="2">
        <f t="shared" si="218"/>
        <v>471832.17</v>
      </c>
      <c r="AW245" s="2">
        <f t="shared" si="218"/>
        <v>471832.17</v>
      </c>
      <c r="AX245" s="2">
        <f t="shared" si="218"/>
        <v>0</v>
      </c>
      <c r="AY245" s="2">
        <f t="shared" si="218"/>
        <v>471832.17</v>
      </c>
      <c r="AZ245" s="2">
        <f t="shared" si="218"/>
        <v>0</v>
      </c>
      <c r="BA245" s="2">
        <f t="shared" si="218"/>
        <v>0</v>
      </c>
      <c r="BB245" s="2">
        <f t="shared" si="218"/>
        <v>0</v>
      </c>
      <c r="BC245" s="2">
        <f t="shared" si="218"/>
        <v>0</v>
      </c>
      <c r="BD245" s="2">
        <f t="shared" si="218"/>
        <v>0</v>
      </c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>
        <f>ROUND(SUMIF(AA239:AA243,"=56440881",FQ239:FQ243),2)</f>
        <v>0</v>
      </c>
      <c r="BY245" s="2">
        <f>ROUND(SUMIF(AA239:AA243,"=56440881",FR239:FR243),2)</f>
        <v>0</v>
      </c>
      <c r="BZ245" s="2">
        <f>ROUND(SUMIF(AA239:AA243,"=56440881",GL239:GL243),2)</f>
        <v>0</v>
      </c>
      <c r="CA245" s="2">
        <f>ROUND(SUMIF(AA239:AA243,"=56440881",GM239:GM243),2)</f>
        <v>554704.43999999994</v>
      </c>
      <c r="CB245" s="2">
        <f>ROUND(SUMIF(AA239:AA243,"=56440881",GN239:GN243),2)</f>
        <v>0</v>
      </c>
      <c r="CC245" s="2">
        <f>ROUND(SUMIF(AA239:AA243,"=56440881",GO239:GO243),2)</f>
        <v>0</v>
      </c>
      <c r="CD245" s="2">
        <f>ROUND(SUMIF(AA239:AA243,"=56440881",GP239:GP243),2)</f>
        <v>554704.43999999994</v>
      </c>
      <c r="CE245" s="2">
        <f>AC245-BX245</f>
        <v>471832.17</v>
      </c>
      <c r="CF245" s="2">
        <f>AC245-BY245</f>
        <v>471832.17</v>
      </c>
      <c r="CG245" s="2">
        <f>BX245-BZ245</f>
        <v>0</v>
      </c>
      <c r="CH245" s="2">
        <f>AC245-BX245-BY245+BZ245</f>
        <v>471832.17</v>
      </c>
      <c r="CI245" s="2">
        <f>BY245-BZ245</f>
        <v>0</v>
      </c>
      <c r="CJ245" s="2">
        <f>ROUND(SUMIF(AA239:AA243,"=56440881",GX239:GX243),2)</f>
        <v>0</v>
      </c>
      <c r="CK245" s="2">
        <f>ROUND(SUMIF(AA239:AA243,"=56440881",GY239:GY243),2)</f>
        <v>0</v>
      </c>
      <c r="CL245" s="2">
        <f>ROUND(SUMIF(AA239:AA243,"=56440881",GZ239:GZ243),2)</f>
        <v>0</v>
      </c>
      <c r="CM245" s="2">
        <f>ROUND(SUMIF(AA239:AA243,"=56440881",HD239:HD243),2)</f>
        <v>0</v>
      </c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>
        <v>0</v>
      </c>
    </row>
    <row r="247" spans="1:245" x14ac:dyDescent="0.2">
      <c r="A247" s="4">
        <v>50</v>
      </c>
      <c r="B247" s="4">
        <v>0</v>
      </c>
      <c r="C247" s="4">
        <v>0</v>
      </c>
      <c r="D247" s="4">
        <v>1</v>
      </c>
      <c r="E247" s="4">
        <v>201</v>
      </c>
      <c r="F247" s="4">
        <f>ROUND(Source!O245,O247)</f>
        <v>517367.44</v>
      </c>
      <c r="G247" s="4" t="s">
        <v>50</v>
      </c>
      <c r="H247" s="4" t="s">
        <v>51</v>
      </c>
      <c r="I247" s="4"/>
      <c r="J247" s="4"/>
      <c r="K247" s="4">
        <v>-201</v>
      </c>
      <c r="L247" s="4">
        <v>1</v>
      </c>
      <c r="M247" s="4">
        <v>3</v>
      </c>
      <c r="N247" s="4" t="s">
        <v>3</v>
      </c>
      <c r="O247" s="4">
        <v>2</v>
      </c>
      <c r="P247" s="4"/>
      <c r="Q247" s="4"/>
      <c r="R247" s="4"/>
      <c r="S247" s="4"/>
      <c r="T247" s="4"/>
      <c r="U247" s="4"/>
      <c r="V247" s="4"/>
      <c r="W247" s="4"/>
    </row>
    <row r="248" spans="1:245" x14ac:dyDescent="0.2">
      <c r="A248" s="4">
        <v>50</v>
      </c>
      <c r="B248" s="4">
        <v>0</v>
      </c>
      <c r="C248" s="4">
        <v>0</v>
      </c>
      <c r="D248" s="4">
        <v>1</v>
      </c>
      <c r="E248" s="4">
        <v>202</v>
      </c>
      <c r="F248" s="4">
        <f>ROUND(Source!P245,O248)</f>
        <v>471832.17</v>
      </c>
      <c r="G248" s="4" t="s">
        <v>52</v>
      </c>
      <c r="H248" s="4" t="s">
        <v>53</v>
      </c>
      <c r="I248" s="4"/>
      <c r="J248" s="4"/>
      <c r="K248" s="4">
        <v>-202</v>
      </c>
      <c r="L248" s="4">
        <v>2</v>
      </c>
      <c r="M248" s="4">
        <v>3</v>
      </c>
      <c r="N248" s="4" t="s">
        <v>3</v>
      </c>
      <c r="O248" s="4">
        <v>2</v>
      </c>
      <c r="P248" s="4"/>
      <c r="Q248" s="4"/>
      <c r="R248" s="4"/>
      <c r="S248" s="4"/>
      <c r="T248" s="4"/>
      <c r="U248" s="4"/>
      <c r="V248" s="4"/>
      <c r="W248" s="4"/>
    </row>
    <row r="249" spans="1:245" x14ac:dyDescent="0.2">
      <c r="A249" s="4">
        <v>50</v>
      </c>
      <c r="B249" s="4">
        <v>0</v>
      </c>
      <c r="C249" s="4">
        <v>0</v>
      </c>
      <c r="D249" s="4">
        <v>1</v>
      </c>
      <c r="E249" s="4">
        <v>222</v>
      </c>
      <c r="F249" s="4">
        <f>ROUND(Source!AO245,O249)</f>
        <v>0</v>
      </c>
      <c r="G249" s="4" t="s">
        <v>54</v>
      </c>
      <c r="H249" s="4" t="s">
        <v>55</v>
      </c>
      <c r="I249" s="4"/>
      <c r="J249" s="4"/>
      <c r="K249" s="4">
        <v>-222</v>
      </c>
      <c r="L249" s="4">
        <v>3</v>
      </c>
      <c r="M249" s="4">
        <v>3</v>
      </c>
      <c r="N249" s="4" t="s">
        <v>3</v>
      </c>
      <c r="O249" s="4">
        <v>2</v>
      </c>
      <c r="P249" s="4"/>
      <c r="Q249" s="4"/>
      <c r="R249" s="4"/>
      <c r="S249" s="4"/>
      <c r="T249" s="4"/>
      <c r="U249" s="4"/>
      <c r="V249" s="4"/>
      <c r="W249" s="4"/>
    </row>
    <row r="250" spans="1:245" x14ac:dyDescent="0.2">
      <c r="A250" s="4">
        <v>50</v>
      </c>
      <c r="B250" s="4">
        <v>0</v>
      </c>
      <c r="C250" s="4">
        <v>0</v>
      </c>
      <c r="D250" s="4">
        <v>1</v>
      </c>
      <c r="E250" s="4">
        <v>225</v>
      </c>
      <c r="F250" s="4">
        <f>ROUND(Source!AV245,O250)</f>
        <v>471832.17</v>
      </c>
      <c r="G250" s="4" t="s">
        <v>56</v>
      </c>
      <c r="H250" s="4" t="s">
        <v>57</v>
      </c>
      <c r="I250" s="4"/>
      <c r="J250" s="4"/>
      <c r="K250" s="4">
        <v>-225</v>
      </c>
      <c r="L250" s="4">
        <v>4</v>
      </c>
      <c r="M250" s="4">
        <v>3</v>
      </c>
      <c r="N250" s="4" t="s">
        <v>3</v>
      </c>
      <c r="O250" s="4">
        <v>2</v>
      </c>
      <c r="P250" s="4"/>
      <c r="Q250" s="4"/>
      <c r="R250" s="4"/>
      <c r="S250" s="4"/>
      <c r="T250" s="4"/>
      <c r="U250" s="4"/>
      <c r="V250" s="4"/>
      <c r="W250" s="4"/>
    </row>
    <row r="251" spans="1:245" x14ac:dyDescent="0.2">
      <c r="A251" s="4">
        <v>50</v>
      </c>
      <c r="B251" s="4">
        <v>0</v>
      </c>
      <c r="C251" s="4">
        <v>0</v>
      </c>
      <c r="D251" s="4">
        <v>1</v>
      </c>
      <c r="E251" s="4">
        <v>226</v>
      </c>
      <c r="F251" s="4">
        <f>ROUND(Source!AW245,O251)</f>
        <v>471832.17</v>
      </c>
      <c r="G251" s="4" t="s">
        <v>58</v>
      </c>
      <c r="H251" s="4" t="s">
        <v>59</v>
      </c>
      <c r="I251" s="4"/>
      <c r="J251" s="4"/>
      <c r="K251" s="4">
        <v>-226</v>
      </c>
      <c r="L251" s="4">
        <v>5</v>
      </c>
      <c r="M251" s="4">
        <v>3</v>
      </c>
      <c r="N251" s="4" t="s">
        <v>3</v>
      </c>
      <c r="O251" s="4">
        <v>2</v>
      </c>
      <c r="P251" s="4"/>
      <c r="Q251" s="4"/>
      <c r="R251" s="4"/>
      <c r="S251" s="4"/>
      <c r="T251" s="4"/>
      <c r="U251" s="4"/>
      <c r="V251" s="4"/>
      <c r="W251" s="4"/>
    </row>
    <row r="252" spans="1:245" x14ac:dyDescent="0.2">
      <c r="A252" s="4">
        <v>50</v>
      </c>
      <c r="B252" s="4">
        <v>0</v>
      </c>
      <c r="C252" s="4">
        <v>0</v>
      </c>
      <c r="D252" s="4">
        <v>1</v>
      </c>
      <c r="E252" s="4">
        <v>227</v>
      </c>
      <c r="F252" s="4">
        <f>ROUND(Source!AX245,O252)</f>
        <v>0</v>
      </c>
      <c r="G252" s="4" t="s">
        <v>60</v>
      </c>
      <c r="H252" s="4" t="s">
        <v>61</v>
      </c>
      <c r="I252" s="4"/>
      <c r="J252" s="4"/>
      <c r="K252" s="4">
        <v>-227</v>
      </c>
      <c r="L252" s="4">
        <v>6</v>
      </c>
      <c r="M252" s="4">
        <v>3</v>
      </c>
      <c r="N252" s="4" t="s">
        <v>3</v>
      </c>
      <c r="O252" s="4">
        <v>2</v>
      </c>
      <c r="P252" s="4"/>
      <c r="Q252" s="4"/>
      <c r="R252" s="4"/>
      <c r="S252" s="4"/>
      <c r="T252" s="4"/>
      <c r="U252" s="4"/>
      <c r="V252" s="4"/>
      <c r="W252" s="4"/>
    </row>
    <row r="253" spans="1:245" x14ac:dyDescent="0.2">
      <c r="A253" s="4">
        <v>50</v>
      </c>
      <c r="B253" s="4">
        <v>0</v>
      </c>
      <c r="C253" s="4">
        <v>0</v>
      </c>
      <c r="D253" s="4">
        <v>1</v>
      </c>
      <c r="E253" s="4">
        <v>228</v>
      </c>
      <c r="F253" s="4">
        <f>ROUND(Source!AY245,O253)</f>
        <v>471832.17</v>
      </c>
      <c r="G253" s="4" t="s">
        <v>62</v>
      </c>
      <c r="H253" s="4" t="s">
        <v>63</v>
      </c>
      <c r="I253" s="4"/>
      <c r="J253" s="4"/>
      <c r="K253" s="4">
        <v>-228</v>
      </c>
      <c r="L253" s="4">
        <v>7</v>
      </c>
      <c r="M253" s="4">
        <v>3</v>
      </c>
      <c r="N253" s="4" t="s">
        <v>3</v>
      </c>
      <c r="O253" s="4">
        <v>2</v>
      </c>
      <c r="P253" s="4"/>
      <c r="Q253" s="4"/>
      <c r="R253" s="4"/>
      <c r="S253" s="4"/>
      <c r="T253" s="4"/>
      <c r="U253" s="4"/>
      <c r="V253" s="4"/>
      <c r="W253" s="4"/>
    </row>
    <row r="254" spans="1:245" x14ac:dyDescent="0.2">
      <c r="A254" s="4">
        <v>50</v>
      </c>
      <c r="B254" s="4">
        <v>0</v>
      </c>
      <c r="C254" s="4">
        <v>0</v>
      </c>
      <c r="D254" s="4">
        <v>1</v>
      </c>
      <c r="E254" s="4">
        <v>216</v>
      </c>
      <c r="F254" s="4">
        <f>ROUND(Source!AP245,O254)</f>
        <v>0</v>
      </c>
      <c r="G254" s="4" t="s">
        <v>64</v>
      </c>
      <c r="H254" s="4" t="s">
        <v>65</v>
      </c>
      <c r="I254" s="4"/>
      <c r="J254" s="4"/>
      <c r="K254" s="4">
        <v>-216</v>
      </c>
      <c r="L254" s="4">
        <v>8</v>
      </c>
      <c r="M254" s="4">
        <v>3</v>
      </c>
      <c r="N254" s="4" t="s">
        <v>3</v>
      </c>
      <c r="O254" s="4">
        <v>2</v>
      </c>
      <c r="P254" s="4"/>
      <c r="Q254" s="4"/>
      <c r="R254" s="4"/>
      <c r="S254" s="4"/>
      <c r="T254" s="4"/>
      <c r="U254" s="4"/>
      <c r="V254" s="4"/>
      <c r="W254" s="4"/>
    </row>
    <row r="255" spans="1:245" x14ac:dyDescent="0.2">
      <c r="A255" s="4">
        <v>50</v>
      </c>
      <c r="B255" s="4">
        <v>0</v>
      </c>
      <c r="C255" s="4">
        <v>0</v>
      </c>
      <c r="D255" s="4">
        <v>1</v>
      </c>
      <c r="E255" s="4">
        <v>223</v>
      </c>
      <c r="F255" s="4">
        <f>ROUND(Source!AQ245,O255)</f>
        <v>0</v>
      </c>
      <c r="G255" s="4" t="s">
        <v>66</v>
      </c>
      <c r="H255" s="4" t="s">
        <v>67</v>
      </c>
      <c r="I255" s="4"/>
      <c r="J255" s="4"/>
      <c r="K255" s="4">
        <v>-223</v>
      </c>
      <c r="L255" s="4">
        <v>9</v>
      </c>
      <c r="M255" s="4">
        <v>3</v>
      </c>
      <c r="N255" s="4" t="s">
        <v>3</v>
      </c>
      <c r="O255" s="4">
        <v>2</v>
      </c>
      <c r="P255" s="4"/>
      <c r="Q255" s="4"/>
      <c r="R255" s="4"/>
      <c r="S255" s="4"/>
      <c r="T255" s="4"/>
      <c r="U255" s="4"/>
      <c r="V255" s="4"/>
      <c r="W255" s="4"/>
    </row>
    <row r="256" spans="1:245" x14ac:dyDescent="0.2">
      <c r="A256" s="4">
        <v>50</v>
      </c>
      <c r="B256" s="4">
        <v>0</v>
      </c>
      <c r="C256" s="4">
        <v>0</v>
      </c>
      <c r="D256" s="4">
        <v>1</v>
      </c>
      <c r="E256" s="4">
        <v>229</v>
      </c>
      <c r="F256" s="4">
        <f>ROUND(Source!AZ245,O256)</f>
        <v>0</v>
      </c>
      <c r="G256" s="4" t="s">
        <v>68</v>
      </c>
      <c r="H256" s="4" t="s">
        <v>69</v>
      </c>
      <c r="I256" s="4"/>
      <c r="J256" s="4"/>
      <c r="K256" s="4">
        <v>-229</v>
      </c>
      <c r="L256" s="4">
        <v>10</v>
      </c>
      <c r="M256" s="4">
        <v>3</v>
      </c>
      <c r="N256" s="4" t="s">
        <v>3</v>
      </c>
      <c r="O256" s="4">
        <v>2</v>
      </c>
      <c r="P256" s="4"/>
      <c r="Q256" s="4"/>
      <c r="R256" s="4"/>
      <c r="S256" s="4"/>
      <c r="T256" s="4"/>
      <c r="U256" s="4"/>
      <c r="V256" s="4"/>
      <c r="W256" s="4"/>
    </row>
    <row r="257" spans="1:23" x14ac:dyDescent="0.2">
      <c r="A257" s="4">
        <v>50</v>
      </c>
      <c r="B257" s="4">
        <v>0</v>
      </c>
      <c r="C257" s="4">
        <v>0</v>
      </c>
      <c r="D257" s="4">
        <v>1</v>
      </c>
      <c r="E257" s="4">
        <v>203</v>
      </c>
      <c r="F257" s="4">
        <f>ROUND(Source!Q245,O257)</f>
        <v>19066.8</v>
      </c>
      <c r="G257" s="4" t="s">
        <v>70</v>
      </c>
      <c r="H257" s="4" t="s">
        <v>71</v>
      </c>
      <c r="I257" s="4"/>
      <c r="J257" s="4"/>
      <c r="K257" s="4">
        <v>-203</v>
      </c>
      <c r="L257" s="4">
        <v>11</v>
      </c>
      <c r="M257" s="4">
        <v>3</v>
      </c>
      <c r="N257" s="4" t="s">
        <v>3</v>
      </c>
      <c r="O257" s="4">
        <v>2</v>
      </c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4">
        <v>50</v>
      </c>
      <c r="B258" s="4">
        <v>0</v>
      </c>
      <c r="C258" s="4">
        <v>0</v>
      </c>
      <c r="D258" s="4">
        <v>1</v>
      </c>
      <c r="E258" s="4">
        <v>231</v>
      </c>
      <c r="F258" s="4">
        <f>ROUND(Source!BB245,O258)</f>
        <v>0</v>
      </c>
      <c r="G258" s="4" t="s">
        <v>72</v>
      </c>
      <c r="H258" s="4" t="s">
        <v>73</v>
      </c>
      <c r="I258" s="4"/>
      <c r="J258" s="4"/>
      <c r="K258" s="4">
        <v>-231</v>
      </c>
      <c r="L258" s="4">
        <v>12</v>
      </c>
      <c r="M258" s="4">
        <v>3</v>
      </c>
      <c r="N258" s="4" t="s">
        <v>3</v>
      </c>
      <c r="O258" s="4">
        <v>2</v>
      </c>
      <c r="P258" s="4"/>
      <c r="Q258" s="4"/>
      <c r="R258" s="4"/>
      <c r="S258" s="4"/>
      <c r="T258" s="4"/>
      <c r="U258" s="4"/>
      <c r="V258" s="4"/>
      <c r="W258" s="4"/>
    </row>
    <row r="259" spans="1:23" x14ac:dyDescent="0.2">
      <c r="A259" s="4">
        <v>50</v>
      </c>
      <c r="B259" s="4">
        <v>0</v>
      </c>
      <c r="C259" s="4">
        <v>0</v>
      </c>
      <c r="D259" s="4">
        <v>1</v>
      </c>
      <c r="E259" s="4">
        <v>204</v>
      </c>
      <c r="F259" s="4">
        <f>ROUND(Source!R245,O259)</f>
        <v>14965.03</v>
      </c>
      <c r="G259" s="4" t="s">
        <v>74</v>
      </c>
      <c r="H259" s="4" t="s">
        <v>75</v>
      </c>
      <c r="I259" s="4"/>
      <c r="J259" s="4"/>
      <c r="K259" s="4">
        <v>-204</v>
      </c>
      <c r="L259" s="4">
        <v>13</v>
      </c>
      <c r="M259" s="4">
        <v>3</v>
      </c>
      <c r="N259" s="4" t="s">
        <v>3</v>
      </c>
      <c r="O259" s="4">
        <v>2</v>
      </c>
      <c r="P259" s="4"/>
      <c r="Q259" s="4"/>
      <c r="R259" s="4"/>
      <c r="S259" s="4"/>
      <c r="T259" s="4"/>
      <c r="U259" s="4"/>
      <c r="V259" s="4"/>
      <c r="W259" s="4"/>
    </row>
    <row r="260" spans="1:23" x14ac:dyDescent="0.2">
      <c r="A260" s="4">
        <v>50</v>
      </c>
      <c r="B260" s="4">
        <v>0</v>
      </c>
      <c r="C260" s="4">
        <v>0</v>
      </c>
      <c r="D260" s="4">
        <v>1</v>
      </c>
      <c r="E260" s="4">
        <v>205</v>
      </c>
      <c r="F260" s="4">
        <f>ROUND(Source!S245,O260)</f>
        <v>26468.47</v>
      </c>
      <c r="G260" s="4" t="s">
        <v>76</v>
      </c>
      <c r="H260" s="4" t="s">
        <v>77</v>
      </c>
      <c r="I260" s="4"/>
      <c r="J260" s="4"/>
      <c r="K260" s="4">
        <v>-205</v>
      </c>
      <c r="L260" s="4">
        <v>14</v>
      </c>
      <c r="M260" s="4">
        <v>3</v>
      </c>
      <c r="N260" s="4" t="s">
        <v>3</v>
      </c>
      <c r="O260" s="4">
        <v>2</v>
      </c>
      <c r="P260" s="4"/>
      <c r="Q260" s="4"/>
      <c r="R260" s="4"/>
      <c r="S260" s="4"/>
      <c r="T260" s="4"/>
      <c r="U260" s="4"/>
      <c r="V260" s="4"/>
      <c r="W260" s="4"/>
    </row>
    <row r="261" spans="1:23" x14ac:dyDescent="0.2">
      <c r="A261" s="4">
        <v>50</v>
      </c>
      <c r="B261" s="4">
        <v>0</v>
      </c>
      <c r="C261" s="4">
        <v>0</v>
      </c>
      <c r="D261" s="4">
        <v>1</v>
      </c>
      <c r="E261" s="4">
        <v>232</v>
      </c>
      <c r="F261" s="4">
        <f>ROUND(Source!BC245,O261)</f>
        <v>0</v>
      </c>
      <c r="G261" s="4" t="s">
        <v>78</v>
      </c>
      <c r="H261" s="4" t="s">
        <v>79</v>
      </c>
      <c r="I261" s="4"/>
      <c r="J261" s="4"/>
      <c r="K261" s="4">
        <v>-232</v>
      </c>
      <c r="L261" s="4">
        <v>15</v>
      </c>
      <c r="M261" s="4">
        <v>3</v>
      </c>
      <c r="N261" s="4" t="s">
        <v>3</v>
      </c>
      <c r="O261" s="4">
        <v>2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2">
      <c r="A262" s="4">
        <v>50</v>
      </c>
      <c r="B262" s="4">
        <v>0</v>
      </c>
      <c r="C262" s="4">
        <v>0</v>
      </c>
      <c r="D262" s="4">
        <v>1</v>
      </c>
      <c r="E262" s="4">
        <v>214</v>
      </c>
      <c r="F262" s="4">
        <f>ROUND(Source!AS245,O262)</f>
        <v>0</v>
      </c>
      <c r="G262" s="4" t="s">
        <v>80</v>
      </c>
      <c r="H262" s="4" t="s">
        <v>81</v>
      </c>
      <c r="I262" s="4"/>
      <c r="J262" s="4"/>
      <c r="K262" s="4">
        <v>-214</v>
      </c>
      <c r="L262" s="4">
        <v>16</v>
      </c>
      <c r="M262" s="4">
        <v>3</v>
      </c>
      <c r="N262" s="4" t="s">
        <v>3</v>
      </c>
      <c r="O262" s="4">
        <v>2</v>
      </c>
      <c r="P262" s="4"/>
      <c r="Q262" s="4"/>
      <c r="R262" s="4"/>
      <c r="S262" s="4"/>
      <c r="T262" s="4"/>
      <c r="U262" s="4"/>
      <c r="V262" s="4"/>
      <c r="W262" s="4"/>
    </row>
    <row r="263" spans="1:23" x14ac:dyDescent="0.2">
      <c r="A263" s="4">
        <v>50</v>
      </c>
      <c r="B263" s="4">
        <v>0</v>
      </c>
      <c r="C263" s="4">
        <v>0</v>
      </c>
      <c r="D263" s="4">
        <v>1</v>
      </c>
      <c r="E263" s="4">
        <v>215</v>
      </c>
      <c r="F263" s="4">
        <f>ROUND(Source!AT245,O263)</f>
        <v>0</v>
      </c>
      <c r="G263" s="4" t="s">
        <v>82</v>
      </c>
      <c r="H263" s="4" t="s">
        <v>83</v>
      </c>
      <c r="I263" s="4"/>
      <c r="J263" s="4"/>
      <c r="K263" s="4">
        <v>-215</v>
      </c>
      <c r="L263" s="4">
        <v>17</v>
      </c>
      <c r="M263" s="4">
        <v>3</v>
      </c>
      <c r="N263" s="4" t="s">
        <v>3</v>
      </c>
      <c r="O263" s="4">
        <v>2</v>
      </c>
      <c r="P263" s="4"/>
      <c r="Q263" s="4"/>
      <c r="R263" s="4"/>
      <c r="S263" s="4"/>
      <c r="T263" s="4"/>
      <c r="U263" s="4"/>
      <c r="V263" s="4"/>
      <c r="W263" s="4"/>
    </row>
    <row r="264" spans="1:23" x14ac:dyDescent="0.2">
      <c r="A264" s="4">
        <v>50</v>
      </c>
      <c r="B264" s="4">
        <v>0</v>
      </c>
      <c r="C264" s="4">
        <v>0</v>
      </c>
      <c r="D264" s="4">
        <v>1</v>
      </c>
      <c r="E264" s="4">
        <v>217</v>
      </c>
      <c r="F264" s="4">
        <f>ROUND(Source!AU245,O264)</f>
        <v>554704.43999999994</v>
      </c>
      <c r="G264" s="4" t="s">
        <v>84</v>
      </c>
      <c r="H264" s="4" t="s">
        <v>85</v>
      </c>
      <c r="I264" s="4"/>
      <c r="J264" s="4"/>
      <c r="K264" s="4">
        <v>-217</v>
      </c>
      <c r="L264" s="4">
        <v>18</v>
      </c>
      <c r="M264" s="4">
        <v>3</v>
      </c>
      <c r="N264" s="4" t="s">
        <v>3</v>
      </c>
      <c r="O264" s="4">
        <v>2</v>
      </c>
      <c r="P264" s="4"/>
      <c r="Q264" s="4"/>
      <c r="R264" s="4"/>
      <c r="S264" s="4"/>
      <c r="T264" s="4"/>
      <c r="U264" s="4"/>
      <c r="V264" s="4"/>
      <c r="W264" s="4"/>
    </row>
    <row r="265" spans="1:23" x14ac:dyDescent="0.2">
      <c r="A265" s="4">
        <v>50</v>
      </c>
      <c r="B265" s="4">
        <v>0</v>
      </c>
      <c r="C265" s="4">
        <v>0</v>
      </c>
      <c r="D265" s="4">
        <v>1</v>
      </c>
      <c r="E265" s="4">
        <v>230</v>
      </c>
      <c r="F265" s="4">
        <f>ROUND(Source!BA245,O265)</f>
        <v>0</v>
      </c>
      <c r="G265" s="4" t="s">
        <v>86</v>
      </c>
      <c r="H265" s="4" t="s">
        <v>87</v>
      </c>
      <c r="I265" s="4"/>
      <c r="J265" s="4"/>
      <c r="K265" s="4">
        <v>-230</v>
      </c>
      <c r="L265" s="4">
        <v>19</v>
      </c>
      <c r="M265" s="4">
        <v>3</v>
      </c>
      <c r="N265" s="4" t="s">
        <v>3</v>
      </c>
      <c r="O265" s="4">
        <v>2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2">
      <c r="A266" s="4">
        <v>50</v>
      </c>
      <c r="B266" s="4">
        <v>0</v>
      </c>
      <c r="C266" s="4">
        <v>0</v>
      </c>
      <c r="D266" s="4">
        <v>1</v>
      </c>
      <c r="E266" s="4">
        <v>206</v>
      </c>
      <c r="F266" s="4">
        <f>ROUND(Source!T245,O266)</f>
        <v>0</v>
      </c>
      <c r="G266" s="4" t="s">
        <v>88</v>
      </c>
      <c r="H266" s="4" t="s">
        <v>89</v>
      </c>
      <c r="I266" s="4"/>
      <c r="J266" s="4"/>
      <c r="K266" s="4">
        <v>-206</v>
      </c>
      <c r="L266" s="4">
        <v>20</v>
      </c>
      <c r="M266" s="4">
        <v>3</v>
      </c>
      <c r="N266" s="4" t="s">
        <v>3</v>
      </c>
      <c r="O266" s="4">
        <v>2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2">
      <c r="A267" s="4">
        <v>50</v>
      </c>
      <c r="B267" s="4">
        <v>0</v>
      </c>
      <c r="C267" s="4">
        <v>0</v>
      </c>
      <c r="D267" s="4">
        <v>1</v>
      </c>
      <c r="E267" s="4">
        <v>207</v>
      </c>
      <c r="F267" s="4">
        <f>Source!U245</f>
        <v>124.2248</v>
      </c>
      <c r="G267" s="4" t="s">
        <v>90</v>
      </c>
      <c r="H267" s="4" t="s">
        <v>91</v>
      </c>
      <c r="I267" s="4"/>
      <c r="J267" s="4"/>
      <c r="K267" s="4">
        <v>-207</v>
      </c>
      <c r="L267" s="4">
        <v>21</v>
      </c>
      <c r="M267" s="4">
        <v>3</v>
      </c>
      <c r="N267" s="4" t="s">
        <v>3</v>
      </c>
      <c r="O267" s="4">
        <v>-1</v>
      </c>
      <c r="P267" s="4"/>
      <c r="Q267" s="4"/>
      <c r="R267" s="4"/>
      <c r="S267" s="4"/>
      <c r="T267" s="4"/>
      <c r="U267" s="4"/>
      <c r="V267" s="4"/>
      <c r="W267" s="4"/>
    </row>
    <row r="268" spans="1:23" x14ac:dyDescent="0.2">
      <c r="A268" s="4">
        <v>50</v>
      </c>
      <c r="B268" s="4">
        <v>0</v>
      </c>
      <c r="C268" s="4">
        <v>0</v>
      </c>
      <c r="D268" s="4">
        <v>1</v>
      </c>
      <c r="E268" s="4">
        <v>208</v>
      </c>
      <c r="F268" s="4">
        <f>Source!V245</f>
        <v>0</v>
      </c>
      <c r="G268" s="4" t="s">
        <v>92</v>
      </c>
      <c r="H268" s="4" t="s">
        <v>93</v>
      </c>
      <c r="I268" s="4"/>
      <c r="J268" s="4"/>
      <c r="K268" s="4">
        <v>-208</v>
      </c>
      <c r="L268" s="4">
        <v>22</v>
      </c>
      <c r="M268" s="4">
        <v>3</v>
      </c>
      <c r="N268" s="4" t="s">
        <v>3</v>
      </c>
      <c r="O268" s="4">
        <v>-1</v>
      </c>
      <c r="P268" s="4"/>
      <c r="Q268" s="4"/>
      <c r="R268" s="4"/>
      <c r="S268" s="4"/>
      <c r="T268" s="4"/>
      <c r="U268" s="4"/>
      <c r="V268" s="4"/>
      <c r="W268" s="4"/>
    </row>
    <row r="269" spans="1:23" x14ac:dyDescent="0.2">
      <c r="A269" s="4">
        <v>50</v>
      </c>
      <c r="B269" s="4">
        <v>0</v>
      </c>
      <c r="C269" s="4">
        <v>0</v>
      </c>
      <c r="D269" s="4">
        <v>1</v>
      </c>
      <c r="E269" s="4">
        <v>209</v>
      </c>
      <c r="F269" s="4">
        <f>ROUND(Source!W245,O269)</f>
        <v>0</v>
      </c>
      <c r="G269" s="4" t="s">
        <v>94</v>
      </c>
      <c r="H269" s="4" t="s">
        <v>95</v>
      </c>
      <c r="I269" s="4"/>
      <c r="J269" s="4"/>
      <c r="K269" s="4">
        <v>-209</v>
      </c>
      <c r="L269" s="4">
        <v>23</v>
      </c>
      <c r="M269" s="4">
        <v>3</v>
      </c>
      <c r="N269" s="4" t="s">
        <v>3</v>
      </c>
      <c r="O269" s="4">
        <v>2</v>
      </c>
      <c r="P269" s="4"/>
      <c r="Q269" s="4"/>
      <c r="R269" s="4"/>
      <c r="S269" s="4"/>
      <c r="T269" s="4"/>
      <c r="U269" s="4"/>
      <c r="V269" s="4"/>
      <c r="W269" s="4"/>
    </row>
    <row r="270" spans="1:23" x14ac:dyDescent="0.2">
      <c r="A270" s="4">
        <v>50</v>
      </c>
      <c r="B270" s="4">
        <v>0</v>
      </c>
      <c r="C270" s="4">
        <v>0</v>
      </c>
      <c r="D270" s="4">
        <v>1</v>
      </c>
      <c r="E270" s="4">
        <v>233</v>
      </c>
      <c r="F270" s="4">
        <f>ROUND(Source!BD245,O270)</f>
        <v>0</v>
      </c>
      <c r="G270" s="4" t="s">
        <v>96</v>
      </c>
      <c r="H270" s="4" t="s">
        <v>97</v>
      </c>
      <c r="I270" s="4"/>
      <c r="J270" s="4"/>
      <c r="K270" s="4">
        <v>-233</v>
      </c>
      <c r="L270" s="4">
        <v>24</v>
      </c>
      <c r="M270" s="4">
        <v>3</v>
      </c>
      <c r="N270" s="4" t="s">
        <v>3</v>
      </c>
      <c r="O270" s="4">
        <v>2</v>
      </c>
      <c r="P270" s="4"/>
      <c r="Q270" s="4"/>
      <c r="R270" s="4"/>
      <c r="S270" s="4"/>
      <c r="T270" s="4"/>
      <c r="U270" s="4"/>
      <c r="V270" s="4"/>
      <c r="W270" s="4"/>
    </row>
    <row r="271" spans="1:23" x14ac:dyDescent="0.2">
      <c r="A271" s="4">
        <v>50</v>
      </c>
      <c r="B271" s="4">
        <v>0</v>
      </c>
      <c r="C271" s="4">
        <v>0</v>
      </c>
      <c r="D271" s="4">
        <v>1</v>
      </c>
      <c r="E271" s="4">
        <v>210</v>
      </c>
      <c r="F271" s="4">
        <f>ROUND(Source!X245,O271)</f>
        <v>18527.93</v>
      </c>
      <c r="G271" s="4" t="s">
        <v>98</v>
      </c>
      <c r="H271" s="4" t="s">
        <v>99</v>
      </c>
      <c r="I271" s="4"/>
      <c r="J271" s="4"/>
      <c r="K271" s="4">
        <v>-210</v>
      </c>
      <c r="L271" s="4">
        <v>25</v>
      </c>
      <c r="M271" s="4">
        <v>3</v>
      </c>
      <c r="N271" s="4" t="s">
        <v>3</v>
      </c>
      <c r="O271" s="4">
        <v>2</v>
      </c>
      <c r="P271" s="4"/>
      <c r="Q271" s="4"/>
      <c r="R271" s="4"/>
      <c r="S271" s="4"/>
      <c r="T271" s="4"/>
      <c r="U271" s="4"/>
      <c r="V271" s="4"/>
      <c r="W271" s="4"/>
    </row>
    <row r="272" spans="1:23" x14ac:dyDescent="0.2">
      <c r="A272" s="4">
        <v>50</v>
      </c>
      <c r="B272" s="4">
        <v>0</v>
      </c>
      <c r="C272" s="4">
        <v>0</v>
      </c>
      <c r="D272" s="4">
        <v>1</v>
      </c>
      <c r="E272" s="4">
        <v>211</v>
      </c>
      <c r="F272" s="4">
        <f>ROUND(Source!Y245,O272)</f>
        <v>2646.84</v>
      </c>
      <c r="G272" s="4" t="s">
        <v>100</v>
      </c>
      <c r="H272" s="4" t="s">
        <v>101</v>
      </c>
      <c r="I272" s="4"/>
      <c r="J272" s="4"/>
      <c r="K272" s="4">
        <v>-211</v>
      </c>
      <c r="L272" s="4">
        <v>26</v>
      </c>
      <c r="M272" s="4">
        <v>3</v>
      </c>
      <c r="N272" s="4" t="s">
        <v>3</v>
      </c>
      <c r="O272" s="4">
        <v>2</v>
      </c>
      <c r="P272" s="4"/>
      <c r="Q272" s="4"/>
      <c r="R272" s="4"/>
      <c r="S272" s="4"/>
      <c r="T272" s="4"/>
      <c r="U272" s="4"/>
      <c r="V272" s="4"/>
      <c r="W272" s="4"/>
    </row>
    <row r="273" spans="1:245" x14ac:dyDescent="0.2">
      <c r="A273" s="4">
        <v>50</v>
      </c>
      <c r="B273" s="4">
        <v>0</v>
      </c>
      <c r="C273" s="4">
        <v>0</v>
      </c>
      <c r="D273" s="4">
        <v>1</v>
      </c>
      <c r="E273" s="4">
        <v>224</v>
      </c>
      <c r="F273" s="4">
        <f>ROUND(Source!AR245,O273)</f>
        <v>554704.43999999994</v>
      </c>
      <c r="G273" s="4" t="s">
        <v>102</v>
      </c>
      <c r="H273" s="4" t="s">
        <v>103</v>
      </c>
      <c r="I273" s="4"/>
      <c r="J273" s="4"/>
      <c r="K273" s="4">
        <v>-224</v>
      </c>
      <c r="L273" s="4">
        <v>27</v>
      </c>
      <c r="M273" s="4">
        <v>3</v>
      </c>
      <c r="N273" s="4" t="s">
        <v>3</v>
      </c>
      <c r="O273" s="4">
        <v>2</v>
      </c>
      <c r="P273" s="4"/>
      <c r="Q273" s="4"/>
      <c r="R273" s="4"/>
      <c r="S273" s="4"/>
      <c r="T273" s="4"/>
      <c r="U273" s="4"/>
      <c r="V273" s="4"/>
      <c r="W273" s="4"/>
    </row>
    <row r="275" spans="1:245" x14ac:dyDescent="0.2">
      <c r="A275" s="1">
        <v>4</v>
      </c>
      <c r="B275" s="1">
        <v>1</v>
      </c>
      <c r="C275" s="1"/>
      <c r="D275" s="1">
        <f>ROW(A291)</f>
        <v>291</v>
      </c>
      <c r="E275" s="1"/>
      <c r="F275" s="1" t="s">
        <v>13</v>
      </c>
      <c r="G275" s="1" t="s">
        <v>212</v>
      </c>
      <c r="H275" s="1" t="s">
        <v>3</v>
      </c>
      <c r="I275" s="1">
        <v>0</v>
      </c>
      <c r="J275" s="1"/>
      <c r="K275" s="1">
        <v>-1</v>
      </c>
      <c r="L275" s="1"/>
      <c r="M275" s="1" t="s">
        <v>3</v>
      </c>
      <c r="N275" s="1"/>
      <c r="O275" s="1"/>
      <c r="P275" s="1"/>
      <c r="Q275" s="1"/>
      <c r="R275" s="1"/>
      <c r="S275" s="1">
        <v>0</v>
      </c>
      <c r="T275" s="1"/>
      <c r="U275" s="1" t="s">
        <v>3</v>
      </c>
      <c r="V275" s="1">
        <v>7</v>
      </c>
      <c r="W275" s="1"/>
      <c r="X275" s="1"/>
      <c r="Y275" s="1"/>
      <c r="Z275" s="1"/>
      <c r="AA275" s="1"/>
      <c r="AB275" s="1" t="s">
        <v>3</v>
      </c>
      <c r="AC275" s="1" t="s">
        <v>3</v>
      </c>
      <c r="AD275" s="1" t="s">
        <v>3</v>
      </c>
      <c r="AE275" s="1" t="s">
        <v>3</v>
      </c>
      <c r="AF275" s="1" t="s">
        <v>3</v>
      </c>
      <c r="AG275" s="1" t="s">
        <v>3</v>
      </c>
      <c r="AH275" s="1"/>
      <c r="AI275" s="1"/>
      <c r="AJ275" s="1"/>
      <c r="AK275" s="1"/>
      <c r="AL275" s="1"/>
      <c r="AM275" s="1"/>
      <c r="AN275" s="1"/>
      <c r="AO275" s="1"/>
      <c r="AP275" s="1" t="s">
        <v>3</v>
      </c>
      <c r="AQ275" s="1" t="s">
        <v>3</v>
      </c>
      <c r="AR275" s="1" t="s">
        <v>3</v>
      </c>
      <c r="AS275" s="1"/>
      <c r="AT275" s="1"/>
      <c r="AU275" s="1"/>
      <c r="AV275" s="1"/>
      <c r="AW275" s="1"/>
      <c r="AX275" s="1"/>
      <c r="AY275" s="1"/>
      <c r="AZ275" s="1" t="s">
        <v>3</v>
      </c>
      <c r="BA275" s="1"/>
      <c r="BB275" s="1" t="s">
        <v>3</v>
      </c>
      <c r="BC275" s="1" t="s">
        <v>3</v>
      </c>
      <c r="BD275" s="1" t="s">
        <v>3</v>
      </c>
      <c r="BE275" s="1" t="s">
        <v>3</v>
      </c>
      <c r="BF275" s="1" t="s">
        <v>3</v>
      </c>
      <c r="BG275" s="1" t="s">
        <v>3</v>
      </c>
      <c r="BH275" s="1" t="s">
        <v>3</v>
      </c>
      <c r="BI275" s="1" t="s">
        <v>3</v>
      </c>
      <c r="BJ275" s="1" t="s">
        <v>3</v>
      </c>
      <c r="BK275" s="1" t="s">
        <v>3</v>
      </c>
      <c r="BL275" s="1" t="s">
        <v>3</v>
      </c>
      <c r="BM275" s="1" t="s">
        <v>3</v>
      </c>
      <c r="BN275" s="1" t="s">
        <v>3</v>
      </c>
      <c r="BO275" s="1" t="s">
        <v>3</v>
      </c>
      <c r="BP275" s="1" t="s">
        <v>3</v>
      </c>
      <c r="BQ275" s="1"/>
      <c r="BR275" s="1"/>
      <c r="BS275" s="1"/>
      <c r="BT275" s="1"/>
      <c r="BU275" s="1"/>
      <c r="BV275" s="1"/>
      <c r="BW275" s="1"/>
      <c r="BX275" s="1">
        <v>0</v>
      </c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>
        <v>0</v>
      </c>
    </row>
    <row r="277" spans="1:245" x14ac:dyDescent="0.2">
      <c r="A277" s="2">
        <v>52</v>
      </c>
      <c r="B277" s="2">
        <f t="shared" ref="B277:G277" si="219">B291</f>
        <v>1</v>
      </c>
      <c r="C277" s="2">
        <f t="shared" si="219"/>
        <v>4</v>
      </c>
      <c r="D277" s="2">
        <f t="shared" si="219"/>
        <v>275</v>
      </c>
      <c r="E277" s="2">
        <f t="shared" si="219"/>
        <v>0</v>
      </c>
      <c r="F277" s="2" t="str">
        <f t="shared" si="219"/>
        <v>Новый раздел</v>
      </c>
      <c r="G277" s="2" t="str">
        <f t="shared" si="219"/>
        <v>Замена бортовых камней бетонных Бр 100.20.8 (538,5 мп)</v>
      </c>
      <c r="H277" s="2"/>
      <c r="I277" s="2"/>
      <c r="J277" s="2"/>
      <c r="K277" s="2"/>
      <c r="L277" s="2"/>
      <c r="M277" s="2"/>
      <c r="N277" s="2"/>
      <c r="O277" s="2">
        <f t="shared" ref="O277:AT277" si="220">O291</f>
        <v>456168.26</v>
      </c>
      <c r="P277" s="2">
        <f t="shared" si="220"/>
        <v>178804.27</v>
      </c>
      <c r="Q277" s="2">
        <f t="shared" si="220"/>
        <v>122024.73</v>
      </c>
      <c r="R277" s="2">
        <f t="shared" si="220"/>
        <v>72297.7</v>
      </c>
      <c r="S277" s="2">
        <f t="shared" si="220"/>
        <v>155339.26</v>
      </c>
      <c r="T277" s="2">
        <f t="shared" si="220"/>
        <v>0</v>
      </c>
      <c r="U277" s="2">
        <f t="shared" si="220"/>
        <v>805.86525000000006</v>
      </c>
      <c r="V277" s="2">
        <f t="shared" si="220"/>
        <v>0</v>
      </c>
      <c r="W277" s="2">
        <f t="shared" si="220"/>
        <v>0</v>
      </c>
      <c r="X277" s="2">
        <f t="shared" si="220"/>
        <v>108737.49</v>
      </c>
      <c r="Y277" s="2">
        <f t="shared" si="220"/>
        <v>15533.93</v>
      </c>
      <c r="Z277" s="2">
        <f t="shared" si="220"/>
        <v>0</v>
      </c>
      <c r="AA277" s="2">
        <f t="shared" si="220"/>
        <v>0</v>
      </c>
      <c r="AB277" s="2">
        <f t="shared" si="220"/>
        <v>456168.26</v>
      </c>
      <c r="AC277" s="2">
        <f t="shared" si="220"/>
        <v>178804.27</v>
      </c>
      <c r="AD277" s="2">
        <f t="shared" si="220"/>
        <v>122024.73</v>
      </c>
      <c r="AE277" s="2">
        <f t="shared" si="220"/>
        <v>72297.7</v>
      </c>
      <c r="AF277" s="2">
        <f t="shared" si="220"/>
        <v>155339.26</v>
      </c>
      <c r="AG277" s="2">
        <f t="shared" si="220"/>
        <v>0</v>
      </c>
      <c r="AH277" s="2">
        <f t="shared" si="220"/>
        <v>805.86525000000006</v>
      </c>
      <c r="AI277" s="2">
        <f t="shared" si="220"/>
        <v>0</v>
      </c>
      <c r="AJ277" s="2">
        <f t="shared" si="220"/>
        <v>0</v>
      </c>
      <c r="AK277" s="2">
        <f t="shared" si="220"/>
        <v>108737.49</v>
      </c>
      <c r="AL277" s="2">
        <f t="shared" si="220"/>
        <v>15533.93</v>
      </c>
      <c r="AM277" s="2">
        <f t="shared" si="220"/>
        <v>0</v>
      </c>
      <c r="AN277" s="2">
        <f t="shared" si="220"/>
        <v>0</v>
      </c>
      <c r="AO277" s="2">
        <f t="shared" si="220"/>
        <v>0</v>
      </c>
      <c r="AP277" s="2">
        <f t="shared" si="220"/>
        <v>0</v>
      </c>
      <c r="AQ277" s="2">
        <f t="shared" si="220"/>
        <v>0</v>
      </c>
      <c r="AR277" s="2">
        <f t="shared" si="220"/>
        <v>580973.92000000004</v>
      </c>
      <c r="AS277" s="2">
        <f t="shared" si="220"/>
        <v>0</v>
      </c>
      <c r="AT277" s="2">
        <f t="shared" si="220"/>
        <v>0</v>
      </c>
      <c r="AU277" s="2">
        <f t="shared" ref="AU277:BZ277" si="221">AU291</f>
        <v>580973.92000000004</v>
      </c>
      <c r="AV277" s="2">
        <f t="shared" si="221"/>
        <v>178804.27</v>
      </c>
      <c r="AW277" s="2">
        <f t="shared" si="221"/>
        <v>178804.27</v>
      </c>
      <c r="AX277" s="2">
        <f t="shared" si="221"/>
        <v>0</v>
      </c>
      <c r="AY277" s="2">
        <f t="shared" si="221"/>
        <v>178804.27</v>
      </c>
      <c r="AZ277" s="2">
        <f t="shared" si="221"/>
        <v>0</v>
      </c>
      <c r="BA277" s="2">
        <f t="shared" si="221"/>
        <v>0</v>
      </c>
      <c r="BB277" s="2">
        <f t="shared" si="221"/>
        <v>0</v>
      </c>
      <c r="BC277" s="2">
        <f t="shared" si="221"/>
        <v>0</v>
      </c>
      <c r="BD277" s="2">
        <f t="shared" si="221"/>
        <v>0</v>
      </c>
      <c r="BE277" s="2">
        <f t="shared" si="221"/>
        <v>0</v>
      </c>
      <c r="BF277" s="2">
        <f t="shared" si="221"/>
        <v>0</v>
      </c>
      <c r="BG277" s="2">
        <f t="shared" si="221"/>
        <v>0</v>
      </c>
      <c r="BH277" s="2">
        <f t="shared" si="221"/>
        <v>0</v>
      </c>
      <c r="BI277" s="2">
        <f t="shared" si="221"/>
        <v>0</v>
      </c>
      <c r="BJ277" s="2">
        <f t="shared" si="221"/>
        <v>0</v>
      </c>
      <c r="BK277" s="2">
        <f t="shared" si="221"/>
        <v>0</v>
      </c>
      <c r="BL277" s="2">
        <f t="shared" si="221"/>
        <v>0</v>
      </c>
      <c r="BM277" s="2">
        <f t="shared" si="221"/>
        <v>0</v>
      </c>
      <c r="BN277" s="2">
        <f t="shared" si="221"/>
        <v>0</v>
      </c>
      <c r="BO277" s="2">
        <f t="shared" si="221"/>
        <v>0</v>
      </c>
      <c r="BP277" s="2">
        <f t="shared" si="221"/>
        <v>0</v>
      </c>
      <c r="BQ277" s="2">
        <f t="shared" si="221"/>
        <v>0</v>
      </c>
      <c r="BR277" s="2">
        <f t="shared" si="221"/>
        <v>0</v>
      </c>
      <c r="BS277" s="2">
        <f t="shared" si="221"/>
        <v>0</v>
      </c>
      <c r="BT277" s="2">
        <f t="shared" si="221"/>
        <v>0</v>
      </c>
      <c r="BU277" s="2">
        <f t="shared" si="221"/>
        <v>0</v>
      </c>
      <c r="BV277" s="2">
        <f t="shared" si="221"/>
        <v>0</v>
      </c>
      <c r="BW277" s="2">
        <f t="shared" si="221"/>
        <v>0</v>
      </c>
      <c r="BX277" s="2">
        <f t="shared" si="221"/>
        <v>0</v>
      </c>
      <c r="BY277" s="2">
        <f t="shared" si="221"/>
        <v>0</v>
      </c>
      <c r="BZ277" s="2">
        <f t="shared" si="221"/>
        <v>0</v>
      </c>
      <c r="CA277" s="2">
        <f t="shared" ref="CA277:DF277" si="222">CA291</f>
        <v>580973.92000000004</v>
      </c>
      <c r="CB277" s="2">
        <f t="shared" si="222"/>
        <v>0</v>
      </c>
      <c r="CC277" s="2">
        <f t="shared" si="222"/>
        <v>0</v>
      </c>
      <c r="CD277" s="2">
        <f t="shared" si="222"/>
        <v>580973.92000000004</v>
      </c>
      <c r="CE277" s="2">
        <f t="shared" si="222"/>
        <v>178804.27</v>
      </c>
      <c r="CF277" s="2">
        <f t="shared" si="222"/>
        <v>178804.27</v>
      </c>
      <c r="CG277" s="2">
        <f t="shared" si="222"/>
        <v>0</v>
      </c>
      <c r="CH277" s="2">
        <f t="shared" si="222"/>
        <v>178804.27</v>
      </c>
      <c r="CI277" s="2">
        <f t="shared" si="222"/>
        <v>0</v>
      </c>
      <c r="CJ277" s="2">
        <f t="shared" si="222"/>
        <v>0</v>
      </c>
      <c r="CK277" s="2">
        <f t="shared" si="222"/>
        <v>0</v>
      </c>
      <c r="CL277" s="2">
        <f t="shared" si="222"/>
        <v>0</v>
      </c>
      <c r="CM277" s="2">
        <f t="shared" si="222"/>
        <v>0</v>
      </c>
      <c r="CN277" s="2">
        <f t="shared" si="222"/>
        <v>0</v>
      </c>
      <c r="CO277" s="2">
        <f t="shared" si="222"/>
        <v>0</v>
      </c>
      <c r="CP277" s="2">
        <f t="shared" si="222"/>
        <v>0</v>
      </c>
      <c r="CQ277" s="2">
        <f t="shared" si="222"/>
        <v>0</v>
      </c>
      <c r="CR277" s="2">
        <f t="shared" si="222"/>
        <v>0</v>
      </c>
      <c r="CS277" s="2">
        <f t="shared" si="222"/>
        <v>0</v>
      </c>
      <c r="CT277" s="2">
        <f t="shared" si="222"/>
        <v>0</v>
      </c>
      <c r="CU277" s="2">
        <f t="shared" si="222"/>
        <v>0</v>
      </c>
      <c r="CV277" s="2">
        <f t="shared" si="222"/>
        <v>0</v>
      </c>
      <c r="CW277" s="2">
        <f t="shared" si="222"/>
        <v>0</v>
      </c>
      <c r="CX277" s="2">
        <f t="shared" si="222"/>
        <v>0</v>
      </c>
      <c r="CY277" s="2">
        <f t="shared" si="222"/>
        <v>0</v>
      </c>
      <c r="CZ277" s="2">
        <f t="shared" si="222"/>
        <v>0</v>
      </c>
      <c r="DA277" s="2">
        <f t="shared" si="222"/>
        <v>0</v>
      </c>
      <c r="DB277" s="2">
        <f t="shared" si="222"/>
        <v>0</v>
      </c>
      <c r="DC277" s="2">
        <f t="shared" si="222"/>
        <v>0</v>
      </c>
      <c r="DD277" s="2">
        <f t="shared" si="222"/>
        <v>0</v>
      </c>
      <c r="DE277" s="2">
        <f t="shared" si="222"/>
        <v>0</v>
      </c>
      <c r="DF277" s="2">
        <f t="shared" si="222"/>
        <v>0</v>
      </c>
      <c r="DG277" s="3">
        <f t="shared" ref="DG277:EL277" si="223">DG291</f>
        <v>0</v>
      </c>
      <c r="DH277" s="3">
        <f t="shared" si="223"/>
        <v>0</v>
      </c>
      <c r="DI277" s="3">
        <f t="shared" si="223"/>
        <v>0</v>
      </c>
      <c r="DJ277" s="3">
        <f t="shared" si="223"/>
        <v>0</v>
      </c>
      <c r="DK277" s="3">
        <f t="shared" si="223"/>
        <v>0</v>
      </c>
      <c r="DL277" s="3">
        <f t="shared" si="223"/>
        <v>0</v>
      </c>
      <c r="DM277" s="3">
        <f t="shared" si="223"/>
        <v>0</v>
      </c>
      <c r="DN277" s="3">
        <f t="shared" si="223"/>
        <v>0</v>
      </c>
      <c r="DO277" s="3">
        <f t="shared" si="223"/>
        <v>0</v>
      </c>
      <c r="DP277" s="3">
        <f t="shared" si="223"/>
        <v>0</v>
      </c>
      <c r="DQ277" s="3">
        <f t="shared" si="223"/>
        <v>0</v>
      </c>
      <c r="DR277" s="3">
        <f t="shared" si="223"/>
        <v>0</v>
      </c>
      <c r="DS277" s="3">
        <f t="shared" si="223"/>
        <v>0</v>
      </c>
      <c r="DT277" s="3">
        <f t="shared" si="223"/>
        <v>0</v>
      </c>
      <c r="DU277" s="3">
        <f t="shared" si="223"/>
        <v>0</v>
      </c>
      <c r="DV277" s="3">
        <f t="shared" si="223"/>
        <v>0</v>
      </c>
      <c r="DW277" s="3">
        <f t="shared" si="223"/>
        <v>0</v>
      </c>
      <c r="DX277" s="3">
        <f t="shared" si="223"/>
        <v>0</v>
      </c>
      <c r="DY277" s="3">
        <f t="shared" si="223"/>
        <v>0</v>
      </c>
      <c r="DZ277" s="3">
        <f t="shared" si="223"/>
        <v>0</v>
      </c>
      <c r="EA277" s="3">
        <f t="shared" si="223"/>
        <v>0</v>
      </c>
      <c r="EB277" s="3">
        <f t="shared" si="223"/>
        <v>0</v>
      </c>
      <c r="EC277" s="3">
        <f t="shared" si="223"/>
        <v>0</v>
      </c>
      <c r="ED277" s="3">
        <f t="shared" si="223"/>
        <v>0</v>
      </c>
      <c r="EE277" s="3">
        <f t="shared" si="223"/>
        <v>0</v>
      </c>
      <c r="EF277" s="3">
        <f t="shared" si="223"/>
        <v>0</v>
      </c>
      <c r="EG277" s="3">
        <f t="shared" si="223"/>
        <v>0</v>
      </c>
      <c r="EH277" s="3">
        <f t="shared" si="223"/>
        <v>0</v>
      </c>
      <c r="EI277" s="3">
        <f t="shared" si="223"/>
        <v>0</v>
      </c>
      <c r="EJ277" s="3">
        <f t="shared" si="223"/>
        <v>0</v>
      </c>
      <c r="EK277" s="3">
        <f t="shared" si="223"/>
        <v>0</v>
      </c>
      <c r="EL277" s="3">
        <f t="shared" si="223"/>
        <v>0</v>
      </c>
      <c r="EM277" s="3">
        <f t="shared" ref="EM277:FR277" si="224">EM291</f>
        <v>0</v>
      </c>
      <c r="EN277" s="3">
        <f t="shared" si="224"/>
        <v>0</v>
      </c>
      <c r="EO277" s="3">
        <f t="shared" si="224"/>
        <v>0</v>
      </c>
      <c r="EP277" s="3">
        <f t="shared" si="224"/>
        <v>0</v>
      </c>
      <c r="EQ277" s="3">
        <f t="shared" si="224"/>
        <v>0</v>
      </c>
      <c r="ER277" s="3">
        <f t="shared" si="224"/>
        <v>0</v>
      </c>
      <c r="ES277" s="3">
        <f t="shared" si="224"/>
        <v>0</v>
      </c>
      <c r="ET277" s="3">
        <f t="shared" si="224"/>
        <v>0</v>
      </c>
      <c r="EU277" s="3">
        <f t="shared" si="224"/>
        <v>0</v>
      </c>
      <c r="EV277" s="3">
        <f t="shared" si="224"/>
        <v>0</v>
      </c>
      <c r="EW277" s="3">
        <f t="shared" si="224"/>
        <v>0</v>
      </c>
      <c r="EX277" s="3">
        <f t="shared" si="224"/>
        <v>0</v>
      </c>
      <c r="EY277" s="3">
        <f t="shared" si="224"/>
        <v>0</v>
      </c>
      <c r="EZ277" s="3">
        <f t="shared" si="224"/>
        <v>0</v>
      </c>
      <c r="FA277" s="3">
        <f t="shared" si="224"/>
        <v>0</v>
      </c>
      <c r="FB277" s="3">
        <f t="shared" si="224"/>
        <v>0</v>
      </c>
      <c r="FC277" s="3">
        <f t="shared" si="224"/>
        <v>0</v>
      </c>
      <c r="FD277" s="3">
        <f t="shared" si="224"/>
        <v>0</v>
      </c>
      <c r="FE277" s="3">
        <f t="shared" si="224"/>
        <v>0</v>
      </c>
      <c r="FF277" s="3">
        <f t="shared" si="224"/>
        <v>0</v>
      </c>
      <c r="FG277" s="3">
        <f t="shared" si="224"/>
        <v>0</v>
      </c>
      <c r="FH277" s="3">
        <f t="shared" si="224"/>
        <v>0</v>
      </c>
      <c r="FI277" s="3">
        <f t="shared" si="224"/>
        <v>0</v>
      </c>
      <c r="FJ277" s="3">
        <f t="shared" si="224"/>
        <v>0</v>
      </c>
      <c r="FK277" s="3">
        <f t="shared" si="224"/>
        <v>0</v>
      </c>
      <c r="FL277" s="3">
        <f t="shared" si="224"/>
        <v>0</v>
      </c>
      <c r="FM277" s="3">
        <f t="shared" si="224"/>
        <v>0</v>
      </c>
      <c r="FN277" s="3">
        <f t="shared" si="224"/>
        <v>0</v>
      </c>
      <c r="FO277" s="3">
        <f t="shared" si="224"/>
        <v>0</v>
      </c>
      <c r="FP277" s="3">
        <f t="shared" si="224"/>
        <v>0</v>
      </c>
      <c r="FQ277" s="3">
        <f t="shared" si="224"/>
        <v>0</v>
      </c>
      <c r="FR277" s="3">
        <f t="shared" si="224"/>
        <v>0</v>
      </c>
      <c r="FS277" s="3">
        <f t="shared" ref="FS277:GX277" si="225">FS291</f>
        <v>0</v>
      </c>
      <c r="FT277" s="3">
        <f t="shared" si="225"/>
        <v>0</v>
      </c>
      <c r="FU277" s="3">
        <f t="shared" si="225"/>
        <v>0</v>
      </c>
      <c r="FV277" s="3">
        <f t="shared" si="225"/>
        <v>0</v>
      </c>
      <c r="FW277" s="3">
        <f t="shared" si="225"/>
        <v>0</v>
      </c>
      <c r="FX277" s="3">
        <f t="shared" si="225"/>
        <v>0</v>
      </c>
      <c r="FY277" s="3">
        <f t="shared" si="225"/>
        <v>0</v>
      </c>
      <c r="FZ277" s="3">
        <f t="shared" si="225"/>
        <v>0</v>
      </c>
      <c r="GA277" s="3">
        <f t="shared" si="225"/>
        <v>0</v>
      </c>
      <c r="GB277" s="3">
        <f t="shared" si="225"/>
        <v>0</v>
      </c>
      <c r="GC277" s="3">
        <f t="shared" si="225"/>
        <v>0</v>
      </c>
      <c r="GD277" s="3">
        <f t="shared" si="225"/>
        <v>0</v>
      </c>
      <c r="GE277" s="3">
        <f t="shared" si="225"/>
        <v>0</v>
      </c>
      <c r="GF277" s="3">
        <f t="shared" si="225"/>
        <v>0</v>
      </c>
      <c r="GG277" s="3">
        <f t="shared" si="225"/>
        <v>0</v>
      </c>
      <c r="GH277" s="3">
        <f t="shared" si="225"/>
        <v>0</v>
      </c>
      <c r="GI277" s="3">
        <f t="shared" si="225"/>
        <v>0</v>
      </c>
      <c r="GJ277" s="3">
        <f t="shared" si="225"/>
        <v>0</v>
      </c>
      <c r="GK277" s="3">
        <f t="shared" si="225"/>
        <v>0</v>
      </c>
      <c r="GL277" s="3">
        <f t="shared" si="225"/>
        <v>0</v>
      </c>
      <c r="GM277" s="3">
        <f t="shared" si="225"/>
        <v>0</v>
      </c>
      <c r="GN277" s="3">
        <f t="shared" si="225"/>
        <v>0</v>
      </c>
      <c r="GO277" s="3">
        <f t="shared" si="225"/>
        <v>0</v>
      </c>
      <c r="GP277" s="3">
        <f t="shared" si="225"/>
        <v>0</v>
      </c>
      <c r="GQ277" s="3">
        <f t="shared" si="225"/>
        <v>0</v>
      </c>
      <c r="GR277" s="3">
        <f t="shared" si="225"/>
        <v>0</v>
      </c>
      <c r="GS277" s="3">
        <f t="shared" si="225"/>
        <v>0</v>
      </c>
      <c r="GT277" s="3">
        <f t="shared" si="225"/>
        <v>0</v>
      </c>
      <c r="GU277" s="3">
        <f t="shared" si="225"/>
        <v>0</v>
      </c>
      <c r="GV277" s="3">
        <f t="shared" si="225"/>
        <v>0</v>
      </c>
      <c r="GW277" s="3">
        <f t="shared" si="225"/>
        <v>0</v>
      </c>
      <c r="GX277" s="3">
        <f t="shared" si="225"/>
        <v>0</v>
      </c>
    </row>
    <row r="279" spans="1:245" x14ac:dyDescent="0.2">
      <c r="A279">
        <v>17</v>
      </c>
      <c r="B279">
        <v>1</v>
      </c>
      <c r="C279">
        <f>ROW(SmtRes!A94)</f>
        <v>94</v>
      </c>
      <c r="D279">
        <f>ROW(EtalonRes!A85)</f>
        <v>85</v>
      </c>
      <c r="E279" t="s">
        <v>213</v>
      </c>
      <c r="F279" t="s">
        <v>214</v>
      </c>
      <c r="G279" t="s">
        <v>215</v>
      </c>
      <c r="H279" t="s">
        <v>216</v>
      </c>
      <c r="I279">
        <f>ROUND((I285*0.1*0.3)/100*0,9)</f>
        <v>0</v>
      </c>
      <c r="J279">
        <v>0</v>
      </c>
      <c r="O279">
        <f t="shared" ref="O279:O289" si="226">ROUND(CP279,2)</f>
        <v>0</v>
      </c>
      <c r="P279">
        <f t="shared" ref="P279:P289" si="227">ROUND(CQ279*I279,2)</f>
        <v>0</v>
      </c>
      <c r="Q279">
        <f t="shared" ref="Q279:Q289" si="228">ROUND(CR279*I279,2)</f>
        <v>0</v>
      </c>
      <c r="R279">
        <f t="shared" ref="R279:R289" si="229">ROUND(CS279*I279,2)</f>
        <v>0</v>
      </c>
      <c r="S279">
        <f t="shared" ref="S279:S289" si="230">ROUND(CT279*I279,2)</f>
        <v>0</v>
      </c>
      <c r="T279">
        <f t="shared" ref="T279:T289" si="231">ROUND(CU279*I279,2)</f>
        <v>0</v>
      </c>
      <c r="U279">
        <f t="shared" ref="U279:U289" si="232">CV279*I279</f>
        <v>0</v>
      </c>
      <c r="V279">
        <f t="shared" ref="V279:V289" si="233">CW279*I279</f>
        <v>0</v>
      </c>
      <c r="W279">
        <f t="shared" ref="W279:W289" si="234">ROUND(CX279*I279,2)</f>
        <v>0</v>
      </c>
      <c r="X279">
        <f t="shared" ref="X279:X289" si="235">ROUND(CY279,2)</f>
        <v>0</v>
      </c>
      <c r="Y279">
        <f t="shared" ref="Y279:Y289" si="236">ROUND(CZ279,2)</f>
        <v>0</v>
      </c>
      <c r="AA279">
        <v>56440881</v>
      </c>
      <c r="AB279">
        <f t="shared" ref="AB279:AB289" si="237">ROUND((AC279+AD279+AF279),2)</f>
        <v>76371.3</v>
      </c>
      <c r="AC279">
        <f t="shared" ref="AC279:AC287" si="238">ROUND((ES279),2)</f>
        <v>65154.45</v>
      </c>
      <c r="AD279">
        <f t="shared" ref="AD279:AD287" si="239">ROUND((((ET279)-(EU279))+AE279),2)</f>
        <v>8265.0300000000007</v>
      </c>
      <c r="AE279">
        <f t="shared" ref="AE279:AE287" si="240">ROUND((EU279),2)</f>
        <v>3342.74</v>
      </c>
      <c r="AF279">
        <f t="shared" ref="AF279:AF287" si="241">ROUND((EV279),2)</f>
        <v>2951.82</v>
      </c>
      <c r="AG279">
        <f t="shared" ref="AG279:AG289" si="242">ROUND((AP279),2)</f>
        <v>0</v>
      </c>
      <c r="AH279">
        <f t="shared" ref="AH279:AH287" si="243">(EW279)</f>
        <v>16.559999999999999</v>
      </c>
      <c r="AI279">
        <f t="shared" ref="AI279:AI287" si="244">(EX279)</f>
        <v>0</v>
      </c>
      <c r="AJ279">
        <f t="shared" ref="AJ279:AJ289" si="245">(AS279)</f>
        <v>0</v>
      </c>
      <c r="AK279">
        <v>76371.3</v>
      </c>
      <c r="AL279">
        <v>65154.45</v>
      </c>
      <c r="AM279">
        <v>8265.0300000000007</v>
      </c>
      <c r="AN279">
        <v>3342.74</v>
      </c>
      <c r="AO279">
        <v>2951.82</v>
      </c>
      <c r="AP279">
        <v>0</v>
      </c>
      <c r="AQ279">
        <v>16.559999999999999</v>
      </c>
      <c r="AR279">
        <v>0</v>
      </c>
      <c r="AS279">
        <v>0</v>
      </c>
      <c r="AT279">
        <v>70</v>
      </c>
      <c r="AU279">
        <v>10</v>
      </c>
      <c r="AV279">
        <v>1</v>
      </c>
      <c r="AW279">
        <v>1</v>
      </c>
      <c r="AZ279">
        <v>1</v>
      </c>
      <c r="BA279">
        <v>1</v>
      </c>
      <c r="BB279">
        <v>1</v>
      </c>
      <c r="BC279">
        <v>1</v>
      </c>
      <c r="BD279" t="s">
        <v>3</v>
      </c>
      <c r="BE279" t="s">
        <v>3</v>
      </c>
      <c r="BF279" t="s">
        <v>3</v>
      </c>
      <c r="BG279" t="s">
        <v>3</v>
      </c>
      <c r="BH279">
        <v>0</v>
      </c>
      <c r="BI279">
        <v>4</v>
      </c>
      <c r="BJ279" t="s">
        <v>217</v>
      </c>
      <c r="BM279">
        <v>0</v>
      </c>
      <c r="BN279">
        <v>0</v>
      </c>
      <c r="BO279" t="s">
        <v>3</v>
      </c>
      <c r="BP279">
        <v>0</v>
      </c>
      <c r="BQ279">
        <v>1</v>
      </c>
      <c r="BR279">
        <v>0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 t="s">
        <v>3</v>
      </c>
      <c r="BZ279">
        <v>70</v>
      </c>
      <c r="CA279">
        <v>10</v>
      </c>
      <c r="CE279">
        <v>0</v>
      </c>
      <c r="CF279">
        <v>0</v>
      </c>
      <c r="CG279">
        <v>0</v>
      </c>
      <c r="CM279">
        <v>0</v>
      </c>
      <c r="CN279" t="s">
        <v>3</v>
      </c>
      <c r="CO279">
        <v>0</v>
      </c>
      <c r="CP279">
        <f t="shared" ref="CP279:CP289" si="246">(P279+Q279+S279)</f>
        <v>0</v>
      </c>
      <c r="CQ279">
        <f t="shared" ref="CQ279:CQ289" si="247">(AC279*BC279*AW279)</f>
        <v>65154.45</v>
      </c>
      <c r="CR279">
        <f t="shared" ref="CR279:CR287" si="248">((((ET279)*BB279-(EU279)*BS279)+AE279*BS279)*AV279)</f>
        <v>8265.0300000000007</v>
      </c>
      <c r="CS279">
        <f t="shared" ref="CS279:CS289" si="249">(AE279*BS279*AV279)</f>
        <v>3342.74</v>
      </c>
      <c r="CT279">
        <f t="shared" ref="CT279:CT289" si="250">(AF279*BA279*AV279)</f>
        <v>2951.82</v>
      </c>
      <c r="CU279">
        <f t="shared" ref="CU279:CU289" si="251">AG279</f>
        <v>0</v>
      </c>
      <c r="CV279">
        <f t="shared" ref="CV279:CV289" si="252">(AH279*AV279)</f>
        <v>16.559999999999999</v>
      </c>
      <c r="CW279">
        <f t="shared" ref="CW279:CW289" si="253">AI279</f>
        <v>0</v>
      </c>
      <c r="CX279">
        <f t="shared" ref="CX279:CX289" si="254">AJ279</f>
        <v>0</v>
      </c>
      <c r="CY279">
        <f t="shared" ref="CY279:CY289" si="255">((S279*BZ279)/100)</f>
        <v>0</v>
      </c>
      <c r="CZ279">
        <f t="shared" ref="CZ279:CZ289" si="256">((S279*CA279)/100)</f>
        <v>0</v>
      </c>
      <c r="DC279" t="s">
        <v>3</v>
      </c>
      <c r="DD279" t="s">
        <v>3</v>
      </c>
      <c r="DE279" t="s">
        <v>3</v>
      </c>
      <c r="DF279" t="s">
        <v>3</v>
      </c>
      <c r="DG279" t="s">
        <v>3</v>
      </c>
      <c r="DH279" t="s">
        <v>3</v>
      </c>
      <c r="DI279" t="s">
        <v>3</v>
      </c>
      <c r="DJ279" t="s">
        <v>3</v>
      </c>
      <c r="DK279" t="s">
        <v>3</v>
      </c>
      <c r="DL279" t="s">
        <v>3</v>
      </c>
      <c r="DM279" t="s">
        <v>3</v>
      </c>
      <c r="DN279">
        <v>0</v>
      </c>
      <c r="DO279">
        <v>0</v>
      </c>
      <c r="DP279">
        <v>1</v>
      </c>
      <c r="DQ279">
        <v>1</v>
      </c>
      <c r="DU279">
        <v>1007</v>
      </c>
      <c r="DV279" t="s">
        <v>216</v>
      </c>
      <c r="DW279" t="s">
        <v>216</v>
      </c>
      <c r="DX279">
        <v>100</v>
      </c>
      <c r="DZ279" t="s">
        <v>3</v>
      </c>
      <c r="EA279" t="s">
        <v>3</v>
      </c>
      <c r="EB279" t="s">
        <v>3</v>
      </c>
      <c r="EC279" t="s">
        <v>3</v>
      </c>
      <c r="EE279">
        <v>54545671</v>
      </c>
      <c r="EF279">
        <v>1</v>
      </c>
      <c r="EG279" t="s">
        <v>20</v>
      </c>
      <c r="EH279">
        <v>0</v>
      </c>
      <c r="EI279" t="s">
        <v>3</v>
      </c>
      <c r="EJ279">
        <v>4</v>
      </c>
      <c r="EK279">
        <v>0</v>
      </c>
      <c r="EL279" t="s">
        <v>21</v>
      </c>
      <c r="EM279" t="s">
        <v>22</v>
      </c>
      <c r="EO279" t="s">
        <v>3</v>
      </c>
      <c r="EQ279">
        <v>0</v>
      </c>
      <c r="ER279">
        <v>76371.3</v>
      </c>
      <c r="ES279">
        <v>65154.45</v>
      </c>
      <c r="ET279">
        <v>8265.0300000000007</v>
      </c>
      <c r="EU279">
        <v>3342.74</v>
      </c>
      <c r="EV279">
        <v>2951.82</v>
      </c>
      <c r="EW279">
        <v>16.559999999999999</v>
      </c>
      <c r="EX279">
        <v>0</v>
      </c>
      <c r="EY279">
        <v>0</v>
      </c>
      <c r="FQ279">
        <v>0</v>
      </c>
      <c r="FR279">
        <f t="shared" ref="FR279:FR289" si="257">ROUND(IF(AND(BH279=3,BI279=3),P279,0),2)</f>
        <v>0</v>
      </c>
      <c r="FS279">
        <v>0</v>
      </c>
      <c r="FX279">
        <v>70</v>
      </c>
      <c r="FY279">
        <v>10</v>
      </c>
      <c r="GA279" t="s">
        <v>3</v>
      </c>
      <c r="GD279">
        <v>0</v>
      </c>
      <c r="GF279">
        <v>-1058061468</v>
      </c>
      <c r="GG279">
        <v>2</v>
      </c>
      <c r="GH279">
        <v>1</v>
      </c>
      <c r="GI279">
        <v>-2</v>
      </c>
      <c r="GJ279">
        <v>0</v>
      </c>
      <c r="GK279">
        <f>ROUND(R279*(R12)/100,2)</f>
        <v>0</v>
      </c>
      <c r="GL279">
        <f t="shared" ref="GL279:GL289" si="258">ROUND(IF(AND(BH279=3,BI279=3,FS279&lt;&gt;0),P279,0),2)</f>
        <v>0</v>
      </c>
      <c r="GM279">
        <f t="shared" ref="GM279:GM285" si="259">ROUND(O279+X279+Y279+GK279,2)+GX279</f>
        <v>0</v>
      </c>
      <c r="GN279">
        <f t="shared" ref="GN279:GN285" si="260">IF(OR(BI279=0,BI279=1),ROUND(O279+X279+Y279+GK279,2),0)</f>
        <v>0</v>
      </c>
      <c r="GO279">
        <f t="shared" ref="GO279:GO285" si="261">IF(BI279=2,ROUND(O279+X279+Y279+GK279,2),0)</f>
        <v>0</v>
      </c>
      <c r="GP279">
        <f t="shared" ref="GP279:GP285" si="262">IF(BI279=4,ROUND(O279+X279+Y279+GK279,2)+GX279,0)</f>
        <v>0</v>
      </c>
      <c r="GR279">
        <v>0</v>
      </c>
      <c r="GS279">
        <v>3</v>
      </c>
      <c r="GT279">
        <v>0</v>
      </c>
      <c r="GU279" t="s">
        <v>3</v>
      </c>
      <c r="GV279">
        <f t="shared" ref="GV279:GV289" si="263">ROUND((GT279),2)</f>
        <v>0</v>
      </c>
      <c r="GW279">
        <v>1</v>
      </c>
      <c r="GX279">
        <f t="shared" ref="GX279:GX289" si="264">ROUND(HC279*I279,2)</f>
        <v>0</v>
      </c>
      <c r="HA279">
        <v>0</v>
      </c>
      <c r="HB279">
        <v>0</v>
      </c>
      <c r="HC279">
        <f t="shared" ref="HC279:HC289" si="265">GV279*GW279</f>
        <v>0</v>
      </c>
      <c r="HE279" t="s">
        <v>3</v>
      </c>
      <c r="HF279" t="s">
        <v>3</v>
      </c>
      <c r="IK279">
        <v>0</v>
      </c>
    </row>
    <row r="280" spans="1:245" x14ac:dyDescent="0.2">
      <c r="A280">
        <v>17</v>
      </c>
      <c r="B280">
        <v>1</v>
      </c>
      <c r="C280">
        <f>ROW(SmtRes!A104)</f>
        <v>104</v>
      </c>
      <c r="D280">
        <f>ROW(EtalonRes!A94)</f>
        <v>94</v>
      </c>
      <c r="E280" t="s">
        <v>218</v>
      </c>
      <c r="F280" t="s">
        <v>219</v>
      </c>
      <c r="G280" t="s">
        <v>220</v>
      </c>
      <c r="H280" t="s">
        <v>216</v>
      </c>
      <c r="I280">
        <f>ROUND((I285*0.1*0.3)*0,9)</f>
        <v>0</v>
      </c>
      <c r="J280">
        <v>0</v>
      </c>
      <c r="O280">
        <f t="shared" si="226"/>
        <v>0</v>
      </c>
      <c r="P280">
        <f t="shared" si="227"/>
        <v>0</v>
      </c>
      <c r="Q280">
        <f t="shared" si="228"/>
        <v>0</v>
      </c>
      <c r="R280">
        <f t="shared" si="229"/>
        <v>0</v>
      </c>
      <c r="S280">
        <f t="shared" si="230"/>
        <v>0</v>
      </c>
      <c r="T280">
        <f t="shared" si="231"/>
        <v>0</v>
      </c>
      <c r="U280">
        <f t="shared" si="232"/>
        <v>0</v>
      </c>
      <c r="V280">
        <f t="shared" si="233"/>
        <v>0</v>
      </c>
      <c r="W280">
        <f t="shared" si="234"/>
        <v>0</v>
      </c>
      <c r="X280">
        <f t="shared" si="235"/>
        <v>0</v>
      </c>
      <c r="Y280">
        <f t="shared" si="236"/>
        <v>0</v>
      </c>
      <c r="AA280">
        <v>56440881</v>
      </c>
      <c r="AB280">
        <f t="shared" si="237"/>
        <v>283607.26</v>
      </c>
      <c r="AC280">
        <f t="shared" si="238"/>
        <v>227826.13</v>
      </c>
      <c r="AD280">
        <f t="shared" si="239"/>
        <v>51353.4</v>
      </c>
      <c r="AE280">
        <f t="shared" si="240"/>
        <v>20189.400000000001</v>
      </c>
      <c r="AF280">
        <f t="shared" si="241"/>
        <v>4427.7299999999996</v>
      </c>
      <c r="AG280">
        <f t="shared" si="242"/>
        <v>0</v>
      </c>
      <c r="AH280">
        <f t="shared" si="243"/>
        <v>24.84</v>
      </c>
      <c r="AI280">
        <f t="shared" si="244"/>
        <v>0</v>
      </c>
      <c r="AJ280">
        <f t="shared" si="245"/>
        <v>0</v>
      </c>
      <c r="AK280">
        <v>283607.26</v>
      </c>
      <c r="AL280">
        <v>227826.13</v>
      </c>
      <c r="AM280">
        <v>51353.4</v>
      </c>
      <c r="AN280">
        <v>20189.400000000001</v>
      </c>
      <c r="AO280">
        <v>4427.7299999999996</v>
      </c>
      <c r="AP280">
        <v>0</v>
      </c>
      <c r="AQ280">
        <v>24.84</v>
      </c>
      <c r="AR280">
        <v>0</v>
      </c>
      <c r="AS280">
        <v>0</v>
      </c>
      <c r="AT280">
        <v>70</v>
      </c>
      <c r="AU280">
        <v>10</v>
      </c>
      <c r="AV280">
        <v>1</v>
      </c>
      <c r="AW280">
        <v>1</v>
      </c>
      <c r="AZ280">
        <v>1</v>
      </c>
      <c r="BA280">
        <v>1</v>
      </c>
      <c r="BB280">
        <v>1</v>
      </c>
      <c r="BC280">
        <v>1</v>
      </c>
      <c r="BD280" t="s">
        <v>3</v>
      </c>
      <c r="BE280" t="s">
        <v>3</v>
      </c>
      <c r="BF280" t="s">
        <v>3</v>
      </c>
      <c r="BG280" t="s">
        <v>3</v>
      </c>
      <c r="BH280">
        <v>0</v>
      </c>
      <c r="BI280">
        <v>4</v>
      </c>
      <c r="BJ280" t="s">
        <v>221</v>
      </c>
      <c r="BM280">
        <v>0</v>
      </c>
      <c r="BN280">
        <v>0</v>
      </c>
      <c r="BO280" t="s">
        <v>3</v>
      </c>
      <c r="BP280">
        <v>0</v>
      </c>
      <c r="BQ280">
        <v>1</v>
      </c>
      <c r="BR280">
        <v>0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 t="s">
        <v>3</v>
      </c>
      <c r="BZ280">
        <v>70</v>
      </c>
      <c r="CA280">
        <v>10</v>
      </c>
      <c r="CE280">
        <v>0</v>
      </c>
      <c r="CF280">
        <v>0</v>
      </c>
      <c r="CG280">
        <v>0</v>
      </c>
      <c r="CM280">
        <v>0</v>
      </c>
      <c r="CN280" t="s">
        <v>3</v>
      </c>
      <c r="CO280">
        <v>0</v>
      </c>
      <c r="CP280">
        <f t="shared" si="246"/>
        <v>0</v>
      </c>
      <c r="CQ280">
        <f t="shared" si="247"/>
        <v>227826.13</v>
      </c>
      <c r="CR280">
        <f t="shared" si="248"/>
        <v>51353.4</v>
      </c>
      <c r="CS280">
        <f t="shared" si="249"/>
        <v>20189.400000000001</v>
      </c>
      <c r="CT280">
        <f t="shared" si="250"/>
        <v>4427.7299999999996</v>
      </c>
      <c r="CU280">
        <f t="shared" si="251"/>
        <v>0</v>
      </c>
      <c r="CV280">
        <f t="shared" si="252"/>
        <v>24.84</v>
      </c>
      <c r="CW280">
        <f t="shared" si="253"/>
        <v>0</v>
      </c>
      <c r="CX280">
        <f t="shared" si="254"/>
        <v>0</v>
      </c>
      <c r="CY280">
        <f t="shared" si="255"/>
        <v>0</v>
      </c>
      <c r="CZ280">
        <f t="shared" si="256"/>
        <v>0</v>
      </c>
      <c r="DC280" t="s">
        <v>3</v>
      </c>
      <c r="DD280" t="s">
        <v>3</v>
      </c>
      <c r="DE280" t="s">
        <v>3</v>
      </c>
      <c r="DF280" t="s">
        <v>3</v>
      </c>
      <c r="DG280" t="s">
        <v>3</v>
      </c>
      <c r="DH280" t="s">
        <v>3</v>
      </c>
      <c r="DI280" t="s">
        <v>3</v>
      </c>
      <c r="DJ280" t="s">
        <v>3</v>
      </c>
      <c r="DK280" t="s">
        <v>3</v>
      </c>
      <c r="DL280" t="s">
        <v>3</v>
      </c>
      <c r="DM280" t="s">
        <v>3</v>
      </c>
      <c r="DN280">
        <v>0</v>
      </c>
      <c r="DO280">
        <v>0</v>
      </c>
      <c r="DP280">
        <v>1</v>
      </c>
      <c r="DQ280">
        <v>1</v>
      </c>
      <c r="DU280">
        <v>1007</v>
      </c>
      <c r="DV280" t="s">
        <v>216</v>
      </c>
      <c r="DW280" t="s">
        <v>216</v>
      </c>
      <c r="DX280">
        <v>100</v>
      </c>
      <c r="DZ280" t="s">
        <v>3</v>
      </c>
      <c r="EA280" t="s">
        <v>3</v>
      </c>
      <c r="EB280" t="s">
        <v>3</v>
      </c>
      <c r="EC280" t="s">
        <v>3</v>
      </c>
      <c r="EE280">
        <v>54545671</v>
      </c>
      <c r="EF280">
        <v>1</v>
      </c>
      <c r="EG280" t="s">
        <v>20</v>
      </c>
      <c r="EH280">
        <v>0</v>
      </c>
      <c r="EI280" t="s">
        <v>3</v>
      </c>
      <c r="EJ280">
        <v>4</v>
      </c>
      <c r="EK280">
        <v>0</v>
      </c>
      <c r="EL280" t="s">
        <v>21</v>
      </c>
      <c r="EM280" t="s">
        <v>22</v>
      </c>
      <c r="EO280" t="s">
        <v>3</v>
      </c>
      <c r="EQ280">
        <v>0</v>
      </c>
      <c r="ER280">
        <v>283607.26</v>
      </c>
      <c r="ES280">
        <v>227826.13</v>
      </c>
      <c r="ET280">
        <v>51353.4</v>
      </c>
      <c r="EU280">
        <v>20189.400000000001</v>
      </c>
      <c r="EV280">
        <v>4427.7299999999996</v>
      </c>
      <c r="EW280">
        <v>24.84</v>
      </c>
      <c r="EX280">
        <v>0</v>
      </c>
      <c r="EY280">
        <v>0</v>
      </c>
      <c r="FQ280">
        <v>0</v>
      </c>
      <c r="FR280">
        <f t="shared" si="257"/>
        <v>0</v>
      </c>
      <c r="FS280">
        <v>0</v>
      </c>
      <c r="FX280">
        <v>70</v>
      </c>
      <c r="FY280">
        <v>10</v>
      </c>
      <c r="GA280" t="s">
        <v>3</v>
      </c>
      <c r="GD280">
        <v>0</v>
      </c>
      <c r="GF280">
        <v>1990771062</v>
      </c>
      <c r="GG280">
        <v>2</v>
      </c>
      <c r="GH280">
        <v>1</v>
      </c>
      <c r="GI280">
        <v>-2</v>
      </c>
      <c r="GJ280">
        <v>0</v>
      </c>
      <c r="GK280">
        <f>ROUND(R280*(R12)/100,2)</f>
        <v>0</v>
      </c>
      <c r="GL280">
        <f t="shared" si="258"/>
        <v>0</v>
      </c>
      <c r="GM280">
        <f t="shared" si="259"/>
        <v>0</v>
      </c>
      <c r="GN280">
        <f t="shared" si="260"/>
        <v>0</v>
      </c>
      <c r="GO280">
        <f t="shared" si="261"/>
        <v>0</v>
      </c>
      <c r="GP280">
        <f t="shared" si="262"/>
        <v>0</v>
      </c>
      <c r="GR280">
        <v>0</v>
      </c>
      <c r="GS280">
        <v>3</v>
      </c>
      <c r="GT280">
        <v>0</v>
      </c>
      <c r="GU280" t="s">
        <v>3</v>
      </c>
      <c r="GV280">
        <f t="shared" si="263"/>
        <v>0</v>
      </c>
      <c r="GW280">
        <v>1</v>
      </c>
      <c r="GX280">
        <f t="shared" si="264"/>
        <v>0</v>
      </c>
      <c r="HA280">
        <v>0</v>
      </c>
      <c r="HB280">
        <v>0</v>
      </c>
      <c r="HC280">
        <f t="shared" si="265"/>
        <v>0</v>
      </c>
      <c r="HE280" t="s">
        <v>3</v>
      </c>
      <c r="HF280" t="s">
        <v>3</v>
      </c>
      <c r="IK280">
        <v>0</v>
      </c>
    </row>
    <row r="281" spans="1:245" x14ac:dyDescent="0.2">
      <c r="A281">
        <v>18</v>
      </c>
      <c r="B281">
        <v>1</v>
      </c>
      <c r="C281">
        <v>103</v>
      </c>
      <c r="E281" t="s">
        <v>222</v>
      </c>
      <c r="F281" t="s">
        <v>29</v>
      </c>
      <c r="G281" t="s">
        <v>30</v>
      </c>
      <c r="H281" t="s">
        <v>26</v>
      </c>
      <c r="I281">
        <f>I280*J281</f>
        <v>0</v>
      </c>
      <c r="J281">
        <v>-126</v>
      </c>
      <c r="O281">
        <f t="shared" si="226"/>
        <v>0</v>
      </c>
      <c r="P281">
        <f t="shared" si="227"/>
        <v>0</v>
      </c>
      <c r="Q281">
        <f t="shared" si="228"/>
        <v>0</v>
      </c>
      <c r="R281">
        <f t="shared" si="229"/>
        <v>0</v>
      </c>
      <c r="S281">
        <f t="shared" si="230"/>
        <v>0</v>
      </c>
      <c r="T281">
        <f t="shared" si="231"/>
        <v>0</v>
      </c>
      <c r="U281">
        <f t="shared" si="232"/>
        <v>0</v>
      </c>
      <c r="V281">
        <f t="shared" si="233"/>
        <v>0</v>
      </c>
      <c r="W281">
        <f t="shared" si="234"/>
        <v>0</v>
      </c>
      <c r="X281">
        <f t="shared" si="235"/>
        <v>0</v>
      </c>
      <c r="Y281">
        <f t="shared" si="236"/>
        <v>0</v>
      </c>
      <c r="AA281">
        <v>56440881</v>
      </c>
      <c r="AB281">
        <f t="shared" si="237"/>
        <v>1806.27</v>
      </c>
      <c r="AC281">
        <f t="shared" si="238"/>
        <v>1806.27</v>
      </c>
      <c r="AD281">
        <f t="shared" si="239"/>
        <v>0</v>
      </c>
      <c r="AE281">
        <f t="shared" si="240"/>
        <v>0</v>
      </c>
      <c r="AF281">
        <f t="shared" si="241"/>
        <v>0</v>
      </c>
      <c r="AG281">
        <f t="shared" si="242"/>
        <v>0</v>
      </c>
      <c r="AH281">
        <f t="shared" si="243"/>
        <v>0</v>
      </c>
      <c r="AI281">
        <f t="shared" si="244"/>
        <v>0</v>
      </c>
      <c r="AJ281">
        <f t="shared" si="245"/>
        <v>0</v>
      </c>
      <c r="AK281">
        <v>1806.27</v>
      </c>
      <c r="AL281">
        <v>1806.27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70</v>
      </c>
      <c r="AU281">
        <v>10</v>
      </c>
      <c r="AV281">
        <v>1</v>
      </c>
      <c r="AW281">
        <v>1</v>
      </c>
      <c r="AZ281">
        <v>1</v>
      </c>
      <c r="BA281">
        <v>1</v>
      </c>
      <c r="BB281">
        <v>1</v>
      </c>
      <c r="BC281">
        <v>1</v>
      </c>
      <c r="BD281" t="s">
        <v>3</v>
      </c>
      <c r="BE281" t="s">
        <v>3</v>
      </c>
      <c r="BF281" t="s">
        <v>3</v>
      </c>
      <c r="BG281" t="s">
        <v>3</v>
      </c>
      <c r="BH281">
        <v>3</v>
      </c>
      <c r="BI281">
        <v>4</v>
      </c>
      <c r="BJ281" t="s">
        <v>31</v>
      </c>
      <c r="BM281">
        <v>0</v>
      </c>
      <c r="BN281">
        <v>0</v>
      </c>
      <c r="BO281" t="s">
        <v>3</v>
      </c>
      <c r="BP281">
        <v>0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 t="s">
        <v>3</v>
      </c>
      <c r="BZ281">
        <v>70</v>
      </c>
      <c r="CA281">
        <v>10</v>
      </c>
      <c r="CE281">
        <v>0</v>
      </c>
      <c r="CF281">
        <v>0</v>
      </c>
      <c r="CG281">
        <v>0</v>
      </c>
      <c r="CM281">
        <v>0</v>
      </c>
      <c r="CN281" t="s">
        <v>3</v>
      </c>
      <c r="CO281">
        <v>0</v>
      </c>
      <c r="CP281">
        <f t="shared" si="246"/>
        <v>0</v>
      </c>
      <c r="CQ281">
        <f t="shared" si="247"/>
        <v>1806.27</v>
      </c>
      <c r="CR281">
        <f t="shared" si="248"/>
        <v>0</v>
      </c>
      <c r="CS281">
        <f t="shared" si="249"/>
        <v>0</v>
      </c>
      <c r="CT281">
        <f t="shared" si="250"/>
        <v>0</v>
      </c>
      <c r="CU281">
        <f t="shared" si="251"/>
        <v>0</v>
      </c>
      <c r="CV281">
        <f t="shared" si="252"/>
        <v>0</v>
      </c>
      <c r="CW281">
        <f t="shared" si="253"/>
        <v>0</v>
      </c>
      <c r="CX281">
        <f t="shared" si="254"/>
        <v>0</v>
      </c>
      <c r="CY281">
        <f t="shared" si="255"/>
        <v>0</v>
      </c>
      <c r="CZ281">
        <f t="shared" si="256"/>
        <v>0</v>
      </c>
      <c r="DC281" t="s">
        <v>3</v>
      </c>
      <c r="DD281" t="s">
        <v>3</v>
      </c>
      <c r="DE281" t="s">
        <v>3</v>
      </c>
      <c r="DF281" t="s">
        <v>3</v>
      </c>
      <c r="DG281" t="s">
        <v>3</v>
      </c>
      <c r="DH281" t="s">
        <v>3</v>
      </c>
      <c r="DI281" t="s">
        <v>3</v>
      </c>
      <c r="DJ281" t="s">
        <v>3</v>
      </c>
      <c r="DK281" t="s">
        <v>3</v>
      </c>
      <c r="DL281" t="s">
        <v>3</v>
      </c>
      <c r="DM281" t="s">
        <v>3</v>
      </c>
      <c r="DN281">
        <v>0</v>
      </c>
      <c r="DO281">
        <v>0</v>
      </c>
      <c r="DP281">
        <v>1</v>
      </c>
      <c r="DQ281">
        <v>1</v>
      </c>
      <c r="DU281">
        <v>1007</v>
      </c>
      <c r="DV281" t="s">
        <v>26</v>
      </c>
      <c r="DW281" t="s">
        <v>26</v>
      </c>
      <c r="DX281">
        <v>1</v>
      </c>
      <c r="DZ281" t="s">
        <v>3</v>
      </c>
      <c r="EA281" t="s">
        <v>3</v>
      </c>
      <c r="EB281" t="s">
        <v>3</v>
      </c>
      <c r="EC281" t="s">
        <v>3</v>
      </c>
      <c r="EE281">
        <v>54545671</v>
      </c>
      <c r="EF281">
        <v>1</v>
      </c>
      <c r="EG281" t="s">
        <v>20</v>
      </c>
      <c r="EH281">
        <v>0</v>
      </c>
      <c r="EI281" t="s">
        <v>3</v>
      </c>
      <c r="EJ281">
        <v>4</v>
      </c>
      <c r="EK281">
        <v>0</v>
      </c>
      <c r="EL281" t="s">
        <v>21</v>
      </c>
      <c r="EM281" t="s">
        <v>22</v>
      </c>
      <c r="EO281" t="s">
        <v>3</v>
      </c>
      <c r="EQ281">
        <v>0</v>
      </c>
      <c r="ER281">
        <v>1806.27</v>
      </c>
      <c r="ES281">
        <v>1806.27</v>
      </c>
      <c r="ET281">
        <v>0</v>
      </c>
      <c r="EU281">
        <v>0</v>
      </c>
      <c r="EV281">
        <v>0</v>
      </c>
      <c r="EW281">
        <v>0</v>
      </c>
      <c r="EX281">
        <v>0</v>
      </c>
      <c r="FQ281">
        <v>0</v>
      </c>
      <c r="FR281">
        <f t="shared" si="257"/>
        <v>0</v>
      </c>
      <c r="FS281">
        <v>0</v>
      </c>
      <c r="FX281">
        <v>70</v>
      </c>
      <c r="FY281">
        <v>10</v>
      </c>
      <c r="GA281" t="s">
        <v>3</v>
      </c>
      <c r="GD281">
        <v>0</v>
      </c>
      <c r="GF281">
        <v>407286016</v>
      </c>
      <c r="GG281">
        <v>2</v>
      </c>
      <c r="GH281">
        <v>1</v>
      </c>
      <c r="GI281">
        <v>-2</v>
      </c>
      <c r="GJ281">
        <v>0</v>
      </c>
      <c r="GK281">
        <f>ROUND(R281*(R12)/100,2)</f>
        <v>0</v>
      </c>
      <c r="GL281">
        <f t="shared" si="258"/>
        <v>0</v>
      </c>
      <c r="GM281">
        <f t="shared" si="259"/>
        <v>0</v>
      </c>
      <c r="GN281">
        <f t="shared" si="260"/>
        <v>0</v>
      </c>
      <c r="GO281">
        <f t="shared" si="261"/>
        <v>0</v>
      </c>
      <c r="GP281">
        <f t="shared" si="262"/>
        <v>0</v>
      </c>
      <c r="GR281">
        <v>0</v>
      </c>
      <c r="GS281">
        <v>3</v>
      </c>
      <c r="GT281">
        <v>0</v>
      </c>
      <c r="GU281" t="s">
        <v>3</v>
      </c>
      <c r="GV281">
        <f t="shared" si="263"/>
        <v>0</v>
      </c>
      <c r="GW281">
        <v>1</v>
      </c>
      <c r="GX281">
        <f t="shared" si="264"/>
        <v>0</v>
      </c>
      <c r="HA281">
        <v>0</v>
      </c>
      <c r="HB281">
        <v>0</v>
      </c>
      <c r="HC281">
        <f t="shared" si="265"/>
        <v>0</v>
      </c>
      <c r="HE281" t="s">
        <v>3</v>
      </c>
      <c r="HF281" t="s">
        <v>3</v>
      </c>
      <c r="IK281">
        <v>0</v>
      </c>
    </row>
    <row r="282" spans="1:245" x14ac:dyDescent="0.2">
      <c r="A282">
        <v>18</v>
      </c>
      <c r="B282">
        <v>1</v>
      </c>
      <c r="C282">
        <v>102</v>
      </c>
      <c r="E282" t="s">
        <v>223</v>
      </c>
      <c r="F282" t="s">
        <v>224</v>
      </c>
      <c r="G282" t="s">
        <v>225</v>
      </c>
      <c r="H282" t="s">
        <v>26</v>
      </c>
      <c r="I282">
        <f>I280*J282</f>
        <v>0</v>
      </c>
      <c r="J282">
        <v>126</v>
      </c>
      <c r="O282">
        <f t="shared" si="226"/>
        <v>0</v>
      </c>
      <c r="P282">
        <f t="shared" si="227"/>
        <v>0</v>
      </c>
      <c r="Q282">
        <f t="shared" si="228"/>
        <v>0</v>
      </c>
      <c r="R282">
        <f t="shared" si="229"/>
        <v>0</v>
      </c>
      <c r="S282">
        <f t="shared" si="230"/>
        <v>0</v>
      </c>
      <c r="T282">
        <f t="shared" si="231"/>
        <v>0</v>
      </c>
      <c r="U282">
        <f t="shared" si="232"/>
        <v>0</v>
      </c>
      <c r="V282">
        <f t="shared" si="233"/>
        <v>0</v>
      </c>
      <c r="W282">
        <f t="shared" si="234"/>
        <v>0</v>
      </c>
      <c r="X282">
        <f t="shared" si="235"/>
        <v>0</v>
      </c>
      <c r="Y282">
        <f t="shared" si="236"/>
        <v>0</v>
      </c>
      <c r="AA282">
        <v>56440881</v>
      </c>
      <c r="AB282">
        <f t="shared" si="237"/>
        <v>1487.52</v>
      </c>
      <c r="AC282">
        <f t="shared" si="238"/>
        <v>1487.52</v>
      </c>
      <c r="AD282">
        <f t="shared" si="239"/>
        <v>0</v>
      </c>
      <c r="AE282">
        <f t="shared" si="240"/>
        <v>0</v>
      </c>
      <c r="AF282">
        <f t="shared" si="241"/>
        <v>0</v>
      </c>
      <c r="AG282">
        <f t="shared" si="242"/>
        <v>0</v>
      </c>
      <c r="AH282">
        <f t="shared" si="243"/>
        <v>0</v>
      </c>
      <c r="AI282">
        <f t="shared" si="244"/>
        <v>0</v>
      </c>
      <c r="AJ282">
        <f t="shared" si="245"/>
        <v>0</v>
      </c>
      <c r="AK282">
        <v>1487.52</v>
      </c>
      <c r="AL282">
        <v>1487.52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70</v>
      </c>
      <c r="AU282">
        <v>10</v>
      </c>
      <c r="AV282">
        <v>1</v>
      </c>
      <c r="AW282">
        <v>1</v>
      </c>
      <c r="AZ282">
        <v>1</v>
      </c>
      <c r="BA282">
        <v>1</v>
      </c>
      <c r="BB282">
        <v>1</v>
      </c>
      <c r="BC282">
        <v>1</v>
      </c>
      <c r="BD282" t="s">
        <v>3</v>
      </c>
      <c r="BE282" t="s">
        <v>3</v>
      </c>
      <c r="BF282" t="s">
        <v>3</v>
      </c>
      <c r="BG282" t="s">
        <v>3</v>
      </c>
      <c r="BH282">
        <v>3</v>
      </c>
      <c r="BI282">
        <v>4</v>
      </c>
      <c r="BJ282" t="s">
        <v>226</v>
      </c>
      <c r="BM282">
        <v>0</v>
      </c>
      <c r="BN282">
        <v>0</v>
      </c>
      <c r="BO282" t="s">
        <v>3</v>
      </c>
      <c r="BP282">
        <v>0</v>
      </c>
      <c r="BQ282">
        <v>1</v>
      </c>
      <c r="BR282">
        <v>0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 t="s">
        <v>3</v>
      </c>
      <c r="BZ282">
        <v>70</v>
      </c>
      <c r="CA282">
        <v>10</v>
      </c>
      <c r="CE282">
        <v>0</v>
      </c>
      <c r="CF282">
        <v>0</v>
      </c>
      <c r="CG282">
        <v>0</v>
      </c>
      <c r="CM282">
        <v>0</v>
      </c>
      <c r="CN282" t="s">
        <v>3</v>
      </c>
      <c r="CO282">
        <v>0</v>
      </c>
      <c r="CP282">
        <f t="shared" si="246"/>
        <v>0</v>
      </c>
      <c r="CQ282">
        <f t="shared" si="247"/>
        <v>1487.52</v>
      </c>
      <c r="CR282">
        <f t="shared" si="248"/>
        <v>0</v>
      </c>
      <c r="CS282">
        <f t="shared" si="249"/>
        <v>0</v>
      </c>
      <c r="CT282">
        <f t="shared" si="250"/>
        <v>0</v>
      </c>
      <c r="CU282">
        <f t="shared" si="251"/>
        <v>0</v>
      </c>
      <c r="CV282">
        <f t="shared" si="252"/>
        <v>0</v>
      </c>
      <c r="CW282">
        <f t="shared" si="253"/>
        <v>0</v>
      </c>
      <c r="CX282">
        <f t="shared" si="254"/>
        <v>0</v>
      </c>
      <c r="CY282">
        <f t="shared" si="255"/>
        <v>0</v>
      </c>
      <c r="CZ282">
        <f t="shared" si="256"/>
        <v>0</v>
      </c>
      <c r="DC282" t="s">
        <v>3</v>
      </c>
      <c r="DD282" t="s">
        <v>3</v>
      </c>
      <c r="DE282" t="s">
        <v>3</v>
      </c>
      <c r="DF282" t="s">
        <v>3</v>
      </c>
      <c r="DG282" t="s">
        <v>3</v>
      </c>
      <c r="DH282" t="s">
        <v>3</v>
      </c>
      <c r="DI282" t="s">
        <v>3</v>
      </c>
      <c r="DJ282" t="s">
        <v>3</v>
      </c>
      <c r="DK282" t="s">
        <v>3</v>
      </c>
      <c r="DL282" t="s">
        <v>3</v>
      </c>
      <c r="DM282" t="s">
        <v>3</v>
      </c>
      <c r="DN282">
        <v>0</v>
      </c>
      <c r="DO282">
        <v>0</v>
      </c>
      <c r="DP282">
        <v>1</v>
      </c>
      <c r="DQ282">
        <v>1</v>
      </c>
      <c r="DU282">
        <v>1007</v>
      </c>
      <c r="DV282" t="s">
        <v>26</v>
      </c>
      <c r="DW282" t="s">
        <v>26</v>
      </c>
      <c r="DX282">
        <v>1</v>
      </c>
      <c r="DZ282" t="s">
        <v>3</v>
      </c>
      <c r="EA282" t="s">
        <v>3</v>
      </c>
      <c r="EB282" t="s">
        <v>3</v>
      </c>
      <c r="EC282" t="s">
        <v>3</v>
      </c>
      <c r="EE282">
        <v>54545671</v>
      </c>
      <c r="EF282">
        <v>1</v>
      </c>
      <c r="EG282" t="s">
        <v>20</v>
      </c>
      <c r="EH282">
        <v>0</v>
      </c>
      <c r="EI282" t="s">
        <v>3</v>
      </c>
      <c r="EJ282">
        <v>4</v>
      </c>
      <c r="EK282">
        <v>0</v>
      </c>
      <c r="EL282" t="s">
        <v>21</v>
      </c>
      <c r="EM282" t="s">
        <v>22</v>
      </c>
      <c r="EO282" t="s">
        <v>3</v>
      </c>
      <c r="EQ282">
        <v>0</v>
      </c>
      <c r="ER282">
        <v>1487.52</v>
      </c>
      <c r="ES282">
        <v>1487.52</v>
      </c>
      <c r="ET282">
        <v>0</v>
      </c>
      <c r="EU282">
        <v>0</v>
      </c>
      <c r="EV282">
        <v>0</v>
      </c>
      <c r="EW282">
        <v>0</v>
      </c>
      <c r="EX282">
        <v>0</v>
      </c>
      <c r="FQ282">
        <v>0</v>
      </c>
      <c r="FR282">
        <f t="shared" si="257"/>
        <v>0</v>
      </c>
      <c r="FS282">
        <v>0</v>
      </c>
      <c r="FX282">
        <v>70</v>
      </c>
      <c r="FY282">
        <v>10</v>
      </c>
      <c r="GA282" t="s">
        <v>3</v>
      </c>
      <c r="GD282">
        <v>0</v>
      </c>
      <c r="GF282">
        <v>-1266475872</v>
      </c>
      <c r="GG282">
        <v>2</v>
      </c>
      <c r="GH282">
        <v>1</v>
      </c>
      <c r="GI282">
        <v>-2</v>
      </c>
      <c r="GJ282">
        <v>0</v>
      </c>
      <c r="GK282">
        <f>ROUND(R282*(R12)/100,2)</f>
        <v>0</v>
      </c>
      <c r="GL282">
        <f t="shared" si="258"/>
        <v>0</v>
      </c>
      <c r="GM282">
        <f t="shared" si="259"/>
        <v>0</v>
      </c>
      <c r="GN282">
        <f t="shared" si="260"/>
        <v>0</v>
      </c>
      <c r="GO282">
        <f t="shared" si="261"/>
        <v>0</v>
      </c>
      <c r="GP282">
        <f t="shared" si="262"/>
        <v>0</v>
      </c>
      <c r="GR282">
        <v>0</v>
      </c>
      <c r="GS282">
        <v>3</v>
      </c>
      <c r="GT282">
        <v>0</v>
      </c>
      <c r="GU282" t="s">
        <v>3</v>
      </c>
      <c r="GV282">
        <f t="shared" si="263"/>
        <v>0</v>
      </c>
      <c r="GW282">
        <v>1</v>
      </c>
      <c r="GX282">
        <f t="shared" si="264"/>
        <v>0</v>
      </c>
      <c r="HA282">
        <v>0</v>
      </c>
      <c r="HB282">
        <v>0</v>
      </c>
      <c r="HC282">
        <f t="shared" si="265"/>
        <v>0</v>
      </c>
      <c r="HE282" t="s">
        <v>3</v>
      </c>
      <c r="HF282" t="s">
        <v>3</v>
      </c>
      <c r="IK282">
        <v>0</v>
      </c>
    </row>
    <row r="283" spans="1:245" x14ac:dyDescent="0.2">
      <c r="A283">
        <v>17</v>
      </c>
      <c r="B283">
        <v>1</v>
      </c>
      <c r="C283">
        <f>ROW(SmtRes!A106)</f>
        <v>106</v>
      </c>
      <c r="D283">
        <f>ROW(EtalonRes!A95)</f>
        <v>95</v>
      </c>
      <c r="E283" t="s">
        <v>227</v>
      </c>
      <c r="F283" t="s">
        <v>228</v>
      </c>
      <c r="G283" t="s">
        <v>229</v>
      </c>
      <c r="H283" t="s">
        <v>230</v>
      </c>
      <c r="I283">
        <f>ROUND(538.5/100,9)</f>
        <v>5.3849999999999998</v>
      </c>
      <c r="J283">
        <v>0</v>
      </c>
      <c r="O283">
        <f t="shared" si="226"/>
        <v>79524.710000000006</v>
      </c>
      <c r="P283">
        <f t="shared" si="227"/>
        <v>0</v>
      </c>
      <c r="Q283">
        <f t="shared" si="228"/>
        <v>0</v>
      </c>
      <c r="R283">
        <f t="shared" si="229"/>
        <v>0</v>
      </c>
      <c r="S283">
        <f t="shared" si="230"/>
        <v>79524.710000000006</v>
      </c>
      <c r="T283">
        <f t="shared" si="231"/>
        <v>0</v>
      </c>
      <c r="U283">
        <f t="shared" si="232"/>
        <v>413.02949999999998</v>
      </c>
      <c r="V283">
        <f t="shared" si="233"/>
        <v>0</v>
      </c>
      <c r="W283">
        <f t="shared" si="234"/>
        <v>0</v>
      </c>
      <c r="X283">
        <f t="shared" si="235"/>
        <v>55667.3</v>
      </c>
      <c r="Y283">
        <f t="shared" si="236"/>
        <v>7952.47</v>
      </c>
      <c r="AA283">
        <v>56440881</v>
      </c>
      <c r="AB283">
        <f t="shared" si="237"/>
        <v>14767.82</v>
      </c>
      <c r="AC283">
        <f t="shared" si="238"/>
        <v>0</v>
      </c>
      <c r="AD283">
        <f t="shared" si="239"/>
        <v>0</v>
      </c>
      <c r="AE283">
        <f t="shared" si="240"/>
        <v>0</v>
      </c>
      <c r="AF283">
        <f t="shared" si="241"/>
        <v>14767.82</v>
      </c>
      <c r="AG283">
        <f t="shared" si="242"/>
        <v>0</v>
      </c>
      <c r="AH283">
        <f t="shared" si="243"/>
        <v>76.7</v>
      </c>
      <c r="AI283">
        <f t="shared" si="244"/>
        <v>0</v>
      </c>
      <c r="AJ283">
        <f t="shared" si="245"/>
        <v>0</v>
      </c>
      <c r="AK283">
        <v>14767.82</v>
      </c>
      <c r="AL283">
        <v>0</v>
      </c>
      <c r="AM283">
        <v>0</v>
      </c>
      <c r="AN283">
        <v>0</v>
      </c>
      <c r="AO283">
        <v>14767.82</v>
      </c>
      <c r="AP283">
        <v>0</v>
      </c>
      <c r="AQ283">
        <v>76.7</v>
      </c>
      <c r="AR283">
        <v>0</v>
      </c>
      <c r="AS283">
        <v>0</v>
      </c>
      <c r="AT283">
        <v>70</v>
      </c>
      <c r="AU283">
        <v>10</v>
      </c>
      <c r="AV283">
        <v>1</v>
      </c>
      <c r="AW283">
        <v>1</v>
      </c>
      <c r="AZ283">
        <v>1</v>
      </c>
      <c r="BA283">
        <v>1</v>
      </c>
      <c r="BB283">
        <v>1</v>
      </c>
      <c r="BC283">
        <v>1</v>
      </c>
      <c r="BD283" t="s">
        <v>3</v>
      </c>
      <c r="BE283" t="s">
        <v>3</v>
      </c>
      <c r="BF283" t="s">
        <v>3</v>
      </c>
      <c r="BG283" t="s">
        <v>3</v>
      </c>
      <c r="BH283">
        <v>0</v>
      </c>
      <c r="BI283">
        <v>4</v>
      </c>
      <c r="BJ283" t="s">
        <v>231</v>
      </c>
      <c r="BM283">
        <v>0</v>
      </c>
      <c r="BN283">
        <v>0</v>
      </c>
      <c r="BO283" t="s">
        <v>3</v>
      </c>
      <c r="BP283">
        <v>0</v>
      </c>
      <c r="BQ283">
        <v>1</v>
      </c>
      <c r="BR283">
        <v>0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 t="s">
        <v>3</v>
      </c>
      <c r="BZ283">
        <v>70</v>
      </c>
      <c r="CA283">
        <v>10</v>
      </c>
      <c r="CE283">
        <v>0</v>
      </c>
      <c r="CF283">
        <v>0</v>
      </c>
      <c r="CG283">
        <v>0</v>
      </c>
      <c r="CM283">
        <v>0</v>
      </c>
      <c r="CN283" t="s">
        <v>3</v>
      </c>
      <c r="CO283">
        <v>0</v>
      </c>
      <c r="CP283">
        <f t="shared" si="246"/>
        <v>79524.710000000006</v>
      </c>
      <c r="CQ283">
        <f t="shared" si="247"/>
        <v>0</v>
      </c>
      <c r="CR283">
        <f t="shared" si="248"/>
        <v>0</v>
      </c>
      <c r="CS283">
        <f t="shared" si="249"/>
        <v>0</v>
      </c>
      <c r="CT283">
        <f t="shared" si="250"/>
        <v>14767.82</v>
      </c>
      <c r="CU283">
        <f t="shared" si="251"/>
        <v>0</v>
      </c>
      <c r="CV283">
        <f t="shared" si="252"/>
        <v>76.7</v>
      </c>
      <c r="CW283">
        <f t="shared" si="253"/>
        <v>0</v>
      </c>
      <c r="CX283">
        <f t="shared" si="254"/>
        <v>0</v>
      </c>
      <c r="CY283">
        <f t="shared" si="255"/>
        <v>55667.296999999999</v>
      </c>
      <c r="CZ283">
        <f t="shared" si="256"/>
        <v>7952.4710000000014</v>
      </c>
      <c r="DC283" t="s">
        <v>3</v>
      </c>
      <c r="DD283" t="s">
        <v>3</v>
      </c>
      <c r="DE283" t="s">
        <v>3</v>
      </c>
      <c r="DF283" t="s">
        <v>3</v>
      </c>
      <c r="DG283" t="s">
        <v>3</v>
      </c>
      <c r="DH283" t="s">
        <v>3</v>
      </c>
      <c r="DI283" t="s">
        <v>3</v>
      </c>
      <c r="DJ283" t="s">
        <v>3</v>
      </c>
      <c r="DK283" t="s">
        <v>3</v>
      </c>
      <c r="DL283" t="s">
        <v>3</v>
      </c>
      <c r="DM283" t="s">
        <v>3</v>
      </c>
      <c r="DN283">
        <v>0</v>
      </c>
      <c r="DO283">
        <v>0</v>
      </c>
      <c r="DP283">
        <v>1</v>
      </c>
      <c r="DQ283">
        <v>1</v>
      </c>
      <c r="DU283">
        <v>1003</v>
      </c>
      <c r="DV283" t="s">
        <v>230</v>
      </c>
      <c r="DW283" t="s">
        <v>230</v>
      </c>
      <c r="DX283">
        <v>100</v>
      </c>
      <c r="DZ283" t="s">
        <v>3</v>
      </c>
      <c r="EA283" t="s">
        <v>3</v>
      </c>
      <c r="EB283" t="s">
        <v>3</v>
      </c>
      <c r="EC283" t="s">
        <v>3</v>
      </c>
      <c r="EE283">
        <v>54545671</v>
      </c>
      <c r="EF283">
        <v>1</v>
      </c>
      <c r="EG283" t="s">
        <v>20</v>
      </c>
      <c r="EH283">
        <v>0</v>
      </c>
      <c r="EI283" t="s">
        <v>3</v>
      </c>
      <c r="EJ283">
        <v>4</v>
      </c>
      <c r="EK283">
        <v>0</v>
      </c>
      <c r="EL283" t="s">
        <v>21</v>
      </c>
      <c r="EM283" t="s">
        <v>22</v>
      </c>
      <c r="EO283" t="s">
        <v>3</v>
      </c>
      <c r="EQ283">
        <v>0</v>
      </c>
      <c r="ER283">
        <v>14767.82</v>
      </c>
      <c r="ES283">
        <v>0</v>
      </c>
      <c r="ET283">
        <v>0</v>
      </c>
      <c r="EU283">
        <v>0</v>
      </c>
      <c r="EV283">
        <v>14767.82</v>
      </c>
      <c r="EW283">
        <v>76.7</v>
      </c>
      <c r="EX283">
        <v>0</v>
      </c>
      <c r="EY283">
        <v>0</v>
      </c>
      <c r="FQ283">
        <v>0</v>
      </c>
      <c r="FR283">
        <f t="shared" si="257"/>
        <v>0</v>
      </c>
      <c r="FS283">
        <v>0</v>
      </c>
      <c r="FX283">
        <v>70</v>
      </c>
      <c r="FY283">
        <v>10</v>
      </c>
      <c r="GA283" t="s">
        <v>3</v>
      </c>
      <c r="GD283">
        <v>0</v>
      </c>
      <c r="GF283">
        <v>1467960616</v>
      </c>
      <c r="GG283">
        <v>2</v>
      </c>
      <c r="GH283">
        <v>1</v>
      </c>
      <c r="GI283">
        <v>-2</v>
      </c>
      <c r="GJ283">
        <v>0</v>
      </c>
      <c r="GK283">
        <f>ROUND(R283*(R12)/100,2)</f>
        <v>0</v>
      </c>
      <c r="GL283">
        <f t="shared" si="258"/>
        <v>0</v>
      </c>
      <c r="GM283">
        <f t="shared" si="259"/>
        <v>143144.48000000001</v>
      </c>
      <c r="GN283">
        <f t="shared" si="260"/>
        <v>0</v>
      </c>
      <c r="GO283">
        <f t="shared" si="261"/>
        <v>0</v>
      </c>
      <c r="GP283">
        <f t="shared" si="262"/>
        <v>143144.48000000001</v>
      </c>
      <c r="GR283">
        <v>0</v>
      </c>
      <c r="GS283">
        <v>3</v>
      </c>
      <c r="GT283">
        <v>0</v>
      </c>
      <c r="GU283" t="s">
        <v>3</v>
      </c>
      <c r="GV283">
        <f t="shared" si="263"/>
        <v>0</v>
      </c>
      <c r="GW283">
        <v>1</v>
      </c>
      <c r="GX283">
        <f t="shared" si="264"/>
        <v>0</v>
      </c>
      <c r="HA283">
        <v>0</v>
      </c>
      <c r="HB283">
        <v>0</v>
      </c>
      <c r="HC283">
        <f t="shared" si="265"/>
        <v>0</v>
      </c>
      <c r="HE283" t="s">
        <v>3</v>
      </c>
      <c r="HF283" t="s">
        <v>3</v>
      </c>
      <c r="IK283">
        <v>0</v>
      </c>
    </row>
    <row r="284" spans="1:245" x14ac:dyDescent="0.2">
      <c r="A284">
        <v>18</v>
      </c>
      <c r="B284">
        <v>1</v>
      </c>
      <c r="C284">
        <v>106</v>
      </c>
      <c r="E284" t="s">
        <v>232</v>
      </c>
      <c r="F284" t="s">
        <v>118</v>
      </c>
      <c r="G284" t="s">
        <v>233</v>
      </c>
      <c r="H284" t="s">
        <v>44</v>
      </c>
      <c r="I284">
        <f>I283*J284</f>
        <v>76.510080000000002</v>
      </c>
      <c r="J284">
        <v>14.208</v>
      </c>
      <c r="O284">
        <f t="shared" si="226"/>
        <v>0</v>
      </c>
      <c r="P284">
        <f t="shared" si="227"/>
        <v>0</v>
      </c>
      <c r="Q284">
        <f t="shared" si="228"/>
        <v>0</v>
      </c>
      <c r="R284">
        <f t="shared" si="229"/>
        <v>0</v>
      </c>
      <c r="S284">
        <f t="shared" si="230"/>
        <v>0</v>
      </c>
      <c r="T284">
        <f t="shared" si="231"/>
        <v>0</v>
      </c>
      <c r="U284">
        <f t="shared" si="232"/>
        <v>0</v>
      </c>
      <c r="V284">
        <f t="shared" si="233"/>
        <v>0</v>
      </c>
      <c r="W284">
        <f t="shared" si="234"/>
        <v>0</v>
      </c>
      <c r="X284">
        <f t="shared" si="235"/>
        <v>0</v>
      </c>
      <c r="Y284">
        <f t="shared" si="236"/>
        <v>0</v>
      </c>
      <c r="AA284">
        <v>56440881</v>
      </c>
      <c r="AB284">
        <f t="shared" si="237"/>
        <v>0</v>
      </c>
      <c r="AC284">
        <f t="shared" si="238"/>
        <v>0</v>
      </c>
      <c r="AD284">
        <f t="shared" si="239"/>
        <v>0</v>
      </c>
      <c r="AE284">
        <f t="shared" si="240"/>
        <v>0</v>
      </c>
      <c r="AF284">
        <f t="shared" si="241"/>
        <v>0</v>
      </c>
      <c r="AG284">
        <f t="shared" si="242"/>
        <v>0</v>
      </c>
      <c r="AH284">
        <f t="shared" si="243"/>
        <v>0</v>
      </c>
      <c r="AI284">
        <f t="shared" si="244"/>
        <v>0</v>
      </c>
      <c r="AJ284">
        <f t="shared" si="245"/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70</v>
      </c>
      <c r="AU284">
        <v>10</v>
      </c>
      <c r="AV284">
        <v>1</v>
      </c>
      <c r="AW284">
        <v>1</v>
      </c>
      <c r="AZ284">
        <v>1</v>
      </c>
      <c r="BA284">
        <v>1</v>
      </c>
      <c r="BB284">
        <v>1</v>
      </c>
      <c r="BC284">
        <v>1</v>
      </c>
      <c r="BD284" t="s">
        <v>3</v>
      </c>
      <c r="BE284" t="s">
        <v>3</v>
      </c>
      <c r="BF284" t="s">
        <v>3</v>
      </c>
      <c r="BG284" t="s">
        <v>3</v>
      </c>
      <c r="BH284">
        <v>3</v>
      </c>
      <c r="BI284">
        <v>4</v>
      </c>
      <c r="BJ284" t="s">
        <v>3</v>
      </c>
      <c r="BM284">
        <v>0</v>
      </c>
      <c r="BN284">
        <v>0</v>
      </c>
      <c r="BO284" t="s">
        <v>3</v>
      </c>
      <c r="BP284">
        <v>0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 t="s">
        <v>3</v>
      </c>
      <c r="BZ284">
        <v>70</v>
      </c>
      <c r="CA284">
        <v>10</v>
      </c>
      <c r="CE284">
        <v>0</v>
      </c>
      <c r="CF284">
        <v>0</v>
      </c>
      <c r="CG284">
        <v>0</v>
      </c>
      <c r="CM284">
        <v>0</v>
      </c>
      <c r="CN284" t="s">
        <v>3</v>
      </c>
      <c r="CO284">
        <v>0</v>
      </c>
      <c r="CP284">
        <f t="shared" si="246"/>
        <v>0</v>
      </c>
      <c r="CQ284">
        <f t="shared" si="247"/>
        <v>0</v>
      </c>
      <c r="CR284">
        <f t="shared" si="248"/>
        <v>0</v>
      </c>
      <c r="CS284">
        <f t="shared" si="249"/>
        <v>0</v>
      </c>
      <c r="CT284">
        <f t="shared" si="250"/>
        <v>0</v>
      </c>
      <c r="CU284">
        <f t="shared" si="251"/>
        <v>0</v>
      </c>
      <c r="CV284">
        <f t="shared" si="252"/>
        <v>0</v>
      </c>
      <c r="CW284">
        <f t="shared" si="253"/>
        <v>0</v>
      </c>
      <c r="CX284">
        <f t="shared" si="254"/>
        <v>0</v>
      </c>
      <c r="CY284">
        <f t="shared" si="255"/>
        <v>0</v>
      </c>
      <c r="CZ284">
        <f t="shared" si="256"/>
        <v>0</v>
      </c>
      <c r="DC284" t="s">
        <v>3</v>
      </c>
      <c r="DD284" t="s">
        <v>3</v>
      </c>
      <c r="DE284" t="s">
        <v>3</v>
      </c>
      <c r="DF284" t="s">
        <v>3</v>
      </c>
      <c r="DG284" t="s">
        <v>3</v>
      </c>
      <c r="DH284" t="s">
        <v>3</v>
      </c>
      <c r="DI284" t="s">
        <v>3</v>
      </c>
      <c r="DJ284" t="s">
        <v>3</v>
      </c>
      <c r="DK284" t="s">
        <v>3</v>
      </c>
      <c r="DL284" t="s">
        <v>3</v>
      </c>
      <c r="DM284" t="s">
        <v>3</v>
      </c>
      <c r="DN284">
        <v>0</v>
      </c>
      <c r="DO284">
        <v>0</v>
      </c>
      <c r="DP284">
        <v>1</v>
      </c>
      <c r="DQ284">
        <v>1</v>
      </c>
      <c r="DU284">
        <v>1009</v>
      </c>
      <c r="DV284" t="s">
        <v>44</v>
      </c>
      <c r="DW284" t="s">
        <v>44</v>
      </c>
      <c r="DX284">
        <v>1000</v>
      </c>
      <c r="DZ284" t="s">
        <v>3</v>
      </c>
      <c r="EA284" t="s">
        <v>3</v>
      </c>
      <c r="EB284" t="s">
        <v>3</v>
      </c>
      <c r="EC284" t="s">
        <v>3</v>
      </c>
      <c r="EE284">
        <v>54545671</v>
      </c>
      <c r="EF284">
        <v>1</v>
      </c>
      <c r="EG284" t="s">
        <v>20</v>
      </c>
      <c r="EH284">
        <v>0</v>
      </c>
      <c r="EI284" t="s">
        <v>3</v>
      </c>
      <c r="EJ284">
        <v>4</v>
      </c>
      <c r="EK284">
        <v>0</v>
      </c>
      <c r="EL284" t="s">
        <v>21</v>
      </c>
      <c r="EM284" t="s">
        <v>22</v>
      </c>
      <c r="EO284" t="s">
        <v>3</v>
      </c>
      <c r="EQ284">
        <v>32768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FQ284">
        <v>0</v>
      </c>
      <c r="FR284">
        <f t="shared" si="257"/>
        <v>0</v>
      </c>
      <c r="FS284">
        <v>0</v>
      </c>
      <c r="FX284">
        <v>70</v>
      </c>
      <c r="FY284">
        <v>10</v>
      </c>
      <c r="GA284" t="s">
        <v>3</v>
      </c>
      <c r="GD284">
        <v>0</v>
      </c>
      <c r="GF284">
        <v>-1807652316</v>
      </c>
      <c r="GG284">
        <v>2</v>
      </c>
      <c r="GH284">
        <v>1</v>
      </c>
      <c r="GI284">
        <v>-2</v>
      </c>
      <c r="GJ284">
        <v>0</v>
      </c>
      <c r="GK284">
        <f>ROUND(R284*(R12)/100,2)</f>
        <v>0</v>
      </c>
      <c r="GL284">
        <f t="shared" si="258"/>
        <v>0</v>
      </c>
      <c r="GM284">
        <f t="shared" si="259"/>
        <v>0</v>
      </c>
      <c r="GN284">
        <f t="shared" si="260"/>
        <v>0</v>
      </c>
      <c r="GO284">
        <f t="shared" si="261"/>
        <v>0</v>
      </c>
      <c r="GP284">
        <f t="shared" si="262"/>
        <v>0</v>
      </c>
      <c r="GR284">
        <v>0</v>
      </c>
      <c r="GS284">
        <v>3</v>
      </c>
      <c r="GT284">
        <v>0</v>
      </c>
      <c r="GU284" t="s">
        <v>3</v>
      </c>
      <c r="GV284">
        <f t="shared" si="263"/>
        <v>0</v>
      </c>
      <c r="GW284">
        <v>1</v>
      </c>
      <c r="GX284">
        <f t="shared" si="264"/>
        <v>0</v>
      </c>
      <c r="HA284">
        <v>0</v>
      </c>
      <c r="HB284">
        <v>0</v>
      </c>
      <c r="HC284">
        <f t="shared" si="265"/>
        <v>0</v>
      </c>
      <c r="HE284" t="s">
        <v>3</v>
      </c>
      <c r="HF284" t="s">
        <v>3</v>
      </c>
      <c r="IK284">
        <v>0</v>
      </c>
    </row>
    <row r="285" spans="1:245" x14ac:dyDescent="0.2">
      <c r="A285">
        <v>17</v>
      </c>
      <c r="B285">
        <v>1</v>
      </c>
      <c r="C285">
        <f>ROW(SmtRes!A111)</f>
        <v>111</v>
      </c>
      <c r="D285">
        <f>ROW(EtalonRes!A100)</f>
        <v>100</v>
      </c>
      <c r="E285" t="s">
        <v>234</v>
      </c>
      <c r="F285" t="s">
        <v>235</v>
      </c>
      <c r="G285" t="s">
        <v>236</v>
      </c>
      <c r="H285" t="s">
        <v>230</v>
      </c>
      <c r="I285">
        <f>ROUND(538.5/100,9)</f>
        <v>5.3849999999999998</v>
      </c>
      <c r="J285">
        <v>0</v>
      </c>
      <c r="O285">
        <f t="shared" si="226"/>
        <v>244022.51</v>
      </c>
      <c r="P285">
        <f t="shared" si="227"/>
        <v>167281.09</v>
      </c>
      <c r="Q285">
        <f t="shared" si="228"/>
        <v>926.87</v>
      </c>
      <c r="R285">
        <f t="shared" si="229"/>
        <v>494.67</v>
      </c>
      <c r="S285">
        <f t="shared" si="230"/>
        <v>75814.55</v>
      </c>
      <c r="T285">
        <f t="shared" si="231"/>
        <v>0</v>
      </c>
      <c r="U285">
        <f t="shared" si="232"/>
        <v>392.83575000000002</v>
      </c>
      <c r="V285">
        <f t="shared" si="233"/>
        <v>0</v>
      </c>
      <c r="W285">
        <f t="shared" si="234"/>
        <v>0</v>
      </c>
      <c r="X285">
        <f t="shared" si="235"/>
        <v>53070.19</v>
      </c>
      <c r="Y285">
        <f t="shared" si="236"/>
        <v>7581.46</v>
      </c>
      <c r="AA285">
        <v>56440881</v>
      </c>
      <c r="AB285">
        <f t="shared" si="237"/>
        <v>45315.23</v>
      </c>
      <c r="AC285">
        <f t="shared" si="238"/>
        <v>31064.27</v>
      </c>
      <c r="AD285">
        <f t="shared" si="239"/>
        <v>172.12</v>
      </c>
      <c r="AE285">
        <f t="shared" si="240"/>
        <v>91.86</v>
      </c>
      <c r="AF285">
        <f t="shared" si="241"/>
        <v>14078.84</v>
      </c>
      <c r="AG285">
        <f t="shared" si="242"/>
        <v>0</v>
      </c>
      <c r="AH285">
        <f t="shared" si="243"/>
        <v>72.95</v>
      </c>
      <c r="AI285">
        <f t="shared" si="244"/>
        <v>0</v>
      </c>
      <c r="AJ285">
        <f t="shared" si="245"/>
        <v>0</v>
      </c>
      <c r="AK285">
        <v>45315.23</v>
      </c>
      <c r="AL285">
        <v>31064.27</v>
      </c>
      <c r="AM285">
        <v>172.12</v>
      </c>
      <c r="AN285">
        <v>91.86</v>
      </c>
      <c r="AO285">
        <v>14078.84</v>
      </c>
      <c r="AP285">
        <v>0</v>
      </c>
      <c r="AQ285">
        <v>72.95</v>
      </c>
      <c r="AR285">
        <v>0</v>
      </c>
      <c r="AS285">
        <v>0</v>
      </c>
      <c r="AT285">
        <v>70</v>
      </c>
      <c r="AU285">
        <v>10</v>
      </c>
      <c r="AV285">
        <v>1</v>
      </c>
      <c r="AW285">
        <v>1</v>
      </c>
      <c r="AZ285">
        <v>1</v>
      </c>
      <c r="BA285">
        <v>1</v>
      </c>
      <c r="BB285">
        <v>1</v>
      </c>
      <c r="BC285">
        <v>1</v>
      </c>
      <c r="BD285" t="s">
        <v>3</v>
      </c>
      <c r="BE285" t="s">
        <v>3</v>
      </c>
      <c r="BF285" t="s">
        <v>3</v>
      </c>
      <c r="BG285" t="s">
        <v>3</v>
      </c>
      <c r="BH285">
        <v>0</v>
      </c>
      <c r="BI285">
        <v>4</v>
      </c>
      <c r="BJ285" t="s">
        <v>237</v>
      </c>
      <c r="BM285">
        <v>0</v>
      </c>
      <c r="BN285">
        <v>0</v>
      </c>
      <c r="BO285" t="s">
        <v>3</v>
      </c>
      <c r="BP285">
        <v>0</v>
      </c>
      <c r="BQ285">
        <v>1</v>
      </c>
      <c r="BR285">
        <v>0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 t="s">
        <v>3</v>
      </c>
      <c r="BZ285">
        <v>70</v>
      </c>
      <c r="CA285">
        <v>10</v>
      </c>
      <c r="CE285">
        <v>0</v>
      </c>
      <c r="CF285">
        <v>0</v>
      </c>
      <c r="CG285">
        <v>0</v>
      </c>
      <c r="CM285">
        <v>0</v>
      </c>
      <c r="CN285" t="s">
        <v>3</v>
      </c>
      <c r="CO285">
        <v>0</v>
      </c>
      <c r="CP285">
        <f t="shared" si="246"/>
        <v>244022.51</v>
      </c>
      <c r="CQ285">
        <f t="shared" si="247"/>
        <v>31064.27</v>
      </c>
      <c r="CR285">
        <f t="shared" si="248"/>
        <v>172.12</v>
      </c>
      <c r="CS285">
        <f t="shared" si="249"/>
        <v>91.86</v>
      </c>
      <c r="CT285">
        <f t="shared" si="250"/>
        <v>14078.84</v>
      </c>
      <c r="CU285">
        <f t="shared" si="251"/>
        <v>0</v>
      </c>
      <c r="CV285">
        <f t="shared" si="252"/>
        <v>72.95</v>
      </c>
      <c r="CW285">
        <f t="shared" si="253"/>
        <v>0</v>
      </c>
      <c r="CX285">
        <f t="shared" si="254"/>
        <v>0</v>
      </c>
      <c r="CY285">
        <f t="shared" si="255"/>
        <v>53070.184999999998</v>
      </c>
      <c r="CZ285">
        <f t="shared" si="256"/>
        <v>7581.4549999999999</v>
      </c>
      <c r="DC285" t="s">
        <v>3</v>
      </c>
      <c r="DD285" t="s">
        <v>3</v>
      </c>
      <c r="DE285" t="s">
        <v>3</v>
      </c>
      <c r="DF285" t="s">
        <v>3</v>
      </c>
      <c r="DG285" t="s">
        <v>3</v>
      </c>
      <c r="DH285" t="s">
        <v>3</v>
      </c>
      <c r="DI285" t="s">
        <v>3</v>
      </c>
      <c r="DJ285" t="s">
        <v>3</v>
      </c>
      <c r="DK285" t="s">
        <v>3</v>
      </c>
      <c r="DL285" t="s">
        <v>3</v>
      </c>
      <c r="DM285" t="s">
        <v>3</v>
      </c>
      <c r="DN285">
        <v>0</v>
      </c>
      <c r="DO285">
        <v>0</v>
      </c>
      <c r="DP285">
        <v>1</v>
      </c>
      <c r="DQ285">
        <v>1</v>
      </c>
      <c r="DU285">
        <v>1003</v>
      </c>
      <c r="DV285" t="s">
        <v>230</v>
      </c>
      <c r="DW285" t="s">
        <v>230</v>
      </c>
      <c r="DX285">
        <v>100</v>
      </c>
      <c r="DZ285" t="s">
        <v>3</v>
      </c>
      <c r="EA285" t="s">
        <v>3</v>
      </c>
      <c r="EB285" t="s">
        <v>3</v>
      </c>
      <c r="EC285" t="s">
        <v>3</v>
      </c>
      <c r="EE285">
        <v>54545671</v>
      </c>
      <c r="EF285">
        <v>1</v>
      </c>
      <c r="EG285" t="s">
        <v>20</v>
      </c>
      <c r="EH285">
        <v>0</v>
      </c>
      <c r="EI285" t="s">
        <v>3</v>
      </c>
      <c r="EJ285">
        <v>4</v>
      </c>
      <c r="EK285">
        <v>0</v>
      </c>
      <c r="EL285" t="s">
        <v>21</v>
      </c>
      <c r="EM285" t="s">
        <v>22</v>
      </c>
      <c r="EO285" t="s">
        <v>3</v>
      </c>
      <c r="EQ285">
        <v>0</v>
      </c>
      <c r="ER285">
        <v>45315.23</v>
      </c>
      <c r="ES285">
        <v>31064.27</v>
      </c>
      <c r="ET285">
        <v>172.12</v>
      </c>
      <c r="EU285">
        <v>91.86</v>
      </c>
      <c r="EV285">
        <v>14078.84</v>
      </c>
      <c r="EW285">
        <v>72.95</v>
      </c>
      <c r="EX285">
        <v>0</v>
      </c>
      <c r="EY285">
        <v>0</v>
      </c>
      <c r="FQ285">
        <v>0</v>
      </c>
      <c r="FR285">
        <f t="shared" si="257"/>
        <v>0</v>
      </c>
      <c r="FS285">
        <v>0</v>
      </c>
      <c r="FX285">
        <v>70</v>
      </c>
      <c r="FY285">
        <v>10</v>
      </c>
      <c r="GA285" t="s">
        <v>3</v>
      </c>
      <c r="GD285">
        <v>0</v>
      </c>
      <c r="GF285">
        <v>739009611</v>
      </c>
      <c r="GG285">
        <v>2</v>
      </c>
      <c r="GH285">
        <v>1</v>
      </c>
      <c r="GI285">
        <v>-2</v>
      </c>
      <c r="GJ285">
        <v>0</v>
      </c>
      <c r="GK285">
        <f>ROUND(R285*(R12)/100,2)</f>
        <v>534.24</v>
      </c>
      <c r="GL285">
        <f t="shared" si="258"/>
        <v>0</v>
      </c>
      <c r="GM285">
        <f t="shared" si="259"/>
        <v>305208.40000000002</v>
      </c>
      <c r="GN285">
        <f t="shared" si="260"/>
        <v>0</v>
      </c>
      <c r="GO285">
        <f t="shared" si="261"/>
        <v>0</v>
      </c>
      <c r="GP285">
        <f t="shared" si="262"/>
        <v>305208.40000000002</v>
      </c>
      <c r="GR285">
        <v>0</v>
      </c>
      <c r="GS285">
        <v>3</v>
      </c>
      <c r="GT285">
        <v>0</v>
      </c>
      <c r="GU285" t="s">
        <v>3</v>
      </c>
      <c r="GV285">
        <f t="shared" si="263"/>
        <v>0</v>
      </c>
      <c r="GW285">
        <v>1</v>
      </c>
      <c r="GX285">
        <f t="shared" si="264"/>
        <v>0</v>
      </c>
      <c r="HA285">
        <v>0</v>
      </c>
      <c r="HB285">
        <v>0</v>
      </c>
      <c r="HC285">
        <f t="shared" si="265"/>
        <v>0</v>
      </c>
      <c r="HE285" t="s">
        <v>3</v>
      </c>
      <c r="HF285" t="s">
        <v>3</v>
      </c>
      <c r="IK285">
        <v>0</v>
      </c>
    </row>
    <row r="286" spans="1:245" x14ac:dyDescent="0.2">
      <c r="A286">
        <v>17</v>
      </c>
      <c r="B286">
        <v>1</v>
      </c>
      <c r="C286">
        <f>ROW(SmtRes!A113)</f>
        <v>113</v>
      </c>
      <c r="D286">
        <f>ROW(EtalonRes!A102)</f>
        <v>102</v>
      </c>
      <c r="E286" t="s">
        <v>238</v>
      </c>
      <c r="F286" t="s">
        <v>129</v>
      </c>
      <c r="G286" t="s">
        <v>130</v>
      </c>
      <c r="H286" t="s">
        <v>44</v>
      </c>
      <c r="I286">
        <f>ROUND(I288*0.9,9)</f>
        <v>68.859071999999998</v>
      </c>
      <c r="J286">
        <v>0</v>
      </c>
      <c r="O286">
        <f t="shared" si="226"/>
        <v>4303.6899999999996</v>
      </c>
      <c r="P286">
        <f t="shared" si="227"/>
        <v>0</v>
      </c>
      <c r="Q286">
        <f t="shared" si="228"/>
        <v>4303.6899999999996</v>
      </c>
      <c r="R286">
        <f t="shared" si="229"/>
        <v>2549.16</v>
      </c>
      <c r="S286">
        <f t="shared" si="230"/>
        <v>0</v>
      </c>
      <c r="T286">
        <f t="shared" si="231"/>
        <v>0</v>
      </c>
      <c r="U286">
        <f t="shared" si="232"/>
        <v>0</v>
      </c>
      <c r="V286">
        <f t="shared" si="233"/>
        <v>0</v>
      </c>
      <c r="W286">
        <f t="shared" si="234"/>
        <v>0</v>
      </c>
      <c r="X286">
        <f t="shared" si="235"/>
        <v>0</v>
      </c>
      <c r="Y286">
        <f t="shared" si="236"/>
        <v>0</v>
      </c>
      <c r="AA286">
        <v>56440881</v>
      </c>
      <c r="AB286">
        <f t="shared" si="237"/>
        <v>62.5</v>
      </c>
      <c r="AC286">
        <f t="shared" si="238"/>
        <v>0</v>
      </c>
      <c r="AD286">
        <f t="shared" si="239"/>
        <v>62.5</v>
      </c>
      <c r="AE286">
        <f t="shared" si="240"/>
        <v>37.020000000000003</v>
      </c>
      <c r="AF286">
        <f t="shared" si="241"/>
        <v>0</v>
      </c>
      <c r="AG286">
        <f t="shared" si="242"/>
        <v>0</v>
      </c>
      <c r="AH286">
        <f t="shared" si="243"/>
        <v>0</v>
      </c>
      <c r="AI286">
        <f t="shared" si="244"/>
        <v>0</v>
      </c>
      <c r="AJ286">
        <f t="shared" si="245"/>
        <v>0</v>
      </c>
      <c r="AK286">
        <v>62.5</v>
      </c>
      <c r="AL286">
        <v>0</v>
      </c>
      <c r="AM286">
        <v>62.5</v>
      </c>
      <c r="AN286">
        <v>37.020000000000003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1</v>
      </c>
      <c r="AZ286">
        <v>1</v>
      </c>
      <c r="BA286">
        <v>1</v>
      </c>
      <c r="BB286">
        <v>1</v>
      </c>
      <c r="BC286">
        <v>1</v>
      </c>
      <c r="BD286" t="s">
        <v>3</v>
      </c>
      <c r="BE286" t="s">
        <v>3</v>
      </c>
      <c r="BF286" t="s">
        <v>3</v>
      </c>
      <c r="BG286" t="s">
        <v>3</v>
      </c>
      <c r="BH286">
        <v>0</v>
      </c>
      <c r="BI286">
        <v>4</v>
      </c>
      <c r="BJ286" t="s">
        <v>131</v>
      </c>
      <c r="BM286">
        <v>1</v>
      </c>
      <c r="BN286">
        <v>0</v>
      </c>
      <c r="BO286" t="s">
        <v>3</v>
      </c>
      <c r="BP286">
        <v>0</v>
      </c>
      <c r="BQ286">
        <v>1</v>
      </c>
      <c r="BR286">
        <v>0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1</v>
      </c>
      <c r="BY286" t="s">
        <v>3</v>
      </c>
      <c r="BZ286">
        <v>0</v>
      </c>
      <c r="CA286">
        <v>0</v>
      </c>
      <c r="CE286">
        <v>0</v>
      </c>
      <c r="CF286">
        <v>0</v>
      </c>
      <c r="CG286">
        <v>0</v>
      </c>
      <c r="CM286">
        <v>0</v>
      </c>
      <c r="CN286" t="s">
        <v>3</v>
      </c>
      <c r="CO286">
        <v>0</v>
      </c>
      <c r="CP286">
        <f t="shared" si="246"/>
        <v>4303.6899999999996</v>
      </c>
      <c r="CQ286">
        <f t="shared" si="247"/>
        <v>0</v>
      </c>
      <c r="CR286">
        <f t="shared" si="248"/>
        <v>62.5</v>
      </c>
      <c r="CS286">
        <f t="shared" si="249"/>
        <v>37.020000000000003</v>
      </c>
      <c r="CT286">
        <f t="shared" si="250"/>
        <v>0</v>
      </c>
      <c r="CU286">
        <f t="shared" si="251"/>
        <v>0</v>
      </c>
      <c r="CV286">
        <f t="shared" si="252"/>
        <v>0</v>
      </c>
      <c r="CW286">
        <f t="shared" si="253"/>
        <v>0</v>
      </c>
      <c r="CX286">
        <f t="shared" si="254"/>
        <v>0</v>
      </c>
      <c r="CY286">
        <f t="shared" si="255"/>
        <v>0</v>
      </c>
      <c r="CZ286">
        <f t="shared" si="256"/>
        <v>0</v>
      </c>
      <c r="DC286" t="s">
        <v>3</v>
      </c>
      <c r="DD286" t="s">
        <v>3</v>
      </c>
      <c r="DE286" t="s">
        <v>3</v>
      </c>
      <c r="DF286" t="s">
        <v>3</v>
      </c>
      <c r="DG286" t="s">
        <v>3</v>
      </c>
      <c r="DH286" t="s">
        <v>3</v>
      </c>
      <c r="DI286" t="s">
        <v>3</v>
      </c>
      <c r="DJ286" t="s">
        <v>3</v>
      </c>
      <c r="DK286" t="s">
        <v>3</v>
      </c>
      <c r="DL286" t="s">
        <v>3</v>
      </c>
      <c r="DM286" t="s">
        <v>3</v>
      </c>
      <c r="DN286">
        <v>0</v>
      </c>
      <c r="DO286">
        <v>0</v>
      </c>
      <c r="DP286">
        <v>1</v>
      </c>
      <c r="DQ286">
        <v>1</v>
      </c>
      <c r="DU286">
        <v>1009</v>
      </c>
      <c r="DV286" t="s">
        <v>44</v>
      </c>
      <c r="DW286" t="s">
        <v>44</v>
      </c>
      <c r="DX286">
        <v>1000</v>
      </c>
      <c r="DZ286" t="s">
        <v>3</v>
      </c>
      <c r="EA286" t="s">
        <v>3</v>
      </c>
      <c r="EB286" t="s">
        <v>3</v>
      </c>
      <c r="EC286" t="s">
        <v>3</v>
      </c>
      <c r="EE286">
        <v>54545673</v>
      </c>
      <c r="EF286">
        <v>1</v>
      </c>
      <c r="EG286" t="s">
        <v>20</v>
      </c>
      <c r="EH286">
        <v>0</v>
      </c>
      <c r="EI286" t="s">
        <v>3</v>
      </c>
      <c r="EJ286">
        <v>4</v>
      </c>
      <c r="EK286">
        <v>1</v>
      </c>
      <c r="EL286" t="s">
        <v>132</v>
      </c>
      <c r="EM286" t="s">
        <v>22</v>
      </c>
      <c r="EO286" t="s">
        <v>3</v>
      </c>
      <c r="EQ286">
        <v>0</v>
      </c>
      <c r="ER286">
        <v>62.5</v>
      </c>
      <c r="ES286">
        <v>0</v>
      </c>
      <c r="ET286">
        <v>62.5</v>
      </c>
      <c r="EU286">
        <v>37.020000000000003</v>
      </c>
      <c r="EV286">
        <v>0</v>
      </c>
      <c r="EW286">
        <v>0</v>
      </c>
      <c r="EX286">
        <v>0</v>
      </c>
      <c r="EY286">
        <v>0</v>
      </c>
      <c r="FQ286">
        <v>0</v>
      </c>
      <c r="FR286">
        <f t="shared" si="257"/>
        <v>0</v>
      </c>
      <c r="FS286">
        <v>0</v>
      </c>
      <c r="FX286">
        <v>0</v>
      </c>
      <c r="FY286">
        <v>0</v>
      </c>
      <c r="GA286" t="s">
        <v>3</v>
      </c>
      <c r="GD286">
        <v>1</v>
      </c>
      <c r="GF286">
        <v>512225628</v>
      </c>
      <c r="GG286">
        <v>2</v>
      </c>
      <c r="GH286">
        <v>1</v>
      </c>
      <c r="GI286">
        <v>-2</v>
      </c>
      <c r="GJ286">
        <v>0</v>
      </c>
      <c r="GK286">
        <v>0</v>
      </c>
      <c r="GL286">
        <f t="shared" si="258"/>
        <v>0</v>
      </c>
      <c r="GM286">
        <f>ROUND(O286+X286+Y286,2)+GX286</f>
        <v>4303.6899999999996</v>
      </c>
      <c r="GN286">
        <f>IF(OR(BI286=0,BI286=1),ROUND(O286+X286+Y286,2),0)</f>
        <v>0</v>
      </c>
      <c r="GO286">
        <f>IF(BI286=2,ROUND(O286+X286+Y286,2),0)</f>
        <v>0</v>
      </c>
      <c r="GP286">
        <f>IF(BI286=4,ROUND(O286+X286+Y286,2)+GX286,0)</f>
        <v>4303.6899999999996</v>
      </c>
      <c r="GR286">
        <v>0</v>
      </c>
      <c r="GS286">
        <v>3</v>
      </c>
      <c r="GT286">
        <v>0</v>
      </c>
      <c r="GU286" t="s">
        <v>3</v>
      </c>
      <c r="GV286">
        <f t="shared" si="263"/>
        <v>0</v>
      </c>
      <c r="GW286">
        <v>1</v>
      </c>
      <c r="GX286">
        <f t="shared" si="264"/>
        <v>0</v>
      </c>
      <c r="HA286">
        <v>0</v>
      </c>
      <c r="HB286">
        <v>0</v>
      </c>
      <c r="HC286">
        <f t="shared" si="265"/>
        <v>0</v>
      </c>
      <c r="HE286" t="s">
        <v>3</v>
      </c>
      <c r="HF286" t="s">
        <v>3</v>
      </c>
      <c r="IK286">
        <v>0</v>
      </c>
    </row>
    <row r="287" spans="1:245" x14ac:dyDescent="0.2">
      <c r="A287">
        <v>17</v>
      </c>
      <c r="B287">
        <v>1</v>
      </c>
      <c r="C287">
        <f>ROW(SmtRes!A115)</f>
        <v>115</v>
      </c>
      <c r="D287">
        <f>ROW(EtalonRes!A104)</f>
        <v>104</v>
      </c>
      <c r="E287" t="s">
        <v>239</v>
      </c>
      <c r="F287" t="s">
        <v>134</v>
      </c>
      <c r="G287" t="s">
        <v>135</v>
      </c>
      <c r="H287" t="s">
        <v>44</v>
      </c>
      <c r="I287">
        <f>ROUND(I288*0.1,9)</f>
        <v>7.651008</v>
      </c>
      <c r="J287">
        <v>0</v>
      </c>
      <c r="O287">
        <f t="shared" si="226"/>
        <v>1372.59</v>
      </c>
      <c r="P287">
        <f t="shared" si="227"/>
        <v>0</v>
      </c>
      <c r="Q287">
        <f t="shared" si="228"/>
        <v>1372.59</v>
      </c>
      <c r="R287">
        <f t="shared" si="229"/>
        <v>812.54</v>
      </c>
      <c r="S287">
        <f t="shared" si="230"/>
        <v>0</v>
      </c>
      <c r="T287">
        <f t="shared" si="231"/>
        <v>0</v>
      </c>
      <c r="U287">
        <f t="shared" si="232"/>
        <v>0</v>
      </c>
      <c r="V287">
        <f t="shared" si="233"/>
        <v>0</v>
      </c>
      <c r="W287">
        <f t="shared" si="234"/>
        <v>0</v>
      </c>
      <c r="X287">
        <f t="shared" si="235"/>
        <v>0</v>
      </c>
      <c r="Y287">
        <f t="shared" si="236"/>
        <v>0</v>
      </c>
      <c r="AA287">
        <v>56440881</v>
      </c>
      <c r="AB287">
        <f t="shared" si="237"/>
        <v>179.4</v>
      </c>
      <c r="AC287">
        <f t="shared" si="238"/>
        <v>0</v>
      </c>
      <c r="AD287">
        <f t="shared" si="239"/>
        <v>179.4</v>
      </c>
      <c r="AE287">
        <f t="shared" si="240"/>
        <v>106.2</v>
      </c>
      <c r="AF287">
        <f t="shared" si="241"/>
        <v>0</v>
      </c>
      <c r="AG287">
        <f t="shared" si="242"/>
        <v>0</v>
      </c>
      <c r="AH287">
        <f t="shared" si="243"/>
        <v>0</v>
      </c>
      <c r="AI287">
        <f t="shared" si="244"/>
        <v>0</v>
      </c>
      <c r="AJ287">
        <f t="shared" si="245"/>
        <v>0</v>
      </c>
      <c r="AK287">
        <v>179.4</v>
      </c>
      <c r="AL287">
        <v>0</v>
      </c>
      <c r="AM287">
        <v>179.4</v>
      </c>
      <c r="AN287">
        <v>106.2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1</v>
      </c>
      <c r="AZ287">
        <v>1</v>
      </c>
      <c r="BA287">
        <v>1</v>
      </c>
      <c r="BB287">
        <v>1</v>
      </c>
      <c r="BC287">
        <v>1</v>
      </c>
      <c r="BD287" t="s">
        <v>3</v>
      </c>
      <c r="BE287" t="s">
        <v>3</v>
      </c>
      <c r="BF287" t="s">
        <v>3</v>
      </c>
      <c r="BG287" t="s">
        <v>3</v>
      </c>
      <c r="BH287">
        <v>0</v>
      </c>
      <c r="BI287">
        <v>4</v>
      </c>
      <c r="BJ287" t="s">
        <v>136</v>
      </c>
      <c r="BM287">
        <v>1</v>
      </c>
      <c r="BN287">
        <v>0</v>
      </c>
      <c r="BO287" t="s">
        <v>3</v>
      </c>
      <c r="BP287">
        <v>0</v>
      </c>
      <c r="BQ287">
        <v>1</v>
      </c>
      <c r="BR287">
        <v>0</v>
      </c>
      <c r="BS287">
        <v>1</v>
      </c>
      <c r="BT287">
        <v>1</v>
      </c>
      <c r="BU287">
        <v>1</v>
      </c>
      <c r="BV287">
        <v>1</v>
      </c>
      <c r="BW287">
        <v>1</v>
      </c>
      <c r="BX287">
        <v>1</v>
      </c>
      <c r="BY287" t="s">
        <v>3</v>
      </c>
      <c r="BZ287">
        <v>0</v>
      </c>
      <c r="CA287">
        <v>0</v>
      </c>
      <c r="CE287">
        <v>0</v>
      </c>
      <c r="CF287">
        <v>0</v>
      </c>
      <c r="CG287">
        <v>0</v>
      </c>
      <c r="CM287">
        <v>0</v>
      </c>
      <c r="CN287" t="s">
        <v>3</v>
      </c>
      <c r="CO287">
        <v>0</v>
      </c>
      <c r="CP287">
        <f t="shared" si="246"/>
        <v>1372.59</v>
      </c>
      <c r="CQ287">
        <f t="shared" si="247"/>
        <v>0</v>
      </c>
      <c r="CR287">
        <f t="shared" si="248"/>
        <v>179.4</v>
      </c>
      <c r="CS287">
        <f t="shared" si="249"/>
        <v>106.2</v>
      </c>
      <c r="CT287">
        <f t="shared" si="250"/>
        <v>0</v>
      </c>
      <c r="CU287">
        <f t="shared" si="251"/>
        <v>0</v>
      </c>
      <c r="CV287">
        <f t="shared" si="252"/>
        <v>0</v>
      </c>
      <c r="CW287">
        <f t="shared" si="253"/>
        <v>0</v>
      </c>
      <c r="CX287">
        <f t="shared" si="254"/>
        <v>0</v>
      </c>
      <c r="CY287">
        <f t="shared" si="255"/>
        <v>0</v>
      </c>
      <c r="CZ287">
        <f t="shared" si="256"/>
        <v>0</v>
      </c>
      <c r="DC287" t="s">
        <v>3</v>
      </c>
      <c r="DD287" t="s">
        <v>3</v>
      </c>
      <c r="DE287" t="s">
        <v>3</v>
      </c>
      <c r="DF287" t="s">
        <v>3</v>
      </c>
      <c r="DG287" t="s">
        <v>3</v>
      </c>
      <c r="DH287" t="s">
        <v>3</v>
      </c>
      <c r="DI287" t="s">
        <v>3</v>
      </c>
      <c r="DJ287" t="s">
        <v>3</v>
      </c>
      <c r="DK287" t="s">
        <v>3</v>
      </c>
      <c r="DL287" t="s">
        <v>3</v>
      </c>
      <c r="DM287" t="s">
        <v>3</v>
      </c>
      <c r="DN287">
        <v>0</v>
      </c>
      <c r="DO287">
        <v>0</v>
      </c>
      <c r="DP287">
        <v>1</v>
      </c>
      <c r="DQ287">
        <v>1</v>
      </c>
      <c r="DU287">
        <v>1009</v>
      </c>
      <c r="DV287" t="s">
        <v>44</v>
      </c>
      <c r="DW287" t="s">
        <v>44</v>
      </c>
      <c r="DX287">
        <v>1000</v>
      </c>
      <c r="DZ287" t="s">
        <v>3</v>
      </c>
      <c r="EA287" t="s">
        <v>3</v>
      </c>
      <c r="EB287" t="s">
        <v>3</v>
      </c>
      <c r="EC287" t="s">
        <v>3</v>
      </c>
      <c r="EE287">
        <v>54545673</v>
      </c>
      <c r="EF287">
        <v>1</v>
      </c>
      <c r="EG287" t="s">
        <v>20</v>
      </c>
      <c r="EH287">
        <v>0</v>
      </c>
      <c r="EI287" t="s">
        <v>3</v>
      </c>
      <c r="EJ287">
        <v>4</v>
      </c>
      <c r="EK287">
        <v>1</v>
      </c>
      <c r="EL287" t="s">
        <v>132</v>
      </c>
      <c r="EM287" t="s">
        <v>22</v>
      </c>
      <c r="EO287" t="s">
        <v>3</v>
      </c>
      <c r="EQ287">
        <v>0</v>
      </c>
      <c r="ER287">
        <v>179.4</v>
      </c>
      <c r="ES287">
        <v>0</v>
      </c>
      <c r="ET287">
        <v>179.4</v>
      </c>
      <c r="EU287">
        <v>106.2</v>
      </c>
      <c r="EV287">
        <v>0</v>
      </c>
      <c r="EW287">
        <v>0</v>
      </c>
      <c r="EX287">
        <v>0</v>
      </c>
      <c r="EY287">
        <v>0</v>
      </c>
      <c r="FQ287">
        <v>0</v>
      </c>
      <c r="FR287">
        <f t="shared" si="257"/>
        <v>0</v>
      </c>
      <c r="FS287">
        <v>0</v>
      </c>
      <c r="FX287">
        <v>0</v>
      </c>
      <c r="FY287">
        <v>0</v>
      </c>
      <c r="GA287" t="s">
        <v>3</v>
      </c>
      <c r="GD287">
        <v>1</v>
      </c>
      <c r="GF287">
        <v>-1684252738</v>
      </c>
      <c r="GG287">
        <v>2</v>
      </c>
      <c r="GH287">
        <v>1</v>
      </c>
      <c r="GI287">
        <v>-2</v>
      </c>
      <c r="GJ287">
        <v>0</v>
      </c>
      <c r="GK287">
        <v>0</v>
      </c>
      <c r="GL287">
        <f t="shared" si="258"/>
        <v>0</v>
      </c>
      <c r="GM287">
        <f>ROUND(O287+X287+Y287,2)+GX287</f>
        <v>1372.59</v>
      </c>
      <c r="GN287">
        <f>IF(OR(BI287=0,BI287=1),ROUND(O287+X287+Y287,2),0)</f>
        <v>0</v>
      </c>
      <c r="GO287">
        <f>IF(BI287=2,ROUND(O287+X287+Y287,2),0)</f>
        <v>0</v>
      </c>
      <c r="GP287">
        <f>IF(BI287=4,ROUND(O287+X287+Y287,2)+GX287,0)</f>
        <v>1372.59</v>
      </c>
      <c r="GR287">
        <v>0</v>
      </c>
      <c r="GS287">
        <v>3</v>
      </c>
      <c r="GT287">
        <v>0</v>
      </c>
      <c r="GU287" t="s">
        <v>3</v>
      </c>
      <c r="GV287">
        <f t="shared" si="263"/>
        <v>0</v>
      </c>
      <c r="GW287">
        <v>1</v>
      </c>
      <c r="GX287">
        <f t="shared" si="264"/>
        <v>0</v>
      </c>
      <c r="HA287">
        <v>0</v>
      </c>
      <c r="HB287">
        <v>0</v>
      </c>
      <c r="HC287">
        <f t="shared" si="265"/>
        <v>0</v>
      </c>
      <c r="HE287" t="s">
        <v>3</v>
      </c>
      <c r="HF287" t="s">
        <v>3</v>
      </c>
      <c r="IK287">
        <v>0</v>
      </c>
    </row>
    <row r="288" spans="1:245" x14ac:dyDescent="0.2">
      <c r="A288">
        <v>17</v>
      </c>
      <c r="B288">
        <v>1</v>
      </c>
      <c r="C288">
        <f>ROW(SmtRes!A117)</f>
        <v>117</v>
      </c>
      <c r="D288">
        <f>ROW(EtalonRes!A106)</f>
        <v>106</v>
      </c>
      <c r="E288" t="s">
        <v>240</v>
      </c>
      <c r="F288" t="s">
        <v>138</v>
      </c>
      <c r="G288" t="s">
        <v>139</v>
      </c>
      <c r="H288" t="s">
        <v>44</v>
      </c>
      <c r="I288">
        <f>ROUND(I283*14.208,9)</f>
        <v>76.510080000000002</v>
      </c>
      <c r="J288">
        <v>0</v>
      </c>
      <c r="O288">
        <f t="shared" si="226"/>
        <v>115421.58</v>
      </c>
      <c r="P288">
        <f t="shared" si="227"/>
        <v>0</v>
      </c>
      <c r="Q288">
        <f t="shared" si="228"/>
        <v>115421.58</v>
      </c>
      <c r="R288">
        <f t="shared" si="229"/>
        <v>68441.33</v>
      </c>
      <c r="S288">
        <f t="shared" si="230"/>
        <v>0</v>
      </c>
      <c r="T288">
        <f t="shared" si="231"/>
        <v>0</v>
      </c>
      <c r="U288">
        <f t="shared" si="232"/>
        <v>0</v>
      </c>
      <c r="V288">
        <f t="shared" si="233"/>
        <v>0</v>
      </c>
      <c r="W288">
        <f t="shared" si="234"/>
        <v>0</v>
      </c>
      <c r="X288">
        <f t="shared" si="235"/>
        <v>0</v>
      </c>
      <c r="Y288">
        <f t="shared" si="236"/>
        <v>0</v>
      </c>
      <c r="AA288">
        <v>56440881</v>
      </c>
      <c r="AB288">
        <f t="shared" si="237"/>
        <v>1508.58</v>
      </c>
      <c r="AC288">
        <f>ROUND(((ES288*51)),2)</f>
        <v>0</v>
      </c>
      <c r="AD288">
        <f>ROUND(((((ET288*51))-((EU288*51)))+AE288),2)</f>
        <v>1508.58</v>
      </c>
      <c r="AE288">
        <f>ROUND(((EU288*51)),2)</f>
        <v>894.54</v>
      </c>
      <c r="AF288">
        <f>ROUND(((EV288*51)),2)</f>
        <v>0</v>
      </c>
      <c r="AG288">
        <f t="shared" si="242"/>
        <v>0</v>
      </c>
      <c r="AH288">
        <f>((EW288*51))</f>
        <v>0</v>
      </c>
      <c r="AI288">
        <f>((EX288*51))</f>
        <v>0</v>
      </c>
      <c r="AJ288">
        <f t="shared" si="245"/>
        <v>0</v>
      </c>
      <c r="AK288">
        <v>29.58</v>
      </c>
      <c r="AL288">
        <v>0</v>
      </c>
      <c r="AM288">
        <v>29.58</v>
      </c>
      <c r="AN288">
        <v>17.54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1</v>
      </c>
      <c r="AZ288">
        <v>1</v>
      </c>
      <c r="BA288">
        <v>1</v>
      </c>
      <c r="BB288">
        <v>1</v>
      </c>
      <c r="BC288">
        <v>1</v>
      </c>
      <c r="BD288" t="s">
        <v>3</v>
      </c>
      <c r="BE288" t="s">
        <v>3</v>
      </c>
      <c r="BF288" t="s">
        <v>3</v>
      </c>
      <c r="BG288" t="s">
        <v>3</v>
      </c>
      <c r="BH288">
        <v>0</v>
      </c>
      <c r="BI288">
        <v>4</v>
      </c>
      <c r="BJ288" t="s">
        <v>140</v>
      </c>
      <c r="BM288">
        <v>1</v>
      </c>
      <c r="BN288">
        <v>0</v>
      </c>
      <c r="BO288" t="s">
        <v>3</v>
      </c>
      <c r="BP288">
        <v>0</v>
      </c>
      <c r="BQ288">
        <v>1</v>
      </c>
      <c r="BR288">
        <v>0</v>
      </c>
      <c r="BS288">
        <v>1</v>
      </c>
      <c r="BT288">
        <v>1</v>
      </c>
      <c r="BU288">
        <v>1</v>
      </c>
      <c r="BV288">
        <v>1</v>
      </c>
      <c r="BW288">
        <v>1</v>
      </c>
      <c r="BX288">
        <v>1</v>
      </c>
      <c r="BY288" t="s">
        <v>3</v>
      </c>
      <c r="BZ288">
        <v>0</v>
      </c>
      <c r="CA288">
        <v>0</v>
      </c>
      <c r="CE288">
        <v>0</v>
      </c>
      <c r="CF288">
        <v>0</v>
      </c>
      <c r="CG288">
        <v>0</v>
      </c>
      <c r="CM288">
        <v>0</v>
      </c>
      <c r="CN288" t="s">
        <v>3</v>
      </c>
      <c r="CO288">
        <v>0</v>
      </c>
      <c r="CP288">
        <f t="shared" si="246"/>
        <v>115421.58</v>
      </c>
      <c r="CQ288">
        <f t="shared" si="247"/>
        <v>0</v>
      </c>
      <c r="CR288">
        <f>(((((ET288*51))*BB288-((EU288*51))*BS288)+AE288*BS288)*AV288)</f>
        <v>1508.58</v>
      </c>
      <c r="CS288">
        <f t="shared" si="249"/>
        <v>894.54</v>
      </c>
      <c r="CT288">
        <f t="shared" si="250"/>
        <v>0</v>
      </c>
      <c r="CU288">
        <f t="shared" si="251"/>
        <v>0</v>
      </c>
      <c r="CV288">
        <f t="shared" si="252"/>
        <v>0</v>
      </c>
      <c r="CW288">
        <f t="shared" si="253"/>
        <v>0</v>
      </c>
      <c r="CX288">
        <f t="shared" si="254"/>
        <v>0</v>
      </c>
      <c r="CY288">
        <f t="shared" si="255"/>
        <v>0</v>
      </c>
      <c r="CZ288">
        <f t="shared" si="256"/>
        <v>0</v>
      </c>
      <c r="DC288" t="s">
        <v>3</v>
      </c>
      <c r="DD288" t="s">
        <v>141</v>
      </c>
      <c r="DE288" t="s">
        <v>141</v>
      </c>
      <c r="DF288" t="s">
        <v>141</v>
      </c>
      <c r="DG288" t="s">
        <v>141</v>
      </c>
      <c r="DH288" t="s">
        <v>3</v>
      </c>
      <c r="DI288" t="s">
        <v>141</v>
      </c>
      <c r="DJ288" t="s">
        <v>141</v>
      </c>
      <c r="DK288" t="s">
        <v>3</v>
      </c>
      <c r="DL288" t="s">
        <v>3</v>
      </c>
      <c r="DM288" t="s">
        <v>3</v>
      </c>
      <c r="DN288">
        <v>0</v>
      </c>
      <c r="DO288">
        <v>0</v>
      </c>
      <c r="DP288">
        <v>1</v>
      </c>
      <c r="DQ288">
        <v>1</v>
      </c>
      <c r="DU288">
        <v>1009</v>
      </c>
      <c r="DV288" t="s">
        <v>44</v>
      </c>
      <c r="DW288" t="s">
        <v>44</v>
      </c>
      <c r="DX288">
        <v>1000</v>
      </c>
      <c r="DZ288" t="s">
        <v>3</v>
      </c>
      <c r="EA288" t="s">
        <v>3</v>
      </c>
      <c r="EB288" t="s">
        <v>3</v>
      </c>
      <c r="EC288" t="s">
        <v>3</v>
      </c>
      <c r="EE288">
        <v>54545673</v>
      </c>
      <c r="EF288">
        <v>1</v>
      </c>
      <c r="EG288" t="s">
        <v>20</v>
      </c>
      <c r="EH288">
        <v>0</v>
      </c>
      <c r="EI288" t="s">
        <v>3</v>
      </c>
      <c r="EJ288">
        <v>4</v>
      </c>
      <c r="EK288">
        <v>1</v>
      </c>
      <c r="EL288" t="s">
        <v>132</v>
      </c>
      <c r="EM288" t="s">
        <v>22</v>
      </c>
      <c r="EO288" t="s">
        <v>3</v>
      </c>
      <c r="EQ288">
        <v>0</v>
      </c>
      <c r="ER288">
        <v>29.58</v>
      </c>
      <c r="ES288">
        <v>0</v>
      </c>
      <c r="ET288">
        <v>29.58</v>
      </c>
      <c r="EU288">
        <v>17.54</v>
      </c>
      <c r="EV288">
        <v>0</v>
      </c>
      <c r="EW288">
        <v>0</v>
      </c>
      <c r="EX288">
        <v>0</v>
      </c>
      <c r="EY288">
        <v>0</v>
      </c>
      <c r="FQ288">
        <v>0</v>
      </c>
      <c r="FR288">
        <f t="shared" si="257"/>
        <v>0</v>
      </c>
      <c r="FS288">
        <v>0</v>
      </c>
      <c r="FX288">
        <v>0</v>
      </c>
      <c r="FY288">
        <v>0</v>
      </c>
      <c r="GA288" t="s">
        <v>3</v>
      </c>
      <c r="GD288">
        <v>1</v>
      </c>
      <c r="GF288">
        <v>120731248</v>
      </c>
      <c r="GG288">
        <v>2</v>
      </c>
      <c r="GH288">
        <v>1</v>
      </c>
      <c r="GI288">
        <v>-2</v>
      </c>
      <c r="GJ288">
        <v>0</v>
      </c>
      <c r="GK288">
        <v>0</v>
      </c>
      <c r="GL288">
        <f t="shared" si="258"/>
        <v>0</v>
      </c>
      <c r="GM288">
        <f>ROUND(O288+X288+Y288,2)+GX288</f>
        <v>115421.58</v>
      </c>
      <c r="GN288">
        <f>IF(OR(BI288=0,BI288=1),ROUND(O288+X288+Y288,2),0)</f>
        <v>0</v>
      </c>
      <c r="GO288">
        <f>IF(BI288=2,ROUND(O288+X288+Y288,2),0)</f>
        <v>0</v>
      </c>
      <c r="GP288">
        <f>IF(BI288=4,ROUND(O288+X288+Y288,2)+GX288,0)</f>
        <v>115421.58</v>
      </c>
      <c r="GR288">
        <v>0</v>
      </c>
      <c r="GS288">
        <v>3</v>
      </c>
      <c r="GT288">
        <v>0</v>
      </c>
      <c r="GU288" t="s">
        <v>3</v>
      </c>
      <c r="GV288">
        <f t="shared" si="263"/>
        <v>0</v>
      </c>
      <c r="GW288">
        <v>1</v>
      </c>
      <c r="GX288">
        <f t="shared" si="264"/>
        <v>0</v>
      </c>
      <c r="HA288">
        <v>0</v>
      </c>
      <c r="HB288">
        <v>0</v>
      </c>
      <c r="HC288">
        <f t="shared" si="265"/>
        <v>0</v>
      </c>
      <c r="HE288" t="s">
        <v>3</v>
      </c>
      <c r="HF288" t="s">
        <v>3</v>
      </c>
      <c r="IK288">
        <v>0</v>
      </c>
    </row>
    <row r="289" spans="1:245" x14ac:dyDescent="0.2">
      <c r="A289">
        <v>17</v>
      </c>
      <c r="B289">
        <v>1</v>
      </c>
      <c r="E289" t="s">
        <v>241</v>
      </c>
      <c r="F289" t="s">
        <v>242</v>
      </c>
      <c r="G289" t="s">
        <v>243</v>
      </c>
      <c r="H289" t="s">
        <v>44</v>
      </c>
      <c r="I289">
        <f>ROUND(I288,9)</f>
        <v>76.510080000000002</v>
      </c>
      <c r="J289">
        <v>0</v>
      </c>
      <c r="O289">
        <f t="shared" si="226"/>
        <v>11523.18</v>
      </c>
      <c r="P289">
        <f t="shared" si="227"/>
        <v>11523.18</v>
      </c>
      <c r="Q289">
        <f t="shared" si="228"/>
        <v>0</v>
      </c>
      <c r="R289">
        <f t="shared" si="229"/>
        <v>0</v>
      </c>
      <c r="S289">
        <f t="shared" si="230"/>
        <v>0</v>
      </c>
      <c r="T289">
        <f t="shared" si="231"/>
        <v>0</v>
      </c>
      <c r="U289">
        <f t="shared" si="232"/>
        <v>0</v>
      </c>
      <c r="V289">
        <f t="shared" si="233"/>
        <v>0</v>
      </c>
      <c r="W289">
        <f t="shared" si="234"/>
        <v>0</v>
      </c>
      <c r="X289">
        <f t="shared" si="235"/>
        <v>0</v>
      </c>
      <c r="Y289">
        <f t="shared" si="236"/>
        <v>0</v>
      </c>
      <c r="AA289">
        <v>56440881</v>
      </c>
      <c r="AB289">
        <f t="shared" si="237"/>
        <v>150.61000000000001</v>
      </c>
      <c r="AC289">
        <f>ROUND((ES289),2)</f>
        <v>150.61000000000001</v>
      </c>
      <c r="AD289">
        <f>ROUND((((ET289)-(EU289))+AE289),2)</f>
        <v>0</v>
      </c>
      <c r="AE289">
        <f>ROUND((EU289),2)</f>
        <v>0</v>
      </c>
      <c r="AF289">
        <f>ROUND((EV289),2)</f>
        <v>0</v>
      </c>
      <c r="AG289">
        <f t="shared" si="242"/>
        <v>0</v>
      </c>
      <c r="AH289">
        <f>(EW289)</f>
        <v>0</v>
      </c>
      <c r="AI289">
        <f>(EX289)</f>
        <v>0</v>
      </c>
      <c r="AJ289">
        <f t="shared" si="245"/>
        <v>0</v>
      </c>
      <c r="AK289">
        <v>150.61000000000001</v>
      </c>
      <c r="AL289">
        <v>150.61000000000001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70</v>
      </c>
      <c r="AU289">
        <v>10</v>
      </c>
      <c r="AV289">
        <v>1</v>
      </c>
      <c r="AW289">
        <v>1</v>
      </c>
      <c r="AZ289">
        <v>1</v>
      </c>
      <c r="BA289">
        <v>1</v>
      </c>
      <c r="BB289">
        <v>1</v>
      </c>
      <c r="BC289">
        <v>1</v>
      </c>
      <c r="BD289" t="s">
        <v>3</v>
      </c>
      <c r="BE289" t="s">
        <v>3</v>
      </c>
      <c r="BF289" t="s">
        <v>3</v>
      </c>
      <c r="BG289" t="s">
        <v>3</v>
      </c>
      <c r="BH289">
        <v>3</v>
      </c>
      <c r="BI289">
        <v>4</v>
      </c>
      <c r="BJ289" t="s">
        <v>244</v>
      </c>
      <c r="BM289">
        <v>0</v>
      </c>
      <c r="BN289">
        <v>0</v>
      </c>
      <c r="BO289" t="s">
        <v>3</v>
      </c>
      <c r="BP289">
        <v>0</v>
      </c>
      <c r="BQ289">
        <v>1</v>
      </c>
      <c r="BR289">
        <v>0</v>
      </c>
      <c r="BS289">
        <v>1</v>
      </c>
      <c r="BT289">
        <v>1</v>
      </c>
      <c r="BU289">
        <v>1</v>
      </c>
      <c r="BV289">
        <v>1</v>
      </c>
      <c r="BW289">
        <v>1</v>
      </c>
      <c r="BX289">
        <v>1</v>
      </c>
      <c r="BY289" t="s">
        <v>3</v>
      </c>
      <c r="BZ289">
        <v>70</v>
      </c>
      <c r="CA289">
        <v>10</v>
      </c>
      <c r="CE289">
        <v>0</v>
      </c>
      <c r="CF289">
        <v>0</v>
      </c>
      <c r="CG289">
        <v>0</v>
      </c>
      <c r="CM289">
        <v>0</v>
      </c>
      <c r="CN289" t="s">
        <v>3</v>
      </c>
      <c r="CO289">
        <v>0</v>
      </c>
      <c r="CP289">
        <f t="shared" si="246"/>
        <v>11523.18</v>
      </c>
      <c r="CQ289">
        <f t="shared" si="247"/>
        <v>150.61000000000001</v>
      </c>
      <c r="CR289">
        <f>((((ET289)*BB289-(EU289)*BS289)+AE289*BS289)*AV289)</f>
        <v>0</v>
      </c>
      <c r="CS289">
        <f t="shared" si="249"/>
        <v>0</v>
      </c>
      <c r="CT289">
        <f t="shared" si="250"/>
        <v>0</v>
      </c>
      <c r="CU289">
        <f t="shared" si="251"/>
        <v>0</v>
      </c>
      <c r="CV289">
        <f t="shared" si="252"/>
        <v>0</v>
      </c>
      <c r="CW289">
        <f t="shared" si="253"/>
        <v>0</v>
      </c>
      <c r="CX289">
        <f t="shared" si="254"/>
        <v>0</v>
      </c>
      <c r="CY289">
        <f t="shared" si="255"/>
        <v>0</v>
      </c>
      <c r="CZ289">
        <f t="shared" si="256"/>
        <v>0</v>
      </c>
      <c r="DC289" t="s">
        <v>3</v>
      </c>
      <c r="DD289" t="s">
        <v>3</v>
      </c>
      <c r="DE289" t="s">
        <v>3</v>
      </c>
      <c r="DF289" t="s">
        <v>3</v>
      </c>
      <c r="DG289" t="s">
        <v>3</v>
      </c>
      <c r="DH289" t="s">
        <v>3</v>
      </c>
      <c r="DI289" t="s">
        <v>3</v>
      </c>
      <c r="DJ289" t="s">
        <v>3</v>
      </c>
      <c r="DK289" t="s">
        <v>3</v>
      </c>
      <c r="DL289" t="s">
        <v>3</v>
      </c>
      <c r="DM289" t="s">
        <v>3</v>
      </c>
      <c r="DN289">
        <v>0</v>
      </c>
      <c r="DO289">
        <v>0</v>
      </c>
      <c r="DP289">
        <v>1</v>
      </c>
      <c r="DQ289">
        <v>1</v>
      </c>
      <c r="DU289">
        <v>1009</v>
      </c>
      <c r="DV289" t="s">
        <v>44</v>
      </c>
      <c r="DW289" t="s">
        <v>44</v>
      </c>
      <c r="DX289">
        <v>1000</v>
      </c>
      <c r="DZ289" t="s">
        <v>3</v>
      </c>
      <c r="EA289" t="s">
        <v>3</v>
      </c>
      <c r="EB289" t="s">
        <v>3</v>
      </c>
      <c r="EC289" t="s">
        <v>3</v>
      </c>
      <c r="EE289">
        <v>54545671</v>
      </c>
      <c r="EF289">
        <v>1</v>
      </c>
      <c r="EG289" t="s">
        <v>20</v>
      </c>
      <c r="EH289">
        <v>0</v>
      </c>
      <c r="EI289" t="s">
        <v>3</v>
      </c>
      <c r="EJ289">
        <v>4</v>
      </c>
      <c r="EK289">
        <v>0</v>
      </c>
      <c r="EL289" t="s">
        <v>21</v>
      </c>
      <c r="EM289" t="s">
        <v>22</v>
      </c>
      <c r="EO289" t="s">
        <v>3</v>
      </c>
      <c r="EQ289">
        <v>0</v>
      </c>
      <c r="ER289">
        <v>150.61000000000001</v>
      </c>
      <c r="ES289">
        <v>150.61000000000001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FQ289">
        <v>0</v>
      </c>
      <c r="FR289">
        <f t="shared" si="257"/>
        <v>0</v>
      </c>
      <c r="FS289">
        <v>0</v>
      </c>
      <c r="FX289">
        <v>70</v>
      </c>
      <c r="FY289">
        <v>10</v>
      </c>
      <c r="GA289" t="s">
        <v>3</v>
      </c>
      <c r="GD289">
        <v>0</v>
      </c>
      <c r="GF289">
        <v>1351015189</v>
      </c>
      <c r="GG289">
        <v>2</v>
      </c>
      <c r="GH289">
        <v>1</v>
      </c>
      <c r="GI289">
        <v>-2</v>
      </c>
      <c r="GJ289">
        <v>0</v>
      </c>
      <c r="GK289">
        <f>ROUND(R289*(R12)/100,2)</f>
        <v>0</v>
      </c>
      <c r="GL289">
        <f t="shared" si="258"/>
        <v>0</v>
      </c>
      <c r="GM289">
        <f>ROUND(O289+X289+Y289+GK289,2)+GX289</f>
        <v>11523.18</v>
      </c>
      <c r="GN289">
        <f>IF(OR(BI289=0,BI289=1),ROUND(O289+X289+Y289+GK289,2),0)</f>
        <v>0</v>
      </c>
      <c r="GO289">
        <f>IF(BI289=2,ROUND(O289+X289+Y289+GK289,2),0)</f>
        <v>0</v>
      </c>
      <c r="GP289">
        <f>IF(BI289=4,ROUND(O289+X289+Y289+GK289,2)+GX289,0)</f>
        <v>11523.18</v>
      </c>
      <c r="GR289">
        <v>0</v>
      </c>
      <c r="GS289">
        <v>3</v>
      </c>
      <c r="GT289">
        <v>0</v>
      </c>
      <c r="GU289" t="s">
        <v>3</v>
      </c>
      <c r="GV289">
        <f t="shared" si="263"/>
        <v>0</v>
      </c>
      <c r="GW289">
        <v>1</v>
      </c>
      <c r="GX289">
        <f t="shared" si="264"/>
        <v>0</v>
      </c>
      <c r="HA289">
        <v>0</v>
      </c>
      <c r="HB289">
        <v>0</v>
      </c>
      <c r="HC289">
        <f t="shared" si="265"/>
        <v>0</v>
      </c>
      <c r="HE289" t="s">
        <v>3</v>
      </c>
      <c r="HF289" t="s">
        <v>3</v>
      </c>
      <c r="IK289">
        <v>0</v>
      </c>
    </row>
    <row r="291" spans="1:245" x14ac:dyDescent="0.2">
      <c r="A291" s="2">
        <v>51</v>
      </c>
      <c r="B291" s="2">
        <f>B275</f>
        <v>1</v>
      </c>
      <c r="C291" s="2">
        <f>A275</f>
        <v>4</v>
      </c>
      <c r="D291" s="2">
        <f>ROW(A275)</f>
        <v>275</v>
      </c>
      <c r="E291" s="2"/>
      <c r="F291" s="2" t="str">
        <f>IF(F275&lt;&gt;"",F275,"")</f>
        <v>Новый раздел</v>
      </c>
      <c r="G291" s="2" t="str">
        <f>IF(G275&lt;&gt;"",G275,"")</f>
        <v>Замена бортовых камней бетонных Бр 100.20.8 (538,5 мп)</v>
      </c>
      <c r="H291" s="2">
        <v>0</v>
      </c>
      <c r="I291" s="2"/>
      <c r="J291" s="2"/>
      <c r="K291" s="2"/>
      <c r="L291" s="2"/>
      <c r="M291" s="2"/>
      <c r="N291" s="2"/>
      <c r="O291" s="2">
        <f t="shared" ref="O291:T291" si="266">ROUND(AB291,2)</f>
        <v>456168.26</v>
      </c>
      <c r="P291" s="2">
        <f t="shared" si="266"/>
        <v>178804.27</v>
      </c>
      <c r="Q291" s="2">
        <f t="shared" si="266"/>
        <v>122024.73</v>
      </c>
      <c r="R291" s="2">
        <f t="shared" si="266"/>
        <v>72297.7</v>
      </c>
      <c r="S291" s="2">
        <f t="shared" si="266"/>
        <v>155339.26</v>
      </c>
      <c r="T291" s="2">
        <f t="shared" si="266"/>
        <v>0</v>
      </c>
      <c r="U291" s="2">
        <f>AH291</f>
        <v>805.86525000000006</v>
      </c>
      <c r="V291" s="2">
        <f>AI291</f>
        <v>0</v>
      </c>
      <c r="W291" s="2">
        <f>ROUND(AJ291,2)</f>
        <v>0</v>
      </c>
      <c r="X291" s="2">
        <f>ROUND(AK291,2)</f>
        <v>108737.49</v>
      </c>
      <c r="Y291" s="2">
        <f>ROUND(AL291,2)</f>
        <v>15533.93</v>
      </c>
      <c r="Z291" s="2"/>
      <c r="AA291" s="2"/>
      <c r="AB291" s="2">
        <f>ROUND(SUMIF(AA279:AA289,"=56440881",O279:O289),2)</f>
        <v>456168.26</v>
      </c>
      <c r="AC291" s="2">
        <f>ROUND(SUMIF(AA279:AA289,"=56440881",P279:P289),2)</f>
        <v>178804.27</v>
      </c>
      <c r="AD291" s="2">
        <f>ROUND(SUMIF(AA279:AA289,"=56440881",Q279:Q289),2)</f>
        <v>122024.73</v>
      </c>
      <c r="AE291" s="2">
        <f>ROUND(SUMIF(AA279:AA289,"=56440881",R279:R289),2)</f>
        <v>72297.7</v>
      </c>
      <c r="AF291" s="2">
        <f>ROUND(SUMIF(AA279:AA289,"=56440881",S279:S289),2)</f>
        <v>155339.26</v>
      </c>
      <c r="AG291" s="2">
        <f>ROUND(SUMIF(AA279:AA289,"=56440881",T279:T289),2)</f>
        <v>0</v>
      </c>
      <c r="AH291" s="2">
        <f>SUMIF(AA279:AA289,"=56440881",U279:U289)</f>
        <v>805.86525000000006</v>
      </c>
      <c r="AI291" s="2">
        <f>SUMIF(AA279:AA289,"=56440881",V279:V289)</f>
        <v>0</v>
      </c>
      <c r="AJ291" s="2">
        <f>ROUND(SUMIF(AA279:AA289,"=56440881",W279:W289),2)</f>
        <v>0</v>
      </c>
      <c r="AK291" s="2">
        <f>ROUND(SUMIF(AA279:AA289,"=56440881",X279:X289),2)</f>
        <v>108737.49</v>
      </c>
      <c r="AL291" s="2">
        <f>ROUND(SUMIF(AA279:AA289,"=56440881",Y279:Y289),2)</f>
        <v>15533.93</v>
      </c>
      <c r="AM291" s="2"/>
      <c r="AN291" s="2"/>
      <c r="AO291" s="2">
        <f t="shared" ref="AO291:BD291" si="267">ROUND(BX291,2)</f>
        <v>0</v>
      </c>
      <c r="AP291" s="2">
        <f t="shared" si="267"/>
        <v>0</v>
      </c>
      <c r="AQ291" s="2">
        <f t="shared" si="267"/>
        <v>0</v>
      </c>
      <c r="AR291" s="2">
        <f t="shared" si="267"/>
        <v>580973.92000000004</v>
      </c>
      <c r="AS291" s="2">
        <f t="shared" si="267"/>
        <v>0</v>
      </c>
      <c r="AT291" s="2">
        <f t="shared" si="267"/>
        <v>0</v>
      </c>
      <c r="AU291" s="2">
        <f t="shared" si="267"/>
        <v>580973.92000000004</v>
      </c>
      <c r="AV291" s="2">
        <f t="shared" si="267"/>
        <v>178804.27</v>
      </c>
      <c r="AW291" s="2">
        <f t="shared" si="267"/>
        <v>178804.27</v>
      </c>
      <c r="AX291" s="2">
        <f t="shared" si="267"/>
        <v>0</v>
      </c>
      <c r="AY291" s="2">
        <f t="shared" si="267"/>
        <v>178804.27</v>
      </c>
      <c r="AZ291" s="2">
        <f t="shared" si="267"/>
        <v>0</v>
      </c>
      <c r="BA291" s="2">
        <f t="shared" si="267"/>
        <v>0</v>
      </c>
      <c r="BB291" s="2">
        <f t="shared" si="267"/>
        <v>0</v>
      </c>
      <c r="BC291" s="2">
        <f t="shared" si="267"/>
        <v>0</v>
      </c>
      <c r="BD291" s="2">
        <f t="shared" si="267"/>
        <v>0</v>
      </c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>
        <f>ROUND(SUMIF(AA279:AA289,"=56440881",FQ279:FQ289),2)</f>
        <v>0</v>
      </c>
      <c r="BY291" s="2">
        <f>ROUND(SUMIF(AA279:AA289,"=56440881",FR279:FR289),2)</f>
        <v>0</v>
      </c>
      <c r="BZ291" s="2">
        <f>ROUND(SUMIF(AA279:AA289,"=56440881",GL279:GL289),2)</f>
        <v>0</v>
      </c>
      <c r="CA291" s="2">
        <f>ROUND(SUMIF(AA279:AA289,"=56440881",GM279:GM289),2)</f>
        <v>580973.92000000004</v>
      </c>
      <c r="CB291" s="2">
        <f>ROUND(SUMIF(AA279:AA289,"=56440881",GN279:GN289),2)</f>
        <v>0</v>
      </c>
      <c r="CC291" s="2">
        <f>ROUND(SUMIF(AA279:AA289,"=56440881",GO279:GO289),2)</f>
        <v>0</v>
      </c>
      <c r="CD291" s="2">
        <f>ROUND(SUMIF(AA279:AA289,"=56440881",GP279:GP289),2)</f>
        <v>580973.92000000004</v>
      </c>
      <c r="CE291" s="2">
        <f>AC291-BX291</f>
        <v>178804.27</v>
      </c>
      <c r="CF291" s="2">
        <f>AC291-BY291</f>
        <v>178804.27</v>
      </c>
      <c r="CG291" s="2">
        <f>BX291-BZ291</f>
        <v>0</v>
      </c>
      <c r="CH291" s="2">
        <f>AC291-BX291-BY291+BZ291</f>
        <v>178804.27</v>
      </c>
      <c r="CI291" s="2">
        <f>BY291-BZ291</f>
        <v>0</v>
      </c>
      <c r="CJ291" s="2">
        <f>ROUND(SUMIF(AA279:AA289,"=56440881",GX279:GX289),2)</f>
        <v>0</v>
      </c>
      <c r="CK291" s="2">
        <f>ROUND(SUMIF(AA279:AA289,"=56440881",GY279:GY289),2)</f>
        <v>0</v>
      </c>
      <c r="CL291" s="2">
        <f>ROUND(SUMIF(AA279:AA289,"=56440881",GZ279:GZ289),2)</f>
        <v>0</v>
      </c>
      <c r="CM291" s="2">
        <f>ROUND(SUMIF(AA279:AA289,"=56440881",HD279:HD289),2)</f>
        <v>0</v>
      </c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>
        <v>0</v>
      </c>
    </row>
    <row r="293" spans="1:245" x14ac:dyDescent="0.2">
      <c r="A293" s="4">
        <v>50</v>
      </c>
      <c r="B293" s="4">
        <v>0</v>
      </c>
      <c r="C293" s="4">
        <v>0</v>
      </c>
      <c r="D293" s="4">
        <v>1</v>
      </c>
      <c r="E293" s="4">
        <v>201</v>
      </c>
      <c r="F293" s="4">
        <f>ROUND(Source!O291,O293)</f>
        <v>456168.26</v>
      </c>
      <c r="G293" s="4" t="s">
        <v>50</v>
      </c>
      <c r="H293" s="4" t="s">
        <v>51</v>
      </c>
      <c r="I293" s="4"/>
      <c r="J293" s="4"/>
      <c r="K293" s="4">
        <v>-201</v>
      </c>
      <c r="L293" s="4">
        <v>1</v>
      </c>
      <c r="M293" s="4">
        <v>3</v>
      </c>
      <c r="N293" s="4" t="s">
        <v>3</v>
      </c>
      <c r="O293" s="4">
        <v>2</v>
      </c>
      <c r="P293" s="4"/>
      <c r="Q293" s="4"/>
      <c r="R293" s="4"/>
      <c r="S293" s="4"/>
      <c r="T293" s="4"/>
      <c r="U293" s="4"/>
      <c r="V293" s="4"/>
      <c r="W293" s="4"/>
    </row>
    <row r="294" spans="1:245" x14ac:dyDescent="0.2">
      <c r="A294" s="4">
        <v>50</v>
      </c>
      <c r="B294" s="4">
        <v>0</v>
      </c>
      <c r="C294" s="4">
        <v>0</v>
      </c>
      <c r="D294" s="4">
        <v>1</v>
      </c>
      <c r="E294" s="4">
        <v>202</v>
      </c>
      <c r="F294" s="4">
        <f>ROUND(Source!P291,O294)</f>
        <v>178804.27</v>
      </c>
      <c r="G294" s="4" t="s">
        <v>52</v>
      </c>
      <c r="H294" s="4" t="s">
        <v>53</v>
      </c>
      <c r="I294" s="4"/>
      <c r="J294" s="4"/>
      <c r="K294" s="4">
        <v>-202</v>
      </c>
      <c r="L294" s="4">
        <v>2</v>
      </c>
      <c r="M294" s="4">
        <v>3</v>
      </c>
      <c r="N294" s="4" t="s">
        <v>3</v>
      </c>
      <c r="O294" s="4">
        <v>2</v>
      </c>
      <c r="P294" s="4"/>
      <c r="Q294" s="4"/>
      <c r="R294" s="4"/>
      <c r="S294" s="4"/>
      <c r="T294" s="4"/>
      <c r="U294" s="4"/>
      <c r="V294" s="4"/>
      <c r="W294" s="4"/>
    </row>
    <row r="295" spans="1:245" x14ac:dyDescent="0.2">
      <c r="A295" s="4">
        <v>50</v>
      </c>
      <c r="B295" s="4">
        <v>0</v>
      </c>
      <c r="C295" s="4">
        <v>0</v>
      </c>
      <c r="D295" s="4">
        <v>1</v>
      </c>
      <c r="E295" s="4">
        <v>222</v>
      </c>
      <c r="F295" s="4">
        <f>ROUND(Source!AO291,O295)</f>
        <v>0</v>
      </c>
      <c r="G295" s="4" t="s">
        <v>54</v>
      </c>
      <c r="H295" s="4" t="s">
        <v>55</v>
      </c>
      <c r="I295" s="4"/>
      <c r="J295" s="4"/>
      <c r="K295" s="4">
        <v>-222</v>
      </c>
      <c r="L295" s="4">
        <v>3</v>
      </c>
      <c r="M295" s="4">
        <v>3</v>
      </c>
      <c r="N295" s="4" t="s">
        <v>3</v>
      </c>
      <c r="O295" s="4">
        <v>2</v>
      </c>
      <c r="P295" s="4"/>
      <c r="Q295" s="4"/>
      <c r="R295" s="4"/>
      <c r="S295" s="4"/>
      <c r="T295" s="4"/>
      <c r="U295" s="4"/>
      <c r="V295" s="4"/>
      <c r="W295" s="4"/>
    </row>
    <row r="296" spans="1:245" x14ac:dyDescent="0.2">
      <c r="A296" s="4">
        <v>50</v>
      </c>
      <c r="B296" s="4">
        <v>0</v>
      </c>
      <c r="C296" s="4">
        <v>0</v>
      </c>
      <c r="D296" s="4">
        <v>1</v>
      </c>
      <c r="E296" s="4">
        <v>225</v>
      </c>
      <c r="F296" s="4">
        <f>ROUND(Source!AV291,O296)</f>
        <v>178804.27</v>
      </c>
      <c r="G296" s="4" t="s">
        <v>56</v>
      </c>
      <c r="H296" s="4" t="s">
        <v>57</v>
      </c>
      <c r="I296" s="4"/>
      <c r="J296" s="4"/>
      <c r="K296" s="4">
        <v>-225</v>
      </c>
      <c r="L296" s="4">
        <v>4</v>
      </c>
      <c r="M296" s="4">
        <v>3</v>
      </c>
      <c r="N296" s="4" t="s">
        <v>3</v>
      </c>
      <c r="O296" s="4">
        <v>2</v>
      </c>
      <c r="P296" s="4"/>
      <c r="Q296" s="4"/>
      <c r="R296" s="4"/>
      <c r="S296" s="4"/>
      <c r="T296" s="4"/>
      <c r="U296" s="4"/>
      <c r="V296" s="4"/>
      <c r="W296" s="4"/>
    </row>
    <row r="297" spans="1:245" x14ac:dyDescent="0.2">
      <c r="A297" s="4">
        <v>50</v>
      </c>
      <c r="B297" s="4">
        <v>0</v>
      </c>
      <c r="C297" s="4">
        <v>0</v>
      </c>
      <c r="D297" s="4">
        <v>1</v>
      </c>
      <c r="E297" s="4">
        <v>226</v>
      </c>
      <c r="F297" s="4">
        <f>ROUND(Source!AW291,O297)</f>
        <v>178804.27</v>
      </c>
      <c r="G297" s="4" t="s">
        <v>58</v>
      </c>
      <c r="H297" s="4" t="s">
        <v>59</v>
      </c>
      <c r="I297" s="4"/>
      <c r="J297" s="4"/>
      <c r="K297" s="4">
        <v>-226</v>
      </c>
      <c r="L297" s="4">
        <v>5</v>
      </c>
      <c r="M297" s="4">
        <v>3</v>
      </c>
      <c r="N297" s="4" t="s">
        <v>3</v>
      </c>
      <c r="O297" s="4">
        <v>2</v>
      </c>
      <c r="P297" s="4"/>
      <c r="Q297" s="4"/>
      <c r="R297" s="4"/>
      <c r="S297" s="4"/>
      <c r="T297" s="4"/>
      <c r="U297" s="4"/>
      <c r="V297" s="4"/>
      <c r="W297" s="4"/>
    </row>
    <row r="298" spans="1:245" x14ac:dyDescent="0.2">
      <c r="A298" s="4">
        <v>50</v>
      </c>
      <c r="B298" s="4">
        <v>0</v>
      </c>
      <c r="C298" s="4">
        <v>0</v>
      </c>
      <c r="D298" s="4">
        <v>1</v>
      </c>
      <c r="E298" s="4">
        <v>227</v>
      </c>
      <c r="F298" s="4">
        <f>ROUND(Source!AX291,O298)</f>
        <v>0</v>
      </c>
      <c r="G298" s="4" t="s">
        <v>60</v>
      </c>
      <c r="H298" s="4" t="s">
        <v>61</v>
      </c>
      <c r="I298" s="4"/>
      <c r="J298" s="4"/>
      <c r="K298" s="4">
        <v>-227</v>
      </c>
      <c r="L298" s="4">
        <v>6</v>
      </c>
      <c r="M298" s="4">
        <v>3</v>
      </c>
      <c r="N298" s="4" t="s">
        <v>3</v>
      </c>
      <c r="O298" s="4">
        <v>2</v>
      </c>
      <c r="P298" s="4"/>
      <c r="Q298" s="4"/>
      <c r="R298" s="4"/>
      <c r="S298" s="4"/>
      <c r="T298" s="4"/>
      <c r="U298" s="4"/>
      <c r="V298" s="4"/>
      <c r="W298" s="4"/>
    </row>
    <row r="299" spans="1:245" x14ac:dyDescent="0.2">
      <c r="A299" s="4">
        <v>50</v>
      </c>
      <c r="B299" s="4">
        <v>0</v>
      </c>
      <c r="C299" s="4">
        <v>0</v>
      </c>
      <c r="D299" s="4">
        <v>1</v>
      </c>
      <c r="E299" s="4">
        <v>228</v>
      </c>
      <c r="F299" s="4">
        <f>ROUND(Source!AY291,O299)</f>
        <v>178804.27</v>
      </c>
      <c r="G299" s="4" t="s">
        <v>62</v>
      </c>
      <c r="H299" s="4" t="s">
        <v>63</v>
      </c>
      <c r="I299" s="4"/>
      <c r="J299" s="4"/>
      <c r="K299" s="4">
        <v>-228</v>
      </c>
      <c r="L299" s="4">
        <v>7</v>
      </c>
      <c r="M299" s="4">
        <v>3</v>
      </c>
      <c r="N299" s="4" t="s">
        <v>3</v>
      </c>
      <c r="O299" s="4">
        <v>2</v>
      </c>
      <c r="P299" s="4"/>
      <c r="Q299" s="4"/>
      <c r="R299" s="4"/>
      <c r="S299" s="4"/>
      <c r="T299" s="4"/>
      <c r="U299" s="4"/>
      <c r="V299" s="4"/>
      <c r="W299" s="4"/>
    </row>
    <row r="300" spans="1:245" x14ac:dyDescent="0.2">
      <c r="A300" s="4">
        <v>50</v>
      </c>
      <c r="B300" s="4">
        <v>0</v>
      </c>
      <c r="C300" s="4">
        <v>0</v>
      </c>
      <c r="D300" s="4">
        <v>1</v>
      </c>
      <c r="E300" s="4">
        <v>216</v>
      </c>
      <c r="F300" s="4">
        <f>ROUND(Source!AP291,O300)</f>
        <v>0</v>
      </c>
      <c r="G300" s="4" t="s">
        <v>64</v>
      </c>
      <c r="H300" s="4" t="s">
        <v>65</v>
      </c>
      <c r="I300" s="4"/>
      <c r="J300" s="4"/>
      <c r="K300" s="4">
        <v>-216</v>
      </c>
      <c r="L300" s="4">
        <v>8</v>
      </c>
      <c r="M300" s="4">
        <v>3</v>
      </c>
      <c r="N300" s="4" t="s">
        <v>3</v>
      </c>
      <c r="O300" s="4">
        <v>2</v>
      </c>
      <c r="P300" s="4"/>
      <c r="Q300" s="4"/>
      <c r="R300" s="4"/>
      <c r="S300" s="4"/>
      <c r="T300" s="4"/>
      <c r="U300" s="4"/>
      <c r="V300" s="4"/>
      <c r="W300" s="4"/>
    </row>
    <row r="301" spans="1:245" x14ac:dyDescent="0.2">
      <c r="A301" s="4">
        <v>50</v>
      </c>
      <c r="B301" s="4">
        <v>0</v>
      </c>
      <c r="C301" s="4">
        <v>0</v>
      </c>
      <c r="D301" s="4">
        <v>1</v>
      </c>
      <c r="E301" s="4">
        <v>223</v>
      </c>
      <c r="F301" s="4">
        <f>ROUND(Source!AQ291,O301)</f>
        <v>0</v>
      </c>
      <c r="G301" s="4" t="s">
        <v>66</v>
      </c>
      <c r="H301" s="4" t="s">
        <v>67</v>
      </c>
      <c r="I301" s="4"/>
      <c r="J301" s="4"/>
      <c r="K301" s="4">
        <v>-223</v>
      </c>
      <c r="L301" s="4">
        <v>9</v>
      </c>
      <c r="M301" s="4">
        <v>3</v>
      </c>
      <c r="N301" s="4" t="s">
        <v>3</v>
      </c>
      <c r="O301" s="4">
        <v>2</v>
      </c>
      <c r="P301" s="4"/>
      <c r="Q301" s="4"/>
      <c r="R301" s="4"/>
      <c r="S301" s="4"/>
      <c r="T301" s="4"/>
      <c r="U301" s="4"/>
      <c r="V301" s="4"/>
      <c r="W301" s="4"/>
    </row>
    <row r="302" spans="1:245" x14ac:dyDescent="0.2">
      <c r="A302" s="4">
        <v>50</v>
      </c>
      <c r="B302" s="4">
        <v>0</v>
      </c>
      <c r="C302" s="4">
        <v>0</v>
      </c>
      <c r="D302" s="4">
        <v>1</v>
      </c>
      <c r="E302" s="4">
        <v>229</v>
      </c>
      <c r="F302" s="4">
        <f>ROUND(Source!AZ291,O302)</f>
        <v>0</v>
      </c>
      <c r="G302" s="4" t="s">
        <v>68</v>
      </c>
      <c r="H302" s="4" t="s">
        <v>69</v>
      </c>
      <c r="I302" s="4"/>
      <c r="J302" s="4"/>
      <c r="K302" s="4">
        <v>-229</v>
      </c>
      <c r="L302" s="4">
        <v>10</v>
      </c>
      <c r="M302" s="4">
        <v>3</v>
      </c>
      <c r="N302" s="4" t="s">
        <v>3</v>
      </c>
      <c r="O302" s="4">
        <v>2</v>
      </c>
      <c r="P302" s="4"/>
      <c r="Q302" s="4"/>
      <c r="R302" s="4"/>
      <c r="S302" s="4"/>
      <c r="T302" s="4"/>
      <c r="U302" s="4"/>
      <c r="V302" s="4"/>
      <c r="W302" s="4"/>
    </row>
    <row r="303" spans="1:245" x14ac:dyDescent="0.2">
      <c r="A303" s="4">
        <v>50</v>
      </c>
      <c r="B303" s="4">
        <v>0</v>
      </c>
      <c r="C303" s="4">
        <v>0</v>
      </c>
      <c r="D303" s="4">
        <v>1</v>
      </c>
      <c r="E303" s="4">
        <v>203</v>
      </c>
      <c r="F303" s="4">
        <f>ROUND(Source!Q291,O303)</f>
        <v>122024.73</v>
      </c>
      <c r="G303" s="4" t="s">
        <v>70</v>
      </c>
      <c r="H303" s="4" t="s">
        <v>71</v>
      </c>
      <c r="I303" s="4"/>
      <c r="J303" s="4"/>
      <c r="K303" s="4">
        <v>-203</v>
      </c>
      <c r="L303" s="4">
        <v>11</v>
      </c>
      <c r="M303" s="4">
        <v>3</v>
      </c>
      <c r="N303" s="4" t="s">
        <v>3</v>
      </c>
      <c r="O303" s="4">
        <v>2</v>
      </c>
      <c r="P303" s="4"/>
      <c r="Q303" s="4"/>
      <c r="R303" s="4"/>
      <c r="S303" s="4"/>
      <c r="T303" s="4"/>
      <c r="U303" s="4"/>
      <c r="V303" s="4"/>
      <c r="W303" s="4"/>
    </row>
    <row r="304" spans="1:245" x14ac:dyDescent="0.2">
      <c r="A304" s="4">
        <v>50</v>
      </c>
      <c r="B304" s="4">
        <v>0</v>
      </c>
      <c r="C304" s="4">
        <v>0</v>
      </c>
      <c r="D304" s="4">
        <v>1</v>
      </c>
      <c r="E304" s="4">
        <v>231</v>
      </c>
      <c r="F304" s="4">
        <f>ROUND(Source!BB291,O304)</f>
        <v>0</v>
      </c>
      <c r="G304" s="4" t="s">
        <v>72</v>
      </c>
      <c r="H304" s="4" t="s">
        <v>73</v>
      </c>
      <c r="I304" s="4"/>
      <c r="J304" s="4"/>
      <c r="K304" s="4">
        <v>-231</v>
      </c>
      <c r="L304" s="4">
        <v>12</v>
      </c>
      <c r="M304" s="4">
        <v>3</v>
      </c>
      <c r="N304" s="4" t="s">
        <v>3</v>
      </c>
      <c r="O304" s="4">
        <v>2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2">
      <c r="A305" s="4">
        <v>50</v>
      </c>
      <c r="B305" s="4">
        <v>0</v>
      </c>
      <c r="C305" s="4">
        <v>0</v>
      </c>
      <c r="D305" s="4">
        <v>1</v>
      </c>
      <c r="E305" s="4">
        <v>204</v>
      </c>
      <c r="F305" s="4">
        <f>ROUND(Source!R291,O305)</f>
        <v>72297.7</v>
      </c>
      <c r="G305" s="4" t="s">
        <v>74</v>
      </c>
      <c r="H305" s="4" t="s">
        <v>75</v>
      </c>
      <c r="I305" s="4"/>
      <c r="J305" s="4"/>
      <c r="K305" s="4">
        <v>-204</v>
      </c>
      <c r="L305" s="4">
        <v>13</v>
      </c>
      <c r="M305" s="4">
        <v>3</v>
      </c>
      <c r="N305" s="4" t="s">
        <v>3</v>
      </c>
      <c r="O305" s="4">
        <v>2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2">
      <c r="A306" s="4">
        <v>50</v>
      </c>
      <c r="B306" s="4">
        <v>0</v>
      </c>
      <c r="C306" s="4">
        <v>0</v>
      </c>
      <c r="D306" s="4">
        <v>1</v>
      </c>
      <c r="E306" s="4">
        <v>205</v>
      </c>
      <c r="F306" s="4">
        <f>ROUND(Source!S291,O306)</f>
        <v>155339.26</v>
      </c>
      <c r="G306" s="4" t="s">
        <v>76</v>
      </c>
      <c r="H306" s="4" t="s">
        <v>77</v>
      </c>
      <c r="I306" s="4"/>
      <c r="J306" s="4"/>
      <c r="K306" s="4">
        <v>-205</v>
      </c>
      <c r="L306" s="4">
        <v>14</v>
      </c>
      <c r="M306" s="4">
        <v>3</v>
      </c>
      <c r="N306" s="4" t="s">
        <v>3</v>
      </c>
      <c r="O306" s="4">
        <v>2</v>
      </c>
      <c r="P306" s="4"/>
      <c r="Q306" s="4"/>
      <c r="R306" s="4"/>
      <c r="S306" s="4"/>
      <c r="T306" s="4"/>
      <c r="U306" s="4"/>
      <c r="V306" s="4"/>
      <c r="W306" s="4"/>
    </row>
    <row r="307" spans="1:23" x14ac:dyDescent="0.2">
      <c r="A307" s="4">
        <v>50</v>
      </c>
      <c r="B307" s="4">
        <v>0</v>
      </c>
      <c r="C307" s="4">
        <v>0</v>
      </c>
      <c r="D307" s="4">
        <v>1</v>
      </c>
      <c r="E307" s="4">
        <v>232</v>
      </c>
      <c r="F307" s="4">
        <f>ROUND(Source!BC291,O307)</f>
        <v>0</v>
      </c>
      <c r="G307" s="4" t="s">
        <v>78</v>
      </c>
      <c r="H307" s="4" t="s">
        <v>79</v>
      </c>
      <c r="I307" s="4"/>
      <c r="J307" s="4"/>
      <c r="K307" s="4">
        <v>-232</v>
      </c>
      <c r="L307" s="4">
        <v>15</v>
      </c>
      <c r="M307" s="4">
        <v>3</v>
      </c>
      <c r="N307" s="4" t="s">
        <v>3</v>
      </c>
      <c r="O307" s="4">
        <v>2</v>
      </c>
      <c r="P307" s="4"/>
      <c r="Q307" s="4"/>
      <c r="R307" s="4"/>
      <c r="S307" s="4"/>
      <c r="T307" s="4"/>
      <c r="U307" s="4"/>
      <c r="V307" s="4"/>
      <c r="W307" s="4"/>
    </row>
    <row r="308" spans="1:23" x14ac:dyDescent="0.2">
      <c r="A308" s="4">
        <v>50</v>
      </c>
      <c r="B308" s="4">
        <v>0</v>
      </c>
      <c r="C308" s="4">
        <v>0</v>
      </c>
      <c r="D308" s="4">
        <v>1</v>
      </c>
      <c r="E308" s="4">
        <v>214</v>
      </c>
      <c r="F308" s="4">
        <f>ROUND(Source!AS291,O308)</f>
        <v>0</v>
      </c>
      <c r="G308" s="4" t="s">
        <v>80</v>
      </c>
      <c r="H308" s="4" t="s">
        <v>81</v>
      </c>
      <c r="I308" s="4"/>
      <c r="J308" s="4"/>
      <c r="K308" s="4">
        <v>-214</v>
      </c>
      <c r="L308" s="4">
        <v>16</v>
      </c>
      <c r="M308" s="4">
        <v>3</v>
      </c>
      <c r="N308" s="4" t="s">
        <v>3</v>
      </c>
      <c r="O308" s="4">
        <v>2</v>
      </c>
      <c r="P308" s="4"/>
      <c r="Q308" s="4"/>
      <c r="R308" s="4"/>
      <c r="S308" s="4"/>
      <c r="T308" s="4"/>
      <c r="U308" s="4"/>
      <c r="V308" s="4"/>
      <c r="W308" s="4"/>
    </row>
    <row r="309" spans="1:23" x14ac:dyDescent="0.2">
      <c r="A309" s="4">
        <v>50</v>
      </c>
      <c r="B309" s="4">
        <v>0</v>
      </c>
      <c r="C309" s="4">
        <v>0</v>
      </c>
      <c r="D309" s="4">
        <v>1</v>
      </c>
      <c r="E309" s="4">
        <v>215</v>
      </c>
      <c r="F309" s="4">
        <f>ROUND(Source!AT291,O309)</f>
        <v>0</v>
      </c>
      <c r="G309" s="4" t="s">
        <v>82</v>
      </c>
      <c r="H309" s="4" t="s">
        <v>83</v>
      </c>
      <c r="I309" s="4"/>
      <c r="J309" s="4"/>
      <c r="K309" s="4">
        <v>-215</v>
      </c>
      <c r="L309" s="4">
        <v>17</v>
      </c>
      <c r="M309" s="4">
        <v>3</v>
      </c>
      <c r="N309" s="4" t="s">
        <v>3</v>
      </c>
      <c r="O309" s="4">
        <v>2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2">
      <c r="A310" s="4">
        <v>50</v>
      </c>
      <c r="B310" s="4">
        <v>0</v>
      </c>
      <c r="C310" s="4">
        <v>0</v>
      </c>
      <c r="D310" s="4">
        <v>1</v>
      </c>
      <c r="E310" s="4">
        <v>217</v>
      </c>
      <c r="F310" s="4">
        <f>ROUND(Source!AU291,O310)</f>
        <v>580973.92000000004</v>
      </c>
      <c r="G310" s="4" t="s">
        <v>84</v>
      </c>
      <c r="H310" s="4" t="s">
        <v>85</v>
      </c>
      <c r="I310" s="4"/>
      <c r="J310" s="4"/>
      <c r="K310" s="4">
        <v>-217</v>
      </c>
      <c r="L310" s="4">
        <v>18</v>
      </c>
      <c r="M310" s="4">
        <v>3</v>
      </c>
      <c r="N310" s="4" t="s">
        <v>3</v>
      </c>
      <c r="O310" s="4">
        <v>2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2">
      <c r="A311" s="4">
        <v>50</v>
      </c>
      <c r="B311" s="4">
        <v>0</v>
      </c>
      <c r="C311" s="4">
        <v>0</v>
      </c>
      <c r="D311" s="4">
        <v>1</v>
      </c>
      <c r="E311" s="4">
        <v>230</v>
      </c>
      <c r="F311" s="4">
        <f>ROUND(Source!BA291,O311)</f>
        <v>0</v>
      </c>
      <c r="G311" s="4" t="s">
        <v>86</v>
      </c>
      <c r="H311" s="4" t="s">
        <v>87</v>
      </c>
      <c r="I311" s="4"/>
      <c r="J311" s="4"/>
      <c r="K311" s="4">
        <v>-230</v>
      </c>
      <c r="L311" s="4">
        <v>19</v>
      </c>
      <c r="M311" s="4">
        <v>3</v>
      </c>
      <c r="N311" s="4" t="s">
        <v>3</v>
      </c>
      <c r="O311" s="4">
        <v>2</v>
      </c>
      <c r="P311" s="4"/>
      <c r="Q311" s="4"/>
      <c r="R311" s="4"/>
      <c r="S311" s="4"/>
      <c r="T311" s="4"/>
      <c r="U311" s="4"/>
      <c r="V311" s="4"/>
      <c r="W311" s="4"/>
    </row>
    <row r="312" spans="1:23" x14ac:dyDescent="0.2">
      <c r="A312" s="4">
        <v>50</v>
      </c>
      <c r="B312" s="4">
        <v>0</v>
      </c>
      <c r="C312" s="4">
        <v>0</v>
      </c>
      <c r="D312" s="4">
        <v>1</v>
      </c>
      <c r="E312" s="4">
        <v>206</v>
      </c>
      <c r="F312" s="4">
        <f>ROUND(Source!T291,O312)</f>
        <v>0</v>
      </c>
      <c r="G312" s="4" t="s">
        <v>88</v>
      </c>
      <c r="H312" s="4" t="s">
        <v>89</v>
      </c>
      <c r="I312" s="4"/>
      <c r="J312" s="4"/>
      <c r="K312" s="4">
        <v>-206</v>
      </c>
      <c r="L312" s="4">
        <v>20</v>
      </c>
      <c r="M312" s="4">
        <v>3</v>
      </c>
      <c r="N312" s="4" t="s">
        <v>3</v>
      </c>
      <c r="O312" s="4">
        <v>2</v>
      </c>
      <c r="P312" s="4"/>
      <c r="Q312" s="4"/>
      <c r="R312" s="4"/>
      <c r="S312" s="4"/>
      <c r="T312" s="4"/>
      <c r="U312" s="4"/>
      <c r="V312" s="4"/>
      <c r="W312" s="4"/>
    </row>
    <row r="313" spans="1:23" x14ac:dyDescent="0.2">
      <c r="A313" s="4">
        <v>50</v>
      </c>
      <c r="B313" s="4">
        <v>0</v>
      </c>
      <c r="C313" s="4">
        <v>0</v>
      </c>
      <c r="D313" s="4">
        <v>1</v>
      </c>
      <c r="E313" s="4">
        <v>207</v>
      </c>
      <c r="F313" s="4">
        <f>Source!U291</f>
        <v>805.86525000000006</v>
      </c>
      <c r="G313" s="4" t="s">
        <v>90</v>
      </c>
      <c r="H313" s="4" t="s">
        <v>91</v>
      </c>
      <c r="I313" s="4"/>
      <c r="J313" s="4"/>
      <c r="K313" s="4">
        <v>-207</v>
      </c>
      <c r="L313" s="4">
        <v>21</v>
      </c>
      <c r="M313" s="4">
        <v>3</v>
      </c>
      <c r="N313" s="4" t="s">
        <v>3</v>
      </c>
      <c r="O313" s="4">
        <v>-1</v>
      </c>
      <c r="P313" s="4"/>
      <c r="Q313" s="4"/>
      <c r="R313" s="4"/>
      <c r="S313" s="4"/>
      <c r="T313" s="4"/>
      <c r="U313" s="4"/>
      <c r="V313" s="4"/>
      <c r="W313" s="4"/>
    </row>
    <row r="314" spans="1:23" x14ac:dyDescent="0.2">
      <c r="A314" s="4">
        <v>50</v>
      </c>
      <c r="B314" s="4">
        <v>0</v>
      </c>
      <c r="C314" s="4">
        <v>0</v>
      </c>
      <c r="D314" s="4">
        <v>1</v>
      </c>
      <c r="E314" s="4">
        <v>208</v>
      </c>
      <c r="F314" s="4">
        <f>Source!V291</f>
        <v>0</v>
      </c>
      <c r="G314" s="4" t="s">
        <v>92</v>
      </c>
      <c r="H314" s="4" t="s">
        <v>93</v>
      </c>
      <c r="I314" s="4"/>
      <c r="J314" s="4"/>
      <c r="K314" s="4">
        <v>-208</v>
      </c>
      <c r="L314" s="4">
        <v>22</v>
      </c>
      <c r="M314" s="4">
        <v>3</v>
      </c>
      <c r="N314" s="4" t="s">
        <v>3</v>
      </c>
      <c r="O314" s="4">
        <v>-1</v>
      </c>
      <c r="P314" s="4"/>
      <c r="Q314" s="4"/>
      <c r="R314" s="4"/>
      <c r="S314" s="4"/>
      <c r="T314" s="4"/>
      <c r="U314" s="4"/>
      <c r="V314" s="4"/>
      <c r="W314" s="4"/>
    </row>
    <row r="315" spans="1:23" x14ac:dyDescent="0.2">
      <c r="A315" s="4">
        <v>50</v>
      </c>
      <c r="B315" s="4">
        <v>0</v>
      </c>
      <c r="C315" s="4">
        <v>0</v>
      </c>
      <c r="D315" s="4">
        <v>1</v>
      </c>
      <c r="E315" s="4">
        <v>209</v>
      </c>
      <c r="F315" s="4">
        <f>ROUND(Source!W291,O315)</f>
        <v>0</v>
      </c>
      <c r="G315" s="4" t="s">
        <v>94</v>
      </c>
      <c r="H315" s="4" t="s">
        <v>95</v>
      </c>
      <c r="I315" s="4"/>
      <c r="J315" s="4"/>
      <c r="K315" s="4">
        <v>-209</v>
      </c>
      <c r="L315" s="4">
        <v>23</v>
      </c>
      <c r="M315" s="4">
        <v>3</v>
      </c>
      <c r="N315" s="4" t="s">
        <v>3</v>
      </c>
      <c r="O315" s="4">
        <v>2</v>
      </c>
      <c r="P315" s="4"/>
      <c r="Q315" s="4"/>
      <c r="R315" s="4"/>
      <c r="S315" s="4"/>
      <c r="T315" s="4"/>
      <c r="U315" s="4"/>
      <c r="V315" s="4"/>
      <c r="W315" s="4"/>
    </row>
    <row r="316" spans="1:23" x14ac:dyDescent="0.2">
      <c r="A316" s="4">
        <v>50</v>
      </c>
      <c r="B316" s="4">
        <v>0</v>
      </c>
      <c r="C316" s="4">
        <v>0</v>
      </c>
      <c r="D316" s="4">
        <v>1</v>
      </c>
      <c r="E316" s="4">
        <v>233</v>
      </c>
      <c r="F316" s="4">
        <f>ROUND(Source!BD291,O316)</f>
        <v>0</v>
      </c>
      <c r="G316" s="4" t="s">
        <v>96</v>
      </c>
      <c r="H316" s="4" t="s">
        <v>97</v>
      </c>
      <c r="I316" s="4"/>
      <c r="J316" s="4"/>
      <c r="K316" s="4">
        <v>-233</v>
      </c>
      <c r="L316" s="4">
        <v>24</v>
      </c>
      <c r="M316" s="4">
        <v>3</v>
      </c>
      <c r="N316" s="4" t="s">
        <v>3</v>
      </c>
      <c r="O316" s="4">
        <v>2</v>
      </c>
      <c r="P316" s="4"/>
      <c r="Q316" s="4"/>
      <c r="R316" s="4"/>
      <c r="S316" s="4"/>
      <c r="T316" s="4"/>
      <c r="U316" s="4"/>
      <c r="V316" s="4"/>
      <c r="W316" s="4"/>
    </row>
    <row r="317" spans="1:23" x14ac:dyDescent="0.2">
      <c r="A317" s="4">
        <v>50</v>
      </c>
      <c r="B317" s="4">
        <v>0</v>
      </c>
      <c r="C317" s="4">
        <v>0</v>
      </c>
      <c r="D317" s="4">
        <v>1</v>
      </c>
      <c r="E317" s="4">
        <v>210</v>
      </c>
      <c r="F317" s="4">
        <f>ROUND(Source!X291,O317)</f>
        <v>108737.49</v>
      </c>
      <c r="G317" s="4" t="s">
        <v>98</v>
      </c>
      <c r="H317" s="4" t="s">
        <v>99</v>
      </c>
      <c r="I317" s="4"/>
      <c r="J317" s="4"/>
      <c r="K317" s="4">
        <v>-210</v>
      </c>
      <c r="L317" s="4">
        <v>25</v>
      </c>
      <c r="M317" s="4">
        <v>3</v>
      </c>
      <c r="N317" s="4" t="s">
        <v>3</v>
      </c>
      <c r="O317" s="4">
        <v>2</v>
      </c>
      <c r="P317" s="4"/>
      <c r="Q317" s="4"/>
      <c r="R317" s="4"/>
      <c r="S317" s="4"/>
      <c r="T317" s="4"/>
      <c r="U317" s="4"/>
      <c r="V317" s="4"/>
      <c r="W317" s="4"/>
    </row>
    <row r="318" spans="1:23" x14ac:dyDescent="0.2">
      <c r="A318" s="4">
        <v>50</v>
      </c>
      <c r="B318" s="4">
        <v>0</v>
      </c>
      <c r="C318" s="4">
        <v>0</v>
      </c>
      <c r="D318" s="4">
        <v>1</v>
      </c>
      <c r="E318" s="4">
        <v>211</v>
      </c>
      <c r="F318" s="4">
        <f>ROUND(Source!Y291,O318)</f>
        <v>15533.93</v>
      </c>
      <c r="G318" s="4" t="s">
        <v>100</v>
      </c>
      <c r="H318" s="4" t="s">
        <v>101</v>
      </c>
      <c r="I318" s="4"/>
      <c r="J318" s="4"/>
      <c r="K318" s="4">
        <v>-211</v>
      </c>
      <c r="L318" s="4">
        <v>26</v>
      </c>
      <c r="M318" s="4">
        <v>3</v>
      </c>
      <c r="N318" s="4" t="s">
        <v>3</v>
      </c>
      <c r="O318" s="4">
        <v>2</v>
      </c>
      <c r="P318" s="4"/>
      <c r="Q318" s="4"/>
      <c r="R318" s="4"/>
      <c r="S318" s="4"/>
      <c r="T318" s="4"/>
      <c r="U318" s="4"/>
      <c r="V318" s="4"/>
      <c r="W318" s="4"/>
    </row>
    <row r="319" spans="1:23" x14ac:dyDescent="0.2">
      <c r="A319" s="4">
        <v>50</v>
      </c>
      <c r="B319" s="4">
        <v>0</v>
      </c>
      <c r="C319" s="4">
        <v>0</v>
      </c>
      <c r="D319" s="4">
        <v>1</v>
      </c>
      <c r="E319" s="4">
        <v>224</v>
      </c>
      <c r="F319" s="4">
        <f>ROUND(Source!AR291,O319)</f>
        <v>580973.92000000004</v>
      </c>
      <c r="G319" s="4" t="s">
        <v>102</v>
      </c>
      <c r="H319" s="4" t="s">
        <v>103</v>
      </c>
      <c r="I319" s="4"/>
      <c r="J319" s="4"/>
      <c r="K319" s="4">
        <v>-224</v>
      </c>
      <c r="L319" s="4">
        <v>27</v>
      </c>
      <c r="M319" s="4">
        <v>3</v>
      </c>
      <c r="N319" s="4" t="s">
        <v>3</v>
      </c>
      <c r="O319" s="4">
        <v>2</v>
      </c>
      <c r="P319" s="4"/>
      <c r="Q319" s="4"/>
      <c r="R319" s="4"/>
      <c r="S319" s="4"/>
      <c r="T319" s="4"/>
      <c r="U319" s="4"/>
      <c r="V319" s="4"/>
      <c r="W319" s="4"/>
    </row>
    <row r="321" spans="1:245" x14ac:dyDescent="0.2">
      <c r="A321" s="1">
        <v>4</v>
      </c>
      <c r="B321" s="1">
        <v>1</v>
      </c>
      <c r="C321" s="1"/>
      <c r="D321" s="1">
        <f>ROW(A337)</f>
        <v>337</v>
      </c>
      <c r="E321" s="1"/>
      <c r="F321" s="1" t="s">
        <v>13</v>
      </c>
      <c r="G321" s="1" t="s">
        <v>245</v>
      </c>
      <c r="H321" s="1" t="s">
        <v>3</v>
      </c>
      <c r="I321" s="1">
        <v>0</v>
      </c>
      <c r="J321" s="1"/>
      <c r="K321" s="1">
        <v>-1</v>
      </c>
      <c r="L321" s="1"/>
      <c r="M321" s="1" t="s">
        <v>3</v>
      </c>
      <c r="N321" s="1"/>
      <c r="O321" s="1"/>
      <c r="P321" s="1"/>
      <c r="Q321" s="1"/>
      <c r="R321" s="1"/>
      <c r="S321" s="1">
        <v>0</v>
      </c>
      <c r="T321" s="1"/>
      <c r="U321" s="1" t="s">
        <v>3</v>
      </c>
      <c r="V321" s="1">
        <v>7</v>
      </c>
      <c r="W321" s="1"/>
      <c r="X321" s="1"/>
      <c r="Y321" s="1"/>
      <c r="Z321" s="1"/>
      <c r="AA321" s="1"/>
      <c r="AB321" s="1" t="s">
        <v>3</v>
      </c>
      <c r="AC321" s="1" t="s">
        <v>3</v>
      </c>
      <c r="AD321" s="1" t="s">
        <v>3</v>
      </c>
      <c r="AE321" s="1" t="s">
        <v>3</v>
      </c>
      <c r="AF321" s="1" t="s">
        <v>3</v>
      </c>
      <c r="AG321" s="1" t="s">
        <v>3</v>
      </c>
      <c r="AH321" s="1"/>
      <c r="AI321" s="1"/>
      <c r="AJ321" s="1"/>
      <c r="AK321" s="1"/>
      <c r="AL321" s="1"/>
      <c r="AM321" s="1"/>
      <c r="AN321" s="1"/>
      <c r="AO321" s="1"/>
      <c r="AP321" s="1" t="s">
        <v>3</v>
      </c>
      <c r="AQ321" s="1" t="s">
        <v>3</v>
      </c>
      <c r="AR321" s="1" t="s">
        <v>3</v>
      </c>
      <c r="AS321" s="1"/>
      <c r="AT321" s="1"/>
      <c r="AU321" s="1"/>
      <c r="AV321" s="1"/>
      <c r="AW321" s="1"/>
      <c r="AX321" s="1"/>
      <c r="AY321" s="1"/>
      <c r="AZ321" s="1" t="s">
        <v>3</v>
      </c>
      <c r="BA321" s="1"/>
      <c r="BB321" s="1" t="s">
        <v>3</v>
      </c>
      <c r="BC321" s="1" t="s">
        <v>3</v>
      </c>
      <c r="BD321" s="1" t="s">
        <v>3</v>
      </c>
      <c r="BE321" s="1" t="s">
        <v>3</v>
      </c>
      <c r="BF321" s="1" t="s">
        <v>3</v>
      </c>
      <c r="BG321" s="1" t="s">
        <v>3</v>
      </c>
      <c r="BH321" s="1" t="s">
        <v>3</v>
      </c>
      <c r="BI321" s="1" t="s">
        <v>3</v>
      </c>
      <c r="BJ321" s="1" t="s">
        <v>3</v>
      </c>
      <c r="BK321" s="1" t="s">
        <v>3</v>
      </c>
      <c r="BL321" s="1" t="s">
        <v>3</v>
      </c>
      <c r="BM321" s="1" t="s">
        <v>3</v>
      </c>
      <c r="BN321" s="1" t="s">
        <v>3</v>
      </c>
      <c r="BO321" s="1" t="s">
        <v>3</v>
      </c>
      <c r="BP321" s="1" t="s">
        <v>3</v>
      </c>
      <c r="BQ321" s="1"/>
      <c r="BR321" s="1"/>
      <c r="BS321" s="1"/>
      <c r="BT321" s="1"/>
      <c r="BU321" s="1"/>
      <c r="BV321" s="1"/>
      <c r="BW321" s="1"/>
      <c r="BX321" s="1">
        <v>0</v>
      </c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>
        <v>0</v>
      </c>
    </row>
    <row r="323" spans="1:245" x14ac:dyDescent="0.2">
      <c r="A323" s="2">
        <v>52</v>
      </c>
      <c r="B323" s="2">
        <f t="shared" ref="B323:G323" si="268">B337</f>
        <v>1</v>
      </c>
      <c r="C323" s="2">
        <f t="shared" si="268"/>
        <v>4</v>
      </c>
      <c r="D323" s="2">
        <f t="shared" si="268"/>
        <v>321</v>
      </c>
      <c r="E323" s="2">
        <f t="shared" si="268"/>
        <v>0</v>
      </c>
      <c r="F323" s="2" t="str">
        <f t="shared" si="268"/>
        <v>Новый раздел</v>
      </c>
      <c r="G323" s="2" t="str">
        <f t="shared" si="268"/>
        <v>Замена бортовых камней бетонных Бр 100.30.15 (265 мп)</v>
      </c>
      <c r="H323" s="2"/>
      <c r="I323" s="2"/>
      <c r="J323" s="2"/>
      <c r="K323" s="2"/>
      <c r="L323" s="2"/>
      <c r="M323" s="2"/>
      <c r="N323" s="2"/>
      <c r="O323" s="2">
        <f t="shared" ref="O323:AT323" si="269">O337</f>
        <v>332779.45</v>
      </c>
      <c r="P323" s="2">
        <f t="shared" si="269"/>
        <v>145180.26999999999</v>
      </c>
      <c r="Q323" s="2">
        <f t="shared" si="269"/>
        <v>151991.13</v>
      </c>
      <c r="R323" s="2">
        <f t="shared" si="269"/>
        <v>88323.33</v>
      </c>
      <c r="S323" s="2">
        <f t="shared" si="269"/>
        <v>35608.050000000003</v>
      </c>
      <c r="T323" s="2">
        <f t="shared" si="269"/>
        <v>0</v>
      </c>
      <c r="U323" s="2">
        <f t="shared" si="269"/>
        <v>174.9</v>
      </c>
      <c r="V323" s="2">
        <f t="shared" si="269"/>
        <v>0</v>
      </c>
      <c r="W323" s="2">
        <f t="shared" si="269"/>
        <v>0</v>
      </c>
      <c r="X323" s="2">
        <f t="shared" si="269"/>
        <v>24925.64</v>
      </c>
      <c r="Y323" s="2">
        <f t="shared" si="269"/>
        <v>3560.81</v>
      </c>
      <c r="Z323" s="2">
        <f t="shared" si="269"/>
        <v>0</v>
      </c>
      <c r="AA323" s="2">
        <f t="shared" si="269"/>
        <v>0</v>
      </c>
      <c r="AB323" s="2">
        <f t="shared" si="269"/>
        <v>332779.45</v>
      </c>
      <c r="AC323" s="2">
        <f t="shared" si="269"/>
        <v>145180.26999999999</v>
      </c>
      <c r="AD323" s="2">
        <f t="shared" si="269"/>
        <v>151991.13</v>
      </c>
      <c r="AE323" s="2">
        <f t="shared" si="269"/>
        <v>88323.33</v>
      </c>
      <c r="AF323" s="2">
        <f t="shared" si="269"/>
        <v>35608.050000000003</v>
      </c>
      <c r="AG323" s="2">
        <f t="shared" si="269"/>
        <v>0</v>
      </c>
      <c r="AH323" s="2">
        <f t="shared" si="269"/>
        <v>174.9</v>
      </c>
      <c r="AI323" s="2">
        <f t="shared" si="269"/>
        <v>0</v>
      </c>
      <c r="AJ323" s="2">
        <f t="shared" si="269"/>
        <v>0</v>
      </c>
      <c r="AK323" s="2">
        <f t="shared" si="269"/>
        <v>24925.64</v>
      </c>
      <c r="AL323" s="2">
        <f t="shared" si="269"/>
        <v>3560.81</v>
      </c>
      <c r="AM323" s="2">
        <f t="shared" si="269"/>
        <v>0</v>
      </c>
      <c r="AN323" s="2">
        <f t="shared" si="269"/>
        <v>0</v>
      </c>
      <c r="AO323" s="2">
        <f t="shared" si="269"/>
        <v>0</v>
      </c>
      <c r="AP323" s="2">
        <f t="shared" si="269"/>
        <v>0</v>
      </c>
      <c r="AQ323" s="2">
        <f t="shared" si="269"/>
        <v>0</v>
      </c>
      <c r="AR323" s="2">
        <f t="shared" si="269"/>
        <v>390581.37</v>
      </c>
      <c r="AS323" s="2">
        <f t="shared" si="269"/>
        <v>0</v>
      </c>
      <c r="AT323" s="2">
        <f t="shared" si="269"/>
        <v>0</v>
      </c>
      <c r="AU323" s="2">
        <f t="shared" ref="AU323:BZ323" si="270">AU337</f>
        <v>390581.37</v>
      </c>
      <c r="AV323" s="2">
        <f t="shared" si="270"/>
        <v>145180.26999999999</v>
      </c>
      <c r="AW323" s="2">
        <f t="shared" si="270"/>
        <v>145180.26999999999</v>
      </c>
      <c r="AX323" s="2">
        <f t="shared" si="270"/>
        <v>0</v>
      </c>
      <c r="AY323" s="2">
        <f t="shared" si="270"/>
        <v>145180.26999999999</v>
      </c>
      <c r="AZ323" s="2">
        <f t="shared" si="270"/>
        <v>0</v>
      </c>
      <c r="BA323" s="2">
        <f t="shared" si="270"/>
        <v>0</v>
      </c>
      <c r="BB323" s="2">
        <f t="shared" si="270"/>
        <v>0</v>
      </c>
      <c r="BC323" s="2">
        <f t="shared" si="270"/>
        <v>0</v>
      </c>
      <c r="BD323" s="2">
        <f t="shared" si="270"/>
        <v>0</v>
      </c>
      <c r="BE323" s="2">
        <f t="shared" si="270"/>
        <v>0</v>
      </c>
      <c r="BF323" s="2">
        <f t="shared" si="270"/>
        <v>0</v>
      </c>
      <c r="BG323" s="2">
        <f t="shared" si="270"/>
        <v>0</v>
      </c>
      <c r="BH323" s="2">
        <f t="shared" si="270"/>
        <v>0</v>
      </c>
      <c r="BI323" s="2">
        <f t="shared" si="270"/>
        <v>0</v>
      </c>
      <c r="BJ323" s="2">
        <f t="shared" si="270"/>
        <v>0</v>
      </c>
      <c r="BK323" s="2">
        <f t="shared" si="270"/>
        <v>0</v>
      </c>
      <c r="BL323" s="2">
        <f t="shared" si="270"/>
        <v>0</v>
      </c>
      <c r="BM323" s="2">
        <f t="shared" si="270"/>
        <v>0</v>
      </c>
      <c r="BN323" s="2">
        <f t="shared" si="270"/>
        <v>0</v>
      </c>
      <c r="BO323" s="2">
        <f t="shared" si="270"/>
        <v>0</v>
      </c>
      <c r="BP323" s="2">
        <f t="shared" si="270"/>
        <v>0</v>
      </c>
      <c r="BQ323" s="2">
        <f t="shared" si="270"/>
        <v>0</v>
      </c>
      <c r="BR323" s="2">
        <f t="shared" si="270"/>
        <v>0</v>
      </c>
      <c r="BS323" s="2">
        <f t="shared" si="270"/>
        <v>0</v>
      </c>
      <c r="BT323" s="2">
        <f t="shared" si="270"/>
        <v>0</v>
      </c>
      <c r="BU323" s="2">
        <f t="shared" si="270"/>
        <v>0</v>
      </c>
      <c r="BV323" s="2">
        <f t="shared" si="270"/>
        <v>0</v>
      </c>
      <c r="BW323" s="2">
        <f t="shared" si="270"/>
        <v>0</v>
      </c>
      <c r="BX323" s="2">
        <f t="shared" si="270"/>
        <v>0</v>
      </c>
      <c r="BY323" s="2">
        <f t="shared" si="270"/>
        <v>0</v>
      </c>
      <c r="BZ323" s="2">
        <f t="shared" si="270"/>
        <v>0</v>
      </c>
      <c r="CA323" s="2">
        <f t="shared" ref="CA323:DF323" si="271">CA337</f>
        <v>390581.37</v>
      </c>
      <c r="CB323" s="2">
        <f t="shared" si="271"/>
        <v>0</v>
      </c>
      <c r="CC323" s="2">
        <f t="shared" si="271"/>
        <v>0</v>
      </c>
      <c r="CD323" s="2">
        <f t="shared" si="271"/>
        <v>390581.37</v>
      </c>
      <c r="CE323" s="2">
        <f t="shared" si="271"/>
        <v>145180.26999999999</v>
      </c>
      <c r="CF323" s="2">
        <f t="shared" si="271"/>
        <v>145180.26999999999</v>
      </c>
      <c r="CG323" s="2">
        <f t="shared" si="271"/>
        <v>0</v>
      </c>
      <c r="CH323" s="2">
        <f t="shared" si="271"/>
        <v>145180.26999999999</v>
      </c>
      <c r="CI323" s="2">
        <f t="shared" si="271"/>
        <v>0</v>
      </c>
      <c r="CJ323" s="2">
        <f t="shared" si="271"/>
        <v>0</v>
      </c>
      <c r="CK323" s="2">
        <f t="shared" si="271"/>
        <v>0</v>
      </c>
      <c r="CL323" s="2">
        <f t="shared" si="271"/>
        <v>0</v>
      </c>
      <c r="CM323" s="2">
        <f t="shared" si="271"/>
        <v>0</v>
      </c>
      <c r="CN323" s="2">
        <f t="shared" si="271"/>
        <v>0</v>
      </c>
      <c r="CO323" s="2">
        <f t="shared" si="271"/>
        <v>0</v>
      </c>
      <c r="CP323" s="2">
        <f t="shared" si="271"/>
        <v>0</v>
      </c>
      <c r="CQ323" s="2">
        <f t="shared" si="271"/>
        <v>0</v>
      </c>
      <c r="CR323" s="2">
        <f t="shared" si="271"/>
        <v>0</v>
      </c>
      <c r="CS323" s="2">
        <f t="shared" si="271"/>
        <v>0</v>
      </c>
      <c r="CT323" s="2">
        <f t="shared" si="271"/>
        <v>0</v>
      </c>
      <c r="CU323" s="2">
        <f t="shared" si="271"/>
        <v>0</v>
      </c>
      <c r="CV323" s="2">
        <f t="shared" si="271"/>
        <v>0</v>
      </c>
      <c r="CW323" s="2">
        <f t="shared" si="271"/>
        <v>0</v>
      </c>
      <c r="CX323" s="2">
        <f t="shared" si="271"/>
        <v>0</v>
      </c>
      <c r="CY323" s="2">
        <f t="shared" si="271"/>
        <v>0</v>
      </c>
      <c r="CZ323" s="2">
        <f t="shared" si="271"/>
        <v>0</v>
      </c>
      <c r="DA323" s="2">
        <f t="shared" si="271"/>
        <v>0</v>
      </c>
      <c r="DB323" s="2">
        <f t="shared" si="271"/>
        <v>0</v>
      </c>
      <c r="DC323" s="2">
        <f t="shared" si="271"/>
        <v>0</v>
      </c>
      <c r="DD323" s="2">
        <f t="shared" si="271"/>
        <v>0</v>
      </c>
      <c r="DE323" s="2">
        <f t="shared" si="271"/>
        <v>0</v>
      </c>
      <c r="DF323" s="2">
        <f t="shared" si="271"/>
        <v>0</v>
      </c>
      <c r="DG323" s="3">
        <f t="shared" ref="DG323:EL323" si="272">DG337</f>
        <v>0</v>
      </c>
      <c r="DH323" s="3">
        <f t="shared" si="272"/>
        <v>0</v>
      </c>
      <c r="DI323" s="3">
        <f t="shared" si="272"/>
        <v>0</v>
      </c>
      <c r="DJ323" s="3">
        <f t="shared" si="272"/>
        <v>0</v>
      </c>
      <c r="DK323" s="3">
        <f t="shared" si="272"/>
        <v>0</v>
      </c>
      <c r="DL323" s="3">
        <f t="shared" si="272"/>
        <v>0</v>
      </c>
      <c r="DM323" s="3">
        <f t="shared" si="272"/>
        <v>0</v>
      </c>
      <c r="DN323" s="3">
        <f t="shared" si="272"/>
        <v>0</v>
      </c>
      <c r="DO323" s="3">
        <f t="shared" si="272"/>
        <v>0</v>
      </c>
      <c r="DP323" s="3">
        <f t="shared" si="272"/>
        <v>0</v>
      </c>
      <c r="DQ323" s="3">
        <f t="shared" si="272"/>
        <v>0</v>
      </c>
      <c r="DR323" s="3">
        <f t="shared" si="272"/>
        <v>0</v>
      </c>
      <c r="DS323" s="3">
        <f t="shared" si="272"/>
        <v>0</v>
      </c>
      <c r="DT323" s="3">
        <f t="shared" si="272"/>
        <v>0</v>
      </c>
      <c r="DU323" s="3">
        <f t="shared" si="272"/>
        <v>0</v>
      </c>
      <c r="DV323" s="3">
        <f t="shared" si="272"/>
        <v>0</v>
      </c>
      <c r="DW323" s="3">
        <f t="shared" si="272"/>
        <v>0</v>
      </c>
      <c r="DX323" s="3">
        <f t="shared" si="272"/>
        <v>0</v>
      </c>
      <c r="DY323" s="3">
        <f t="shared" si="272"/>
        <v>0</v>
      </c>
      <c r="DZ323" s="3">
        <f t="shared" si="272"/>
        <v>0</v>
      </c>
      <c r="EA323" s="3">
        <f t="shared" si="272"/>
        <v>0</v>
      </c>
      <c r="EB323" s="3">
        <f t="shared" si="272"/>
        <v>0</v>
      </c>
      <c r="EC323" s="3">
        <f t="shared" si="272"/>
        <v>0</v>
      </c>
      <c r="ED323" s="3">
        <f t="shared" si="272"/>
        <v>0</v>
      </c>
      <c r="EE323" s="3">
        <f t="shared" si="272"/>
        <v>0</v>
      </c>
      <c r="EF323" s="3">
        <f t="shared" si="272"/>
        <v>0</v>
      </c>
      <c r="EG323" s="3">
        <f t="shared" si="272"/>
        <v>0</v>
      </c>
      <c r="EH323" s="3">
        <f t="shared" si="272"/>
        <v>0</v>
      </c>
      <c r="EI323" s="3">
        <f t="shared" si="272"/>
        <v>0</v>
      </c>
      <c r="EJ323" s="3">
        <f t="shared" si="272"/>
        <v>0</v>
      </c>
      <c r="EK323" s="3">
        <f t="shared" si="272"/>
        <v>0</v>
      </c>
      <c r="EL323" s="3">
        <f t="shared" si="272"/>
        <v>0</v>
      </c>
      <c r="EM323" s="3">
        <f t="shared" ref="EM323:FR323" si="273">EM337</f>
        <v>0</v>
      </c>
      <c r="EN323" s="3">
        <f t="shared" si="273"/>
        <v>0</v>
      </c>
      <c r="EO323" s="3">
        <f t="shared" si="273"/>
        <v>0</v>
      </c>
      <c r="EP323" s="3">
        <f t="shared" si="273"/>
        <v>0</v>
      </c>
      <c r="EQ323" s="3">
        <f t="shared" si="273"/>
        <v>0</v>
      </c>
      <c r="ER323" s="3">
        <f t="shared" si="273"/>
        <v>0</v>
      </c>
      <c r="ES323" s="3">
        <f t="shared" si="273"/>
        <v>0</v>
      </c>
      <c r="ET323" s="3">
        <f t="shared" si="273"/>
        <v>0</v>
      </c>
      <c r="EU323" s="3">
        <f t="shared" si="273"/>
        <v>0</v>
      </c>
      <c r="EV323" s="3">
        <f t="shared" si="273"/>
        <v>0</v>
      </c>
      <c r="EW323" s="3">
        <f t="shared" si="273"/>
        <v>0</v>
      </c>
      <c r="EX323" s="3">
        <f t="shared" si="273"/>
        <v>0</v>
      </c>
      <c r="EY323" s="3">
        <f t="shared" si="273"/>
        <v>0</v>
      </c>
      <c r="EZ323" s="3">
        <f t="shared" si="273"/>
        <v>0</v>
      </c>
      <c r="FA323" s="3">
        <f t="shared" si="273"/>
        <v>0</v>
      </c>
      <c r="FB323" s="3">
        <f t="shared" si="273"/>
        <v>0</v>
      </c>
      <c r="FC323" s="3">
        <f t="shared" si="273"/>
        <v>0</v>
      </c>
      <c r="FD323" s="3">
        <f t="shared" si="273"/>
        <v>0</v>
      </c>
      <c r="FE323" s="3">
        <f t="shared" si="273"/>
        <v>0</v>
      </c>
      <c r="FF323" s="3">
        <f t="shared" si="273"/>
        <v>0</v>
      </c>
      <c r="FG323" s="3">
        <f t="shared" si="273"/>
        <v>0</v>
      </c>
      <c r="FH323" s="3">
        <f t="shared" si="273"/>
        <v>0</v>
      </c>
      <c r="FI323" s="3">
        <f t="shared" si="273"/>
        <v>0</v>
      </c>
      <c r="FJ323" s="3">
        <f t="shared" si="273"/>
        <v>0</v>
      </c>
      <c r="FK323" s="3">
        <f t="shared" si="273"/>
        <v>0</v>
      </c>
      <c r="FL323" s="3">
        <f t="shared" si="273"/>
        <v>0</v>
      </c>
      <c r="FM323" s="3">
        <f t="shared" si="273"/>
        <v>0</v>
      </c>
      <c r="FN323" s="3">
        <f t="shared" si="273"/>
        <v>0</v>
      </c>
      <c r="FO323" s="3">
        <f t="shared" si="273"/>
        <v>0</v>
      </c>
      <c r="FP323" s="3">
        <f t="shared" si="273"/>
        <v>0</v>
      </c>
      <c r="FQ323" s="3">
        <f t="shared" si="273"/>
        <v>0</v>
      </c>
      <c r="FR323" s="3">
        <f t="shared" si="273"/>
        <v>0</v>
      </c>
      <c r="FS323" s="3">
        <f t="shared" ref="FS323:GX323" si="274">FS337</f>
        <v>0</v>
      </c>
      <c r="FT323" s="3">
        <f t="shared" si="274"/>
        <v>0</v>
      </c>
      <c r="FU323" s="3">
        <f t="shared" si="274"/>
        <v>0</v>
      </c>
      <c r="FV323" s="3">
        <f t="shared" si="274"/>
        <v>0</v>
      </c>
      <c r="FW323" s="3">
        <f t="shared" si="274"/>
        <v>0</v>
      </c>
      <c r="FX323" s="3">
        <f t="shared" si="274"/>
        <v>0</v>
      </c>
      <c r="FY323" s="3">
        <f t="shared" si="274"/>
        <v>0</v>
      </c>
      <c r="FZ323" s="3">
        <f t="shared" si="274"/>
        <v>0</v>
      </c>
      <c r="GA323" s="3">
        <f t="shared" si="274"/>
        <v>0</v>
      </c>
      <c r="GB323" s="3">
        <f t="shared" si="274"/>
        <v>0</v>
      </c>
      <c r="GC323" s="3">
        <f t="shared" si="274"/>
        <v>0</v>
      </c>
      <c r="GD323" s="3">
        <f t="shared" si="274"/>
        <v>0</v>
      </c>
      <c r="GE323" s="3">
        <f t="shared" si="274"/>
        <v>0</v>
      </c>
      <c r="GF323" s="3">
        <f t="shared" si="274"/>
        <v>0</v>
      </c>
      <c r="GG323" s="3">
        <f t="shared" si="274"/>
        <v>0</v>
      </c>
      <c r="GH323" s="3">
        <f t="shared" si="274"/>
        <v>0</v>
      </c>
      <c r="GI323" s="3">
        <f t="shared" si="274"/>
        <v>0</v>
      </c>
      <c r="GJ323" s="3">
        <f t="shared" si="274"/>
        <v>0</v>
      </c>
      <c r="GK323" s="3">
        <f t="shared" si="274"/>
        <v>0</v>
      </c>
      <c r="GL323" s="3">
        <f t="shared" si="274"/>
        <v>0</v>
      </c>
      <c r="GM323" s="3">
        <f t="shared" si="274"/>
        <v>0</v>
      </c>
      <c r="GN323" s="3">
        <f t="shared" si="274"/>
        <v>0</v>
      </c>
      <c r="GO323" s="3">
        <f t="shared" si="274"/>
        <v>0</v>
      </c>
      <c r="GP323" s="3">
        <f t="shared" si="274"/>
        <v>0</v>
      </c>
      <c r="GQ323" s="3">
        <f t="shared" si="274"/>
        <v>0</v>
      </c>
      <c r="GR323" s="3">
        <f t="shared" si="274"/>
        <v>0</v>
      </c>
      <c r="GS323" s="3">
        <f t="shared" si="274"/>
        <v>0</v>
      </c>
      <c r="GT323" s="3">
        <f t="shared" si="274"/>
        <v>0</v>
      </c>
      <c r="GU323" s="3">
        <f t="shared" si="274"/>
        <v>0</v>
      </c>
      <c r="GV323" s="3">
        <f t="shared" si="274"/>
        <v>0</v>
      </c>
      <c r="GW323" s="3">
        <f t="shared" si="274"/>
        <v>0</v>
      </c>
      <c r="GX323" s="3">
        <f t="shared" si="274"/>
        <v>0</v>
      </c>
    </row>
    <row r="325" spans="1:245" x14ac:dyDescent="0.2">
      <c r="A325">
        <v>17</v>
      </c>
      <c r="B325">
        <v>1</v>
      </c>
      <c r="C325">
        <f>ROW(SmtRes!A125)</f>
        <v>125</v>
      </c>
      <c r="D325">
        <f>ROW(EtalonRes!A114)</f>
        <v>114</v>
      </c>
      <c r="E325" t="s">
        <v>246</v>
      </c>
      <c r="F325" t="s">
        <v>214</v>
      </c>
      <c r="G325" t="s">
        <v>215</v>
      </c>
      <c r="H325" t="s">
        <v>216</v>
      </c>
      <c r="I325">
        <f>ROUND((I329*0.1*0.4)/100*0,9)</f>
        <v>0</v>
      </c>
      <c r="J325">
        <v>0</v>
      </c>
      <c r="O325">
        <f t="shared" ref="O325:O335" si="275">ROUND(CP325,2)</f>
        <v>0</v>
      </c>
      <c r="P325">
        <f t="shared" ref="P325:P335" si="276">ROUND(CQ325*I325,2)</f>
        <v>0</v>
      </c>
      <c r="Q325">
        <f t="shared" ref="Q325:Q335" si="277">ROUND(CR325*I325,2)</f>
        <v>0</v>
      </c>
      <c r="R325">
        <f t="shared" ref="R325:R335" si="278">ROUND(CS325*I325,2)</f>
        <v>0</v>
      </c>
      <c r="S325">
        <f t="shared" ref="S325:S335" si="279">ROUND(CT325*I325,2)</f>
        <v>0</v>
      </c>
      <c r="T325">
        <f t="shared" ref="T325:T335" si="280">ROUND(CU325*I325,2)</f>
        <v>0</v>
      </c>
      <c r="U325">
        <f t="shared" ref="U325:U335" si="281">CV325*I325</f>
        <v>0</v>
      </c>
      <c r="V325">
        <f t="shared" ref="V325:V335" si="282">CW325*I325</f>
        <v>0</v>
      </c>
      <c r="W325">
        <f t="shared" ref="W325:W335" si="283">ROUND(CX325*I325,2)</f>
        <v>0</v>
      </c>
      <c r="X325">
        <f t="shared" ref="X325:X335" si="284">ROUND(CY325,2)</f>
        <v>0</v>
      </c>
      <c r="Y325">
        <f t="shared" ref="Y325:Y335" si="285">ROUND(CZ325,2)</f>
        <v>0</v>
      </c>
      <c r="AA325">
        <v>56440881</v>
      </c>
      <c r="AB325">
        <f t="shared" ref="AB325:AB335" si="286">ROUND((AC325+AD325+AF325),2)</f>
        <v>76371.3</v>
      </c>
      <c r="AC325">
        <f t="shared" ref="AC325:AC332" si="287">ROUND((ES325),2)</f>
        <v>65154.45</v>
      </c>
      <c r="AD325">
        <f t="shared" ref="AD325:AD332" si="288">ROUND((((ET325)-(EU325))+AE325),2)</f>
        <v>8265.0300000000007</v>
      </c>
      <c r="AE325">
        <f t="shared" ref="AE325:AF332" si="289">ROUND((EU325),2)</f>
        <v>3342.74</v>
      </c>
      <c r="AF325">
        <f t="shared" si="289"/>
        <v>2951.82</v>
      </c>
      <c r="AG325">
        <f t="shared" ref="AG325:AG335" si="290">ROUND((AP325),2)</f>
        <v>0</v>
      </c>
      <c r="AH325">
        <f t="shared" ref="AH325:AI332" si="291">(EW325)</f>
        <v>16.559999999999999</v>
      </c>
      <c r="AI325">
        <f t="shared" si="291"/>
        <v>0</v>
      </c>
      <c r="AJ325">
        <f t="shared" ref="AJ325:AJ335" si="292">(AS325)</f>
        <v>0</v>
      </c>
      <c r="AK325">
        <v>76371.3</v>
      </c>
      <c r="AL325">
        <v>65154.45</v>
      </c>
      <c r="AM325">
        <v>8265.0300000000007</v>
      </c>
      <c r="AN325">
        <v>3342.74</v>
      </c>
      <c r="AO325">
        <v>2951.82</v>
      </c>
      <c r="AP325">
        <v>0</v>
      </c>
      <c r="AQ325">
        <v>16.559999999999999</v>
      </c>
      <c r="AR325">
        <v>0</v>
      </c>
      <c r="AS325">
        <v>0</v>
      </c>
      <c r="AT325">
        <v>70</v>
      </c>
      <c r="AU325">
        <v>10</v>
      </c>
      <c r="AV325">
        <v>1</v>
      </c>
      <c r="AW325">
        <v>1</v>
      </c>
      <c r="AZ325">
        <v>1</v>
      </c>
      <c r="BA325">
        <v>1</v>
      </c>
      <c r="BB325">
        <v>1</v>
      </c>
      <c r="BC325">
        <v>1</v>
      </c>
      <c r="BD325" t="s">
        <v>3</v>
      </c>
      <c r="BE325" t="s">
        <v>3</v>
      </c>
      <c r="BF325" t="s">
        <v>3</v>
      </c>
      <c r="BG325" t="s">
        <v>3</v>
      </c>
      <c r="BH325">
        <v>0</v>
      </c>
      <c r="BI325">
        <v>4</v>
      </c>
      <c r="BJ325" t="s">
        <v>217</v>
      </c>
      <c r="BM325">
        <v>0</v>
      </c>
      <c r="BN325">
        <v>0</v>
      </c>
      <c r="BO325" t="s">
        <v>3</v>
      </c>
      <c r="BP325">
        <v>0</v>
      </c>
      <c r="BQ325">
        <v>1</v>
      </c>
      <c r="BR325">
        <v>0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 t="s">
        <v>3</v>
      </c>
      <c r="BZ325">
        <v>70</v>
      </c>
      <c r="CA325">
        <v>10</v>
      </c>
      <c r="CE325">
        <v>0</v>
      </c>
      <c r="CF325">
        <v>0</v>
      </c>
      <c r="CG325">
        <v>0</v>
      </c>
      <c r="CM325">
        <v>0</v>
      </c>
      <c r="CN325" t="s">
        <v>3</v>
      </c>
      <c r="CO325">
        <v>0</v>
      </c>
      <c r="CP325">
        <f t="shared" ref="CP325:CP335" si="293">(P325+Q325+S325)</f>
        <v>0</v>
      </c>
      <c r="CQ325">
        <f t="shared" ref="CQ325:CQ335" si="294">(AC325*BC325*AW325)</f>
        <v>65154.45</v>
      </c>
      <c r="CR325">
        <f t="shared" ref="CR325:CR332" si="295">((((ET325)*BB325-(EU325)*BS325)+AE325*BS325)*AV325)</f>
        <v>8265.0300000000007</v>
      </c>
      <c r="CS325">
        <f t="shared" ref="CS325:CS335" si="296">(AE325*BS325*AV325)</f>
        <v>3342.74</v>
      </c>
      <c r="CT325">
        <f t="shared" ref="CT325:CT335" si="297">(AF325*BA325*AV325)</f>
        <v>2951.82</v>
      </c>
      <c r="CU325">
        <f t="shared" ref="CU325:CU335" si="298">AG325</f>
        <v>0</v>
      </c>
      <c r="CV325">
        <f t="shared" ref="CV325:CV335" si="299">(AH325*AV325)</f>
        <v>16.559999999999999</v>
      </c>
      <c r="CW325">
        <f t="shared" ref="CW325:CW335" si="300">AI325</f>
        <v>0</v>
      </c>
      <c r="CX325">
        <f t="shared" ref="CX325:CX335" si="301">AJ325</f>
        <v>0</v>
      </c>
      <c r="CY325">
        <f t="shared" ref="CY325:CY335" si="302">((S325*BZ325)/100)</f>
        <v>0</v>
      </c>
      <c r="CZ325">
        <f t="shared" ref="CZ325:CZ335" si="303">((S325*CA325)/100)</f>
        <v>0</v>
      </c>
      <c r="DC325" t="s">
        <v>3</v>
      </c>
      <c r="DD325" t="s">
        <v>3</v>
      </c>
      <c r="DE325" t="s">
        <v>3</v>
      </c>
      <c r="DF325" t="s">
        <v>3</v>
      </c>
      <c r="DG325" t="s">
        <v>3</v>
      </c>
      <c r="DH325" t="s">
        <v>3</v>
      </c>
      <c r="DI325" t="s">
        <v>3</v>
      </c>
      <c r="DJ325" t="s">
        <v>3</v>
      </c>
      <c r="DK325" t="s">
        <v>3</v>
      </c>
      <c r="DL325" t="s">
        <v>3</v>
      </c>
      <c r="DM325" t="s">
        <v>3</v>
      </c>
      <c r="DN325">
        <v>0</v>
      </c>
      <c r="DO325">
        <v>0</v>
      </c>
      <c r="DP325">
        <v>1</v>
      </c>
      <c r="DQ325">
        <v>1</v>
      </c>
      <c r="DU325">
        <v>1007</v>
      </c>
      <c r="DV325" t="s">
        <v>216</v>
      </c>
      <c r="DW325" t="s">
        <v>216</v>
      </c>
      <c r="DX325">
        <v>100</v>
      </c>
      <c r="DZ325" t="s">
        <v>3</v>
      </c>
      <c r="EA325" t="s">
        <v>3</v>
      </c>
      <c r="EB325" t="s">
        <v>3</v>
      </c>
      <c r="EC325" t="s">
        <v>3</v>
      </c>
      <c r="EE325">
        <v>54545671</v>
      </c>
      <c r="EF325">
        <v>1</v>
      </c>
      <c r="EG325" t="s">
        <v>20</v>
      </c>
      <c r="EH325">
        <v>0</v>
      </c>
      <c r="EI325" t="s">
        <v>3</v>
      </c>
      <c r="EJ325">
        <v>4</v>
      </c>
      <c r="EK325">
        <v>0</v>
      </c>
      <c r="EL325" t="s">
        <v>21</v>
      </c>
      <c r="EM325" t="s">
        <v>22</v>
      </c>
      <c r="EO325" t="s">
        <v>3</v>
      </c>
      <c r="EQ325">
        <v>0</v>
      </c>
      <c r="ER325">
        <v>76371.3</v>
      </c>
      <c r="ES325">
        <v>65154.45</v>
      </c>
      <c r="ET325">
        <v>8265.0300000000007</v>
      </c>
      <c r="EU325">
        <v>3342.74</v>
      </c>
      <c r="EV325">
        <v>2951.82</v>
      </c>
      <c r="EW325">
        <v>16.559999999999999</v>
      </c>
      <c r="EX325">
        <v>0</v>
      </c>
      <c r="EY325">
        <v>0</v>
      </c>
      <c r="FQ325">
        <v>0</v>
      </c>
      <c r="FR325">
        <f t="shared" ref="FR325:FR335" si="304">ROUND(IF(AND(BH325=3,BI325=3),P325,0),2)</f>
        <v>0</v>
      </c>
      <c r="FS325">
        <v>0</v>
      </c>
      <c r="FX325">
        <v>70</v>
      </c>
      <c r="FY325">
        <v>10</v>
      </c>
      <c r="GA325" t="s">
        <v>3</v>
      </c>
      <c r="GD325">
        <v>0</v>
      </c>
      <c r="GF325">
        <v>-1058061468</v>
      </c>
      <c r="GG325">
        <v>2</v>
      </c>
      <c r="GH325">
        <v>1</v>
      </c>
      <c r="GI325">
        <v>-2</v>
      </c>
      <c r="GJ325">
        <v>0</v>
      </c>
      <c r="GK325">
        <f>ROUND(R325*(R12)/100,2)</f>
        <v>0</v>
      </c>
      <c r="GL325">
        <f t="shared" ref="GL325:GL335" si="305">ROUND(IF(AND(BH325=3,BI325=3,FS325&lt;&gt;0),P325,0),2)</f>
        <v>0</v>
      </c>
      <c r="GM325">
        <f t="shared" ref="GM325:GM330" si="306">ROUND(O325+X325+Y325+GK325,2)+GX325</f>
        <v>0</v>
      </c>
      <c r="GN325">
        <f t="shared" ref="GN325:GN330" si="307">IF(OR(BI325=0,BI325=1),ROUND(O325+X325+Y325+GK325,2),0)</f>
        <v>0</v>
      </c>
      <c r="GO325">
        <f t="shared" ref="GO325:GO330" si="308">IF(BI325=2,ROUND(O325+X325+Y325+GK325,2),0)</f>
        <v>0</v>
      </c>
      <c r="GP325">
        <f t="shared" ref="GP325:GP330" si="309">IF(BI325=4,ROUND(O325+X325+Y325+GK325,2)+GX325,0)</f>
        <v>0</v>
      </c>
      <c r="GR325">
        <v>0</v>
      </c>
      <c r="GS325">
        <v>3</v>
      </c>
      <c r="GT325">
        <v>0</v>
      </c>
      <c r="GU325" t="s">
        <v>3</v>
      </c>
      <c r="GV325">
        <f t="shared" ref="GV325:GV335" si="310">ROUND((GT325),2)</f>
        <v>0</v>
      </c>
      <c r="GW325">
        <v>1</v>
      </c>
      <c r="GX325">
        <f t="shared" ref="GX325:GX335" si="311">ROUND(HC325*I325,2)</f>
        <v>0</v>
      </c>
      <c r="HA325">
        <v>0</v>
      </c>
      <c r="HB325">
        <v>0</v>
      </c>
      <c r="HC325">
        <f t="shared" ref="HC325:HC335" si="312">GV325*GW325</f>
        <v>0</v>
      </c>
      <c r="HE325" t="s">
        <v>3</v>
      </c>
      <c r="HF325" t="s">
        <v>3</v>
      </c>
      <c r="IK325">
        <v>0</v>
      </c>
    </row>
    <row r="326" spans="1:245" x14ac:dyDescent="0.2">
      <c r="A326">
        <v>17</v>
      </c>
      <c r="B326">
        <v>1</v>
      </c>
      <c r="C326">
        <f>ROW(SmtRes!A135)</f>
        <v>135</v>
      </c>
      <c r="D326">
        <f>ROW(EtalonRes!A123)</f>
        <v>123</v>
      </c>
      <c r="E326" t="s">
        <v>247</v>
      </c>
      <c r="F326" t="s">
        <v>219</v>
      </c>
      <c r="G326" t="s">
        <v>220</v>
      </c>
      <c r="H326" t="s">
        <v>216</v>
      </c>
      <c r="I326">
        <f>ROUND((I335*0.1*0.4)*0,9)</f>
        <v>0</v>
      </c>
      <c r="J326">
        <v>0</v>
      </c>
      <c r="O326">
        <f t="shared" si="275"/>
        <v>0</v>
      </c>
      <c r="P326">
        <f t="shared" si="276"/>
        <v>0</v>
      </c>
      <c r="Q326">
        <f t="shared" si="277"/>
        <v>0</v>
      </c>
      <c r="R326">
        <f t="shared" si="278"/>
        <v>0</v>
      </c>
      <c r="S326">
        <f t="shared" si="279"/>
        <v>0</v>
      </c>
      <c r="T326">
        <f t="shared" si="280"/>
        <v>0</v>
      </c>
      <c r="U326">
        <f t="shared" si="281"/>
        <v>0</v>
      </c>
      <c r="V326">
        <f t="shared" si="282"/>
        <v>0</v>
      </c>
      <c r="W326">
        <f t="shared" si="283"/>
        <v>0</v>
      </c>
      <c r="X326">
        <f t="shared" si="284"/>
        <v>0</v>
      </c>
      <c r="Y326">
        <f t="shared" si="285"/>
        <v>0</v>
      </c>
      <c r="AA326">
        <v>56440881</v>
      </c>
      <c r="AB326">
        <f t="shared" si="286"/>
        <v>283607.26</v>
      </c>
      <c r="AC326">
        <f t="shared" si="287"/>
        <v>227826.13</v>
      </c>
      <c r="AD326">
        <f t="shared" si="288"/>
        <v>51353.4</v>
      </c>
      <c r="AE326">
        <f t="shared" si="289"/>
        <v>20189.400000000001</v>
      </c>
      <c r="AF326">
        <f t="shared" si="289"/>
        <v>4427.7299999999996</v>
      </c>
      <c r="AG326">
        <f t="shared" si="290"/>
        <v>0</v>
      </c>
      <c r="AH326">
        <f t="shared" si="291"/>
        <v>24.84</v>
      </c>
      <c r="AI326">
        <f t="shared" si="291"/>
        <v>0</v>
      </c>
      <c r="AJ326">
        <f t="shared" si="292"/>
        <v>0</v>
      </c>
      <c r="AK326">
        <v>283607.26</v>
      </c>
      <c r="AL326">
        <v>227826.13</v>
      </c>
      <c r="AM326">
        <v>51353.4</v>
      </c>
      <c r="AN326">
        <v>20189.400000000001</v>
      </c>
      <c r="AO326">
        <v>4427.7299999999996</v>
      </c>
      <c r="AP326">
        <v>0</v>
      </c>
      <c r="AQ326">
        <v>24.84</v>
      </c>
      <c r="AR326">
        <v>0</v>
      </c>
      <c r="AS326">
        <v>0</v>
      </c>
      <c r="AT326">
        <v>70</v>
      </c>
      <c r="AU326">
        <v>10</v>
      </c>
      <c r="AV326">
        <v>1</v>
      </c>
      <c r="AW326">
        <v>1</v>
      </c>
      <c r="AZ326">
        <v>1</v>
      </c>
      <c r="BA326">
        <v>1</v>
      </c>
      <c r="BB326">
        <v>1</v>
      </c>
      <c r="BC326">
        <v>1</v>
      </c>
      <c r="BD326" t="s">
        <v>3</v>
      </c>
      <c r="BE326" t="s">
        <v>3</v>
      </c>
      <c r="BF326" t="s">
        <v>3</v>
      </c>
      <c r="BG326" t="s">
        <v>3</v>
      </c>
      <c r="BH326">
        <v>0</v>
      </c>
      <c r="BI326">
        <v>4</v>
      </c>
      <c r="BJ326" t="s">
        <v>221</v>
      </c>
      <c r="BM326">
        <v>0</v>
      </c>
      <c r="BN326">
        <v>0</v>
      </c>
      <c r="BO326" t="s">
        <v>3</v>
      </c>
      <c r="BP326">
        <v>0</v>
      </c>
      <c r="BQ326">
        <v>1</v>
      </c>
      <c r="BR326">
        <v>0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 t="s">
        <v>3</v>
      </c>
      <c r="BZ326">
        <v>70</v>
      </c>
      <c r="CA326">
        <v>10</v>
      </c>
      <c r="CE326">
        <v>0</v>
      </c>
      <c r="CF326">
        <v>0</v>
      </c>
      <c r="CG326">
        <v>0</v>
      </c>
      <c r="CM326">
        <v>0</v>
      </c>
      <c r="CN326" t="s">
        <v>3</v>
      </c>
      <c r="CO326">
        <v>0</v>
      </c>
      <c r="CP326">
        <f t="shared" si="293"/>
        <v>0</v>
      </c>
      <c r="CQ326">
        <f t="shared" si="294"/>
        <v>227826.13</v>
      </c>
      <c r="CR326">
        <f t="shared" si="295"/>
        <v>51353.4</v>
      </c>
      <c r="CS326">
        <f t="shared" si="296"/>
        <v>20189.400000000001</v>
      </c>
      <c r="CT326">
        <f t="shared" si="297"/>
        <v>4427.7299999999996</v>
      </c>
      <c r="CU326">
        <f t="shared" si="298"/>
        <v>0</v>
      </c>
      <c r="CV326">
        <f t="shared" si="299"/>
        <v>24.84</v>
      </c>
      <c r="CW326">
        <f t="shared" si="300"/>
        <v>0</v>
      </c>
      <c r="CX326">
        <f t="shared" si="301"/>
        <v>0</v>
      </c>
      <c r="CY326">
        <f t="shared" si="302"/>
        <v>0</v>
      </c>
      <c r="CZ326">
        <f t="shared" si="303"/>
        <v>0</v>
      </c>
      <c r="DC326" t="s">
        <v>3</v>
      </c>
      <c r="DD326" t="s">
        <v>3</v>
      </c>
      <c r="DE326" t="s">
        <v>3</v>
      </c>
      <c r="DF326" t="s">
        <v>3</v>
      </c>
      <c r="DG326" t="s">
        <v>3</v>
      </c>
      <c r="DH326" t="s">
        <v>3</v>
      </c>
      <c r="DI326" t="s">
        <v>3</v>
      </c>
      <c r="DJ326" t="s">
        <v>3</v>
      </c>
      <c r="DK326" t="s">
        <v>3</v>
      </c>
      <c r="DL326" t="s">
        <v>3</v>
      </c>
      <c r="DM326" t="s">
        <v>3</v>
      </c>
      <c r="DN326">
        <v>0</v>
      </c>
      <c r="DO326">
        <v>0</v>
      </c>
      <c r="DP326">
        <v>1</v>
      </c>
      <c r="DQ326">
        <v>1</v>
      </c>
      <c r="DU326">
        <v>1007</v>
      </c>
      <c r="DV326" t="s">
        <v>216</v>
      </c>
      <c r="DW326" t="s">
        <v>216</v>
      </c>
      <c r="DX326">
        <v>100</v>
      </c>
      <c r="DZ326" t="s">
        <v>3</v>
      </c>
      <c r="EA326" t="s">
        <v>3</v>
      </c>
      <c r="EB326" t="s">
        <v>3</v>
      </c>
      <c r="EC326" t="s">
        <v>3</v>
      </c>
      <c r="EE326">
        <v>54545671</v>
      </c>
      <c r="EF326">
        <v>1</v>
      </c>
      <c r="EG326" t="s">
        <v>20</v>
      </c>
      <c r="EH326">
        <v>0</v>
      </c>
      <c r="EI326" t="s">
        <v>3</v>
      </c>
      <c r="EJ326">
        <v>4</v>
      </c>
      <c r="EK326">
        <v>0</v>
      </c>
      <c r="EL326" t="s">
        <v>21</v>
      </c>
      <c r="EM326" t="s">
        <v>22</v>
      </c>
      <c r="EO326" t="s">
        <v>3</v>
      </c>
      <c r="EQ326">
        <v>0</v>
      </c>
      <c r="ER326">
        <v>283607.26</v>
      </c>
      <c r="ES326">
        <v>227826.13</v>
      </c>
      <c r="ET326">
        <v>51353.4</v>
      </c>
      <c r="EU326">
        <v>20189.400000000001</v>
      </c>
      <c r="EV326">
        <v>4427.7299999999996</v>
      </c>
      <c r="EW326">
        <v>24.84</v>
      </c>
      <c r="EX326">
        <v>0</v>
      </c>
      <c r="EY326">
        <v>0</v>
      </c>
      <c r="FQ326">
        <v>0</v>
      </c>
      <c r="FR326">
        <f t="shared" si="304"/>
        <v>0</v>
      </c>
      <c r="FS326">
        <v>0</v>
      </c>
      <c r="FX326">
        <v>70</v>
      </c>
      <c r="FY326">
        <v>10</v>
      </c>
      <c r="GA326" t="s">
        <v>3</v>
      </c>
      <c r="GD326">
        <v>0</v>
      </c>
      <c r="GF326">
        <v>1990771062</v>
      </c>
      <c r="GG326">
        <v>2</v>
      </c>
      <c r="GH326">
        <v>1</v>
      </c>
      <c r="GI326">
        <v>-2</v>
      </c>
      <c r="GJ326">
        <v>0</v>
      </c>
      <c r="GK326">
        <f>ROUND(R326*(R12)/100,2)</f>
        <v>0</v>
      </c>
      <c r="GL326">
        <f t="shared" si="305"/>
        <v>0</v>
      </c>
      <c r="GM326">
        <f t="shared" si="306"/>
        <v>0</v>
      </c>
      <c r="GN326">
        <f t="shared" si="307"/>
        <v>0</v>
      </c>
      <c r="GO326">
        <f t="shared" si="308"/>
        <v>0</v>
      </c>
      <c r="GP326">
        <f t="shared" si="309"/>
        <v>0</v>
      </c>
      <c r="GR326">
        <v>0</v>
      </c>
      <c r="GS326">
        <v>3</v>
      </c>
      <c r="GT326">
        <v>0</v>
      </c>
      <c r="GU326" t="s">
        <v>3</v>
      </c>
      <c r="GV326">
        <f t="shared" si="310"/>
        <v>0</v>
      </c>
      <c r="GW326">
        <v>1</v>
      </c>
      <c r="GX326">
        <f t="shared" si="311"/>
        <v>0</v>
      </c>
      <c r="HA326">
        <v>0</v>
      </c>
      <c r="HB326">
        <v>0</v>
      </c>
      <c r="HC326">
        <f t="shared" si="312"/>
        <v>0</v>
      </c>
      <c r="HE326" t="s">
        <v>3</v>
      </c>
      <c r="HF326" t="s">
        <v>3</v>
      </c>
      <c r="IK326">
        <v>0</v>
      </c>
    </row>
    <row r="327" spans="1:245" x14ac:dyDescent="0.2">
      <c r="A327">
        <v>18</v>
      </c>
      <c r="B327">
        <v>1</v>
      </c>
      <c r="C327">
        <v>134</v>
      </c>
      <c r="E327" t="s">
        <v>248</v>
      </c>
      <c r="F327" t="s">
        <v>29</v>
      </c>
      <c r="G327" t="s">
        <v>30</v>
      </c>
      <c r="H327" t="s">
        <v>26</v>
      </c>
      <c r="I327">
        <f>I326*J327</f>
        <v>0</v>
      </c>
      <c r="J327">
        <v>-126</v>
      </c>
      <c r="O327">
        <f t="shared" si="275"/>
        <v>0</v>
      </c>
      <c r="P327">
        <f t="shared" si="276"/>
        <v>0</v>
      </c>
      <c r="Q327">
        <f t="shared" si="277"/>
        <v>0</v>
      </c>
      <c r="R327">
        <f t="shared" si="278"/>
        <v>0</v>
      </c>
      <c r="S327">
        <f t="shared" si="279"/>
        <v>0</v>
      </c>
      <c r="T327">
        <f t="shared" si="280"/>
        <v>0</v>
      </c>
      <c r="U327">
        <f t="shared" si="281"/>
        <v>0</v>
      </c>
      <c r="V327">
        <f t="shared" si="282"/>
        <v>0</v>
      </c>
      <c r="W327">
        <f t="shared" si="283"/>
        <v>0</v>
      </c>
      <c r="X327">
        <f t="shared" si="284"/>
        <v>0</v>
      </c>
      <c r="Y327">
        <f t="shared" si="285"/>
        <v>0</v>
      </c>
      <c r="AA327">
        <v>56440881</v>
      </c>
      <c r="AB327">
        <f t="shared" si="286"/>
        <v>1806.27</v>
      </c>
      <c r="AC327">
        <f t="shared" si="287"/>
        <v>1806.27</v>
      </c>
      <c r="AD327">
        <f t="shared" si="288"/>
        <v>0</v>
      </c>
      <c r="AE327">
        <f t="shared" si="289"/>
        <v>0</v>
      </c>
      <c r="AF327">
        <f t="shared" si="289"/>
        <v>0</v>
      </c>
      <c r="AG327">
        <f t="shared" si="290"/>
        <v>0</v>
      </c>
      <c r="AH327">
        <f t="shared" si="291"/>
        <v>0</v>
      </c>
      <c r="AI327">
        <f t="shared" si="291"/>
        <v>0</v>
      </c>
      <c r="AJ327">
        <f t="shared" si="292"/>
        <v>0</v>
      </c>
      <c r="AK327">
        <v>1806.27</v>
      </c>
      <c r="AL327">
        <v>1806.27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70</v>
      </c>
      <c r="AU327">
        <v>10</v>
      </c>
      <c r="AV327">
        <v>1</v>
      </c>
      <c r="AW327">
        <v>1</v>
      </c>
      <c r="AZ327">
        <v>1</v>
      </c>
      <c r="BA327">
        <v>1</v>
      </c>
      <c r="BB327">
        <v>1</v>
      </c>
      <c r="BC327">
        <v>1</v>
      </c>
      <c r="BD327" t="s">
        <v>3</v>
      </c>
      <c r="BE327" t="s">
        <v>3</v>
      </c>
      <c r="BF327" t="s">
        <v>3</v>
      </c>
      <c r="BG327" t="s">
        <v>3</v>
      </c>
      <c r="BH327">
        <v>3</v>
      </c>
      <c r="BI327">
        <v>4</v>
      </c>
      <c r="BJ327" t="s">
        <v>31</v>
      </c>
      <c r="BM327">
        <v>0</v>
      </c>
      <c r="BN327">
        <v>0</v>
      </c>
      <c r="BO327" t="s">
        <v>3</v>
      </c>
      <c r="BP327">
        <v>0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 t="s">
        <v>3</v>
      </c>
      <c r="BZ327">
        <v>70</v>
      </c>
      <c r="CA327">
        <v>10</v>
      </c>
      <c r="CE327">
        <v>0</v>
      </c>
      <c r="CF327">
        <v>0</v>
      </c>
      <c r="CG327">
        <v>0</v>
      </c>
      <c r="CM327">
        <v>0</v>
      </c>
      <c r="CN327" t="s">
        <v>3</v>
      </c>
      <c r="CO327">
        <v>0</v>
      </c>
      <c r="CP327">
        <f t="shared" si="293"/>
        <v>0</v>
      </c>
      <c r="CQ327">
        <f t="shared" si="294"/>
        <v>1806.27</v>
      </c>
      <c r="CR327">
        <f t="shared" si="295"/>
        <v>0</v>
      </c>
      <c r="CS327">
        <f t="shared" si="296"/>
        <v>0</v>
      </c>
      <c r="CT327">
        <f t="shared" si="297"/>
        <v>0</v>
      </c>
      <c r="CU327">
        <f t="shared" si="298"/>
        <v>0</v>
      </c>
      <c r="CV327">
        <f t="shared" si="299"/>
        <v>0</v>
      </c>
      <c r="CW327">
        <f t="shared" si="300"/>
        <v>0</v>
      </c>
      <c r="CX327">
        <f t="shared" si="301"/>
        <v>0</v>
      </c>
      <c r="CY327">
        <f t="shared" si="302"/>
        <v>0</v>
      </c>
      <c r="CZ327">
        <f t="shared" si="303"/>
        <v>0</v>
      </c>
      <c r="DC327" t="s">
        <v>3</v>
      </c>
      <c r="DD327" t="s">
        <v>3</v>
      </c>
      <c r="DE327" t="s">
        <v>3</v>
      </c>
      <c r="DF327" t="s">
        <v>3</v>
      </c>
      <c r="DG327" t="s">
        <v>3</v>
      </c>
      <c r="DH327" t="s">
        <v>3</v>
      </c>
      <c r="DI327" t="s">
        <v>3</v>
      </c>
      <c r="DJ327" t="s">
        <v>3</v>
      </c>
      <c r="DK327" t="s">
        <v>3</v>
      </c>
      <c r="DL327" t="s">
        <v>3</v>
      </c>
      <c r="DM327" t="s">
        <v>3</v>
      </c>
      <c r="DN327">
        <v>0</v>
      </c>
      <c r="DO327">
        <v>0</v>
      </c>
      <c r="DP327">
        <v>1</v>
      </c>
      <c r="DQ327">
        <v>1</v>
      </c>
      <c r="DU327">
        <v>1007</v>
      </c>
      <c r="DV327" t="s">
        <v>26</v>
      </c>
      <c r="DW327" t="s">
        <v>26</v>
      </c>
      <c r="DX327">
        <v>1</v>
      </c>
      <c r="DZ327" t="s">
        <v>3</v>
      </c>
      <c r="EA327" t="s">
        <v>3</v>
      </c>
      <c r="EB327" t="s">
        <v>3</v>
      </c>
      <c r="EC327" t="s">
        <v>3</v>
      </c>
      <c r="EE327">
        <v>54545671</v>
      </c>
      <c r="EF327">
        <v>1</v>
      </c>
      <c r="EG327" t="s">
        <v>20</v>
      </c>
      <c r="EH327">
        <v>0</v>
      </c>
      <c r="EI327" t="s">
        <v>3</v>
      </c>
      <c r="EJ327">
        <v>4</v>
      </c>
      <c r="EK327">
        <v>0</v>
      </c>
      <c r="EL327" t="s">
        <v>21</v>
      </c>
      <c r="EM327" t="s">
        <v>22</v>
      </c>
      <c r="EO327" t="s">
        <v>3</v>
      </c>
      <c r="EQ327">
        <v>32768</v>
      </c>
      <c r="ER327">
        <v>1806.27</v>
      </c>
      <c r="ES327">
        <v>1806.27</v>
      </c>
      <c r="ET327">
        <v>0</v>
      </c>
      <c r="EU327">
        <v>0</v>
      </c>
      <c r="EV327">
        <v>0</v>
      </c>
      <c r="EW327">
        <v>0</v>
      </c>
      <c r="EX327">
        <v>0</v>
      </c>
      <c r="FQ327">
        <v>0</v>
      </c>
      <c r="FR327">
        <f t="shared" si="304"/>
        <v>0</v>
      </c>
      <c r="FS327">
        <v>0</v>
      </c>
      <c r="FX327">
        <v>70</v>
      </c>
      <c r="FY327">
        <v>10</v>
      </c>
      <c r="GA327" t="s">
        <v>3</v>
      </c>
      <c r="GD327">
        <v>0</v>
      </c>
      <c r="GF327">
        <v>407286016</v>
      </c>
      <c r="GG327">
        <v>2</v>
      </c>
      <c r="GH327">
        <v>1</v>
      </c>
      <c r="GI327">
        <v>-2</v>
      </c>
      <c r="GJ327">
        <v>0</v>
      </c>
      <c r="GK327">
        <f>ROUND(R327*(R12)/100,2)</f>
        <v>0</v>
      </c>
      <c r="GL327">
        <f t="shared" si="305"/>
        <v>0</v>
      </c>
      <c r="GM327">
        <f t="shared" si="306"/>
        <v>0</v>
      </c>
      <c r="GN327">
        <f t="shared" si="307"/>
        <v>0</v>
      </c>
      <c r="GO327">
        <f t="shared" si="308"/>
        <v>0</v>
      </c>
      <c r="GP327">
        <f t="shared" si="309"/>
        <v>0</v>
      </c>
      <c r="GR327">
        <v>0</v>
      </c>
      <c r="GS327">
        <v>3</v>
      </c>
      <c r="GT327">
        <v>0</v>
      </c>
      <c r="GU327" t="s">
        <v>3</v>
      </c>
      <c r="GV327">
        <f t="shared" si="310"/>
        <v>0</v>
      </c>
      <c r="GW327">
        <v>1</v>
      </c>
      <c r="GX327">
        <f t="shared" si="311"/>
        <v>0</v>
      </c>
      <c r="HA327">
        <v>0</v>
      </c>
      <c r="HB327">
        <v>0</v>
      </c>
      <c r="HC327">
        <f t="shared" si="312"/>
        <v>0</v>
      </c>
      <c r="HE327" t="s">
        <v>3</v>
      </c>
      <c r="HF327" t="s">
        <v>3</v>
      </c>
      <c r="IK327">
        <v>0</v>
      </c>
    </row>
    <row r="328" spans="1:245" x14ac:dyDescent="0.2">
      <c r="A328">
        <v>18</v>
      </c>
      <c r="B328">
        <v>1</v>
      </c>
      <c r="C328">
        <v>133</v>
      </c>
      <c r="E328" t="s">
        <v>249</v>
      </c>
      <c r="F328" t="s">
        <v>224</v>
      </c>
      <c r="G328" t="s">
        <v>225</v>
      </c>
      <c r="H328" t="s">
        <v>26</v>
      </c>
      <c r="I328">
        <f>I326*J328</f>
        <v>0</v>
      </c>
      <c r="J328">
        <v>126</v>
      </c>
      <c r="O328">
        <f t="shared" si="275"/>
        <v>0</v>
      </c>
      <c r="P328">
        <f t="shared" si="276"/>
        <v>0</v>
      </c>
      <c r="Q328">
        <f t="shared" si="277"/>
        <v>0</v>
      </c>
      <c r="R328">
        <f t="shared" si="278"/>
        <v>0</v>
      </c>
      <c r="S328">
        <f t="shared" si="279"/>
        <v>0</v>
      </c>
      <c r="T328">
        <f t="shared" si="280"/>
        <v>0</v>
      </c>
      <c r="U328">
        <f t="shared" si="281"/>
        <v>0</v>
      </c>
      <c r="V328">
        <f t="shared" si="282"/>
        <v>0</v>
      </c>
      <c r="W328">
        <f t="shared" si="283"/>
        <v>0</v>
      </c>
      <c r="X328">
        <f t="shared" si="284"/>
        <v>0</v>
      </c>
      <c r="Y328">
        <f t="shared" si="285"/>
        <v>0</v>
      </c>
      <c r="AA328">
        <v>56440881</v>
      </c>
      <c r="AB328">
        <f t="shared" si="286"/>
        <v>1487.52</v>
      </c>
      <c r="AC328">
        <f t="shared" si="287"/>
        <v>1487.52</v>
      </c>
      <c r="AD328">
        <f t="shared" si="288"/>
        <v>0</v>
      </c>
      <c r="AE328">
        <f t="shared" si="289"/>
        <v>0</v>
      </c>
      <c r="AF328">
        <f t="shared" si="289"/>
        <v>0</v>
      </c>
      <c r="AG328">
        <f t="shared" si="290"/>
        <v>0</v>
      </c>
      <c r="AH328">
        <f t="shared" si="291"/>
        <v>0</v>
      </c>
      <c r="AI328">
        <f t="shared" si="291"/>
        <v>0</v>
      </c>
      <c r="AJ328">
        <f t="shared" si="292"/>
        <v>0</v>
      </c>
      <c r="AK328">
        <v>1487.52</v>
      </c>
      <c r="AL328">
        <v>1487.52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70</v>
      </c>
      <c r="AU328">
        <v>10</v>
      </c>
      <c r="AV328">
        <v>1</v>
      </c>
      <c r="AW328">
        <v>1</v>
      </c>
      <c r="AZ328">
        <v>1</v>
      </c>
      <c r="BA328">
        <v>1</v>
      </c>
      <c r="BB328">
        <v>1</v>
      </c>
      <c r="BC328">
        <v>1</v>
      </c>
      <c r="BD328" t="s">
        <v>3</v>
      </c>
      <c r="BE328" t="s">
        <v>3</v>
      </c>
      <c r="BF328" t="s">
        <v>3</v>
      </c>
      <c r="BG328" t="s">
        <v>3</v>
      </c>
      <c r="BH328">
        <v>3</v>
      </c>
      <c r="BI328">
        <v>4</v>
      </c>
      <c r="BJ328" t="s">
        <v>226</v>
      </c>
      <c r="BM328">
        <v>0</v>
      </c>
      <c r="BN328">
        <v>0</v>
      </c>
      <c r="BO328" t="s">
        <v>3</v>
      </c>
      <c r="BP328">
        <v>0</v>
      </c>
      <c r="BQ328">
        <v>1</v>
      </c>
      <c r="BR328">
        <v>0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 t="s">
        <v>3</v>
      </c>
      <c r="BZ328">
        <v>70</v>
      </c>
      <c r="CA328">
        <v>10</v>
      </c>
      <c r="CE328">
        <v>0</v>
      </c>
      <c r="CF328">
        <v>0</v>
      </c>
      <c r="CG328">
        <v>0</v>
      </c>
      <c r="CM328">
        <v>0</v>
      </c>
      <c r="CN328" t="s">
        <v>3</v>
      </c>
      <c r="CO328">
        <v>0</v>
      </c>
      <c r="CP328">
        <f t="shared" si="293"/>
        <v>0</v>
      </c>
      <c r="CQ328">
        <f t="shared" si="294"/>
        <v>1487.52</v>
      </c>
      <c r="CR328">
        <f t="shared" si="295"/>
        <v>0</v>
      </c>
      <c r="CS328">
        <f t="shared" si="296"/>
        <v>0</v>
      </c>
      <c r="CT328">
        <f t="shared" si="297"/>
        <v>0</v>
      </c>
      <c r="CU328">
        <f t="shared" si="298"/>
        <v>0</v>
      </c>
      <c r="CV328">
        <f t="shared" si="299"/>
        <v>0</v>
      </c>
      <c r="CW328">
        <f t="shared" si="300"/>
        <v>0</v>
      </c>
      <c r="CX328">
        <f t="shared" si="301"/>
        <v>0</v>
      </c>
      <c r="CY328">
        <f t="shared" si="302"/>
        <v>0</v>
      </c>
      <c r="CZ328">
        <f t="shared" si="303"/>
        <v>0</v>
      </c>
      <c r="DC328" t="s">
        <v>3</v>
      </c>
      <c r="DD328" t="s">
        <v>3</v>
      </c>
      <c r="DE328" t="s">
        <v>3</v>
      </c>
      <c r="DF328" t="s">
        <v>3</v>
      </c>
      <c r="DG328" t="s">
        <v>3</v>
      </c>
      <c r="DH328" t="s">
        <v>3</v>
      </c>
      <c r="DI328" t="s">
        <v>3</v>
      </c>
      <c r="DJ328" t="s">
        <v>3</v>
      </c>
      <c r="DK328" t="s">
        <v>3</v>
      </c>
      <c r="DL328" t="s">
        <v>3</v>
      </c>
      <c r="DM328" t="s">
        <v>3</v>
      </c>
      <c r="DN328">
        <v>0</v>
      </c>
      <c r="DO328">
        <v>0</v>
      </c>
      <c r="DP328">
        <v>1</v>
      </c>
      <c r="DQ328">
        <v>1</v>
      </c>
      <c r="DU328">
        <v>1007</v>
      </c>
      <c r="DV328" t="s">
        <v>26</v>
      </c>
      <c r="DW328" t="s">
        <v>26</v>
      </c>
      <c r="DX328">
        <v>1</v>
      </c>
      <c r="DZ328" t="s">
        <v>3</v>
      </c>
      <c r="EA328" t="s">
        <v>3</v>
      </c>
      <c r="EB328" t="s">
        <v>3</v>
      </c>
      <c r="EC328" t="s">
        <v>3</v>
      </c>
      <c r="EE328">
        <v>54545671</v>
      </c>
      <c r="EF328">
        <v>1</v>
      </c>
      <c r="EG328" t="s">
        <v>20</v>
      </c>
      <c r="EH328">
        <v>0</v>
      </c>
      <c r="EI328" t="s">
        <v>3</v>
      </c>
      <c r="EJ328">
        <v>4</v>
      </c>
      <c r="EK328">
        <v>0</v>
      </c>
      <c r="EL328" t="s">
        <v>21</v>
      </c>
      <c r="EM328" t="s">
        <v>22</v>
      </c>
      <c r="EO328" t="s">
        <v>3</v>
      </c>
      <c r="EQ328">
        <v>0</v>
      </c>
      <c r="ER328">
        <v>1487.52</v>
      </c>
      <c r="ES328">
        <v>1487.52</v>
      </c>
      <c r="ET328">
        <v>0</v>
      </c>
      <c r="EU328">
        <v>0</v>
      </c>
      <c r="EV328">
        <v>0</v>
      </c>
      <c r="EW328">
        <v>0</v>
      </c>
      <c r="EX328">
        <v>0</v>
      </c>
      <c r="FQ328">
        <v>0</v>
      </c>
      <c r="FR328">
        <f t="shared" si="304"/>
        <v>0</v>
      </c>
      <c r="FS328">
        <v>0</v>
      </c>
      <c r="FX328">
        <v>70</v>
      </c>
      <c r="FY328">
        <v>10</v>
      </c>
      <c r="GA328" t="s">
        <v>3</v>
      </c>
      <c r="GD328">
        <v>0</v>
      </c>
      <c r="GF328">
        <v>-1266475872</v>
      </c>
      <c r="GG328">
        <v>2</v>
      </c>
      <c r="GH328">
        <v>1</v>
      </c>
      <c r="GI328">
        <v>-2</v>
      </c>
      <c r="GJ328">
        <v>0</v>
      </c>
      <c r="GK328">
        <f>ROUND(R328*(R12)/100,2)</f>
        <v>0</v>
      </c>
      <c r="GL328">
        <f t="shared" si="305"/>
        <v>0</v>
      </c>
      <c r="GM328">
        <f t="shared" si="306"/>
        <v>0</v>
      </c>
      <c r="GN328">
        <f t="shared" si="307"/>
        <v>0</v>
      </c>
      <c r="GO328">
        <f t="shared" si="308"/>
        <v>0</v>
      </c>
      <c r="GP328">
        <f t="shared" si="309"/>
        <v>0</v>
      </c>
      <c r="GR328">
        <v>0</v>
      </c>
      <c r="GS328">
        <v>3</v>
      </c>
      <c r="GT328">
        <v>0</v>
      </c>
      <c r="GU328" t="s">
        <v>3</v>
      </c>
      <c r="GV328">
        <f t="shared" si="310"/>
        <v>0</v>
      </c>
      <c r="GW328">
        <v>1</v>
      </c>
      <c r="GX328">
        <f t="shared" si="311"/>
        <v>0</v>
      </c>
      <c r="HA328">
        <v>0</v>
      </c>
      <c r="HB328">
        <v>0</v>
      </c>
      <c r="HC328">
        <f t="shared" si="312"/>
        <v>0</v>
      </c>
      <c r="HE328" t="s">
        <v>3</v>
      </c>
      <c r="HF328" t="s">
        <v>3</v>
      </c>
      <c r="IK328">
        <v>0</v>
      </c>
    </row>
    <row r="329" spans="1:245" x14ac:dyDescent="0.2">
      <c r="A329">
        <v>17</v>
      </c>
      <c r="B329">
        <v>1</v>
      </c>
      <c r="C329">
        <f>ROW(SmtRes!A144)</f>
        <v>144</v>
      </c>
      <c r="D329">
        <f>ROW(EtalonRes!A132)</f>
        <v>132</v>
      </c>
      <c r="E329" t="s">
        <v>250</v>
      </c>
      <c r="F329" t="s">
        <v>251</v>
      </c>
      <c r="G329" t="s">
        <v>252</v>
      </c>
      <c r="H329" t="s">
        <v>253</v>
      </c>
      <c r="I329">
        <v>265</v>
      </c>
      <c r="J329">
        <v>0</v>
      </c>
      <c r="O329">
        <f t="shared" si="275"/>
        <v>219780.4</v>
      </c>
      <c r="P329">
        <f t="shared" si="276"/>
        <v>135362</v>
      </c>
      <c r="Q329">
        <f t="shared" si="277"/>
        <v>48810.35</v>
      </c>
      <c r="R329">
        <f t="shared" si="278"/>
        <v>27143.95</v>
      </c>
      <c r="S329">
        <f t="shared" si="279"/>
        <v>35608.050000000003</v>
      </c>
      <c r="T329">
        <f t="shared" si="280"/>
        <v>0</v>
      </c>
      <c r="U329">
        <f t="shared" si="281"/>
        <v>174.9</v>
      </c>
      <c r="V329">
        <f t="shared" si="282"/>
        <v>0</v>
      </c>
      <c r="W329">
        <f t="shared" si="283"/>
        <v>0</v>
      </c>
      <c r="X329">
        <f t="shared" si="284"/>
        <v>24925.64</v>
      </c>
      <c r="Y329">
        <f t="shared" si="285"/>
        <v>3560.81</v>
      </c>
      <c r="AA329">
        <v>56440881</v>
      </c>
      <c r="AB329">
        <f t="shared" si="286"/>
        <v>829.36</v>
      </c>
      <c r="AC329">
        <f t="shared" si="287"/>
        <v>510.8</v>
      </c>
      <c r="AD329">
        <f t="shared" si="288"/>
        <v>184.19</v>
      </c>
      <c r="AE329">
        <f t="shared" si="289"/>
        <v>102.43</v>
      </c>
      <c r="AF329">
        <f t="shared" si="289"/>
        <v>134.37</v>
      </c>
      <c r="AG329">
        <f t="shared" si="290"/>
        <v>0</v>
      </c>
      <c r="AH329">
        <f t="shared" si="291"/>
        <v>0.66</v>
      </c>
      <c r="AI329">
        <f t="shared" si="291"/>
        <v>0</v>
      </c>
      <c r="AJ329">
        <f t="shared" si="292"/>
        <v>0</v>
      </c>
      <c r="AK329">
        <v>829.36</v>
      </c>
      <c r="AL329">
        <v>510.8</v>
      </c>
      <c r="AM329">
        <v>184.19</v>
      </c>
      <c r="AN329">
        <v>102.43</v>
      </c>
      <c r="AO329">
        <v>134.37</v>
      </c>
      <c r="AP329">
        <v>0</v>
      </c>
      <c r="AQ329">
        <v>0.66</v>
      </c>
      <c r="AR329">
        <v>0</v>
      </c>
      <c r="AS329">
        <v>0</v>
      </c>
      <c r="AT329">
        <v>70</v>
      </c>
      <c r="AU329">
        <v>10</v>
      </c>
      <c r="AV329">
        <v>1</v>
      </c>
      <c r="AW329">
        <v>1</v>
      </c>
      <c r="AZ329">
        <v>1</v>
      </c>
      <c r="BA329">
        <v>1</v>
      </c>
      <c r="BB329">
        <v>1</v>
      </c>
      <c r="BC329">
        <v>1</v>
      </c>
      <c r="BD329" t="s">
        <v>3</v>
      </c>
      <c r="BE329" t="s">
        <v>3</v>
      </c>
      <c r="BF329" t="s">
        <v>3</v>
      </c>
      <c r="BG329" t="s">
        <v>3</v>
      </c>
      <c r="BH329">
        <v>0</v>
      </c>
      <c r="BI329">
        <v>4</v>
      </c>
      <c r="BJ329" t="s">
        <v>254</v>
      </c>
      <c r="BM329">
        <v>0</v>
      </c>
      <c r="BN329">
        <v>0</v>
      </c>
      <c r="BO329" t="s">
        <v>3</v>
      </c>
      <c r="BP329">
        <v>0</v>
      </c>
      <c r="BQ329">
        <v>1</v>
      </c>
      <c r="BR329">
        <v>0</v>
      </c>
      <c r="BS329">
        <v>1</v>
      </c>
      <c r="BT329">
        <v>1</v>
      </c>
      <c r="BU329">
        <v>1</v>
      </c>
      <c r="BV329">
        <v>1</v>
      </c>
      <c r="BW329">
        <v>1</v>
      </c>
      <c r="BX329">
        <v>1</v>
      </c>
      <c r="BY329" t="s">
        <v>3</v>
      </c>
      <c r="BZ329">
        <v>70</v>
      </c>
      <c r="CA329">
        <v>10</v>
      </c>
      <c r="CE329">
        <v>0</v>
      </c>
      <c r="CF329">
        <v>0</v>
      </c>
      <c r="CG329">
        <v>0</v>
      </c>
      <c r="CM329">
        <v>0</v>
      </c>
      <c r="CN329" t="s">
        <v>3</v>
      </c>
      <c r="CO329">
        <v>0</v>
      </c>
      <c r="CP329">
        <f t="shared" si="293"/>
        <v>219780.40000000002</v>
      </c>
      <c r="CQ329">
        <f t="shared" si="294"/>
        <v>510.8</v>
      </c>
      <c r="CR329">
        <f t="shared" si="295"/>
        <v>184.19</v>
      </c>
      <c r="CS329">
        <f t="shared" si="296"/>
        <v>102.43</v>
      </c>
      <c r="CT329">
        <f t="shared" si="297"/>
        <v>134.37</v>
      </c>
      <c r="CU329">
        <f t="shared" si="298"/>
        <v>0</v>
      </c>
      <c r="CV329">
        <f t="shared" si="299"/>
        <v>0.66</v>
      </c>
      <c r="CW329">
        <f t="shared" si="300"/>
        <v>0</v>
      </c>
      <c r="CX329">
        <f t="shared" si="301"/>
        <v>0</v>
      </c>
      <c r="CY329">
        <f t="shared" si="302"/>
        <v>24925.634999999998</v>
      </c>
      <c r="CZ329">
        <f t="shared" si="303"/>
        <v>3560.8049999999998</v>
      </c>
      <c r="DC329" t="s">
        <v>3</v>
      </c>
      <c r="DD329" t="s">
        <v>3</v>
      </c>
      <c r="DE329" t="s">
        <v>3</v>
      </c>
      <c r="DF329" t="s">
        <v>3</v>
      </c>
      <c r="DG329" t="s">
        <v>3</v>
      </c>
      <c r="DH329" t="s">
        <v>3</v>
      </c>
      <c r="DI329" t="s">
        <v>3</v>
      </c>
      <c r="DJ329" t="s">
        <v>3</v>
      </c>
      <c r="DK329" t="s">
        <v>3</v>
      </c>
      <c r="DL329" t="s">
        <v>3</v>
      </c>
      <c r="DM329" t="s">
        <v>3</v>
      </c>
      <c r="DN329">
        <v>0</v>
      </c>
      <c r="DO329">
        <v>0</v>
      </c>
      <c r="DP329">
        <v>1</v>
      </c>
      <c r="DQ329">
        <v>1</v>
      </c>
      <c r="DU329">
        <v>1003</v>
      </c>
      <c r="DV329" t="s">
        <v>253</v>
      </c>
      <c r="DW329" t="s">
        <v>253</v>
      </c>
      <c r="DX329">
        <v>1</v>
      </c>
      <c r="DZ329" t="s">
        <v>3</v>
      </c>
      <c r="EA329" t="s">
        <v>3</v>
      </c>
      <c r="EB329" t="s">
        <v>3</v>
      </c>
      <c r="EC329" t="s">
        <v>3</v>
      </c>
      <c r="EE329">
        <v>54545671</v>
      </c>
      <c r="EF329">
        <v>1</v>
      </c>
      <c r="EG329" t="s">
        <v>20</v>
      </c>
      <c r="EH329">
        <v>0</v>
      </c>
      <c r="EI329" t="s">
        <v>3</v>
      </c>
      <c r="EJ329">
        <v>4</v>
      </c>
      <c r="EK329">
        <v>0</v>
      </c>
      <c r="EL329" t="s">
        <v>21</v>
      </c>
      <c r="EM329" t="s">
        <v>22</v>
      </c>
      <c r="EO329" t="s">
        <v>3</v>
      </c>
      <c r="EQ329">
        <v>0</v>
      </c>
      <c r="ER329">
        <v>829.36</v>
      </c>
      <c r="ES329">
        <v>510.8</v>
      </c>
      <c r="ET329">
        <v>184.19</v>
      </c>
      <c r="EU329">
        <v>102.43</v>
      </c>
      <c r="EV329">
        <v>134.37</v>
      </c>
      <c r="EW329">
        <v>0.66</v>
      </c>
      <c r="EX329">
        <v>0</v>
      </c>
      <c r="EY329">
        <v>0</v>
      </c>
      <c r="FQ329">
        <v>0</v>
      </c>
      <c r="FR329">
        <f t="shared" si="304"/>
        <v>0</v>
      </c>
      <c r="FS329">
        <v>0</v>
      </c>
      <c r="FX329">
        <v>70</v>
      </c>
      <c r="FY329">
        <v>10</v>
      </c>
      <c r="GA329" t="s">
        <v>3</v>
      </c>
      <c r="GD329">
        <v>0</v>
      </c>
      <c r="GF329">
        <v>1381074497</v>
      </c>
      <c r="GG329">
        <v>2</v>
      </c>
      <c r="GH329">
        <v>1</v>
      </c>
      <c r="GI329">
        <v>-2</v>
      </c>
      <c r="GJ329">
        <v>0</v>
      </c>
      <c r="GK329">
        <f>ROUND(R329*(R12)/100,2)</f>
        <v>29315.47</v>
      </c>
      <c r="GL329">
        <f t="shared" si="305"/>
        <v>0</v>
      </c>
      <c r="GM329">
        <f t="shared" si="306"/>
        <v>277582.32</v>
      </c>
      <c r="GN329">
        <f t="shared" si="307"/>
        <v>0</v>
      </c>
      <c r="GO329">
        <f t="shared" si="308"/>
        <v>0</v>
      </c>
      <c r="GP329">
        <f t="shared" si="309"/>
        <v>277582.32</v>
      </c>
      <c r="GR329">
        <v>0</v>
      </c>
      <c r="GS329">
        <v>3</v>
      </c>
      <c r="GT329">
        <v>0</v>
      </c>
      <c r="GU329" t="s">
        <v>3</v>
      </c>
      <c r="GV329">
        <f t="shared" si="310"/>
        <v>0</v>
      </c>
      <c r="GW329">
        <v>1</v>
      </c>
      <c r="GX329">
        <f t="shared" si="311"/>
        <v>0</v>
      </c>
      <c r="HA329">
        <v>0</v>
      </c>
      <c r="HB329">
        <v>0</v>
      </c>
      <c r="HC329">
        <f t="shared" si="312"/>
        <v>0</v>
      </c>
      <c r="HE329" t="s">
        <v>3</v>
      </c>
      <c r="HF329" t="s">
        <v>3</v>
      </c>
      <c r="IK329">
        <v>0</v>
      </c>
    </row>
    <row r="330" spans="1:245" x14ac:dyDescent="0.2">
      <c r="A330">
        <v>18</v>
      </c>
      <c r="B330">
        <v>1</v>
      </c>
      <c r="C330">
        <v>144</v>
      </c>
      <c r="E330" t="s">
        <v>255</v>
      </c>
      <c r="F330" t="s">
        <v>118</v>
      </c>
      <c r="G330" t="s">
        <v>119</v>
      </c>
      <c r="H330" t="s">
        <v>44</v>
      </c>
      <c r="I330">
        <f>I329*J330</f>
        <v>-65.19</v>
      </c>
      <c r="J330">
        <v>-0.246</v>
      </c>
      <c r="O330">
        <f t="shared" si="275"/>
        <v>0</v>
      </c>
      <c r="P330">
        <f t="shared" si="276"/>
        <v>0</v>
      </c>
      <c r="Q330">
        <f t="shared" si="277"/>
        <v>0</v>
      </c>
      <c r="R330">
        <f t="shared" si="278"/>
        <v>0</v>
      </c>
      <c r="S330">
        <f t="shared" si="279"/>
        <v>0</v>
      </c>
      <c r="T330">
        <f t="shared" si="280"/>
        <v>0</v>
      </c>
      <c r="U330">
        <f t="shared" si="281"/>
        <v>0</v>
      </c>
      <c r="V330">
        <f t="shared" si="282"/>
        <v>0</v>
      </c>
      <c r="W330">
        <f t="shared" si="283"/>
        <v>0</v>
      </c>
      <c r="X330">
        <f t="shared" si="284"/>
        <v>0</v>
      </c>
      <c r="Y330">
        <f t="shared" si="285"/>
        <v>0</v>
      </c>
      <c r="AA330">
        <v>56440881</v>
      </c>
      <c r="AB330">
        <f t="shared" si="286"/>
        <v>0</v>
      </c>
      <c r="AC330">
        <f t="shared" si="287"/>
        <v>0</v>
      </c>
      <c r="AD330">
        <f t="shared" si="288"/>
        <v>0</v>
      </c>
      <c r="AE330">
        <f t="shared" si="289"/>
        <v>0</v>
      </c>
      <c r="AF330">
        <f t="shared" si="289"/>
        <v>0</v>
      </c>
      <c r="AG330">
        <f t="shared" si="290"/>
        <v>0</v>
      </c>
      <c r="AH330">
        <f t="shared" si="291"/>
        <v>0</v>
      </c>
      <c r="AI330">
        <f t="shared" si="291"/>
        <v>0</v>
      </c>
      <c r="AJ330">
        <f t="shared" si="292"/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70</v>
      </c>
      <c r="AU330">
        <v>10</v>
      </c>
      <c r="AV330">
        <v>1</v>
      </c>
      <c r="AW330">
        <v>1</v>
      </c>
      <c r="AZ330">
        <v>1</v>
      </c>
      <c r="BA330">
        <v>1</v>
      </c>
      <c r="BB330">
        <v>1</v>
      </c>
      <c r="BC330">
        <v>1</v>
      </c>
      <c r="BD330" t="s">
        <v>3</v>
      </c>
      <c r="BE330" t="s">
        <v>3</v>
      </c>
      <c r="BF330" t="s">
        <v>3</v>
      </c>
      <c r="BG330" t="s">
        <v>3</v>
      </c>
      <c r="BH330">
        <v>3</v>
      </c>
      <c r="BI330">
        <v>4</v>
      </c>
      <c r="BJ330" t="s">
        <v>3</v>
      </c>
      <c r="BM330">
        <v>0</v>
      </c>
      <c r="BN330">
        <v>0</v>
      </c>
      <c r="BO330" t="s">
        <v>3</v>
      </c>
      <c r="BP330">
        <v>0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 t="s">
        <v>3</v>
      </c>
      <c r="BZ330">
        <v>70</v>
      </c>
      <c r="CA330">
        <v>10</v>
      </c>
      <c r="CE330">
        <v>0</v>
      </c>
      <c r="CF330">
        <v>0</v>
      </c>
      <c r="CG330">
        <v>0</v>
      </c>
      <c r="CM330">
        <v>0</v>
      </c>
      <c r="CN330" t="s">
        <v>3</v>
      </c>
      <c r="CO330">
        <v>0</v>
      </c>
      <c r="CP330">
        <f t="shared" si="293"/>
        <v>0</v>
      </c>
      <c r="CQ330">
        <f t="shared" si="294"/>
        <v>0</v>
      </c>
      <c r="CR330">
        <f t="shared" si="295"/>
        <v>0</v>
      </c>
      <c r="CS330">
        <f t="shared" si="296"/>
        <v>0</v>
      </c>
      <c r="CT330">
        <f t="shared" si="297"/>
        <v>0</v>
      </c>
      <c r="CU330">
        <f t="shared" si="298"/>
        <v>0</v>
      </c>
      <c r="CV330">
        <f t="shared" si="299"/>
        <v>0</v>
      </c>
      <c r="CW330">
        <f t="shared" si="300"/>
        <v>0</v>
      </c>
      <c r="CX330">
        <f t="shared" si="301"/>
        <v>0</v>
      </c>
      <c r="CY330">
        <f t="shared" si="302"/>
        <v>0</v>
      </c>
      <c r="CZ330">
        <f t="shared" si="303"/>
        <v>0</v>
      </c>
      <c r="DC330" t="s">
        <v>3</v>
      </c>
      <c r="DD330" t="s">
        <v>3</v>
      </c>
      <c r="DE330" t="s">
        <v>3</v>
      </c>
      <c r="DF330" t="s">
        <v>3</v>
      </c>
      <c r="DG330" t="s">
        <v>3</v>
      </c>
      <c r="DH330" t="s">
        <v>3</v>
      </c>
      <c r="DI330" t="s">
        <v>3</v>
      </c>
      <c r="DJ330" t="s">
        <v>3</v>
      </c>
      <c r="DK330" t="s">
        <v>3</v>
      </c>
      <c r="DL330" t="s">
        <v>3</v>
      </c>
      <c r="DM330" t="s">
        <v>3</v>
      </c>
      <c r="DN330">
        <v>0</v>
      </c>
      <c r="DO330">
        <v>0</v>
      </c>
      <c r="DP330">
        <v>1</v>
      </c>
      <c r="DQ330">
        <v>1</v>
      </c>
      <c r="DU330">
        <v>1009</v>
      </c>
      <c r="DV330" t="s">
        <v>44</v>
      </c>
      <c r="DW330" t="s">
        <v>44</v>
      </c>
      <c r="DX330">
        <v>1000</v>
      </c>
      <c r="DZ330" t="s">
        <v>3</v>
      </c>
      <c r="EA330" t="s">
        <v>3</v>
      </c>
      <c r="EB330" t="s">
        <v>3</v>
      </c>
      <c r="EC330" t="s">
        <v>3</v>
      </c>
      <c r="EE330">
        <v>54545671</v>
      </c>
      <c r="EF330">
        <v>1</v>
      </c>
      <c r="EG330" t="s">
        <v>20</v>
      </c>
      <c r="EH330">
        <v>0</v>
      </c>
      <c r="EI330" t="s">
        <v>3</v>
      </c>
      <c r="EJ330">
        <v>4</v>
      </c>
      <c r="EK330">
        <v>0</v>
      </c>
      <c r="EL330" t="s">
        <v>21</v>
      </c>
      <c r="EM330" t="s">
        <v>22</v>
      </c>
      <c r="EO330" t="s">
        <v>3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FQ330">
        <v>0</v>
      </c>
      <c r="FR330">
        <f t="shared" si="304"/>
        <v>0</v>
      </c>
      <c r="FS330">
        <v>0</v>
      </c>
      <c r="FX330">
        <v>70</v>
      </c>
      <c r="FY330">
        <v>10</v>
      </c>
      <c r="GA330" t="s">
        <v>3</v>
      </c>
      <c r="GD330">
        <v>0</v>
      </c>
      <c r="GF330">
        <v>1489638031</v>
      </c>
      <c r="GG330">
        <v>2</v>
      </c>
      <c r="GH330">
        <v>1</v>
      </c>
      <c r="GI330">
        <v>-2</v>
      </c>
      <c r="GJ330">
        <v>0</v>
      </c>
      <c r="GK330">
        <f>ROUND(R330*(R12)/100,2)</f>
        <v>0</v>
      </c>
      <c r="GL330">
        <f t="shared" si="305"/>
        <v>0</v>
      </c>
      <c r="GM330">
        <f t="shared" si="306"/>
        <v>0</v>
      </c>
      <c r="GN330">
        <f t="shared" si="307"/>
        <v>0</v>
      </c>
      <c r="GO330">
        <f t="shared" si="308"/>
        <v>0</v>
      </c>
      <c r="GP330">
        <f t="shared" si="309"/>
        <v>0</v>
      </c>
      <c r="GR330">
        <v>0</v>
      </c>
      <c r="GS330">
        <v>3</v>
      </c>
      <c r="GT330">
        <v>0</v>
      </c>
      <c r="GU330" t="s">
        <v>3</v>
      </c>
      <c r="GV330">
        <f t="shared" si="310"/>
        <v>0</v>
      </c>
      <c r="GW330">
        <v>1</v>
      </c>
      <c r="GX330">
        <f t="shared" si="311"/>
        <v>0</v>
      </c>
      <c r="HA330">
        <v>0</v>
      </c>
      <c r="HB330">
        <v>0</v>
      </c>
      <c r="HC330">
        <f t="shared" si="312"/>
        <v>0</v>
      </c>
      <c r="HE330" t="s">
        <v>3</v>
      </c>
      <c r="HF330" t="s">
        <v>3</v>
      </c>
      <c r="IK330">
        <v>0</v>
      </c>
    </row>
    <row r="331" spans="1:245" x14ac:dyDescent="0.2">
      <c r="A331">
        <v>17</v>
      </c>
      <c r="B331">
        <v>1</v>
      </c>
      <c r="C331">
        <f>ROW(SmtRes!A146)</f>
        <v>146</v>
      </c>
      <c r="D331">
        <f>ROW(EtalonRes!A134)</f>
        <v>134</v>
      </c>
      <c r="E331" t="s">
        <v>256</v>
      </c>
      <c r="F331" t="s">
        <v>129</v>
      </c>
      <c r="G331" t="s">
        <v>130</v>
      </c>
      <c r="H331" t="s">
        <v>44</v>
      </c>
      <c r="I331">
        <f>ROUND(I333*0.9,9)</f>
        <v>58.670999999999999</v>
      </c>
      <c r="J331">
        <v>0</v>
      </c>
      <c r="O331">
        <f t="shared" si="275"/>
        <v>3666.94</v>
      </c>
      <c r="P331">
        <f t="shared" si="276"/>
        <v>0</v>
      </c>
      <c r="Q331">
        <f t="shared" si="277"/>
        <v>3666.94</v>
      </c>
      <c r="R331">
        <f t="shared" si="278"/>
        <v>2172</v>
      </c>
      <c r="S331">
        <f t="shared" si="279"/>
        <v>0</v>
      </c>
      <c r="T331">
        <f t="shared" si="280"/>
        <v>0</v>
      </c>
      <c r="U331">
        <f t="shared" si="281"/>
        <v>0</v>
      </c>
      <c r="V331">
        <f t="shared" si="282"/>
        <v>0</v>
      </c>
      <c r="W331">
        <f t="shared" si="283"/>
        <v>0</v>
      </c>
      <c r="X331">
        <f t="shared" si="284"/>
        <v>0</v>
      </c>
      <c r="Y331">
        <f t="shared" si="285"/>
        <v>0</v>
      </c>
      <c r="AA331">
        <v>56440881</v>
      </c>
      <c r="AB331">
        <f t="shared" si="286"/>
        <v>62.5</v>
      </c>
      <c r="AC331">
        <f t="shared" si="287"/>
        <v>0</v>
      </c>
      <c r="AD331">
        <f t="shared" si="288"/>
        <v>62.5</v>
      </c>
      <c r="AE331">
        <f t="shared" si="289"/>
        <v>37.020000000000003</v>
      </c>
      <c r="AF331">
        <f t="shared" si="289"/>
        <v>0</v>
      </c>
      <c r="AG331">
        <f t="shared" si="290"/>
        <v>0</v>
      </c>
      <c r="AH331">
        <f t="shared" si="291"/>
        <v>0</v>
      </c>
      <c r="AI331">
        <f t="shared" si="291"/>
        <v>0</v>
      </c>
      <c r="AJ331">
        <f t="shared" si="292"/>
        <v>0</v>
      </c>
      <c r="AK331">
        <v>62.5</v>
      </c>
      <c r="AL331">
        <v>0</v>
      </c>
      <c r="AM331">
        <v>62.5</v>
      </c>
      <c r="AN331">
        <v>37.020000000000003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1</v>
      </c>
      <c r="AZ331">
        <v>1</v>
      </c>
      <c r="BA331">
        <v>1</v>
      </c>
      <c r="BB331">
        <v>1</v>
      </c>
      <c r="BC331">
        <v>1</v>
      </c>
      <c r="BD331" t="s">
        <v>3</v>
      </c>
      <c r="BE331" t="s">
        <v>3</v>
      </c>
      <c r="BF331" t="s">
        <v>3</v>
      </c>
      <c r="BG331" t="s">
        <v>3</v>
      </c>
      <c r="BH331">
        <v>0</v>
      </c>
      <c r="BI331">
        <v>4</v>
      </c>
      <c r="BJ331" t="s">
        <v>131</v>
      </c>
      <c r="BM331">
        <v>1</v>
      </c>
      <c r="BN331">
        <v>0</v>
      </c>
      <c r="BO331" t="s">
        <v>3</v>
      </c>
      <c r="BP331">
        <v>0</v>
      </c>
      <c r="BQ331">
        <v>1</v>
      </c>
      <c r="BR331">
        <v>0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 t="s">
        <v>3</v>
      </c>
      <c r="BZ331">
        <v>0</v>
      </c>
      <c r="CA331">
        <v>0</v>
      </c>
      <c r="CE331">
        <v>0</v>
      </c>
      <c r="CF331">
        <v>0</v>
      </c>
      <c r="CG331">
        <v>0</v>
      </c>
      <c r="CM331">
        <v>0</v>
      </c>
      <c r="CN331" t="s">
        <v>3</v>
      </c>
      <c r="CO331">
        <v>0</v>
      </c>
      <c r="CP331">
        <f t="shared" si="293"/>
        <v>3666.94</v>
      </c>
      <c r="CQ331">
        <f t="shared" si="294"/>
        <v>0</v>
      </c>
      <c r="CR331">
        <f t="shared" si="295"/>
        <v>62.5</v>
      </c>
      <c r="CS331">
        <f t="shared" si="296"/>
        <v>37.020000000000003</v>
      </c>
      <c r="CT331">
        <f t="shared" si="297"/>
        <v>0</v>
      </c>
      <c r="CU331">
        <f t="shared" si="298"/>
        <v>0</v>
      </c>
      <c r="CV331">
        <f t="shared" si="299"/>
        <v>0</v>
      </c>
      <c r="CW331">
        <f t="shared" si="300"/>
        <v>0</v>
      </c>
      <c r="CX331">
        <f t="shared" si="301"/>
        <v>0</v>
      </c>
      <c r="CY331">
        <f t="shared" si="302"/>
        <v>0</v>
      </c>
      <c r="CZ331">
        <f t="shared" si="303"/>
        <v>0</v>
      </c>
      <c r="DC331" t="s">
        <v>3</v>
      </c>
      <c r="DD331" t="s">
        <v>3</v>
      </c>
      <c r="DE331" t="s">
        <v>3</v>
      </c>
      <c r="DF331" t="s">
        <v>3</v>
      </c>
      <c r="DG331" t="s">
        <v>3</v>
      </c>
      <c r="DH331" t="s">
        <v>3</v>
      </c>
      <c r="DI331" t="s">
        <v>3</v>
      </c>
      <c r="DJ331" t="s">
        <v>3</v>
      </c>
      <c r="DK331" t="s">
        <v>3</v>
      </c>
      <c r="DL331" t="s">
        <v>3</v>
      </c>
      <c r="DM331" t="s">
        <v>3</v>
      </c>
      <c r="DN331">
        <v>0</v>
      </c>
      <c r="DO331">
        <v>0</v>
      </c>
      <c r="DP331">
        <v>1</v>
      </c>
      <c r="DQ331">
        <v>1</v>
      </c>
      <c r="DU331">
        <v>1009</v>
      </c>
      <c r="DV331" t="s">
        <v>44</v>
      </c>
      <c r="DW331" t="s">
        <v>44</v>
      </c>
      <c r="DX331">
        <v>1000</v>
      </c>
      <c r="DZ331" t="s">
        <v>3</v>
      </c>
      <c r="EA331" t="s">
        <v>3</v>
      </c>
      <c r="EB331" t="s">
        <v>3</v>
      </c>
      <c r="EC331" t="s">
        <v>3</v>
      </c>
      <c r="EE331">
        <v>54545673</v>
      </c>
      <c r="EF331">
        <v>1</v>
      </c>
      <c r="EG331" t="s">
        <v>20</v>
      </c>
      <c r="EH331">
        <v>0</v>
      </c>
      <c r="EI331" t="s">
        <v>3</v>
      </c>
      <c r="EJ331">
        <v>4</v>
      </c>
      <c r="EK331">
        <v>1</v>
      </c>
      <c r="EL331" t="s">
        <v>132</v>
      </c>
      <c r="EM331" t="s">
        <v>22</v>
      </c>
      <c r="EO331" t="s">
        <v>3</v>
      </c>
      <c r="EQ331">
        <v>0</v>
      </c>
      <c r="ER331">
        <v>62.5</v>
      </c>
      <c r="ES331">
        <v>0</v>
      </c>
      <c r="ET331">
        <v>62.5</v>
      </c>
      <c r="EU331">
        <v>37.020000000000003</v>
      </c>
      <c r="EV331">
        <v>0</v>
      </c>
      <c r="EW331">
        <v>0</v>
      </c>
      <c r="EX331">
        <v>0</v>
      </c>
      <c r="EY331">
        <v>0</v>
      </c>
      <c r="FQ331">
        <v>0</v>
      </c>
      <c r="FR331">
        <f t="shared" si="304"/>
        <v>0</v>
      </c>
      <c r="FS331">
        <v>0</v>
      </c>
      <c r="FX331">
        <v>0</v>
      </c>
      <c r="FY331">
        <v>0</v>
      </c>
      <c r="GA331" t="s">
        <v>3</v>
      </c>
      <c r="GD331">
        <v>1</v>
      </c>
      <c r="GF331">
        <v>512225628</v>
      </c>
      <c r="GG331">
        <v>2</v>
      </c>
      <c r="GH331">
        <v>1</v>
      </c>
      <c r="GI331">
        <v>-2</v>
      </c>
      <c r="GJ331">
        <v>0</v>
      </c>
      <c r="GK331">
        <v>0</v>
      </c>
      <c r="GL331">
        <f t="shared" si="305"/>
        <v>0</v>
      </c>
      <c r="GM331">
        <f>ROUND(O331+X331+Y331,2)+GX331</f>
        <v>3666.94</v>
      </c>
      <c r="GN331">
        <f>IF(OR(BI331=0,BI331=1),ROUND(O331+X331+Y331,2),0)</f>
        <v>0</v>
      </c>
      <c r="GO331">
        <f>IF(BI331=2,ROUND(O331+X331+Y331,2),0)</f>
        <v>0</v>
      </c>
      <c r="GP331">
        <f>IF(BI331=4,ROUND(O331+X331+Y331,2)+GX331,0)</f>
        <v>3666.94</v>
      </c>
      <c r="GR331">
        <v>0</v>
      </c>
      <c r="GS331">
        <v>3</v>
      </c>
      <c r="GT331">
        <v>0</v>
      </c>
      <c r="GU331" t="s">
        <v>3</v>
      </c>
      <c r="GV331">
        <f t="shared" si="310"/>
        <v>0</v>
      </c>
      <c r="GW331">
        <v>1</v>
      </c>
      <c r="GX331">
        <f t="shared" si="311"/>
        <v>0</v>
      </c>
      <c r="HA331">
        <v>0</v>
      </c>
      <c r="HB331">
        <v>0</v>
      </c>
      <c r="HC331">
        <f t="shared" si="312"/>
        <v>0</v>
      </c>
      <c r="HE331" t="s">
        <v>3</v>
      </c>
      <c r="HF331" t="s">
        <v>3</v>
      </c>
      <c r="IK331">
        <v>0</v>
      </c>
    </row>
    <row r="332" spans="1:245" x14ac:dyDescent="0.2">
      <c r="A332">
        <v>17</v>
      </c>
      <c r="B332">
        <v>1</v>
      </c>
      <c r="C332">
        <f>ROW(SmtRes!A148)</f>
        <v>148</v>
      </c>
      <c r="D332">
        <f>ROW(EtalonRes!A136)</f>
        <v>136</v>
      </c>
      <c r="E332" t="s">
        <v>257</v>
      </c>
      <c r="F332" t="s">
        <v>134</v>
      </c>
      <c r="G332" t="s">
        <v>135</v>
      </c>
      <c r="H332" t="s">
        <v>44</v>
      </c>
      <c r="I332">
        <f>ROUND(I333*0.1,9)</f>
        <v>6.5190000000000001</v>
      </c>
      <c r="J332">
        <v>0</v>
      </c>
      <c r="O332">
        <f t="shared" si="275"/>
        <v>1169.51</v>
      </c>
      <c r="P332">
        <f t="shared" si="276"/>
        <v>0</v>
      </c>
      <c r="Q332">
        <f t="shared" si="277"/>
        <v>1169.51</v>
      </c>
      <c r="R332">
        <f t="shared" si="278"/>
        <v>692.32</v>
      </c>
      <c r="S332">
        <f t="shared" si="279"/>
        <v>0</v>
      </c>
      <c r="T332">
        <f t="shared" si="280"/>
        <v>0</v>
      </c>
      <c r="U332">
        <f t="shared" si="281"/>
        <v>0</v>
      </c>
      <c r="V332">
        <f t="shared" si="282"/>
        <v>0</v>
      </c>
      <c r="W332">
        <f t="shared" si="283"/>
        <v>0</v>
      </c>
      <c r="X332">
        <f t="shared" si="284"/>
        <v>0</v>
      </c>
      <c r="Y332">
        <f t="shared" si="285"/>
        <v>0</v>
      </c>
      <c r="AA332">
        <v>56440881</v>
      </c>
      <c r="AB332">
        <f t="shared" si="286"/>
        <v>179.4</v>
      </c>
      <c r="AC332">
        <f t="shared" si="287"/>
        <v>0</v>
      </c>
      <c r="AD332">
        <f t="shared" si="288"/>
        <v>179.4</v>
      </c>
      <c r="AE332">
        <f t="shared" si="289"/>
        <v>106.2</v>
      </c>
      <c r="AF332">
        <f t="shared" si="289"/>
        <v>0</v>
      </c>
      <c r="AG332">
        <f t="shared" si="290"/>
        <v>0</v>
      </c>
      <c r="AH332">
        <f t="shared" si="291"/>
        <v>0</v>
      </c>
      <c r="AI332">
        <f t="shared" si="291"/>
        <v>0</v>
      </c>
      <c r="AJ332">
        <f t="shared" si="292"/>
        <v>0</v>
      </c>
      <c r="AK332">
        <v>179.4</v>
      </c>
      <c r="AL332">
        <v>0</v>
      </c>
      <c r="AM332">
        <v>179.4</v>
      </c>
      <c r="AN332">
        <v>106.2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1</v>
      </c>
      <c r="AZ332">
        <v>1</v>
      </c>
      <c r="BA332">
        <v>1</v>
      </c>
      <c r="BB332">
        <v>1</v>
      </c>
      <c r="BC332">
        <v>1</v>
      </c>
      <c r="BD332" t="s">
        <v>3</v>
      </c>
      <c r="BE332" t="s">
        <v>3</v>
      </c>
      <c r="BF332" t="s">
        <v>3</v>
      </c>
      <c r="BG332" t="s">
        <v>3</v>
      </c>
      <c r="BH332">
        <v>0</v>
      </c>
      <c r="BI332">
        <v>4</v>
      </c>
      <c r="BJ332" t="s">
        <v>136</v>
      </c>
      <c r="BM332">
        <v>1</v>
      </c>
      <c r="BN332">
        <v>0</v>
      </c>
      <c r="BO332" t="s">
        <v>3</v>
      </c>
      <c r="BP332">
        <v>0</v>
      </c>
      <c r="BQ332">
        <v>1</v>
      </c>
      <c r="BR332">
        <v>0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 t="s">
        <v>3</v>
      </c>
      <c r="BZ332">
        <v>0</v>
      </c>
      <c r="CA332">
        <v>0</v>
      </c>
      <c r="CE332">
        <v>0</v>
      </c>
      <c r="CF332">
        <v>0</v>
      </c>
      <c r="CG332">
        <v>0</v>
      </c>
      <c r="CM332">
        <v>0</v>
      </c>
      <c r="CN332" t="s">
        <v>3</v>
      </c>
      <c r="CO332">
        <v>0</v>
      </c>
      <c r="CP332">
        <f t="shared" si="293"/>
        <v>1169.51</v>
      </c>
      <c r="CQ332">
        <f t="shared" si="294"/>
        <v>0</v>
      </c>
      <c r="CR332">
        <f t="shared" si="295"/>
        <v>179.4</v>
      </c>
      <c r="CS332">
        <f t="shared" si="296"/>
        <v>106.2</v>
      </c>
      <c r="CT332">
        <f t="shared" si="297"/>
        <v>0</v>
      </c>
      <c r="CU332">
        <f t="shared" si="298"/>
        <v>0</v>
      </c>
      <c r="CV332">
        <f t="shared" si="299"/>
        <v>0</v>
      </c>
      <c r="CW332">
        <f t="shared" si="300"/>
        <v>0</v>
      </c>
      <c r="CX332">
        <f t="shared" si="301"/>
        <v>0</v>
      </c>
      <c r="CY332">
        <f t="shared" si="302"/>
        <v>0</v>
      </c>
      <c r="CZ332">
        <f t="shared" si="303"/>
        <v>0</v>
      </c>
      <c r="DC332" t="s">
        <v>3</v>
      </c>
      <c r="DD332" t="s">
        <v>3</v>
      </c>
      <c r="DE332" t="s">
        <v>3</v>
      </c>
      <c r="DF332" t="s">
        <v>3</v>
      </c>
      <c r="DG332" t="s">
        <v>3</v>
      </c>
      <c r="DH332" t="s">
        <v>3</v>
      </c>
      <c r="DI332" t="s">
        <v>3</v>
      </c>
      <c r="DJ332" t="s">
        <v>3</v>
      </c>
      <c r="DK332" t="s">
        <v>3</v>
      </c>
      <c r="DL332" t="s">
        <v>3</v>
      </c>
      <c r="DM332" t="s">
        <v>3</v>
      </c>
      <c r="DN332">
        <v>0</v>
      </c>
      <c r="DO332">
        <v>0</v>
      </c>
      <c r="DP332">
        <v>1</v>
      </c>
      <c r="DQ332">
        <v>1</v>
      </c>
      <c r="DU332">
        <v>1009</v>
      </c>
      <c r="DV332" t="s">
        <v>44</v>
      </c>
      <c r="DW332" t="s">
        <v>44</v>
      </c>
      <c r="DX332">
        <v>1000</v>
      </c>
      <c r="DZ332" t="s">
        <v>3</v>
      </c>
      <c r="EA332" t="s">
        <v>3</v>
      </c>
      <c r="EB332" t="s">
        <v>3</v>
      </c>
      <c r="EC332" t="s">
        <v>3</v>
      </c>
      <c r="EE332">
        <v>54545673</v>
      </c>
      <c r="EF332">
        <v>1</v>
      </c>
      <c r="EG332" t="s">
        <v>20</v>
      </c>
      <c r="EH332">
        <v>0</v>
      </c>
      <c r="EI332" t="s">
        <v>3</v>
      </c>
      <c r="EJ332">
        <v>4</v>
      </c>
      <c r="EK332">
        <v>1</v>
      </c>
      <c r="EL332" t="s">
        <v>132</v>
      </c>
      <c r="EM332" t="s">
        <v>22</v>
      </c>
      <c r="EO332" t="s">
        <v>3</v>
      </c>
      <c r="EQ332">
        <v>0</v>
      </c>
      <c r="ER332">
        <v>179.4</v>
      </c>
      <c r="ES332">
        <v>0</v>
      </c>
      <c r="ET332">
        <v>179.4</v>
      </c>
      <c r="EU332">
        <v>106.2</v>
      </c>
      <c r="EV332">
        <v>0</v>
      </c>
      <c r="EW332">
        <v>0</v>
      </c>
      <c r="EX332">
        <v>0</v>
      </c>
      <c r="EY332">
        <v>0</v>
      </c>
      <c r="FQ332">
        <v>0</v>
      </c>
      <c r="FR332">
        <f t="shared" si="304"/>
        <v>0</v>
      </c>
      <c r="FS332">
        <v>0</v>
      </c>
      <c r="FX332">
        <v>0</v>
      </c>
      <c r="FY332">
        <v>0</v>
      </c>
      <c r="GA332" t="s">
        <v>3</v>
      </c>
      <c r="GD332">
        <v>1</v>
      </c>
      <c r="GF332">
        <v>-1684252738</v>
      </c>
      <c r="GG332">
        <v>2</v>
      </c>
      <c r="GH332">
        <v>1</v>
      </c>
      <c r="GI332">
        <v>-2</v>
      </c>
      <c r="GJ332">
        <v>0</v>
      </c>
      <c r="GK332">
        <v>0</v>
      </c>
      <c r="GL332">
        <f t="shared" si="305"/>
        <v>0</v>
      </c>
      <c r="GM332">
        <f>ROUND(O332+X332+Y332,2)+GX332</f>
        <v>1169.51</v>
      </c>
      <c r="GN332">
        <f>IF(OR(BI332=0,BI332=1),ROUND(O332+X332+Y332,2),0)</f>
        <v>0</v>
      </c>
      <c r="GO332">
        <f>IF(BI332=2,ROUND(O332+X332+Y332,2),0)</f>
        <v>0</v>
      </c>
      <c r="GP332">
        <f>IF(BI332=4,ROUND(O332+X332+Y332,2)+GX332,0)</f>
        <v>1169.51</v>
      </c>
      <c r="GR332">
        <v>0</v>
      </c>
      <c r="GS332">
        <v>3</v>
      </c>
      <c r="GT332">
        <v>0</v>
      </c>
      <c r="GU332" t="s">
        <v>3</v>
      </c>
      <c r="GV332">
        <f t="shared" si="310"/>
        <v>0</v>
      </c>
      <c r="GW332">
        <v>1</v>
      </c>
      <c r="GX332">
        <f t="shared" si="311"/>
        <v>0</v>
      </c>
      <c r="HA332">
        <v>0</v>
      </c>
      <c r="HB332">
        <v>0</v>
      </c>
      <c r="HC332">
        <f t="shared" si="312"/>
        <v>0</v>
      </c>
      <c r="HE332" t="s">
        <v>3</v>
      </c>
      <c r="HF332" t="s">
        <v>3</v>
      </c>
      <c r="IK332">
        <v>0</v>
      </c>
    </row>
    <row r="333" spans="1:245" x14ac:dyDescent="0.2">
      <c r="A333">
        <v>17</v>
      </c>
      <c r="B333">
        <v>1</v>
      </c>
      <c r="C333">
        <f>ROW(SmtRes!A150)</f>
        <v>150</v>
      </c>
      <c r="D333">
        <f>ROW(EtalonRes!A138)</f>
        <v>138</v>
      </c>
      <c r="E333" t="s">
        <v>258</v>
      </c>
      <c r="F333" t="s">
        <v>138</v>
      </c>
      <c r="G333" t="s">
        <v>139</v>
      </c>
      <c r="H333" t="s">
        <v>44</v>
      </c>
      <c r="I333">
        <f>ROUND(I334,9)</f>
        <v>65.19</v>
      </c>
      <c r="J333">
        <v>0</v>
      </c>
      <c r="O333">
        <f t="shared" si="275"/>
        <v>98344.33</v>
      </c>
      <c r="P333">
        <f t="shared" si="276"/>
        <v>0</v>
      </c>
      <c r="Q333">
        <f t="shared" si="277"/>
        <v>98344.33</v>
      </c>
      <c r="R333">
        <f t="shared" si="278"/>
        <v>58315.06</v>
      </c>
      <c r="S333">
        <f t="shared" si="279"/>
        <v>0</v>
      </c>
      <c r="T333">
        <f t="shared" si="280"/>
        <v>0</v>
      </c>
      <c r="U333">
        <f t="shared" si="281"/>
        <v>0</v>
      </c>
      <c r="V333">
        <f t="shared" si="282"/>
        <v>0</v>
      </c>
      <c r="W333">
        <f t="shared" si="283"/>
        <v>0</v>
      </c>
      <c r="X333">
        <f t="shared" si="284"/>
        <v>0</v>
      </c>
      <c r="Y333">
        <f t="shared" si="285"/>
        <v>0</v>
      </c>
      <c r="AA333">
        <v>56440881</v>
      </c>
      <c r="AB333">
        <f t="shared" si="286"/>
        <v>1508.58</v>
      </c>
      <c r="AC333">
        <f>ROUND(((ES333*51)),2)</f>
        <v>0</v>
      </c>
      <c r="AD333">
        <f>ROUND(((((ET333*51))-((EU333*51)))+AE333),2)</f>
        <v>1508.58</v>
      </c>
      <c r="AE333">
        <f>ROUND(((EU333*51)),2)</f>
        <v>894.54</v>
      </c>
      <c r="AF333">
        <f>ROUND(((EV333*51)),2)</f>
        <v>0</v>
      </c>
      <c r="AG333">
        <f t="shared" si="290"/>
        <v>0</v>
      </c>
      <c r="AH333">
        <f>((EW333*51))</f>
        <v>0</v>
      </c>
      <c r="AI333">
        <f>((EX333*51))</f>
        <v>0</v>
      </c>
      <c r="AJ333">
        <f t="shared" si="292"/>
        <v>0</v>
      </c>
      <c r="AK333">
        <v>29.58</v>
      </c>
      <c r="AL333">
        <v>0</v>
      </c>
      <c r="AM333">
        <v>29.58</v>
      </c>
      <c r="AN333">
        <v>17.54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1</v>
      </c>
      <c r="AZ333">
        <v>1</v>
      </c>
      <c r="BA333">
        <v>1</v>
      </c>
      <c r="BB333">
        <v>1</v>
      </c>
      <c r="BC333">
        <v>1</v>
      </c>
      <c r="BD333" t="s">
        <v>3</v>
      </c>
      <c r="BE333" t="s">
        <v>3</v>
      </c>
      <c r="BF333" t="s">
        <v>3</v>
      </c>
      <c r="BG333" t="s">
        <v>3</v>
      </c>
      <c r="BH333">
        <v>0</v>
      </c>
      <c r="BI333">
        <v>4</v>
      </c>
      <c r="BJ333" t="s">
        <v>140</v>
      </c>
      <c r="BM333">
        <v>1</v>
      </c>
      <c r="BN333">
        <v>0</v>
      </c>
      <c r="BO333" t="s">
        <v>3</v>
      </c>
      <c r="BP333">
        <v>0</v>
      </c>
      <c r="BQ333">
        <v>1</v>
      </c>
      <c r="BR333">
        <v>0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 t="s">
        <v>3</v>
      </c>
      <c r="BZ333">
        <v>0</v>
      </c>
      <c r="CA333">
        <v>0</v>
      </c>
      <c r="CE333">
        <v>0</v>
      </c>
      <c r="CF333">
        <v>0</v>
      </c>
      <c r="CG333">
        <v>0</v>
      </c>
      <c r="CM333">
        <v>0</v>
      </c>
      <c r="CN333" t="s">
        <v>3</v>
      </c>
      <c r="CO333">
        <v>0</v>
      </c>
      <c r="CP333">
        <f t="shared" si="293"/>
        <v>98344.33</v>
      </c>
      <c r="CQ333">
        <f t="shared" si="294"/>
        <v>0</v>
      </c>
      <c r="CR333">
        <f>(((((ET333*51))*BB333-((EU333*51))*BS333)+AE333*BS333)*AV333)</f>
        <v>1508.58</v>
      </c>
      <c r="CS333">
        <f t="shared" si="296"/>
        <v>894.54</v>
      </c>
      <c r="CT333">
        <f t="shared" si="297"/>
        <v>0</v>
      </c>
      <c r="CU333">
        <f t="shared" si="298"/>
        <v>0</v>
      </c>
      <c r="CV333">
        <f t="shared" si="299"/>
        <v>0</v>
      </c>
      <c r="CW333">
        <f t="shared" si="300"/>
        <v>0</v>
      </c>
      <c r="CX333">
        <f t="shared" si="301"/>
        <v>0</v>
      </c>
      <c r="CY333">
        <f t="shared" si="302"/>
        <v>0</v>
      </c>
      <c r="CZ333">
        <f t="shared" si="303"/>
        <v>0</v>
      </c>
      <c r="DC333" t="s">
        <v>3</v>
      </c>
      <c r="DD333" t="s">
        <v>141</v>
      </c>
      <c r="DE333" t="s">
        <v>141</v>
      </c>
      <c r="DF333" t="s">
        <v>141</v>
      </c>
      <c r="DG333" t="s">
        <v>141</v>
      </c>
      <c r="DH333" t="s">
        <v>3</v>
      </c>
      <c r="DI333" t="s">
        <v>141</v>
      </c>
      <c r="DJ333" t="s">
        <v>141</v>
      </c>
      <c r="DK333" t="s">
        <v>3</v>
      </c>
      <c r="DL333" t="s">
        <v>3</v>
      </c>
      <c r="DM333" t="s">
        <v>3</v>
      </c>
      <c r="DN333">
        <v>0</v>
      </c>
      <c r="DO333">
        <v>0</v>
      </c>
      <c r="DP333">
        <v>1</v>
      </c>
      <c r="DQ333">
        <v>1</v>
      </c>
      <c r="DU333">
        <v>1009</v>
      </c>
      <c r="DV333" t="s">
        <v>44</v>
      </c>
      <c r="DW333" t="s">
        <v>44</v>
      </c>
      <c r="DX333">
        <v>1000</v>
      </c>
      <c r="DZ333" t="s">
        <v>3</v>
      </c>
      <c r="EA333" t="s">
        <v>3</v>
      </c>
      <c r="EB333" t="s">
        <v>3</v>
      </c>
      <c r="EC333" t="s">
        <v>3</v>
      </c>
      <c r="EE333">
        <v>54545673</v>
      </c>
      <c r="EF333">
        <v>1</v>
      </c>
      <c r="EG333" t="s">
        <v>20</v>
      </c>
      <c r="EH333">
        <v>0</v>
      </c>
      <c r="EI333" t="s">
        <v>3</v>
      </c>
      <c r="EJ333">
        <v>4</v>
      </c>
      <c r="EK333">
        <v>1</v>
      </c>
      <c r="EL333" t="s">
        <v>132</v>
      </c>
      <c r="EM333" t="s">
        <v>22</v>
      </c>
      <c r="EO333" t="s">
        <v>3</v>
      </c>
      <c r="EQ333">
        <v>0</v>
      </c>
      <c r="ER333">
        <v>29.58</v>
      </c>
      <c r="ES333">
        <v>0</v>
      </c>
      <c r="ET333">
        <v>29.58</v>
      </c>
      <c r="EU333">
        <v>17.54</v>
      </c>
      <c r="EV333">
        <v>0</v>
      </c>
      <c r="EW333">
        <v>0</v>
      </c>
      <c r="EX333">
        <v>0</v>
      </c>
      <c r="EY333">
        <v>0</v>
      </c>
      <c r="FQ333">
        <v>0</v>
      </c>
      <c r="FR333">
        <f t="shared" si="304"/>
        <v>0</v>
      </c>
      <c r="FS333">
        <v>0</v>
      </c>
      <c r="FX333">
        <v>0</v>
      </c>
      <c r="FY333">
        <v>0</v>
      </c>
      <c r="GA333" t="s">
        <v>3</v>
      </c>
      <c r="GD333">
        <v>1</v>
      </c>
      <c r="GF333">
        <v>120731248</v>
      </c>
      <c r="GG333">
        <v>2</v>
      </c>
      <c r="GH333">
        <v>1</v>
      </c>
      <c r="GI333">
        <v>-2</v>
      </c>
      <c r="GJ333">
        <v>0</v>
      </c>
      <c r="GK333">
        <v>0</v>
      </c>
      <c r="GL333">
        <f t="shared" si="305"/>
        <v>0</v>
      </c>
      <c r="GM333">
        <f>ROUND(O333+X333+Y333,2)+GX333</f>
        <v>98344.33</v>
      </c>
      <c r="GN333">
        <f>IF(OR(BI333=0,BI333=1),ROUND(O333+X333+Y333,2),0)</f>
        <v>0</v>
      </c>
      <c r="GO333">
        <f>IF(BI333=2,ROUND(O333+X333+Y333,2),0)</f>
        <v>0</v>
      </c>
      <c r="GP333">
        <f>IF(BI333=4,ROUND(O333+X333+Y333,2)+GX333,0)</f>
        <v>98344.33</v>
      </c>
      <c r="GR333">
        <v>0</v>
      </c>
      <c r="GS333">
        <v>3</v>
      </c>
      <c r="GT333">
        <v>0</v>
      </c>
      <c r="GU333" t="s">
        <v>3</v>
      </c>
      <c r="GV333">
        <f t="shared" si="310"/>
        <v>0</v>
      </c>
      <c r="GW333">
        <v>1</v>
      </c>
      <c r="GX333">
        <f t="shared" si="311"/>
        <v>0</v>
      </c>
      <c r="HA333">
        <v>0</v>
      </c>
      <c r="HB333">
        <v>0</v>
      </c>
      <c r="HC333">
        <f t="shared" si="312"/>
        <v>0</v>
      </c>
      <c r="HE333" t="s">
        <v>3</v>
      </c>
      <c r="HF333" t="s">
        <v>3</v>
      </c>
      <c r="IK333">
        <v>0</v>
      </c>
    </row>
    <row r="334" spans="1:245" x14ac:dyDescent="0.2">
      <c r="A334">
        <v>17</v>
      </c>
      <c r="B334">
        <v>1</v>
      </c>
      <c r="E334" t="s">
        <v>259</v>
      </c>
      <c r="F334" t="s">
        <v>242</v>
      </c>
      <c r="G334" t="s">
        <v>243</v>
      </c>
      <c r="H334" t="s">
        <v>44</v>
      </c>
      <c r="I334">
        <f>ROUND(I329*0.246,9)</f>
        <v>65.19</v>
      </c>
      <c r="J334">
        <v>0</v>
      </c>
      <c r="O334">
        <f t="shared" si="275"/>
        <v>9818.27</v>
      </c>
      <c r="P334">
        <f t="shared" si="276"/>
        <v>9818.27</v>
      </c>
      <c r="Q334">
        <f t="shared" si="277"/>
        <v>0</v>
      </c>
      <c r="R334">
        <f t="shared" si="278"/>
        <v>0</v>
      </c>
      <c r="S334">
        <f t="shared" si="279"/>
        <v>0</v>
      </c>
      <c r="T334">
        <f t="shared" si="280"/>
        <v>0</v>
      </c>
      <c r="U334">
        <f t="shared" si="281"/>
        <v>0</v>
      </c>
      <c r="V334">
        <f t="shared" si="282"/>
        <v>0</v>
      </c>
      <c r="W334">
        <f t="shared" si="283"/>
        <v>0</v>
      </c>
      <c r="X334">
        <f t="shared" si="284"/>
        <v>0</v>
      </c>
      <c r="Y334">
        <f t="shared" si="285"/>
        <v>0</v>
      </c>
      <c r="AA334">
        <v>56440881</v>
      </c>
      <c r="AB334">
        <f t="shared" si="286"/>
        <v>150.61000000000001</v>
      </c>
      <c r="AC334">
        <f>ROUND((ES334),2)</f>
        <v>150.61000000000001</v>
      </c>
      <c r="AD334">
        <f>ROUND((((ET334)-(EU334))+AE334),2)</f>
        <v>0</v>
      </c>
      <c r="AE334">
        <f>ROUND((EU334),2)</f>
        <v>0</v>
      </c>
      <c r="AF334">
        <f>ROUND((EV334),2)</f>
        <v>0</v>
      </c>
      <c r="AG334">
        <f t="shared" si="290"/>
        <v>0</v>
      </c>
      <c r="AH334">
        <f>(EW334)</f>
        <v>0</v>
      </c>
      <c r="AI334">
        <f>(EX334)</f>
        <v>0</v>
      </c>
      <c r="AJ334">
        <f t="shared" si="292"/>
        <v>0</v>
      </c>
      <c r="AK334">
        <v>150.61000000000001</v>
      </c>
      <c r="AL334">
        <v>150.61000000000001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70</v>
      </c>
      <c r="AU334">
        <v>10</v>
      </c>
      <c r="AV334">
        <v>1</v>
      </c>
      <c r="AW334">
        <v>1</v>
      </c>
      <c r="AZ334">
        <v>1</v>
      </c>
      <c r="BA334">
        <v>1</v>
      </c>
      <c r="BB334">
        <v>1</v>
      </c>
      <c r="BC334">
        <v>1</v>
      </c>
      <c r="BD334" t="s">
        <v>3</v>
      </c>
      <c r="BE334" t="s">
        <v>3</v>
      </c>
      <c r="BF334" t="s">
        <v>3</v>
      </c>
      <c r="BG334" t="s">
        <v>3</v>
      </c>
      <c r="BH334">
        <v>3</v>
      </c>
      <c r="BI334">
        <v>4</v>
      </c>
      <c r="BJ334" t="s">
        <v>244</v>
      </c>
      <c r="BM334">
        <v>0</v>
      </c>
      <c r="BN334">
        <v>0</v>
      </c>
      <c r="BO334" t="s">
        <v>3</v>
      </c>
      <c r="BP334">
        <v>0</v>
      </c>
      <c r="BQ334">
        <v>1</v>
      </c>
      <c r="BR334">
        <v>0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 t="s">
        <v>3</v>
      </c>
      <c r="BZ334">
        <v>70</v>
      </c>
      <c r="CA334">
        <v>10</v>
      </c>
      <c r="CE334">
        <v>0</v>
      </c>
      <c r="CF334">
        <v>0</v>
      </c>
      <c r="CG334">
        <v>0</v>
      </c>
      <c r="CM334">
        <v>0</v>
      </c>
      <c r="CN334" t="s">
        <v>3</v>
      </c>
      <c r="CO334">
        <v>0</v>
      </c>
      <c r="CP334">
        <f t="shared" si="293"/>
        <v>9818.27</v>
      </c>
      <c r="CQ334">
        <f t="shared" si="294"/>
        <v>150.61000000000001</v>
      </c>
      <c r="CR334">
        <f>((((ET334)*BB334-(EU334)*BS334)+AE334*BS334)*AV334)</f>
        <v>0</v>
      </c>
      <c r="CS334">
        <f t="shared" si="296"/>
        <v>0</v>
      </c>
      <c r="CT334">
        <f t="shared" si="297"/>
        <v>0</v>
      </c>
      <c r="CU334">
        <f t="shared" si="298"/>
        <v>0</v>
      </c>
      <c r="CV334">
        <f t="shared" si="299"/>
        <v>0</v>
      </c>
      <c r="CW334">
        <f t="shared" si="300"/>
        <v>0</v>
      </c>
      <c r="CX334">
        <f t="shared" si="301"/>
        <v>0</v>
      </c>
      <c r="CY334">
        <f t="shared" si="302"/>
        <v>0</v>
      </c>
      <c r="CZ334">
        <f t="shared" si="303"/>
        <v>0</v>
      </c>
      <c r="DC334" t="s">
        <v>3</v>
      </c>
      <c r="DD334" t="s">
        <v>3</v>
      </c>
      <c r="DE334" t="s">
        <v>3</v>
      </c>
      <c r="DF334" t="s">
        <v>3</v>
      </c>
      <c r="DG334" t="s">
        <v>3</v>
      </c>
      <c r="DH334" t="s">
        <v>3</v>
      </c>
      <c r="DI334" t="s">
        <v>3</v>
      </c>
      <c r="DJ334" t="s">
        <v>3</v>
      </c>
      <c r="DK334" t="s">
        <v>3</v>
      </c>
      <c r="DL334" t="s">
        <v>3</v>
      </c>
      <c r="DM334" t="s">
        <v>3</v>
      </c>
      <c r="DN334">
        <v>0</v>
      </c>
      <c r="DO334">
        <v>0</v>
      </c>
      <c r="DP334">
        <v>1</v>
      </c>
      <c r="DQ334">
        <v>1</v>
      </c>
      <c r="DU334">
        <v>1009</v>
      </c>
      <c r="DV334" t="s">
        <v>44</v>
      </c>
      <c r="DW334" t="s">
        <v>44</v>
      </c>
      <c r="DX334">
        <v>1000</v>
      </c>
      <c r="DZ334" t="s">
        <v>3</v>
      </c>
      <c r="EA334" t="s">
        <v>3</v>
      </c>
      <c r="EB334" t="s">
        <v>3</v>
      </c>
      <c r="EC334" t="s">
        <v>3</v>
      </c>
      <c r="EE334">
        <v>54545671</v>
      </c>
      <c r="EF334">
        <v>1</v>
      </c>
      <c r="EG334" t="s">
        <v>20</v>
      </c>
      <c r="EH334">
        <v>0</v>
      </c>
      <c r="EI334" t="s">
        <v>3</v>
      </c>
      <c r="EJ334">
        <v>4</v>
      </c>
      <c r="EK334">
        <v>0</v>
      </c>
      <c r="EL334" t="s">
        <v>21</v>
      </c>
      <c r="EM334" t="s">
        <v>22</v>
      </c>
      <c r="EO334" t="s">
        <v>3</v>
      </c>
      <c r="EQ334">
        <v>0</v>
      </c>
      <c r="ER334">
        <v>150.61000000000001</v>
      </c>
      <c r="ES334">
        <v>150.61000000000001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FQ334">
        <v>0</v>
      </c>
      <c r="FR334">
        <f t="shared" si="304"/>
        <v>0</v>
      </c>
      <c r="FS334">
        <v>0</v>
      </c>
      <c r="FX334">
        <v>70</v>
      </c>
      <c r="FY334">
        <v>10</v>
      </c>
      <c r="GA334" t="s">
        <v>3</v>
      </c>
      <c r="GD334">
        <v>0</v>
      </c>
      <c r="GF334">
        <v>1351015189</v>
      </c>
      <c r="GG334">
        <v>2</v>
      </c>
      <c r="GH334">
        <v>1</v>
      </c>
      <c r="GI334">
        <v>-2</v>
      </c>
      <c r="GJ334">
        <v>0</v>
      </c>
      <c r="GK334">
        <f>ROUND(R334*(R12)/100,2)</f>
        <v>0</v>
      </c>
      <c r="GL334">
        <f t="shared" si="305"/>
        <v>0</v>
      </c>
      <c r="GM334">
        <f>ROUND(O334+X334+Y334+GK334,2)+GX334</f>
        <v>9818.27</v>
      </c>
      <c r="GN334">
        <f>IF(OR(BI334=0,BI334=1),ROUND(O334+X334+Y334+GK334,2),0)</f>
        <v>0</v>
      </c>
      <c r="GO334">
        <f>IF(BI334=2,ROUND(O334+X334+Y334+GK334,2),0)</f>
        <v>0</v>
      </c>
      <c r="GP334">
        <f>IF(BI334=4,ROUND(O334+X334+Y334+GK334,2)+GX334,0)</f>
        <v>9818.27</v>
      </c>
      <c r="GR334">
        <v>0</v>
      </c>
      <c r="GS334">
        <v>3</v>
      </c>
      <c r="GT334">
        <v>0</v>
      </c>
      <c r="GU334" t="s">
        <v>3</v>
      </c>
      <c r="GV334">
        <f t="shared" si="310"/>
        <v>0</v>
      </c>
      <c r="GW334">
        <v>1</v>
      </c>
      <c r="GX334">
        <f t="shared" si="311"/>
        <v>0</v>
      </c>
      <c r="HA334">
        <v>0</v>
      </c>
      <c r="HB334">
        <v>0</v>
      </c>
      <c r="HC334">
        <f t="shared" si="312"/>
        <v>0</v>
      </c>
      <c r="HE334" t="s">
        <v>3</v>
      </c>
      <c r="HF334" t="s">
        <v>3</v>
      </c>
      <c r="IK334">
        <v>0</v>
      </c>
    </row>
    <row r="335" spans="1:245" x14ac:dyDescent="0.2">
      <c r="A335">
        <v>17</v>
      </c>
      <c r="B335">
        <v>1</v>
      </c>
      <c r="C335">
        <f>ROW(SmtRes!A154)</f>
        <v>154</v>
      </c>
      <c r="D335">
        <f>ROW(EtalonRes!A142)</f>
        <v>142</v>
      </c>
      <c r="E335" t="s">
        <v>260</v>
      </c>
      <c r="F335" t="s">
        <v>261</v>
      </c>
      <c r="G335" t="s">
        <v>262</v>
      </c>
      <c r="H335" t="s">
        <v>230</v>
      </c>
      <c r="I335">
        <v>0</v>
      </c>
      <c r="J335">
        <v>0</v>
      </c>
      <c r="O335">
        <f t="shared" si="275"/>
        <v>0</v>
      </c>
      <c r="P335">
        <f t="shared" si="276"/>
        <v>0</v>
      </c>
      <c r="Q335">
        <f t="shared" si="277"/>
        <v>0</v>
      </c>
      <c r="R335">
        <f t="shared" si="278"/>
        <v>0</v>
      </c>
      <c r="S335">
        <f t="shared" si="279"/>
        <v>0</v>
      </c>
      <c r="T335">
        <f t="shared" si="280"/>
        <v>0</v>
      </c>
      <c r="U335">
        <f t="shared" si="281"/>
        <v>0</v>
      </c>
      <c r="V335">
        <f t="shared" si="282"/>
        <v>0</v>
      </c>
      <c r="W335">
        <f t="shared" si="283"/>
        <v>0</v>
      </c>
      <c r="X335">
        <f t="shared" si="284"/>
        <v>0</v>
      </c>
      <c r="Y335">
        <f t="shared" si="285"/>
        <v>0</v>
      </c>
      <c r="AA335">
        <v>56440881</v>
      </c>
      <c r="AB335">
        <f t="shared" si="286"/>
        <v>66278.38</v>
      </c>
      <c r="AC335">
        <f>ROUND((ES335),2)</f>
        <v>51150.7</v>
      </c>
      <c r="AD335">
        <f>ROUND((((ET335)-(EU335))+AE335),2)</f>
        <v>0</v>
      </c>
      <c r="AE335">
        <f>ROUND((EU335),2)</f>
        <v>0</v>
      </c>
      <c r="AF335">
        <f>ROUND((EV335),2)</f>
        <v>15127.68</v>
      </c>
      <c r="AG335">
        <f t="shared" si="290"/>
        <v>0</v>
      </c>
      <c r="AH335">
        <f>(EW335)</f>
        <v>80.27</v>
      </c>
      <c r="AI335">
        <f>(EX335)</f>
        <v>0</v>
      </c>
      <c r="AJ335">
        <f t="shared" si="292"/>
        <v>0</v>
      </c>
      <c r="AK335">
        <v>66278.38</v>
      </c>
      <c r="AL335">
        <v>51150.7</v>
      </c>
      <c r="AM335">
        <v>0</v>
      </c>
      <c r="AN335">
        <v>0</v>
      </c>
      <c r="AO335">
        <v>15127.68</v>
      </c>
      <c r="AP335">
        <v>0</v>
      </c>
      <c r="AQ335">
        <v>80.27</v>
      </c>
      <c r="AR335">
        <v>0</v>
      </c>
      <c r="AS335">
        <v>0</v>
      </c>
      <c r="AT335">
        <v>70</v>
      </c>
      <c r="AU335">
        <v>10</v>
      </c>
      <c r="AV335">
        <v>1</v>
      </c>
      <c r="AW335">
        <v>1</v>
      </c>
      <c r="AZ335">
        <v>1</v>
      </c>
      <c r="BA335">
        <v>1</v>
      </c>
      <c r="BB335">
        <v>1</v>
      </c>
      <c r="BC335">
        <v>1</v>
      </c>
      <c r="BD335" t="s">
        <v>3</v>
      </c>
      <c r="BE335" t="s">
        <v>3</v>
      </c>
      <c r="BF335" t="s">
        <v>3</v>
      </c>
      <c r="BG335" t="s">
        <v>3</v>
      </c>
      <c r="BH335">
        <v>0</v>
      </c>
      <c r="BI335">
        <v>4</v>
      </c>
      <c r="BJ335" t="s">
        <v>263</v>
      </c>
      <c r="BM335">
        <v>0</v>
      </c>
      <c r="BN335">
        <v>0</v>
      </c>
      <c r="BO335" t="s">
        <v>3</v>
      </c>
      <c r="BP335">
        <v>0</v>
      </c>
      <c r="BQ335">
        <v>1</v>
      </c>
      <c r="BR335">
        <v>0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 t="s">
        <v>3</v>
      </c>
      <c r="BZ335">
        <v>70</v>
      </c>
      <c r="CA335">
        <v>10</v>
      </c>
      <c r="CE335">
        <v>0</v>
      </c>
      <c r="CF335">
        <v>0</v>
      </c>
      <c r="CG335">
        <v>0</v>
      </c>
      <c r="CM335">
        <v>0</v>
      </c>
      <c r="CN335" t="s">
        <v>3</v>
      </c>
      <c r="CO335">
        <v>0</v>
      </c>
      <c r="CP335">
        <f t="shared" si="293"/>
        <v>0</v>
      </c>
      <c r="CQ335">
        <f t="shared" si="294"/>
        <v>51150.7</v>
      </c>
      <c r="CR335">
        <f>((((ET335)*BB335-(EU335)*BS335)+AE335*BS335)*AV335)</f>
        <v>0</v>
      </c>
      <c r="CS335">
        <f t="shared" si="296"/>
        <v>0</v>
      </c>
      <c r="CT335">
        <f t="shared" si="297"/>
        <v>15127.68</v>
      </c>
      <c r="CU335">
        <f t="shared" si="298"/>
        <v>0</v>
      </c>
      <c r="CV335">
        <f t="shared" si="299"/>
        <v>80.27</v>
      </c>
      <c r="CW335">
        <f t="shared" si="300"/>
        <v>0</v>
      </c>
      <c r="CX335">
        <f t="shared" si="301"/>
        <v>0</v>
      </c>
      <c r="CY335">
        <f t="shared" si="302"/>
        <v>0</v>
      </c>
      <c r="CZ335">
        <f t="shared" si="303"/>
        <v>0</v>
      </c>
      <c r="DC335" t="s">
        <v>3</v>
      </c>
      <c r="DD335" t="s">
        <v>3</v>
      </c>
      <c r="DE335" t="s">
        <v>3</v>
      </c>
      <c r="DF335" t="s">
        <v>3</v>
      </c>
      <c r="DG335" t="s">
        <v>3</v>
      </c>
      <c r="DH335" t="s">
        <v>3</v>
      </c>
      <c r="DI335" t="s">
        <v>3</v>
      </c>
      <c r="DJ335" t="s">
        <v>3</v>
      </c>
      <c r="DK335" t="s">
        <v>3</v>
      </c>
      <c r="DL335" t="s">
        <v>3</v>
      </c>
      <c r="DM335" t="s">
        <v>3</v>
      </c>
      <c r="DN335">
        <v>0</v>
      </c>
      <c r="DO335">
        <v>0</v>
      </c>
      <c r="DP335">
        <v>1</v>
      </c>
      <c r="DQ335">
        <v>1</v>
      </c>
      <c r="DU335">
        <v>1003</v>
      </c>
      <c r="DV335" t="s">
        <v>230</v>
      </c>
      <c r="DW335" t="s">
        <v>230</v>
      </c>
      <c r="DX335">
        <v>100</v>
      </c>
      <c r="DZ335" t="s">
        <v>3</v>
      </c>
      <c r="EA335" t="s">
        <v>3</v>
      </c>
      <c r="EB335" t="s">
        <v>3</v>
      </c>
      <c r="EC335" t="s">
        <v>3</v>
      </c>
      <c r="EE335">
        <v>54545671</v>
      </c>
      <c r="EF335">
        <v>1</v>
      </c>
      <c r="EG335" t="s">
        <v>20</v>
      </c>
      <c r="EH335">
        <v>0</v>
      </c>
      <c r="EI335" t="s">
        <v>3</v>
      </c>
      <c r="EJ335">
        <v>4</v>
      </c>
      <c r="EK335">
        <v>0</v>
      </c>
      <c r="EL335" t="s">
        <v>21</v>
      </c>
      <c r="EM335" t="s">
        <v>22</v>
      </c>
      <c r="EO335" t="s">
        <v>3</v>
      </c>
      <c r="EQ335">
        <v>0</v>
      </c>
      <c r="ER335">
        <v>66278.38</v>
      </c>
      <c r="ES335">
        <v>51150.7</v>
      </c>
      <c r="ET335">
        <v>0</v>
      </c>
      <c r="EU335">
        <v>0</v>
      </c>
      <c r="EV335">
        <v>15127.68</v>
      </c>
      <c r="EW335">
        <v>80.27</v>
      </c>
      <c r="EX335">
        <v>0</v>
      </c>
      <c r="EY335">
        <v>0</v>
      </c>
      <c r="FQ335">
        <v>0</v>
      </c>
      <c r="FR335">
        <f t="shared" si="304"/>
        <v>0</v>
      </c>
      <c r="FS335">
        <v>0</v>
      </c>
      <c r="FX335">
        <v>70</v>
      </c>
      <c r="FY335">
        <v>10</v>
      </c>
      <c r="GA335" t="s">
        <v>3</v>
      </c>
      <c r="GD335">
        <v>0</v>
      </c>
      <c r="GF335">
        <v>-868245150</v>
      </c>
      <c r="GG335">
        <v>2</v>
      </c>
      <c r="GH335">
        <v>1</v>
      </c>
      <c r="GI335">
        <v>-2</v>
      </c>
      <c r="GJ335">
        <v>0</v>
      </c>
      <c r="GK335">
        <f>ROUND(R335*(R12)/100,2)</f>
        <v>0</v>
      </c>
      <c r="GL335">
        <f t="shared" si="305"/>
        <v>0</v>
      </c>
      <c r="GM335">
        <f>ROUND(O335+X335+Y335+GK335,2)+GX335</f>
        <v>0</v>
      </c>
      <c r="GN335">
        <f>IF(OR(BI335=0,BI335=1),ROUND(O335+X335+Y335+GK335,2),0)</f>
        <v>0</v>
      </c>
      <c r="GO335">
        <f>IF(BI335=2,ROUND(O335+X335+Y335+GK335,2),0)</f>
        <v>0</v>
      </c>
      <c r="GP335">
        <f>IF(BI335=4,ROUND(O335+X335+Y335+GK335,2)+GX335,0)</f>
        <v>0</v>
      </c>
      <c r="GR335">
        <v>0</v>
      </c>
      <c r="GS335">
        <v>3</v>
      </c>
      <c r="GT335">
        <v>0</v>
      </c>
      <c r="GU335" t="s">
        <v>3</v>
      </c>
      <c r="GV335">
        <f t="shared" si="310"/>
        <v>0</v>
      </c>
      <c r="GW335">
        <v>1</v>
      </c>
      <c r="GX335">
        <f t="shared" si="311"/>
        <v>0</v>
      </c>
      <c r="HA335">
        <v>0</v>
      </c>
      <c r="HB335">
        <v>0</v>
      </c>
      <c r="HC335">
        <f t="shared" si="312"/>
        <v>0</v>
      </c>
      <c r="HE335" t="s">
        <v>3</v>
      </c>
      <c r="HF335" t="s">
        <v>3</v>
      </c>
      <c r="IK335">
        <v>0</v>
      </c>
    </row>
    <row r="337" spans="1:206" x14ac:dyDescent="0.2">
      <c r="A337" s="2">
        <v>51</v>
      </c>
      <c r="B337" s="2">
        <f>B321</f>
        <v>1</v>
      </c>
      <c r="C337" s="2">
        <f>A321</f>
        <v>4</v>
      </c>
      <c r="D337" s="2">
        <f>ROW(A321)</f>
        <v>321</v>
      </c>
      <c r="E337" s="2"/>
      <c r="F337" s="2" t="str">
        <f>IF(F321&lt;&gt;"",F321,"")</f>
        <v>Новый раздел</v>
      </c>
      <c r="G337" s="2" t="str">
        <f>IF(G321&lt;&gt;"",G321,"")</f>
        <v>Замена бортовых камней бетонных Бр 100.30.15 (265 мп)</v>
      </c>
      <c r="H337" s="2">
        <v>0</v>
      </c>
      <c r="I337" s="2"/>
      <c r="J337" s="2"/>
      <c r="K337" s="2"/>
      <c r="L337" s="2"/>
      <c r="M337" s="2"/>
      <c r="N337" s="2"/>
      <c r="O337" s="2">
        <f t="shared" ref="O337:T337" si="313">ROUND(AB337,2)</f>
        <v>332779.45</v>
      </c>
      <c r="P337" s="2">
        <f t="shared" si="313"/>
        <v>145180.26999999999</v>
      </c>
      <c r="Q337" s="2">
        <f t="shared" si="313"/>
        <v>151991.13</v>
      </c>
      <c r="R337" s="2">
        <f t="shared" si="313"/>
        <v>88323.33</v>
      </c>
      <c r="S337" s="2">
        <f t="shared" si="313"/>
        <v>35608.050000000003</v>
      </c>
      <c r="T337" s="2">
        <f t="shared" si="313"/>
        <v>0</v>
      </c>
      <c r="U337" s="2">
        <f>AH337</f>
        <v>174.9</v>
      </c>
      <c r="V337" s="2">
        <f>AI337</f>
        <v>0</v>
      </c>
      <c r="W337" s="2">
        <f>ROUND(AJ337,2)</f>
        <v>0</v>
      </c>
      <c r="X337" s="2">
        <f>ROUND(AK337,2)</f>
        <v>24925.64</v>
      </c>
      <c r="Y337" s="2">
        <f>ROUND(AL337,2)</f>
        <v>3560.81</v>
      </c>
      <c r="Z337" s="2"/>
      <c r="AA337" s="2"/>
      <c r="AB337" s="2">
        <f>ROUND(SUMIF(AA325:AA335,"=56440881",O325:O335),2)</f>
        <v>332779.45</v>
      </c>
      <c r="AC337" s="2">
        <f>ROUND(SUMIF(AA325:AA335,"=56440881",P325:P335),2)</f>
        <v>145180.26999999999</v>
      </c>
      <c r="AD337" s="2">
        <f>ROUND(SUMIF(AA325:AA335,"=56440881",Q325:Q335),2)</f>
        <v>151991.13</v>
      </c>
      <c r="AE337" s="2">
        <f>ROUND(SUMIF(AA325:AA335,"=56440881",R325:R335),2)</f>
        <v>88323.33</v>
      </c>
      <c r="AF337" s="2">
        <f>ROUND(SUMIF(AA325:AA335,"=56440881",S325:S335),2)</f>
        <v>35608.050000000003</v>
      </c>
      <c r="AG337" s="2">
        <f>ROUND(SUMIF(AA325:AA335,"=56440881",T325:T335),2)</f>
        <v>0</v>
      </c>
      <c r="AH337" s="2">
        <f>SUMIF(AA325:AA335,"=56440881",U325:U335)</f>
        <v>174.9</v>
      </c>
      <c r="AI337" s="2">
        <f>SUMIF(AA325:AA335,"=56440881",V325:V335)</f>
        <v>0</v>
      </c>
      <c r="AJ337" s="2">
        <f>ROUND(SUMIF(AA325:AA335,"=56440881",W325:W335),2)</f>
        <v>0</v>
      </c>
      <c r="AK337" s="2">
        <f>ROUND(SUMIF(AA325:AA335,"=56440881",X325:X335),2)</f>
        <v>24925.64</v>
      </c>
      <c r="AL337" s="2">
        <f>ROUND(SUMIF(AA325:AA335,"=56440881",Y325:Y335),2)</f>
        <v>3560.81</v>
      </c>
      <c r="AM337" s="2"/>
      <c r="AN337" s="2"/>
      <c r="AO337" s="2">
        <f t="shared" ref="AO337:BD337" si="314">ROUND(BX337,2)</f>
        <v>0</v>
      </c>
      <c r="AP337" s="2">
        <f t="shared" si="314"/>
        <v>0</v>
      </c>
      <c r="AQ337" s="2">
        <f t="shared" si="314"/>
        <v>0</v>
      </c>
      <c r="AR337" s="2">
        <f t="shared" si="314"/>
        <v>390581.37</v>
      </c>
      <c r="AS337" s="2">
        <f t="shared" si="314"/>
        <v>0</v>
      </c>
      <c r="AT337" s="2">
        <f t="shared" si="314"/>
        <v>0</v>
      </c>
      <c r="AU337" s="2">
        <f t="shared" si="314"/>
        <v>390581.37</v>
      </c>
      <c r="AV337" s="2">
        <f t="shared" si="314"/>
        <v>145180.26999999999</v>
      </c>
      <c r="AW337" s="2">
        <f t="shared" si="314"/>
        <v>145180.26999999999</v>
      </c>
      <c r="AX337" s="2">
        <f t="shared" si="314"/>
        <v>0</v>
      </c>
      <c r="AY337" s="2">
        <f t="shared" si="314"/>
        <v>145180.26999999999</v>
      </c>
      <c r="AZ337" s="2">
        <f t="shared" si="314"/>
        <v>0</v>
      </c>
      <c r="BA337" s="2">
        <f t="shared" si="314"/>
        <v>0</v>
      </c>
      <c r="BB337" s="2">
        <f t="shared" si="314"/>
        <v>0</v>
      </c>
      <c r="BC337" s="2">
        <f t="shared" si="314"/>
        <v>0</v>
      </c>
      <c r="BD337" s="2">
        <f t="shared" si="314"/>
        <v>0</v>
      </c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>
        <f>ROUND(SUMIF(AA325:AA335,"=56440881",FQ325:FQ335),2)</f>
        <v>0</v>
      </c>
      <c r="BY337" s="2">
        <f>ROUND(SUMIF(AA325:AA335,"=56440881",FR325:FR335),2)</f>
        <v>0</v>
      </c>
      <c r="BZ337" s="2">
        <f>ROUND(SUMIF(AA325:AA335,"=56440881",GL325:GL335),2)</f>
        <v>0</v>
      </c>
      <c r="CA337" s="2">
        <f>ROUND(SUMIF(AA325:AA335,"=56440881",GM325:GM335),2)</f>
        <v>390581.37</v>
      </c>
      <c r="CB337" s="2">
        <f>ROUND(SUMIF(AA325:AA335,"=56440881",GN325:GN335),2)</f>
        <v>0</v>
      </c>
      <c r="CC337" s="2">
        <f>ROUND(SUMIF(AA325:AA335,"=56440881",GO325:GO335),2)</f>
        <v>0</v>
      </c>
      <c r="CD337" s="2">
        <f>ROUND(SUMIF(AA325:AA335,"=56440881",GP325:GP335),2)</f>
        <v>390581.37</v>
      </c>
      <c r="CE337" s="2">
        <f>AC337-BX337</f>
        <v>145180.26999999999</v>
      </c>
      <c r="CF337" s="2">
        <f>AC337-BY337</f>
        <v>145180.26999999999</v>
      </c>
      <c r="CG337" s="2">
        <f>BX337-BZ337</f>
        <v>0</v>
      </c>
      <c r="CH337" s="2">
        <f>AC337-BX337-BY337+BZ337</f>
        <v>145180.26999999999</v>
      </c>
      <c r="CI337" s="2">
        <f>BY337-BZ337</f>
        <v>0</v>
      </c>
      <c r="CJ337" s="2">
        <f>ROUND(SUMIF(AA325:AA335,"=56440881",GX325:GX335),2)</f>
        <v>0</v>
      </c>
      <c r="CK337" s="2">
        <f>ROUND(SUMIF(AA325:AA335,"=56440881",GY325:GY335),2)</f>
        <v>0</v>
      </c>
      <c r="CL337" s="2">
        <f>ROUND(SUMIF(AA325:AA335,"=56440881",GZ325:GZ335),2)</f>
        <v>0</v>
      </c>
      <c r="CM337" s="2">
        <f>ROUND(SUMIF(AA325:AA335,"=56440881",HD325:HD335),2)</f>
        <v>0</v>
      </c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>
        <v>0</v>
      </c>
    </row>
    <row r="339" spans="1:206" x14ac:dyDescent="0.2">
      <c r="A339" s="4">
        <v>50</v>
      </c>
      <c r="B339" s="4">
        <v>0</v>
      </c>
      <c r="C339" s="4">
        <v>0</v>
      </c>
      <c r="D339" s="4">
        <v>1</v>
      </c>
      <c r="E339" s="4">
        <v>201</v>
      </c>
      <c r="F339" s="4">
        <f>ROUND(Source!O337,O339)</f>
        <v>332779.45</v>
      </c>
      <c r="G339" s="4" t="s">
        <v>50</v>
      </c>
      <c r="H339" s="4" t="s">
        <v>51</v>
      </c>
      <c r="I339" s="4"/>
      <c r="J339" s="4"/>
      <c r="K339" s="4">
        <v>-201</v>
      </c>
      <c r="L339" s="4">
        <v>1</v>
      </c>
      <c r="M339" s="4">
        <v>3</v>
      </c>
      <c r="N339" s="4" t="s">
        <v>3</v>
      </c>
      <c r="O339" s="4">
        <v>2</v>
      </c>
      <c r="P339" s="4"/>
      <c r="Q339" s="4"/>
      <c r="R339" s="4"/>
      <c r="S339" s="4"/>
      <c r="T339" s="4"/>
      <c r="U339" s="4"/>
      <c r="V339" s="4"/>
      <c r="W339" s="4"/>
    </row>
    <row r="340" spans="1:206" x14ac:dyDescent="0.2">
      <c r="A340" s="4">
        <v>50</v>
      </c>
      <c r="B340" s="4">
        <v>0</v>
      </c>
      <c r="C340" s="4">
        <v>0</v>
      </c>
      <c r="D340" s="4">
        <v>1</v>
      </c>
      <c r="E340" s="4">
        <v>202</v>
      </c>
      <c r="F340" s="4">
        <f>ROUND(Source!P337,O340)</f>
        <v>145180.26999999999</v>
      </c>
      <c r="G340" s="4" t="s">
        <v>52</v>
      </c>
      <c r="H340" s="4" t="s">
        <v>53</v>
      </c>
      <c r="I340" s="4"/>
      <c r="J340" s="4"/>
      <c r="K340" s="4">
        <v>-202</v>
      </c>
      <c r="L340" s="4">
        <v>2</v>
      </c>
      <c r="M340" s="4">
        <v>3</v>
      </c>
      <c r="N340" s="4" t="s">
        <v>3</v>
      </c>
      <c r="O340" s="4">
        <v>2</v>
      </c>
      <c r="P340" s="4"/>
      <c r="Q340" s="4"/>
      <c r="R340" s="4"/>
      <c r="S340" s="4"/>
      <c r="T340" s="4"/>
      <c r="U340" s="4"/>
      <c r="V340" s="4"/>
      <c r="W340" s="4"/>
    </row>
    <row r="341" spans="1:206" x14ac:dyDescent="0.2">
      <c r="A341" s="4">
        <v>50</v>
      </c>
      <c r="B341" s="4">
        <v>0</v>
      </c>
      <c r="C341" s="4">
        <v>0</v>
      </c>
      <c r="D341" s="4">
        <v>1</v>
      </c>
      <c r="E341" s="4">
        <v>222</v>
      </c>
      <c r="F341" s="4">
        <f>ROUND(Source!AO337,O341)</f>
        <v>0</v>
      </c>
      <c r="G341" s="4" t="s">
        <v>54</v>
      </c>
      <c r="H341" s="4" t="s">
        <v>55</v>
      </c>
      <c r="I341" s="4"/>
      <c r="J341" s="4"/>
      <c r="K341" s="4">
        <v>-222</v>
      </c>
      <c r="L341" s="4">
        <v>3</v>
      </c>
      <c r="M341" s="4">
        <v>3</v>
      </c>
      <c r="N341" s="4" t="s">
        <v>3</v>
      </c>
      <c r="O341" s="4">
        <v>2</v>
      </c>
      <c r="P341" s="4"/>
      <c r="Q341" s="4"/>
      <c r="R341" s="4"/>
      <c r="S341" s="4"/>
      <c r="T341" s="4"/>
      <c r="U341" s="4"/>
      <c r="V341" s="4"/>
      <c r="W341" s="4"/>
    </row>
    <row r="342" spans="1:206" x14ac:dyDescent="0.2">
      <c r="A342" s="4">
        <v>50</v>
      </c>
      <c r="B342" s="4">
        <v>0</v>
      </c>
      <c r="C342" s="4">
        <v>0</v>
      </c>
      <c r="D342" s="4">
        <v>1</v>
      </c>
      <c r="E342" s="4">
        <v>225</v>
      </c>
      <c r="F342" s="4">
        <f>ROUND(Source!AV337,O342)</f>
        <v>145180.26999999999</v>
      </c>
      <c r="G342" s="4" t="s">
        <v>56</v>
      </c>
      <c r="H342" s="4" t="s">
        <v>57</v>
      </c>
      <c r="I342" s="4"/>
      <c r="J342" s="4"/>
      <c r="K342" s="4">
        <v>-225</v>
      </c>
      <c r="L342" s="4">
        <v>4</v>
      </c>
      <c r="M342" s="4">
        <v>3</v>
      </c>
      <c r="N342" s="4" t="s">
        <v>3</v>
      </c>
      <c r="O342" s="4">
        <v>2</v>
      </c>
      <c r="P342" s="4"/>
      <c r="Q342" s="4"/>
      <c r="R342" s="4"/>
      <c r="S342" s="4"/>
      <c r="T342" s="4"/>
      <c r="U342" s="4"/>
      <c r="V342" s="4"/>
      <c r="W342" s="4"/>
    </row>
    <row r="343" spans="1:206" x14ac:dyDescent="0.2">
      <c r="A343" s="4">
        <v>50</v>
      </c>
      <c r="B343" s="4">
        <v>0</v>
      </c>
      <c r="C343" s="4">
        <v>0</v>
      </c>
      <c r="D343" s="4">
        <v>1</v>
      </c>
      <c r="E343" s="4">
        <v>226</v>
      </c>
      <c r="F343" s="4">
        <f>ROUND(Source!AW337,O343)</f>
        <v>145180.26999999999</v>
      </c>
      <c r="G343" s="4" t="s">
        <v>58</v>
      </c>
      <c r="H343" s="4" t="s">
        <v>59</v>
      </c>
      <c r="I343" s="4"/>
      <c r="J343" s="4"/>
      <c r="K343" s="4">
        <v>-226</v>
      </c>
      <c r="L343" s="4">
        <v>5</v>
      </c>
      <c r="M343" s="4">
        <v>3</v>
      </c>
      <c r="N343" s="4" t="s">
        <v>3</v>
      </c>
      <c r="O343" s="4">
        <v>2</v>
      </c>
      <c r="P343" s="4"/>
      <c r="Q343" s="4"/>
      <c r="R343" s="4"/>
      <c r="S343" s="4"/>
      <c r="T343" s="4"/>
      <c r="U343" s="4"/>
      <c r="V343" s="4"/>
      <c r="W343" s="4"/>
    </row>
    <row r="344" spans="1:206" x14ac:dyDescent="0.2">
      <c r="A344" s="4">
        <v>50</v>
      </c>
      <c r="B344" s="4">
        <v>0</v>
      </c>
      <c r="C344" s="4">
        <v>0</v>
      </c>
      <c r="D344" s="4">
        <v>1</v>
      </c>
      <c r="E344" s="4">
        <v>227</v>
      </c>
      <c r="F344" s="4">
        <f>ROUND(Source!AX337,O344)</f>
        <v>0</v>
      </c>
      <c r="G344" s="4" t="s">
        <v>60</v>
      </c>
      <c r="H344" s="4" t="s">
        <v>61</v>
      </c>
      <c r="I344" s="4"/>
      <c r="J344" s="4"/>
      <c r="K344" s="4">
        <v>-227</v>
      </c>
      <c r="L344" s="4">
        <v>6</v>
      </c>
      <c r="M344" s="4">
        <v>3</v>
      </c>
      <c r="N344" s="4" t="s">
        <v>3</v>
      </c>
      <c r="O344" s="4">
        <v>2</v>
      </c>
      <c r="P344" s="4"/>
      <c r="Q344" s="4"/>
      <c r="R344" s="4"/>
      <c r="S344" s="4"/>
      <c r="T344" s="4"/>
      <c r="U344" s="4"/>
      <c r="V344" s="4"/>
      <c r="W344" s="4"/>
    </row>
    <row r="345" spans="1:206" x14ac:dyDescent="0.2">
      <c r="A345" s="4">
        <v>50</v>
      </c>
      <c r="B345" s="4">
        <v>0</v>
      </c>
      <c r="C345" s="4">
        <v>0</v>
      </c>
      <c r="D345" s="4">
        <v>1</v>
      </c>
      <c r="E345" s="4">
        <v>228</v>
      </c>
      <c r="F345" s="4">
        <f>ROUND(Source!AY337,O345)</f>
        <v>145180.26999999999</v>
      </c>
      <c r="G345" s="4" t="s">
        <v>62</v>
      </c>
      <c r="H345" s="4" t="s">
        <v>63</v>
      </c>
      <c r="I345" s="4"/>
      <c r="J345" s="4"/>
      <c r="K345" s="4">
        <v>-228</v>
      </c>
      <c r="L345" s="4">
        <v>7</v>
      </c>
      <c r="M345" s="4">
        <v>3</v>
      </c>
      <c r="N345" s="4" t="s">
        <v>3</v>
      </c>
      <c r="O345" s="4">
        <v>2</v>
      </c>
      <c r="P345" s="4"/>
      <c r="Q345" s="4"/>
      <c r="R345" s="4"/>
      <c r="S345" s="4"/>
      <c r="T345" s="4"/>
      <c r="U345" s="4"/>
      <c r="V345" s="4"/>
      <c r="W345" s="4"/>
    </row>
    <row r="346" spans="1:206" x14ac:dyDescent="0.2">
      <c r="A346" s="4">
        <v>50</v>
      </c>
      <c r="B346" s="4">
        <v>0</v>
      </c>
      <c r="C346" s="4">
        <v>0</v>
      </c>
      <c r="D346" s="4">
        <v>1</v>
      </c>
      <c r="E346" s="4">
        <v>216</v>
      </c>
      <c r="F346" s="4">
        <f>ROUND(Source!AP337,O346)</f>
        <v>0</v>
      </c>
      <c r="G346" s="4" t="s">
        <v>64</v>
      </c>
      <c r="H346" s="4" t="s">
        <v>65</v>
      </c>
      <c r="I346" s="4"/>
      <c r="J346" s="4"/>
      <c r="K346" s="4">
        <v>-216</v>
      </c>
      <c r="L346" s="4">
        <v>8</v>
      </c>
      <c r="M346" s="4">
        <v>3</v>
      </c>
      <c r="N346" s="4" t="s">
        <v>3</v>
      </c>
      <c r="O346" s="4">
        <v>2</v>
      </c>
      <c r="P346" s="4"/>
      <c r="Q346" s="4"/>
      <c r="R346" s="4"/>
      <c r="S346" s="4"/>
      <c r="T346" s="4"/>
      <c r="U346" s="4"/>
      <c r="V346" s="4"/>
      <c r="W346" s="4"/>
    </row>
    <row r="347" spans="1:206" x14ac:dyDescent="0.2">
      <c r="A347" s="4">
        <v>50</v>
      </c>
      <c r="B347" s="4">
        <v>0</v>
      </c>
      <c r="C347" s="4">
        <v>0</v>
      </c>
      <c r="D347" s="4">
        <v>1</v>
      </c>
      <c r="E347" s="4">
        <v>223</v>
      </c>
      <c r="F347" s="4">
        <f>ROUND(Source!AQ337,O347)</f>
        <v>0</v>
      </c>
      <c r="G347" s="4" t="s">
        <v>66</v>
      </c>
      <c r="H347" s="4" t="s">
        <v>67</v>
      </c>
      <c r="I347" s="4"/>
      <c r="J347" s="4"/>
      <c r="K347" s="4">
        <v>-223</v>
      </c>
      <c r="L347" s="4">
        <v>9</v>
      </c>
      <c r="M347" s="4">
        <v>3</v>
      </c>
      <c r="N347" s="4" t="s">
        <v>3</v>
      </c>
      <c r="O347" s="4">
        <v>2</v>
      </c>
      <c r="P347" s="4"/>
      <c r="Q347" s="4"/>
      <c r="R347" s="4"/>
      <c r="S347" s="4"/>
      <c r="T347" s="4"/>
      <c r="U347" s="4"/>
      <c r="V347" s="4"/>
      <c r="W347" s="4"/>
    </row>
    <row r="348" spans="1:206" x14ac:dyDescent="0.2">
      <c r="A348" s="4">
        <v>50</v>
      </c>
      <c r="B348" s="4">
        <v>0</v>
      </c>
      <c r="C348" s="4">
        <v>0</v>
      </c>
      <c r="D348" s="4">
        <v>1</v>
      </c>
      <c r="E348" s="4">
        <v>229</v>
      </c>
      <c r="F348" s="4">
        <f>ROUND(Source!AZ337,O348)</f>
        <v>0</v>
      </c>
      <c r="G348" s="4" t="s">
        <v>68</v>
      </c>
      <c r="H348" s="4" t="s">
        <v>69</v>
      </c>
      <c r="I348" s="4"/>
      <c r="J348" s="4"/>
      <c r="K348" s="4">
        <v>-229</v>
      </c>
      <c r="L348" s="4">
        <v>10</v>
      </c>
      <c r="M348" s="4">
        <v>3</v>
      </c>
      <c r="N348" s="4" t="s">
        <v>3</v>
      </c>
      <c r="O348" s="4">
        <v>2</v>
      </c>
      <c r="P348" s="4"/>
      <c r="Q348" s="4"/>
      <c r="R348" s="4"/>
      <c r="S348" s="4"/>
      <c r="T348" s="4"/>
      <c r="U348" s="4"/>
      <c r="V348" s="4"/>
      <c r="W348" s="4"/>
    </row>
    <row r="349" spans="1:206" x14ac:dyDescent="0.2">
      <c r="A349" s="4">
        <v>50</v>
      </c>
      <c r="B349" s="4">
        <v>0</v>
      </c>
      <c r="C349" s="4">
        <v>0</v>
      </c>
      <c r="D349" s="4">
        <v>1</v>
      </c>
      <c r="E349" s="4">
        <v>203</v>
      </c>
      <c r="F349" s="4">
        <f>ROUND(Source!Q337,O349)</f>
        <v>151991.13</v>
      </c>
      <c r="G349" s="4" t="s">
        <v>70</v>
      </c>
      <c r="H349" s="4" t="s">
        <v>71</v>
      </c>
      <c r="I349" s="4"/>
      <c r="J349" s="4"/>
      <c r="K349" s="4">
        <v>-203</v>
      </c>
      <c r="L349" s="4">
        <v>11</v>
      </c>
      <c r="M349" s="4">
        <v>3</v>
      </c>
      <c r="N349" s="4" t="s">
        <v>3</v>
      </c>
      <c r="O349" s="4">
        <v>2</v>
      </c>
      <c r="P349" s="4"/>
      <c r="Q349" s="4"/>
      <c r="R349" s="4"/>
      <c r="S349" s="4"/>
      <c r="T349" s="4"/>
      <c r="U349" s="4"/>
      <c r="V349" s="4"/>
      <c r="W349" s="4"/>
    </row>
    <row r="350" spans="1:206" x14ac:dyDescent="0.2">
      <c r="A350" s="4">
        <v>50</v>
      </c>
      <c r="B350" s="4">
        <v>0</v>
      </c>
      <c r="C350" s="4">
        <v>0</v>
      </c>
      <c r="D350" s="4">
        <v>1</v>
      </c>
      <c r="E350" s="4">
        <v>231</v>
      </c>
      <c r="F350" s="4">
        <f>ROUND(Source!BB337,O350)</f>
        <v>0</v>
      </c>
      <c r="G350" s="4" t="s">
        <v>72</v>
      </c>
      <c r="H350" s="4" t="s">
        <v>73</v>
      </c>
      <c r="I350" s="4"/>
      <c r="J350" s="4"/>
      <c r="K350" s="4">
        <v>-231</v>
      </c>
      <c r="L350" s="4">
        <v>12</v>
      </c>
      <c r="M350" s="4">
        <v>3</v>
      </c>
      <c r="N350" s="4" t="s">
        <v>3</v>
      </c>
      <c r="O350" s="4">
        <v>2</v>
      </c>
      <c r="P350" s="4"/>
      <c r="Q350" s="4"/>
      <c r="R350" s="4"/>
      <c r="S350" s="4"/>
      <c r="T350" s="4"/>
      <c r="U350" s="4"/>
      <c r="V350" s="4"/>
      <c r="W350" s="4"/>
    </row>
    <row r="351" spans="1:206" x14ac:dyDescent="0.2">
      <c r="A351" s="4">
        <v>50</v>
      </c>
      <c r="B351" s="4">
        <v>0</v>
      </c>
      <c r="C351" s="4">
        <v>0</v>
      </c>
      <c r="D351" s="4">
        <v>1</v>
      </c>
      <c r="E351" s="4">
        <v>204</v>
      </c>
      <c r="F351" s="4">
        <f>ROUND(Source!R337,O351)</f>
        <v>88323.33</v>
      </c>
      <c r="G351" s="4" t="s">
        <v>74</v>
      </c>
      <c r="H351" s="4" t="s">
        <v>75</v>
      </c>
      <c r="I351" s="4"/>
      <c r="J351" s="4"/>
      <c r="K351" s="4">
        <v>-204</v>
      </c>
      <c r="L351" s="4">
        <v>13</v>
      </c>
      <c r="M351" s="4">
        <v>3</v>
      </c>
      <c r="N351" s="4" t="s">
        <v>3</v>
      </c>
      <c r="O351" s="4">
        <v>2</v>
      </c>
      <c r="P351" s="4"/>
      <c r="Q351" s="4"/>
      <c r="R351" s="4"/>
      <c r="S351" s="4"/>
      <c r="T351" s="4"/>
      <c r="U351" s="4"/>
      <c r="V351" s="4"/>
      <c r="W351" s="4"/>
    </row>
    <row r="352" spans="1:206" x14ac:dyDescent="0.2">
      <c r="A352" s="4">
        <v>50</v>
      </c>
      <c r="B352" s="4">
        <v>0</v>
      </c>
      <c r="C352" s="4">
        <v>0</v>
      </c>
      <c r="D352" s="4">
        <v>1</v>
      </c>
      <c r="E352" s="4">
        <v>205</v>
      </c>
      <c r="F352" s="4">
        <f>ROUND(Source!S337,O352)</f>
        <v>35608.050000000003</v>
      </c>
      <c r="G352" s="4" t="s">
        <v>76</v>
      </c>
      <c r="H352" s="4" t="s">
        <v>77</v>
      </c>
      <c r="I352" s="4"/>
      <c r="J352" s="4"/>
      <c r="K352" s="4">
        <v>-205</v>
      </c>
      <c r="L352" s="4">
        <v>14</v>
      </c>
      <c r="M352" s="4">
        <v>3</v>
      </c>
      <c r="N352" s="4" t="s">
        <v>3</v>
      </c>
      <c r="O352" s="4">
        <v>2</v>
      </c>
      <c r="P352" s="4"/>
      <c r="Q352" s="4"/>
      <c r="R352" s="4"/>
      <c r="S352" s="4"/>
      <c r="T352" s="4"/>
      <c r="U352" s="4"/>
      <c r="V352" s="4"/>
      <c r="W352" s="4"/>
    </row>
    <row r="353" spans="1:88" x14ac:dyDescent="0.2">
      <c r="A353" s="4">
        <v>50</v>
      </c>
      <c r="B353" s="4">
        <v>0</v>
      </c>
      <c r="C353" s="4">
        <v>0</v>
      </c>
      <c r="D353" s="4">
        <v>1</v>
      </c>
      <c r="E353" s="4">
        <v>232</v>
      </c>
      <c r="F353" s="4">
        <f>ROUND(Source!BC337,O353)</f>
        <v>0</v>
      </c>
      <c r="G353" s="4" t="s">
        <v>78</v>
      </c>
      <c r="H353" s="4" t="s">
        <v>79</v>
      </c>
      <c r="I353" s="4"/>
      <c r="J353" s="4"/>
      <c r="K353" s="4">
        <v>-232</v>
      </c>
      <c r="L353" s="4">
        <v>15</v>
      </c>
      <c r="M353" s="4">
        <v>3</v>
      </c>
      <c r="N353" s="4" t="s">
        <v>3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4" spans="1:88" x14ac:dyDescent="0.2">
      <c r="A354" s="4">
        <v>50</v>
      </c>
      <c r="B354" s="4">
        <v>0</v>
      </c>
      <c r="C354" s="4">
        <v>0</v>
      </c>
      <c r="D354" s="4">
        <v>1</v>
      </c>
      <c r="E354" s="4">
        <v>214</v>
      </c>
      <c r="F354" s="4">
        <f>ROUND(Source!AS337,O354)</f>
        <v>0</v>
      </c>
      <c r="G354" s="4" t="s">
        <v>80</v>
      </c>
      <c r="H354" s="4" t="s">
        <v>81</v>
      </c>
      <c r="I354" s="4"/>
      <c r="J354" s="4"/>
      <c r="K354" s="4">
        <v>-214</v>
      </c>
      <c r="L354" s="4">
        <v>16</v>
      </c>
      <c r="M354" s="4">
        <v>3</v>
      </c>
      <c r="N354" s="4" t="s">
        <v>3</v>
      </c>
      <c r="O354" s="4">
        <v>2</v>
      </c>
      <c r="P354" s="4"/>
      <c r="Q354" s="4"/>
      <c r="R354" s="4"/>
      <c r="S354" s="4"/>
      <c r="T354" s="4"/>
      <c r="U354" s="4"/>
      <c r="V354" s="4"/>
      <c r="W354" s="4"/>
    </row>
    <row r="355" spans="1:88" x14ac:dyDescent="0.2">
      <c r="A355" s="4">
        <v>50</v>
      </c>
      <c r="B355" s="4">
        <v>0</v>
      </c>
      <c r="C355" s="4">
        <v>0</v>
      </c>
      <c r="D355" s="4">
        <v>1</v>
      </c>
      <c r="E355" s="4">
        <v>215</v>
      </c>
      <c r="F355" s="4">
        <f>ROUND(Source!AT337,O355)</f>
        <v>0</v>
      </c>
      <c r="G355" s="4" t="s">
        <v>82</v>
      </c>
      <c r="H355" s="4" t="s">
        <v>83</v>
      </c>
      <c r="I355" s="4"/>
      <c r="J355" s="4"/>
      <c r="K355" s="4">
        <v>-215</v>
      </c>
      <c r="L355" s="4">
        <v>17</v>
      </c>
      <c r="M355" s="4">
        <v>3</v>
      </c>
      <c r="N355" s="4" t="s">
        <v>3</v>
      </c>
      <c r="O355" s="4">
        <v>2</v>
      </c>
      <c r="P355" s="4"/>
      <c r="Q355" s="4"/>
      <c r="R355" s="4"/>
      <c r="S355" s="4"/>
      <c r="T355" s="4"/>
      <c r="U355" s="4"/>
      <c r="V355" s="4"/>
      <c r="W355" s="4"/>
    </row>
    <row r="356" spans="1:88" x14ac:dyDescent="0.2">
      <c r="A356" s="4">
        <v>50</v>
      </c>
      <c r="B356" s="4">
        <v>0</v>
      </c>
      <c r="C356" s="4">
        <v>0</v>
      </c>
      <c r="D356" s="4">
        <v>1</v>
      </c>
      <c r="E356" s="4">
        <v>217</v>
      </c>
      <c r="F356" s="4">
        <f>ROUND(Source!AU337,O356)</f>
        <v>390581.37</v>
      </c>
      <c r="G356" s="4" t="s">
        <v>84</v>
      </c>
      <c r="H356" s="4" t="s">
        <v>85</v>
      </c>
      <c r="I356" s="4"/>
      <c r="J356" s="4"/>
      <c r="K356" s="4">
        <v>-217</v>
      </c>
      <c r="L356" s="4">
        <v>18</v>
      </c>
      <c r="M356" s="4">
        <v>3</v>
      </c>
      <c r="N356" s="4" t="s">
        <v>3</v>
      </c>
      <c r="O356" s="4">
        <v>2</v>
      </c>
      <c r="P356" s="4"/>
      <c r="Q356" s="4"/>
      <c r="R356" s="4"/>
      <c r="S356" s="4"/>
      <c r="T356" s="4"/>
      <c r="U356" s="4"/>
      <c r="V356" s="4"/>
      <c r="W356" s="4"/>
    </row>
    <row r="357" spans="1:88" x14ac:dyDescent="0.2">
      <c r="A357" s="4">
        <v>50</v>
      </c>
      <c r="B357" s="4">
        <v>0</v>
      </c>
      <c r="C357" s="4">
        <v>0</v>
      </c>
      <c r="D357" s="4">
        <v>1</v>
      </c>
      <c r="E357" s="4">
        <v>230</v>
      </c>
      <c r="F357" s="4">
        <f>ROUND(Source!BA337,O357)</f>
        <v>0</v>
      </c>
      <c r="G357" s="4" t="s">
        <v>86</v>
      </c>
      <c r="H357" s="4" t="s">
        <v>87</v>
      </c>
      <c r="I357" s="4"/>
      <c r="J357" s="4"/>
      <c r="K357" s="4">
        <v>-230</v>
      </c>
      <c r="L357" s="4">
        <v>19</v>
      </c>
      <c r="M357" s="4">
        <v>3</v>
      </c>
      <c r="N357" s="4" t="s">
        <v>3</v>
      </c>
      <c r="O357" s="4">
        <v>2</v>
      </c>
      <c r="P357" s="4"/>
      <c r="Q357" s="4"/>
      <c r="R357" s="4"/>
      <c r="S357" s="4"/>
      <c r="T357" s="4"/>
      <c r="U357" s="4"/>
      <c r="V357" s="4"/>
      <c r="W357" s="4"/>
    </row>
    <row r="358" spans="1:88" x14ac:dyDescent="0.2">
      <c r="A358" s="4">
        <v>50</v>
      </c>
      <c r="B358" s="4">
        <v>0</v>
      </c>
      <c r="C358" s="4">
        <v>0</v>
      </c>
      <c r="D358" s="4">
        <v>1</v>
      </c>
      <c r="E358" s="4">
        <v>206</v>
      </c>
      <c r="F358" s="4">
        <f>ROUND(Source!T337,O358)</f>
        <v>0</v>
      </c>
      <c r="G358" s="4" t="s">
        <v>88</v>
      </c>
      <c r="H358" s="4" t="s">
        <v>89</v>
      </c>
      <c r="I358" s="4"/>
      <c r="J358" s="4"/>
      <c r="K358" s="4">
        <v>-206</v>
      </c>
      <c r="L358" s="4">
        <v>20</v>
      </c>
      <c r="M358" s="4">
        <v>3</v>
      </c>
      <c r="N358" s="4" t="s">
        <v>3</v>
      </c>
      <c r="O358" s="4">
        <v>2</v>
      </c>
      <c r="P358" s="4"/>
      <c r="Q358" s="4"/>
      <c r="R358" s="4"/>
      <c r="S358" s="4"/>
      <c r="T358" s="4"/>
      <c r="U358" s="4"/>
      <c r="V358" s="4"/>
      <c r="W358" s="4"/>
    </row>
    <row r="359" spans="1:88" x14ac:dyDescent="0.2">
      <c r="A359" s="4">
        <v>50</v>
      </c>
      <c r="B359" s="4">
        <v>0</v>
      </c>
      <c r="C359" s="4">
        <v>0</v>
      </c>
      <c r="D359" s="4">
        <v>1</v>
      </c>
      <c r="E359" s="4">
        <v>207</v>
      </c>
      <c r="F359" s="4">
        <f>Source!U337</f>
        <v>174.9</v>
      </c>
      <c r="G359" s="4" t="s">
        <v>90</v>
      </c>
      <c r="H359" s="4" t="s">
        <v>91</v>
      </c>
      <c r="I359" s="4"/>
      <c r="J359" s="4"/>
      <c r="K359" s="4">
        <v>-207</v>
      </c>
      <c r="L359" s="4">
        <v>21</v>
      </c>
      <c r="M359" s="4">
        <v>3</v>
      </c>
      <c r="N359" s="4" t="s">
        <v>3</v>
      </c>
      <c r="O359" s="4">
        <v>-1</v>
      </c>
      <c r="P359" s="4"/>
      <c r="Q359" s="4"/>
      <c r="R359" s="4"/>
      <c r="S359" s="4"/>
      <c r="T359" s="4"/>
      <c r="U359" s="4"/>
      <c r="V359" s="4"/>
      <c r="W359" s="4"/>
    </row>
    <row r="360" spans="1:88" x14ac:dyDescent="0.2">
      <c r="A360" s="4">
        <v>50</v>
      </c>
      <c r="B360" s="4">
        <v>0</v>
      </c>
      <c r="C360" s="4">
        <v>0</v>
      </c>
      <c r="D360" s="4">
        <v>1</v>
      </c>
      <c r="E360" s="4">
        <v>208</v>
      </c>
      <c r="F360" s="4">
        <f>Source!V337</f>
        <v>0</v>
      </c>
      <c r="G360" s="4" t="s">
        <v>92</v>
      </c>
      <c r="H360" s="4" t="s">
        <v>93</v>
      </c>
      <c r="I360" s="4"/>
      <c r="J360" s="4"/>
      <c r="K360" s="4">
        <v>-208</v>
      </c>
      <c r="L360" s="4">
        <v>22</v>
      </c>
      <c r="M360" s="4">
        <v>3</v>
      </c>
      <c r="N360" s="4" t="s">
        <v>3</v>
      </c>
      <c r="O360" s="4">
        <v>-1</v>
      </c>
      <c r="P360" s="4"/>
      <c r="Q360" s="4"/>
      <c r="R360" s="4"/>
      <c r="S360" s="4"/>
      <c r="T360" s="4"/>
      <c r="U360" s="4"/>
      <c r="V360" s="4"/>
      <c r="W360" s="4"/>
    </row>
    <row r="361" spans="1:88" x14ac:dyDescent="0.2">
      <c r="A361" s="4">
        <v>50</v>
      </c>
      <c r="B361" s="4">
        <v>0</v>
      </c>
      <c r="C361" s="4">
        <v>0</v>
      </c>
      <c r="D361" s="4">
        <v>1</v>
      </c>
      <c r="E361" s="4">
        <v>209</v>
      </c>
      <c r="F361" s="4">
        <f>ROUND(Source!W337,O361)</f>
        <v>0</v>
      </c>
      <c r="G361" s="4" t="s">
        <v>94</v>
      </c>
      <c r="H361" s="4" t="s">
        <v>95</v>
      </c>
      <c r="I361" s="4"/>
      <c r="J361" s="4"/>
      <c r="K361" s="4">
        <v>-209</v>
      </c>
      <c r="L361" s="4">
        <v>23</v>
      </c>
      <c r="M361" s="4">
        <v>3</v>
      </c>
      <c r="N361" s="4" t="s">
        <v>3</v>
      </c>
      <c r="O361" s="4">
        <v>2</v>
      </c>
      <c r="P361" s="4"/>
      <c r="Q361" s="4"/>
      <c r="R361" s="4"/>
      <c r="S361" s="4"/>
      <c r="T361" s="4"/>
      <c r="U361" s="4"/>
      <c r="V361" s="4"/>
      <c r="W361" s="4"/>
    </row>
    <row r="362" spans="1:88" x14ac:dyDescent="0.2">
      <c r="A362" s="4">
        <v>50</v>
      </c>
      <c r="B362" s="4">
        <v>0</v>
      </c>
      <c r="C362" s="4">
        <v>0</v>
      </c>
      <c r="D362" s="4">
        <v>1</v>
      </c>
      <c r="E362" s="4">
        <v>233</v>
      </c>
      <c r="F362" s="4">
        <f>ROUND(Source!BD337,O362)</f>
        <v>0</v>
      </c>
      <c r="G362" s="4" t="s">
        <v>96</v>
      </c>
      <c r="H362" s="4" t="s">
        <v>97</v>
      </c>
      <c r="I362" s="4"/>
      <c r="J362" s="4"/>
      <c r="K362" s="4">
        <v>-233</v>
      </c>
      <c r="L362" s="4">
        <v>24</v>
      </c>
      <c r="M362" s="4">
        <v>3</v>
      </c>
      <c r="N362" s="4" t="s">
        <v>3</v>
      </c>
      <c r="O362" s="4">
        <v>2</v>
      </c>
      <c r="P362" s="4"/>
      <c r="Q362" s="4"/>
      <c r="R362" s="4"/>
      <c r="S362" s="4"/>
      <c r="T362" s="4"/>
      <c r="U362" s="4"/>
      <c r="V362" s="4"/>
      <c r="W362" s="4"/>
    </row>
    <row r="363" spans="1:88" x14ac:dyDescent="0.2">
      <c r="A363" s="4">
        <v>50</v>
      </c>
      <c r="B363" s="4">
        <v>0</v>
      </c>
      <c r="C363" s="4">
        <v>0</v>
      </c>
      <c r="D363" s="4">
        <v>1</v>
      </c>
      <c r="E363" s="4">
        <v>210</v>
      </c>
      <c r="F363" s="4">
        <f>ROUND(Source!X337,O363)</f>
        <v>24925.64</v>
      </c>
      <c r="G363" s="4" t="s">
        <v>98</v>
      </c>
      <c r="H363" s="4" t="s">
        <v>99</v>
      </c>
      <c r="I363" s="4"/>
      <c r="J363" s="4"/>
      <c r="K363" s="4">
        <v>-210</v>
      </c>
      <c r="L363" s="4">
        <v>25</v>
      </c>
      <c r="M363" s="4">
        <v>3</v>
      </c>
      <c r="N363" s="4" t="s">
        <v>3</v>
      </c>
      <c r="O363" s="4">
        <v>2</v>
      </c>
      <c r="P363" s="4"/>
      <c r="Q363" s="4"/>
      <c r="R363" s="4"/>
      <c r="S363" s="4"/>
      <c r="T363" s="4"/>
      <c r="U363" s="4"/>
      <c r="V363" s="4"/>
      <c r="W363" s="4"/>
    </row>
    <row r="364" spans="1:88" x14ac:dyDescent="0.2">
      <c r="A364" s="4">
        <v>50</v>
      </c>
      <c r="B364" s="4">
        <v>0</v>
      </c>
      <c r="C364" s="4">
        <v>0</v>
      </c>
      <c r="D364" s="4">
        <v>1</v>
      </c>
      <c r="E364" s="4">
        <v>211</v>
      </c>
      <c r="F364" s="4">
        <f>ROUND(Source!Y337,O364)</f>
        <v>3560.81</v>
      </c>
      <c r="G364" s="4" t="s">
        <v>100</v>
      </c>
      <c r="H364" s="4" t="s">
        <v>101</v>
      </c>
      <c r="I364" s="4"/>
      <c r="J364" s="4"/>
      <c r="K364" s="4">
        <v>-211</v>
      </c>
      <c r="L364" s="4">
        <v>26</v>
      </c>
      <c r="M364" s="4">
        <v>3</v>
      </c>
      <c r="N364" s="4" t="s">
        <v>3</v>
      </c>
      <c r="O364" s="4">
        <v>2</v>
      </c>
      <c r="P364" s="4"/>
      <c r="Q364" s="4"/>
      <c r="R364" s="4"/>
      <c r="S364" s="4"/>
      <c r="T364" s="4"/>
      <c r="U364" s="4"/>
      <c r="V364" s="4"/>
      <c r="W364" s="4"/>
    </row>
    <row r="365" spans="1:88" x14ac:dyDescent="0.2">
      <c r="A365" s="4">
        <v>50</v>
      </c>
      <c r="B365" s="4">
        <v>0</v>
      </c>
      <c r="C365" s="4">
        <v>0</v>
      </c>
      <c r="D365" s="4">
        <v>1</v>
      </c>
      <c r="E365" s="4">
        <v>224</v>
      </c>
      <c r="F365" s="4">
        <f>ROUND(Source!AR337,O365)</f>
        <v>390581.37</v>
      </c>
      <c r="G365" s="4" t="s">
        <v>102</v>
      </c>
      <c r="H365" s="4" t="s">
        <v>103</v>
      </c>
      <c r="I365" s="4"/>
      <c r="J365" s="4"/>
      <c r="K365" s="4">
        <v>-224</v>
      </c>
      <c r="L365" s="4">
        <v>27</v>
      </c>
      <c r="M365" s="4">
        <v>3</v>
      </c>
      <c r="N365" s="4" t="s">
        <v>3</v>
      </c>
      <c r="O365" s="4">
        <v>2</v>
      </c>
      <c r="P365" s="4"/>
      <c r="Q365" s="4"/>
      <c r="R365" s="4"/>
      <c r="S365" s="4"/>
      <c r="T365" s="4"/>
      <c r="U365" s="4"/>
      <c r="V365" s="4"/>
      <c r="W365" s="4"/>
    </row>
    <row r="367" spans="1:88" x14ac:dyDescent="0.2">
      <c r="A367" s="1">
        <v>4</v>
      </c>
      <c r="B367" s="1">
        <v>1</v>
      </c>
      <c r="C367" s="1"/>
      <c r="D367" s="1">
        <f>ROW(A383)</f>
        <v>383</v>
      </c>
      <c r="E367" s="1"/>
      <c r="F367" s="1" t="s">
        <v>13</v>
      </c>
      <c r="G367" s="1" t="s">
        <v>264</v>
      </c>
      <c r="H367" s="1" t="s">
        <v>3</v>
      </c>
      <c r="I367" s="1">
        <v>0</v>
      </c>
      <c r="J367" s="1"/>
      <c r="K367" s="1">
        <v>-1</v>
      </c>
      <c r="L367" s="1"/>
      <c r="M367" s="1" t="s">
        <v>3</v>
      </c>
      <c r="N367" s="1"/>
      <c r="O367" s="1"/>
      <c r="P367" s="1"/>
      <c r="Q367" s="1"/>
      <c r="R367" s="1"/>
      <c r="S367" s="1">
        <v>0</v>
      </c>
      <c r="T367" s="1"/>
      <c r="U367" s="1" t="s">
        <v>3</v>
      </c>
      <c r="V367" s="1">
        <v>7</v>
      </c>
      <c r="W367" s="1"/>
      <c r="X367" s="1"/>
      <c r="Y367" s="1"/>
      <c r="Z367" s="1"/>
      <c r="AA367" s="1"/>
      <c r="AB367" s="1" t="s">
        <v>3</v>
      </c>
      <c r="AC367" s="1" t="s">
        <v>3</v>
      </c>
      <c r="AD367" s="1" t="s">
        <v>3</v>
      </c>
      <c r="AE367" s="1" t="s">
        <v>3</v>
      </c>
      <c r="AF367" s="1" t="s">
        <v>3</v>
      </c>
      <c r="AG367" s="1" t="s">
        <v>3</v>
      </c>
      <c r="AH367" s="1"/>
      <c r="AI367" s="1"/>
      <c r="AJ367" s="1"/>
      <c r="AK367" s="1"/>
      <c r="AL367" s="1"/>
      <c r="AM367" s="1"/>
      <c r="AN367" s="1"/>
      <c r="AO367" s="1"/>
      <c r="AP367" s="1" t="s">
        <v>3</v>
      </c>
      <c r="AQ367" s="1" t="s">
        <v>3</v>
      </c>
      <c r="AR367" s="1" t="s">
        <v>3</v>
      </c>
      <c r="AS367" s="1"/>
      <c r="AT367" s="1"/>
      <c r="AU367" s="1"/>
      <c r="AV367" s="1"/>
      <c r="AW367" s="1"/>
      <c r="AX367" s="1"/>
      <c r="AY367" s="1"/>
      <c r="AZ367" s="1" t="s">
        <v>3</v>
      </c>
      <c r="BA367" s="1"/>
      <c r="BB367" s="1" t="s">
        <v>3</v>
      </c>
      <c r="BC367" s="1" t="s">
        <v>3</v>
      </c>
      <c r="BD367" s="1" t="s">
        <v>3</v>
      </c>
      <c r="BE367" s="1" t="s">
        <v>3</v>
      </c>
      <c r="BF367" s="1" t="s">
        <v>3</v>
      </c>
      <c r="BG367" s="1" t="s">
        <v>3</v>
      </c>
      <c r="BH367" s="1" t="s">
        <v>3</v>
      </c>
      <c r="BI367" s="1" t="s">
        <v>3</v>
      </c>
      <c r="BJ367" s="1" t="s">
        <v>3</v>
      </c>
      <c r="BK367" s="1" t="s">
        <v>3</v>
      </c>
      <c r="BL367" s="1" t="s">
        <v>3</v>
      </c>
      <c r="BM367" s="1" t="s">
        <v>3</v>
      </c>
      <c r="BN367" s="1" t="s">
        <v>3</v>
      </c>
      <c r="BO367" s="1" t="s">
        <v>3</v>
      </c>
      <c r="BP367" s="1" t="s">
        <v>3</v>
      </c>
      <c r="BQ367" s="1"/>
      <c r="BR367" s="1"/>
      <c r="BS367" s="1"/>
      <c r="BT367" s="1"/>
      <c r="BU367" s="1"/>
      <c r="BV367" s="1"/>
      <c r="BW367" s="1"/>
      <c r="BX367" s="1">
        <v>0</v>
      </c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>
        <v>0</v>
      </c>
    </row>
    <row r="369" spans="1:245" x14ac:dyDescent="0.2">
      <c r="A369" s="2">
        <v>52</v>
      </c>
      <c r="B369" s="2">
        <f t="shared" ref="B369:G369" si="315">B383</f>
        <v>1</v>
      </c>
      <c r="C369" s="2">
        <f t="shared" si="315"/>
        <v>4</v>
      </c>
      <c r="D369" s="2">
        <f t="shared" si="315"/>
        <v>367</v>
      </c>
      <c r="E369" s="2">
        <f t="shared" si="315"/>
        <v>0</v>
      </c>
      <c r="F369" s="2" t="str">
        <f t="shared" si="315"/>
        <v>Новый раздел</v>
      </c>
      <c r="G369" s="2" t="str">
        <f t="shared" si="315"/>
        <v>Устройство газона (1000 м2)</v>
      </c>
      <c r="H369" s="2"/>
      <c r="I369" s="2"/>
      <c r="J369" s="2"/>
      <c r="K369" s="2"/>
      <c r="L369" s="2"/>
      <c r="M369" s="2"/>
      <c r="N369" s="2"/>
      <c r="O369" s="2">
        <f t="shared" ref="O369:AT369" si="316">O383</f>
        <v>425612.7</v>
      </c>
      <c r="P369" s="2">
        <f t="shared" si="316"/>
        <v>238338.01</v>
      </c>
      <c r="Q369" s="2">
        <f t="shared" si="316"/>
        <v>102203.17</v>
      </c>
      <c r="R369" s="2">
        <f t="shared" si="316"/>
        <v>58067.839999999997</v>
      </c>
      <c r="S369" s="2">
        <f t="shared" si="316"/>
        <v>85071.52</v>
      </c>
      <c r="T369" s="2">
        <f t="shared" si="316"/>
        <v>0</v>
      </c>
      <c r="U369" s="2">
        <f t="shared" si="316"/>
        <v>476.32525000000004</v>
      </c>
      <c r="V369" s="2">
        <f t="shared" si="316"/>
        <v>0</v>
      </c>
      <c r="W369" s="2">
        <f t="shared" si="316"/>
        <v>0</v>
      </c>
      <c r="X369" s="2">
        <f t="shared" si="316"/>
        <v>59550.07</v>
      </c>
      <c r="Y369" s="2">
        <f t="shared" si="316"/>
        <v>8507.16</v>
      </c>
      <c r="Z369" s="2">
        <f t="shared" si="316"/>
        <v>0</v>
      </c>
      <c r="AA369" s="2">
        <f t="shared" si="316"/>
        <v>0</v>
      </c>
      <c r="AB369" s="2">
        <f t="shared" si="316"/>
        <v>425612.7</v>
      </c>
      <c r="AC369" s="2">
        <f t="shared" si="316"/>
        <v>238338.01</v>
      </c>
      <c r="AD369" s="2">
        <f t="shared" si="316"/>
        <v>102203.17</v>
      </c>
      <c r="AE369" s="2">
        <f t="shared" si="316"/>
        <v>58067.839999999997</v>
      </c>
      <c r="AF369" s="2">
        <f t="shared" si="316"/>
        <v>85071.52</v>
      </c>
      <c r="AG369" s="2">
        <f t="shared" si="316"/>
        <v>0</v>
      </c>
      <c r="AH369" s="2">
        <f t="shared" si="316"/>
        <v>476.32525000000004</v>
      </c>
      <c r="AI369" s="2">
        <f t="shared" si="316"/>
        <v>0</v>
      </c>
      <c r="AJ369" s="2">
        <f t="shared" si="316"/>
        <v>0</v>
      </c>
      <c r="AK369" s="2">
        <f t="shared" si="316"/>
        <v>59550.07</v>
      </c>
      <c r="AL369" s="2">
        <f t="shared" si="316"/>
        <v>8507.16</v>
      </c>
      <c r="AM369" s="2">
        <f t="shared" si="316"/>
        <v>0</v>
      </c>
      <c r="AN369" s="2">
        <f t="shared" si="316"/>
        <v>0</v>
      </c>
      <c r="AO369" s="2">
        <f t="shared" si="316"/>
        <v>0</v>
      </c>
      <c r="AP369" s="2">
        <f t="shared" si="316"/>
        <v>0</v>
      </c>
      <c r="AQ369" s="2">
        <f t="shared" si="316"/>
        <v>0</v>
      </c>
      <c r="AR369" s="2">
        <f t="shared" si="316"/>
        <v>497310.44</v>
      </c>
      <c r="AS369" s="2">
        <f t="shared" si="316"/>
        <v>0</v>
      </c>
      <c r="AT369" s="2">
        <f t="shared" si="316"/>
        <v>0</v>
      </c>
      <c r="AU369" s="2">
        <f t="shared" ref="AU369:BZ369" si="317">AU383</f>
        <v>497310.44</v>
      </c>
      <c r="AV369" s="2">
        <f t="shared" si="317"/>
        <v>238338.01</v>
      </c>
      <c r="AW369" s="2">
        <f t="shared" si="317"/>
        <v>238338.01</v>
      </c>
      <c r="AX369" s="2">
        <f t="shared" si="317"/>
        <v>0</v>
      </c>
      <c r="AY369" s="2">
        <f t="shared" si="317"/>
        <v>238338.01</v>
      </c>
      <c r="AZ369" s="2">
        <f t="shared" si="317"/>
        <v>0</v>
      </c>
      <c r="BA369" s="2">
        <f t="shared" si="317"/>
        <v>0</v>
      </c>
      <c r="BB369" s="2">
        <f t="shared" si="317"/>
        <v>0</v>
      </c>
      <c r="BC369" s="2">
        <f t="shared" si="317"/>
        <v>0</v>
      </c>
      <c r="BD369" s="2">
        <f t="shared" si="317"/>
        <v>0</v>
      </c>
      <c r="BE369" s="2">
        <f t="shared" si="317"/>
        <v>0</v>
      </c>
      <c r="BF369" s="2">
        <f t="shared" si="317"/>
        <v>0</v>
      </c>
      <c r="BG369" s="2">
        <f t="shared" si="317"/>
        <v>0</v>
      </c>
      <c r="BH369" s="2">
        <f t="shared" si="317"/>
        <v>0</v>
      </c>
      <c r="BI369" s="2">
        <f t="shared" si="317"/>
        <v>0</v>
      </c>
      <c r="BJ369" s="2">
        <f t="shared" si="317"/>
        <v>0</v>
      </c>
      <c r="BK369" s="2">
        <f t="shared" si="317"/>
        <v>0</v>
      </c>
      <c r="BL369" s="2">
        <f t="shared" si="317"/>
        <v>0</v>
      </c>
      <c r="BM369" s="2">
        <f t="shared" si="317"/>
        <v>0</v>
      </c>
      <c r="BN369" s="2">
        <f t="shared" si="317"/>
        <v>0</v>
      </c>
      <c r="BO369" s="2">
        <f t="shared" si="317"/>
        <v>0</v>
      </c>
      <c r="BP369" s="2">
        <f t="shared" si="317"/>
        <v>0</v>
      </c>
      <c r="BQ369" s="2">
        <f t="shared" si="317"/>
        <v>0</v>
      </c>
      <c r="BR369" s="2">
        <f t="shared" si="317"/>
        <v>0</v>
      </c>
      <c r="BS369" s="2">
        <f t="shared" si="317"/>
        <v>0</v>
      </c>
      <c r="BT369" s="2">
        <f t="shared" si="317"/>
        <v>0</v>
      </c>
      <c r="BU369" s="2">
        <f t="shared" si="317"/>
        <v>0</v>
      </c>
      <c r="BV369" s="2">
        <f t="shared" si="317"/>
        <v>0</v>
      </c>
      <c r="BW369" s="2">
        <f t="shared" si="317"/>
        <v>0</v>
      </c>
      <c r="BX369" s="2">
        <f t="shared" si="317"/>
        <v>0</v>
      </c>
      <c r="BY369" s="2">
        <f t="shared" si="317"/>
        <v>0</v>
      </c>
      <c r="BZ369" s="2">
        <f t="shared" si="317"/>
        <v>0</v>
      </c>
      <c r="CA369" s="2">
        <f t="shared" ref="CA369:DF369" si="318">CA383</f>
        <v>497310.44</v>
      </c>
      <c r="CB369" s="2">
        <f t="shared" si="318"/>
        <v>0</v>
      </c>
      <c r="CC369" s="2">
        <f t="shared" si="318"/>
        <v>0</v>
      </c>
      <c r="CD369" s="2">
        <f t="shared" si="318"/>
        <v>497310.44</v>
      </c>
      <c r="CE369" s="2">
        <f t="shared" si="318"/>
        <v>238338.01</v>
      </c>
      <c r="CF369" s="2">
        <f t="shared" si="318"/>
        <v>238338.01</v>
      </c>
      <c r="CG369" s="2">
        <f t="shared" si="318"/>
        <v>0</v>
      </c>
      <c r="CH369" s="2">
        <f t="shared" si="318"/>
        <v>238338.01</v>
      </c>
      <c r="CI369" s="2">
        <f t="shared" si="318"/>
        <v>0</v>
      </c>
      <c r="CJ369" s="2">
        <f t="shared" si="318"/>
        <v>0</v>
      </c>
      <c r="CK369" s="2">
        <f t="shared" si="318"/>
        <v>0</v>
      </c>
      <c r="CL369" s="2">
        <f t="shared" si="318"/>
        <v>0</v>
      </c>
      <c r="CM369" s="2">
        <f t="shared" si="318"/>
        <v>0</v>
      </c>
      <c r="CN369" s="2">
        <f t="shared" si="318"/>
        <v>0</v>
      </c>
      <c r="CO369" s="2">
        <f t="shared" si="318"/>
        <v>0</v>
      </c>
      <c r="CP369" s="2">
        <f t="shared" si="318"/>
        <v>0</v>
      </c>
      <c r="CQ369" s="2">
        <f t="shared" si="318"/>
        <v>0</v>
      </c>
      <c r="CR369" s="2">
        <f t="shared" si="318"/>
        <v>0</v>
      </c>
      <c r="CS369" s="2">
        <f t="shared" si="318"/>
        <v>0</v>
      </c>
      <c r="CT369" s="2">
        <f t="shared" si="318"/>
        <v>0</v>
      </c>
      <c r="CU369" s="2">
        <f t="shared" si="318"/>
        <v>0</v>
      </c>
      <c r="CV369" s="2">
        <f t="shared" si="318"/>
        <v>0</v>
      </c>
      <c r="CW369" s="2">
        <f t="shared" si="318"/>
        <v>0</v>
      </c>
      <c r="CX369" s="2">
        <f t="shared" si="318"/>
        <v>0</v>
      </c>
      <c r="CY369" s="2">
        <f t="shared" si="318"/>
        <v>0</v>
      </c>
      <c r="CZ369" s="2">
        <f t="shared" si="318"/>
        <v>0</v>
      </c>
      <c r="DA369" s="2">
        <f t="shared" si="318"/>
        <v>0</v>
      </c>
      <c r="DB369" s="2">
        <f t="shared" si="318"/>
        <v>0</v>
      </c>
      <c r="DC369" s="2">
        <f t="shared" si="318"/>
        <v>0</v>
      </c>
      <c r="DD369" s="2">
        <f t="shared" si="318"/>
        <v>0</v>
      </c>
      <c r="DE369" s="2">
        <f t="shared" si="318"/>
        <v>0</v>
      </c>
      <c r="DF369" s="2">
        <f t="shared" si="318"/>
        <v>0</v>
      </c>
      <c r="DG369" s="3">
        <f t="shared" ref="DG369:EL369" si="319">DG383</f>
        <v>0</v>
      </c>
      <c r="DH369" s="3">
        <f t="shared" si="319"/>
        <v>0</v>
      </c>
      <c r="DI369" s="3">
        <f t="shared" si="319"/>
        <v>0</v>
      </c>
      <c r="DJ369" s="3">
        <f t="shared" si="319"/>
        <v>0</v>
      </c>
      <c r="DK369" s="3">
        <f t="shared" si="319"/>
        <v>0</v>
      </c>
      <c r="DL369" s="3">
        <f t="shared" si="319"/>
        <v>0</v>
      </c>
      <c r="DM369" s="3">
        <f t="shared" si="319"/>
        <v>0</v>
      </c>
      <c r="DN369" s="3">
        <f t="shared" si="319"/>
        <v>0</v>
      </c>
      <c r="DO369" s="3">
        <f t="shared" si="319"/>
        <v>0</v>
      </c>
      <c r="DP369" s="3">
        <f t="shared" si="319"/>
        <v>0</v>
      </c>
      <c r="DQ369" s="3">
        <f t="shared" si="319"/>
        <v>0</v>
      </c>
      <c r="DR369" s="3">
        <f t="shared" si="319"/>
        <v>0</v>
      </c>
      <c r="DS369" s="3">
        <f t="shared" si="319"/>
        <v>0</v>
      </c>
      <c r="DT369" s="3">
        <f t="shared" si="319"/>
        <v>0</v>
      </c>
      <c r="DU369" s="3">
        <f t="shared" si="319"/>
        <v>0</v>
      </c>
      <c r="DV369" s="3">
        <f t="shared" si="319"/>
        <v>0</v>
      </c>
      <c r="DW369" s="3">
        <f t="shared" si="319"/>
        <v>0</v>
      </c>
      <c r="DX369" s="3">
        <f t="shared" si="319"/>
        <v>0</v>
      </c>
      <c r="DY369" s="3">
        <f t="shared" si="319"/>
        <v>0</v>
      </c>
      <c r="DZ369" s="3">
        <f t="shared" si="319"/>
        <v>0</v>
      </c>
      <c r="EA369" s="3">
        <f t="shared" si="319"/>
        <v>0</v>
      </c>
      <c r="EB369" s="3">
        <f t="shared" si="319"/>
        <v>0</v>
      </c>
      <c r="EC369" s="3">
        <f t="shared" si="319"/>
        <v>0</v>
      </c>
      <c r="ED369" s="3">
        <f t="shared" si="319"/>
        <v>0</v>
      </c>
      <c r="EE369" s="3">
        <f t="shared" si="319"/>
        <v>0</v>
      </c>
      <c r="EF369" s="3">
        <f t="shared" si="319"/>
        <v>0</v>
      </c>
      <c r="EG369" s="3">
        <f t="shared" si="319"/>
        <v>0</v>
      </c>
      <c r="EH369" s="3">
        <f t="shared" si="319"/>
        <v>0</v>
      </c>
      <c r="EI369" s="3">
        <f t="shared" si="319"/>
        <v>0</v>
      </c>
      <c r="EJ369" s="3">
        <f t="shared" si="319"/>
        <v>0</v>
      </c>
      <c r="EK369" s="3">
        <f t="shared" si="319"/>
        <v>0</v>
      </c>
      <c r="EL369" s="3">
        <f t="shared" si="319"/>
        <v>0</v>
      </c>
      <c r="EM369" s="3">
        <f t="shared" ref="EM369:FR369" si="320">EM383</f>
        <v>0</v>
      </c>
      <c r="EN369" s="3">
        <f t="shared" si="320"/>
        <v>0</v>
      </c>
      <c r="EO369" s="3">
        <f t="shared" si="320"/>
        <v>0</v>
      </c>
      <c r="EP369" s="3">
        <f t="shared" si="320"/>
        <v>0</v>
      </c>
      <c r="EQ369" s="3">
        <f t="shared" si="320"/>
        <v>0</v>
      </c>
      <c r="ER369" s="3">
        <f t="shared" si="320"/>
        <v>0</v>
      </c>
      <c r="ES369" s="3">
        <f t="shared" si="320"/>
        <v>0</v>
      </c>
      <c r="ET369" s="3">
        <f t="shared" si="320"/>
        <v>0</v>
      </c>
      <c r="EU369" s="3">
        <f t="shared" si="320"/>
        <v>0</v>
      </c>
      <c r="EV369" s="3">
        <f t="shared" si="320"/>
        <v>0</v>
      </c>
      <c r="EW369" s="3">
        <f t="shared" si="320"/>
        <v>0</v>
      </c>
      <c r="EX369" s="3">
        <f t="shared" si="320"/>
        <v>0</v>
      </c>
      <c r="EY369" s="3">
        <f t="shared" si="320"/>
        <v>0</v>
      </c>
      <c r="EZ369" s="3">
        <f t="shared" si="320"/>
        <v>0</v>
      </c>
      <c r="FA369" s="3">
        <f t="shared" si="320"/>
        <v>0</v>
      </c>
      <c r="FB369" s="3">
        <f t="shared" si="320"/>
        <v>0</v>
      </c>
      <c r="FC369" s="3">
        <f t="shared" si="320"/>
        <v>0</v>
      </c>
      <c r="FD369" s="3">
        <f t="shared" si="320"/>
        <v>0</v>
      </c>
      <c r="FE369" s="3">
        <f t="shared" si="320"/>
        <v>0</v>
      </c>
      <c r="FF369" s="3">
        <f t="shared" si="320"/>
        <v>0</v>
      </c>
      <c r="FG369" s="3">
        <f t="shared" si="320"/>
        <v>0</v>
      </c>
      <c r="FH369" s="3">
        <f t="shared" si="320"/>
        <v>0</v>
      </c>
      <c r="FI369" s="3">
        <f t="shared" si="320"/>
        <v>0</v>
      </c>
      <c r="FJ369" s="3">
        <f t="shared" si="320"/>
        <v>0</v>
      </c>
      <c r="FK369" s="3">
        <f t="shared" si="320"/>
        <v>0</v>
      </c>
      <c r="FL369" s="3">
        <f t="shared" si="320"/>
        <v>0</v>
      </c>
      <c r="FM369" s="3">
        <f t="shared" si="320"/>
        <v>0</v>
      </c>
      <c r="FN369" s="3">
        <f t="shared" si="320"/>
        <v>0</v>
      </c>
      <c r="FO369" s="3">
        <f t="shared" si="320"/>
        <v>0</v>
      </c>
      <c r="FP369" s="3">
        <f t="shared" si="320"/>
        <v>0</v>
      </c>
      <c r="FQ369" s="3">
        <f t="shared" si="320"/>
        <v>0</v>
      </c>
      <c r="FR369" s="3">
        <f t="shared" si="320"/>
        <v>0</v>
      </c>
      <c r="FS369" s="3">
        <f t="shared" ref="FS369:GX369" si="321">FS383</f>
        <v>0</v>
      </c>
      <c r="FT369" s="3">
        <f t="shared" si="321"/>
        <v>0</v>
      </c>
      <c r="FU369" s="3">
        <f t="shared" si="321"/>
        <v>0</v>
      </c>
      <c r="FV369" s="3">
        <f t="shared" si="321"/>
        <v>0</v>
      </c>
      <c r="FW369" s="3">
        <f t="shared" si="321"/>
        <v>0</v>
      </c>
      <c r="FX369" s="3">
        <f t="shared" si="321"/>
        <v>0</v>
      </c>
      <c r="FY369" s="3">
        <f t="shared" si="321"/>
        <v>0</v>
      </c>
      <c r="FZ369" s="3">
        <f t="shared" si="321"/>
        <v>0</v>
      </c>
      <c r="GA369" s="3">
        <f t="shared" si="321"/>
        <v>0</v>
      </c>
      <c r="GB369" s="3">
        <f t="shared" si="321"/>
        <v>0</v>
      </c>
      <c r="GC369" s="3">
        <f t="shared" si="321"/>
        <v>0</v>
      </c>
      <c r="GD369" s="3">
        <f t="shared" si="321"/>
        <v>0</v>
      </c>
      <c r="GE369" s="3">
        <f t="shared" si="321"/>
        <v>0</v>
      </c>
      <c r="GF369" s="3">
        <f t="shared" si="321"/>
        <v>0</v>
      </c>
      <c r="GG369" s="3">
        <f t="shared" si="321"/>
        <v>0</v>
      </c>
      <c r="GH369" s="3">
        <f t="shared" si="321"/>
        <v>0</v>
      </c>
      <c r="GI369" s="3">
        <f t="shared" si="321"/>
        <v>0</v>
      </c>
      <c r="GJ369" s="3">
        <f t="shared" si="321"/>
        <v>0</v>
      </c>
      <c r="GK369" s="3">
        <f t="shared" si="321"/>
        <v>0</v>
      </c>
      <c r="GL369" s="3">
        <f t="shared" si="321"/>
        <v>0</v>
      </c>
      <c r="GM369" s="3">
        <f t="shared" si="321"/>
        <v>0</v>
      </c>
      <c r="GN369" s="3">
        <f t="shared" si="321"/>
        <v>0</v>
      </c>
      <c r="GO369" s="3">
        <f t="shared" si="321"/>
        <v>0</v>
      </c>
      <c r="GP369" s="3">
        <f t="shared" si="321"/>
        <v>0</v>
      </c>
      <c r="GQ369" s="3">
        <f t="shared" si="321"/>
        <v>0</v>
      </c>
      <c r="GR369" s="3">
        <f t="shared" si="321"/>
        <v>0</v>
      </c>
      <c r="GS369" s="3">
        <f t="shared" si="321"/>
        <v>0</v>
      </c>
      <c r="GT369" s="3">
        <f t="shared" si="321"/>
        <v>0</v>
      </c>
      <c r="GU369" s="3">
        <f t="shared" si="321"/>
        <v>0</v>
      </c>
      <c r="GV369" s="3">
        <f t="shared" si="321"/>
        <v>0</v>
      </c>
      <c r="GW369" s="3">
        <f t="shared" si="321"/>
        <v>0</v>
      </c>
      <c r="GX369" s="3">
        <f t="shared" si="321"/>
        <v>0</v>
      </c>
    </row>
    <row r="371" spans="1:245" x14ac:dyDescent="0.2">
      <c r="A371">
        <v>17</v>
      </c>
      <c r="B371">
        <v>1</v>
      </c>
      <c r="C371">
        <f>ROW(SmtRes!A157)</f>
        <v>157</v>
      </c>
      <c r="D371">
        <f>ROW(EtalonRes!A145)</f>
        <v>145</v>
      </c>
      <c r="E371" t="s">
        <v>265</v>
      </c>
      <c r="F371" t="s">
        <v>266</v>
      </c>
      <c r="G371" t="s">
        <v>267</v>
      </c>
      <c r="H371" t="s">
        <v>216</v>
      </c>
      <c r="I371">
        <f>ROUND((I375*0.75)/100,9)</f>
        <v>0.75</v>
      </c>
      <c r="J371">
        <v>0</v>
      </c>
      <c r="O371">
        <f t="shared" ref="O371:O381" si="322">ROUND(CP371,2)</f>
        <v>6582.3</v>
      </c>
      <c r="P371">
        <f t="shared" ref="P371:P381" si="323">ROUND(CQ371*I371,2)</f>
        <v>0</v>
      </c>
      <c r="Q371">
        <f t="shared" ref="Q371:Q381" si="324">ROUND(CR371*I371,2)</f>
        <v>6377.03</v>
      </c>
      <c r="R371">
        <f t="shared" ref="R371:R381" si="325">ROUND(CS371*I371,2)</f>
        <v>2445.3200000000002</v>
      </c>
      <c r="S371">
        <f t="shared" ref="S371:S381" si="326">ROUND(CT371*I371,2)</f>
        <v>205.27</v>
      </c>
      <c r="T371">
        <f t="shared" ref="T371:T381" si="327">ROUND(CU371*I371,2)</f>
        <v>0</v>
      </c>
      <c r="U371">
        <f t="shared" ref="U371:U381" si="328">CV371*I371</f>
        <v>1.1925000000000001</v>
      </c>
      <c r="V371">
        <f t="shared" ref="V371:V381" si="329">CW371*I371</f>
        <v>0</v>
      </c>
      <c r="W371">
        <f t="shared" ref="W371:W381" si="330">ROUND(CX371*I371,2)</f>
        <v>0</v>
      </c>
      <c r="X371">
        <f t="shared" ref="X371:X381" si="331">ROUND(CY371,2)</f>
        <v>143.69</v>
      </c>
      <c r="Y371">
        <f t="shared" ref="Y371:Y381" si="332">ROUND(CZ371,2)</f>
        <v>20.53</v>
      </c>
      <c r="AA371">
        <v>56440881</v>
      </c>
      <c r="AB371">
        <f t="shared" ref="AB371:AB381" si="333">ROUND((AC371+AD371+AF371),2)</f>
        <v>8776.4</v>
      </c>
      <c r="AC371">
        <f>ROUND((ES371),2)</f>
        <v>0</v>
      </c>
      <c r="AD371">
        <f>ROUND((((ET371)-(EU371))+AE371),2)</f>
        <v>8502.7099999999991</v>
      </c>
      <c r="AE371">
        <f t="shared" ref="AE371:AF375" si="334">ROUND((EU371),2)</f>
        <v>3260.42</v>
      </c>
      <c r="AF371">
        <f t="shared" si="334"/>
        <v>273.69</v>
      </c>
      <c r="AG371">
        <f t="shared" ref="AG371:AG381" si="335">ROUND((AP371),2)</f>
        <v>0</v>
      </c>
      <c r="AH371">
        <f t="shared" ref="AH371:AI375" si="336">(EW371)</f>
        <v>1.59</v>
      </c>
      <c r="AI371">
        <f t="shared" si="336"/>
        <v>0</v>
      </c>
      <c r="AJ371">
        <f t="shared" ref="AJ371:AJ381" si="337">(AS371)</f>
        <v>0</v>
      </c>
      <c r="AK371">
        <v>8776.4</v>
      </c>
      <c r="AL371">
        <v>0</v>
      </c>
      <c r="AM371">
        <v>8502.7099999999991</v>
      </c>
      <c r="AN371">
        <v>3260.42</v>
      </c>
      <c r="AO371">
        <v>273.69</v>
      </c>
      <c r="AP371">
        <v>0</v>
      </c>
      <c r="AQ371">
        <v>1.59</v>
      </c>
      <c r="AR371">
        <v>0</v>
      </c>
      <c r="AS371">
        <v>0</v>
      </c>
      <c r="AT371">
        <v>70</v>
      </c>
      <c r="AU371">
        <v>10</v>
      </c>
      <c r="AV371">
        <v>1</v>
      </c>
      <c r="AW371">
        <v>1</v>
      </c>
      <c r="AZ371">
        <v>1</v>
      </c>
      <c r="BA371">
        <v>1</v>
      </c>
      <c r="BB371">
        <v>1</v>
      </c>
      <c r="BC371">
        <v>1</v>
      </c>
      <c r="BD371" t="s">
        <v>3</v>
      </c>
      <c r="BE371" t="s">
        <v>3</v>
      </c>
      <c r="BF371" t="s">
        <v>3</v>
      </c>
      <c r="BG371" t="s">
        <v>3</v>
      </c>
      <c r="BH371">
        <v>0</v>
      </c>
      <c r="BI371">
        <v>4</v>
      </c>
      <c r="BJ371" t="s">
        <v>268</v>
      </c>
      <c r="BM371">
        <v>0</v>
      </c>
      <c r="BN371">
        <v>0</v>
      </c>
      <c r="BO371" t="s">
        <v>3</v>
      </c>
      <c r="BP371">
        <v>0</v>
      </c>
      <c r="BQ371">
        <v>1</v>
      </c>
      <c r="BR371">
        <v>0</v>
      </c>
      <c r="BS371">
        <v>1</v>
      </c>
      <c r="BT371">
        <v>1</v>
      </c>
      <c r="BU371">
        <v>1</v>
      </c>
      <c r="BV371">
        <v>1</v>
      </c>
      <c r="BW371">
        <v>1</v>
      </c>
      <c r="BX371">
        <v>1</v>
      </c>
      <c r="BY371" t="s">
        <v>3</v>
      </c>
      <c r="BZ371">
        <v>70</v>
      </c>
      <c r="CA371">
        <v>10</v>
      </c>
      <c r="CE371">
        <v>0</v>
      </c>
      <c r="CF371">
        <v>0</v>
      </c>
      <c r="CG371">
        <v>0</v>
      </c>
      <c r="CM371">
        <v>0</v>
      </c>
      <c r="CN371" t="s">
        <v>3</v>
      </c>
      <c r="CO371">
        <v>0</v>
      </c>
      <c r="CP371">
        <f t="shared" ref="CP371:CP381" si="338">(P371+Q371+S371)</f>
        <v>6582.3</v>
      </c>
      <c r="CQ371">
        <f t="shared" ref="CQ371:CQ381" si="339">(AC371*BC371*AW371)</f>
        <v>0</v>
      </c>
      <c r="CR371">
        <f>((((ET371)*BB371-(EU371)*BS371)+AE371*BS371)*AV371)</f>
        <v>8502.7099999999991</v>
      </c>
      <c r="CS371">
        <f t="shared" ref="CS371:CS381" si="340">(AE371*BS371*AV371)</f>
        <v>3260.42</v>
      </c>
      <c r="CT371">
        <f t="shared" ref="CT371:CT381" si="341">(AF371*BA371*AV371)</f>
        <v>273.69</v>
      </c>
      <c r="CU371">
        <f t="shared" ref="CU371:CU381" si="342">AG371</f>
        <v>0</v>
      </c>
      <c r="CV371">
        <f t="shared" ref="CV371:CV381" si="343">(AH371*AV371)</f>
        <v>1.59</v>
      </c>
      <c r="CW371">
        <f t="shared" ref="CW371:CW381" si="344">AI371</f>
        <v>0</v>
      </c>
      <c r="CX371">
        <f t="shared" ref="CX371:CX381" si="345">AJ371</f>
        <v>0</v>
      </c>
      <c r="CY371">
        <f t="shared" ref="CY371:CY381" si="346">((S371*BZ371)/100)</f>
        <v>143.68900000000002</v>
      </c>
      <c r="CZ371">
        <f t="shared" ref="CZ371:CZ381" si="347">((S371*CA371)/100)</f>
        <v>20.527000000000001</v>
      </c>
      <c r="DC371" t="s">
        <v>3</v>
      </c>
      <c r="DD371" t="s">
        <v>3</v>
      </c>
      <c r="DE371" t="s">
        <v>3</v>
      </c>
      <c r="DF371" t="s">
        <v>3</v>
      </c>
      <c r="DG371" t="s">
        <v>3</v>
      </c>
      <c r="DH371" t="s">
        <v>3</v>
      </c>
      <c r="DI371" t="s">
        <v>3</v>
      </c>
      <c r="DJ371" t="s">
        <v>3</v>
      </c>
      <c r="DK371" t="s">
        <v>3</v>
      </c>
      <c r="DL371" t="s">
        <v>3</v>
      </c>
      <c r="DM371" t="s">
        <v>3</v>
      </c>
      <c r="DN371">
        <v>0</v>
      </c>
      <c r="DO371">
        <v>0</v>
      </c>
      <c r="DP371">
        <v>1</v>
      </c>
      <c r="DQ371">
        <v>1</v>
      </c>
      <c r="DU371">
        <v>1007</v>
      </c>
      <c r="DV371" t="s">
        <v>216</v>
      </c>
      <c r="DW371" t="s">
        <v>216</v>
      </c>
      <c r="DX371">
        <v>100</v>
      </c>
      <c r="DZ371" t="s">
        <v>3</v>
      </c>
      <c r="EA371" t="s">
        <v>3</v>
      </c>
      <c r="EB371" t="s">
        <v>3</v>
      </c>
      <c r="EC371" t="s">
        <v>3</v>
      </c>
      <c r="EE371">
        <v>54545671</v>
      </c>
      <c r="EF371">
        <v>1</v>
      </c>
      <c r="EG371" t="s">
        <v>20</v>
      </c>
      <c r="EH371">
        <v>0</v>
      </c>
      <c r="EI371" t="s">
        <v>3</v>
      </c>
      <c r="EJ371">
        <v>4</v>
      </c>
      <c r="EK371">
        <v>0</v>
      </c>
      <c r="EL371" t="s">
        <v>21</v>
      </c>
      <c r="EM371" t="s">
        <v>22</v>
      </c>
      <c r="EO371" t="s">
        <v>3</v>
      </c>
      <c r="EQ371">
        <v>0</v>
      </c>
      <c r="ER371">
        <v>8776.4</v>
      </c>
      <c r="ES371">
        <v>0</v>
      </c>
      <c r="ET371">
        <v>8502.7099999999991</v>
      </c>
      <c r="EU371">
        <v>3260.42</v>
      </c>
      <c r="EV371">
        <v>273.69</v>
      </c>
      <c r="EW371">
        <v>1.59</v>
      </c>
      <c r="EX371">
        <v>0</v>
      </c>
      <c r="EY371">
        <v>0</v>
      </c>
      <c r="FQ371">
        <v>0</v>
      </c>
      <c r="FR371">
        <f t="shared" ref="FR371:FR381" si="348">ROUND(IF(AND(BH371=3,BI371=3),P371,0),2)</f>
        <v>0</v>
      </c>
      <c r="FS371">
        <v>0</v>
      </c>
      <c r="FX371">
        <v>70</v>
      </c>
      <c r="FY371">
        <v>10</v>
      </c>
      <c r="GA371" t="s">
        <v>3</v>
      </c>
      <c r="GD371">
        <v>0</v>
      </c>
      <c r="GF371">
        <v>1514717659</v>
      </c>
      <c r="GG371">
        <v>2</v>
      </c>
      <c r="GH371">
        <v>1</v>
      </c>
      <c r="GI371">
        <v>-2</v>
      </c>
      <c r="GJ371">
        <v>0</v>
      </c>
      <c r="GK371">
        <f>ROUND(R371*(R12)/100,2)</f>
        <v>2640.95</v>
      </c>
      <c r="GL371">
        <f t="shared" ref="GL371:GL381" si="349">ROUND(IF(AND(BH371=3,BI371=3,FS371&lt;&gt;0),P371,0),2)</f>
        <v>0</v>
      </c>
      <c r="GM371">
        <f>ROUND(O371+X371+Y371+GK371,2)+GX371</f>
        <v>9387.4699999999993</v>
      </c>
      <c r="GN371">
        <f>IF(OR(BI371=0,BI371=1),ROUND(O371+X371+Y371+GK371,2),0)</f>
        <v>0</v>
      </c>
      <c r="GO371">
        <f>IF(BI371=2,ROUND(O371+X371+Y371+GK371,2),0)</f>
        <v>0</v>
      </c>
      <c r="GP371">
        <f>IF(BI371=4,ROUND(O371+X371+Y371+GK371,2)+GX371,0)</f>
        <v>9387.4699999999993</v>
      </c>
      <c r="GR371">
        <v>0</v>
      </c>
      <c r="GS371">
        <v>3</v>
      </c>
      <c r="GT371">
        <v>0</v>
      </c>
      <c r="GU371" t="s">
        <v>3</v>
      </c>
      <c r="GV371">
        <f t="shared" ref="GV371:GV381" si="350">ROUND((GT371),2)</f>
        <v>0</v>
      </c>
      <c r="GW371">
        <v>1</v>
      </c>
      <c r="GX371">
        <f t="shared" ref="GX371:GX381" si="351">ROUND(HC371*I371,2)</f>
        <v>0</v>
      </c>
      <c r="HA371">
        <v>0</v>
      </c>
      <c r="HB371">
        <v>0</v>
      </c>
      <c r="HC371">
        <f t="shared" ref="HC371:HC381" si="352">GV371*GW371</f>
        <v>0</v>
      </c>
      <c r="HE371" t="s">
        <v>3</v>
      </c>
      <c r="HF371" t="s">
        <v>3</v>
      </c>
      <c r="IK371">
        <v>0</v>
      </c>
    </row>
    <row r="372" spans="1:245" x14ac:dyDescent="0.2">
      <c r="A372">
        <v>17</v>
      </c>
      <c r="B372">
        <v>1</v>
      </c>
      <c r="C372">
        <f>ROW(SmtRes!A158)</f>
        <v>158</v>
      </c>
      <c r="D372">
        <f>ROW(EtalonRes!A146)</f>
        <v>146</v>
      </c>
      <c r="E372" t="s">
        <v>269</v>
      </c>
      <c r="F372" t="s">
        <v>270</v>
      </c>
      <c r="G372" t="s">
        <v>271</v>
      </c>
      <c r="H372" t="s">
        <v>216</v>
      </c>
      <c r="I372">
        <f>ROUND((I375*0.25)/100,9)</f>
        <v>0.25</v>
      </c>
      <c r="J372">
        <v>0</v>
      </c>
      <c r="O372">
        <f t="shared" si="322"/>
        <v>9988.07</v>
      </c>
      <c r="P372">
        <f t="shared" si="323"/>
        <v>0</v>
      </c>
      <c r="Q372">
        <f t="shared" si="324"/>
        <v>0</v>
      </c>
      <c r="R372">
        <f t="shared" si="325"/>
        <v>0</v>
      </c>
      <c r="S372">
        <f t="shared" si="326"/>
        <v>9988.07</v>
      </c>
      <c r="T372">
        <f t="shared" si="327"/>
        <v>0</v>
      </c>
      <c r="U372">
        <f t="shared" si="328"/>
        <v>55.4</v>
      </c>
      <c r="V372">
        <f t="shared" si="329"/>
        <v>0</v>
      </c>
      <c r="W372">
        <f t="shared" si="330"/>
        <v>0</v>
      </c>
      <c r="X372">
        <f t="shared" si="331"/>
        <v>6991.65</v>
      </c>
      <c r="Y372">
        <f t="shared" si="332"/>
        <v>998.81</v>
      </c>
      <c r="AA372">
        <v>56440881</v>
      </c>
      <c r="AB372">
        <f t="shared" si="333"/>
        <v>39952.26</v>
      </c>
      <c r="AC372">
        <f>ROUND((ES372),2)</f>
        <v>0</v>
      </c>
      <c r="AD372">
        <f>ROUND((((ET372)-(EU372))+AE372),2)</f>
        <v>0</v>
      </c>
      <c r="AE372">
        <f t="shared" si="334"/>
        <v>0</v>
      </c>
      <c r="AF372">
        <f t="shared" si="334"/>
        <v>39952.26</v>
      </c>
      <c r="AG372">
        <f t="shared" si="335"/>
        <v>0</v>
      </c>
      <c r="AH372">
        <f t="shared" si="336"/>
        <v>221.6</v>
      </c>
      <c r="AI372">
        <f t="shared" si="336"/>
        <v>0</v>
      </c>
      <c r="AJ372">
        <f t="shared" si="337"/>
        <v>0</v>
      </c>
      <c r="AK372">
        <v>39952.26</v>
      </c>
      <c r="AL372">
        <v>0</v>
      </c>
      <c r="AM372">
        <v>0</v>
      </c>
      <c r="AN372">
        <v>0</v>
      </c>
      <c r="AO372">
        <v>39952.26</v>
      </c>
      <c r="AP372">
        <v>0</v>
      </c>
      <c r="AQ372">
        <v>221.6</v>
      </c>
      <c r="AR372">
        <v>0</v>
      </c>
      <c r="AS372">
        <v>0</v>
      </c>
      <c r="AT372">
        <v>70</v>
      </c>
      <c r="AU372">
        <v>10</v>
      </c>
      <c r="AV372">
        <v>1</v>
      </c>
      <c r="AW372">
        <v>1</v>
      </c>
      <c r="AZ372">
        <v>1</v>
      </c>
      <c r="BA372">
        <v>1</v>
      </c>
      <c r="BB372">
        <v>1</v>
      </c>
      <c r="BC372">
        <v>1</v>
      </c>
      <c r="BD372" t="s">
        <v>3</v>
      </c>
      <c r="BE372" t="s">
        <v>3</v>
      </c>
      <c r="BF372" t="s">
        <v>3</v>
      </c>
      <c r="BG372" t="s">
        <v>3</v>
      </c>
      <c r="BH372">
        <v>0</v>
      </c>
      <c r="BI372">
        <v>4</v>
      </c>
      <c r="BJ372" t="s">
        <v>272</v>
      </c>
      <c r="BM372">
        <v>0</v>
      </c>
      <c r="BN372">
        <v>0</v>
      </c>
      <c r="BO372" t="s">
        <v>3</v>
      </c>
      <c r="BP372">
        <v>0</v>
      </c>
      <c r="BQ372">
        <v>1</v>
      </c>
      <c r="BR372">
        <v>0</v>
      </c>
      <c r="BS372">
        <v>1</v>
      </c>
      <c r="BT372">
        <v>1</v>
      </c>
      <c r="BU372">
        <v>1</v>
      </c>
      <c r="BV372">
        <v>1</v>
      </c>
      <c r="BW372">
        <v>1</v>
      </c>
      <c r="BX372">
        <v>1</v>
      </c>
      <c r="BY372" t="s">
        <v>3</v>
      </c>
      <c r="BZ372">
        <v>70</v>
      </c>
      <c r="CA372">
        <v>10</v>
      </c>
      <c r="CE372">
        <v>0</v>
      </c>
      <c r="CF372">
        <v>0</v>
      </c>
      <c r="CG372">
        <v>0</v>
      </c>
      <c r="CM372">
        <v>0</v>
      </c>
      <c r="CN372" t="s">
        <v>3</v>
      </c>
      <c r="CO372">
        <v>0</v>
      </c>
      <c r="CP372">
        <f t="shared" si="338"/>
        <v>9988.07</v>
      </c>
      <c r="CQ372">
        <f t="shared" si="339"/>
        <v>0</v>
      </c>
      <c r="CR372">
        <f>((((ET372)*BB372-(EU372)*BS372)+AE372*BS372)*AV372)</f>
        <v>0</v>
      </c>
      <c r="CS372">
        <f t="shared" si="340"/>
        <v>0</v>
      </c>
      <c r="CT372">
        <f t="shared" si="341"/>
        <v>39952.26</v>
      </c>
      <c r="CU372">
        <f t="shared" si="342"/>
        <v>0</v>
      </c>
      <c r="CV372">
        <f t="shared" si="343"/>
        <v>221.6</v>
      </c>
      <c r="CW372">
        <f t="shared" si="344"/>
        <v>0</v>
      </c>
      <c r="CX372">
        <f t="shared" si="345"/>
        <v>0</v>
      </c>
      <c r="CY372">
        <f t="shared" si="346"/>
        <v>6991.6490000000003</v>
      </c>
      <c r="CZ372">
        <f t="shared" si="347"/>
        <v>998.80700000000002</v>
      </c>
      <c r="DC372" t="s">
        <v>3</v>
      </c>
      <c r="DD372" t="s">
        <v>3</v>
      </c>
      <c r="DE372" t="s">
        <v>3</v>
      </c>
      <c r="DF372" t="s">
        <v>3</v>
      </c>
      <c r="DG372" t="s">
        <v>3</v>
      </c>
      <c r="DH372" t="s">
        <v>3</v>
      </c>
      <c r="DI372" t="s">
        <v>3</v>
      </c>
      <c r="DJ372" t="s">
        <v>3</v>
      </c>
      <c r="DK372" t="s">
        <v>3</v>
      </c>
      <c r="DL372" t="s">
        <v>3</v>
      </c>
      <c r="DM372" t="s">
        <v>3</v>
      </c>
      <c r="DN372">
        <v>0</v>
      </c>
      <c r="DO372">
        <v>0</v>
      </c>
      <c r="DP372">
        <v>1</v>
      </c>
      <c r="DQ372">
        <v>1</v>
      </c>
      <c r="DU372">
        <v>1007</v>
      </c>
      <c r="DV372" t="s">
        <v>216</v>
      </c>
      <c r="DW372" t="s">
        <v>216</v>
      </c>
      <c r="DX372">
        <v>100</v>
      </c>
      <c r="DZ372" t="s">
        <v>3</v>
      </c>
      <c r="EA372" t="s">
        <v>3</v>
      </c>
      <c r="EB372" t="s">
        <v>3</v>
      </c>
      <c r="EC372" t="s">
        <v>3</v>
      </c>
      <c r="EE372">
        <v>54545671</v>
      </c>
      <c r="EF372">
        <v>1</v>
      </c>
      <c r="EG372" t="s">
        <v>20</v>
      </c>
      <c r="EH372">
        <v>0</v>
      </c>
      <c r="EI372" t="s">
        <v>3</v>
      </c>
      <c r="EJ372">
        <v>4</v>
      </c>
      <c r="EK372">
        <v>0</v>
      </c>
      <c r="EL372" t="s">
        <v>21</v>
      </c>
      <c r="EM372" t="s">
        <v>22</v>
      </c>
      <c r="EO372" t="s">
        <v>3</v>
      </c>
      <c r="EQ372">
        <v>0</v>
      </c>
      <c r="ER372">
        <v>39952.26</v>
      </c>
      <c r="ES372">
        <v>0</v>
      </c>
      <c r="ET372">
        <v>0</v>
      </c>
      <c r="EU372">
        <v>0</v>
      </c>
      <c r="EV372">
        <v>39952.26</v>
      </c>
      <c r="EW372">
        <v>221.6</v>
      </c>
      <c r="EX372">
        <v>0</v>
      </c>
      <c r="EY372">
        <v>0</v>
      </c>
      <c r="FQ372">
        <v>0</v>
      </c>
      <c r="FR372">
        <f t="shared" si="348"/>
        <v>0</v>
      </c>
      <c r="FS372">
        <v>0</v>
      </c>
      <c r="FX372">
        <v>70</v>
      </c>
      <c r="FY372">
        <v>10</v>
      </c>
      <c r="GA372" t="s">
        <v>3</v>
      </c>
      <c r="GD372">
        <v>0</v>
      </c>
      <c r="GF372">
        <v>1433544166</v>
      </c>
      <c r="GG372">
        <v>2</v>
      </c>
      <c r="GH372">
        <v>1</v>
      </c>
      <c r="GI372">
        <v>-2</v>
      </c>
      <c r="GJ372">
        <v>0</v>
      </c>
      <c r="GK372">
        <f>ROUND(R372*(R12)/100,2)</f>
        <v>0</v>
      </c>
      <c r="GL372">
        <f t="shared" si="349"/>
        <v>0</v>
      </c>
      <c r="GM372">
        <f>ROUND(O372+X372+Y372+GK372,2)+GX372</f>
        <v>17978.53</v>
      </c>
      <c r="GN372">
        <f>IF(OR(BI372=0,BI372=1),ROUND(O372+X372+Y372+GK372,2),0)</f>
        <v>0</v>
      </c>
      <c r="GO372">
        <f>IF(BI372=2,ROUND(O372+X372+Y372+GK372,2),0)</f>
        <v>0</v>
      </c>
      <c r="GP372">
        <f>IF(BI372=4,ROUND(O372+X372+Y372+GK372,2)+GX372,0)</f>
        <v>17978.53</v>
      </c>
      <c r="GR372">
        <v>0</v>
      </c>
      <c r="GS372">
        <v>3</v>
      </c>
      <c r="GT372">
        <v>0</v>
      </c>
      <c r="GU372" t="s">
        <v>3</v>
      </c>
      <c r="GV372">
        <f t="shared" si="350"/>
        <v>0</v>
      </c>
      <c r="GW372">
        <v>1</v>
      </c>
      <c r="GX372">
        <f t="shared" si="351"/>
        <v>0</v>
      </c>
      <c r="HA372">
        <v>0</v>
      </c>
      <c r="HB372">
        <v>0</v>
      </c>
      <c r="HC372">
        <f t="shared" si="352"/>
        <v>0</v>
      </c>
      <c r="HE372" t="s">
        <v>3</v>
      </c>
      <c r="HF372" t="s">
        <v>3</v>
      </c>
      <c r="IK372">
        <v>0</v>
      </c>
    </row>
    <row r="373" spans="1:245" x14ac:dyDescent="0.2">
      <c r="A373">
        <v>17</v>
      </c>
      <c r="B373">
        <v>1</v>
      </c>
      <c r="C373">
        <f>ROW(SmtRes!A161)</f>
        <v>161</v>
      </c>
      <c r="D373">
        <f>ROW(EtalonRes!A149)</f>
        <v>149</v>
      </c>
      <c r="E373" t="s">
        <v>273</v>
      </c>
      <c r="F373" t="s">
        <v>266</v>
      </c>
      <c r="G373" t="s">
        <v>267</v>
      </c>
      <c r="H373" t="s">
        <v>216</v>
      </c>
      <c r="I373">
        <f>ROUND(I372*0.9,9)</f>
        <v>0.22500000000000001</v>
      </c>
      <c r="J373">
        <v>0</v>
      </c>
      <c r="O373">
        <f t="shared" si="322"/>
        <v>1974.69</v>
      </c>
      <c r="P373">
        <f t="shared" si="323"/>
        <v>0</v>
      </c>
      <c r="Q373">
        <f t="shared" si="324"/>
        <v>1913.11</v>
      </c>
      <c r="R373">
        <f t="shared" si="325"/>
        <v>733.59</v>
      </c>
      <c r="S373">
        <f t="shared" si="326"/>
        <v>61.58</v>
      </c>
      <c r="T373">
        <f t="shared" si="327"/>
        <v>0</v>
      </c>
      <c r="U373">
        <f t="shared" si="328"/>
        <v>0.35775000000000001</v>
      </c>
      <c r="V373">
        <f t="shared" si="329"/>
        <v>0</v>
      </c>
      <c r="W373">
        <f t="shared" si="330"/>
        <v>0</v>
      </c>
      <c r="X373">
        <f t="shared" si="331"/>
        <v>43.11</v>
      </c>
      <c r="Y373">
        <f t="shared" si="332"/>
        <v>6.16</v>
      </c>
      <c r="AA373">
        <v>56440881</v>
      </c>
      <c r="AB373">
        <f t="shared" si="333"/>
        <v>8776.4</v>
      </c>
      <c r="AC373">
        <f>ROUND((ES373),2)</f>
        <v>0</v>
      </c>
      <c r="AD373">
        <f>ROUND((((ET373)-(EU373))+AE373),2)</f>
        <v>8502.7099999999991</v>
      </c>
      <c r="AE373">
        <f t="shared" si="334"/>
        <v>3260.42</v>
      </c>
      <c r="AF373">
        <f t="shared" si="334"/>
        <v>273.69</v>
      </c>
      <c r="AG373">
        <f t="shared" si="335"/>
        <v>0</v>
      </c>
      <c r="AH373">
        <f t="shared" si="336"/>
        <v>1.59</v>
      </c>
      <c r="AI373">
        <f t="shared" si="336"/>
        <v>0</v>
      </c>
      <c r="AJ373">
        <f t="shared" si="337"/>
        <v>0</v>
      </c>
      <c r="AK373">
        <v>8776.4</v>
      </c>
      <c r="AL373">
        <v>0</v>
      </c>
      <c r="AM373">
        <v>8502.7099999999991</v>
      </c>
      <c r="AN373">
        <v>3260.42</v>
      </c>
      <c r="AO373">
        <v>273.69</v>
      </c>
      <c r="AP373">
        <v>0</v>
      </c>
      <c r="AQ373">
        <v>1.59</v>
      </c>
      <c r="AR373">
        <v>0</v>
      </c>
      <c r="AS373">
        <v>0</v>
      </c>
      <c r="AT373">
        <v>70</v>
      </c>
      <c r="AU373">
        <v>10</v>
      </c>
      <c r="AV373">
        <v>1</v>
      </c>
      <c r="AW373">
        <v>1</v>
      </c>
      <c r="AZ373">
        <v>1</v>
      </c>
      <c r="BA373">
        <v>1</v>
      </c>
      <c r="BB373">
        <v>1</v>
      </c>
      <c r="BC373">
        <v>1</v>
      </c>
      <c r="BD373" t="s">
        <v>3</v>
      </c>
      <c r="BE373" t="s">
        <v>3</v>
      </c>
      <c r="BF373" t="s">
        <v>3</v>
      </c>
      <c r="BG373" t="s">
        <v>3</v>
      </c>
      <c r="BH373">
        <v>0</v>
      </c>
      <c r="BI373">
        <v>4</v>
      </c>
      <c r="BJ373" t="s">
        <v>268</v>
      </c>
      <c r="BM373">
        <v>0</v>
      </c>
      <c r="BN373">
        <v>0</v>
      </c>
      <c r="BO373" t="s">
        <v>3</v>
      </c>
      <c r="BP373">
        <v>0</v>
      </c>
      <c r="BQ373">
        <v>1</v>
      </c>
      <c r="BR373">
        <v>0</v>
      </c>
      <c r="BS373">
        <v>1</v>
      </c>
      <c r="BT373">
        <v>1</v>
      </c>
      <c r="BU373">
        <v>1</v>
      </c>
      <c r="BV373">
        <v>1</v>
      </c>
      <c r="BW373">
        <v>1</v>
      </c>
      <c r="BX373">
        <v>1</v>
      </c>
      <c r="BY373" t="s">
        <v>3</v>
      </c>
      <c r="BZ373">
        <v>70</v>
      </c>
      <c r="CA373">
        <v>10</v>
      </c>
      <c r="CE373">
        <v>0</v>
      </c>
      <c r="CF373">
        <v>0</v>
      </c>
      <c r="CG373">
        <v>0</v>
      </c>
      <c r="CM373">
        <v>0</v>
      </c>
      <c r="CN373" t="s">
        <v>3</v>
      </c>
      <c r="CO373">
        <v>0</v>
      </c>
      <c r="CP373">
        <f t="shared" si="338"/>
        <v>1974.6899999999998</v>
      </c>
      <c r="CQ373">
        <f t="shared" si="339"/>
        <v>0</v>
      </c>
      <c r="CR373">
        <f>((((ET373)*BB373-(EU373)*BS373)+AE373*BS373)*AV373)</f>
        <v>8502.7099999999991</v>
      </c>
      <c r="CS373">
        <f t="shared" si="340"/>
        <v>3260.42</v>
      </c>
      <c r="CT373">
        <f t="shared" si="341"/>
        <v>273.69</v>
      </c>
      <c r="CU373">
        <f t="shared" si="342"/>
        <v>0</v>
      </c>
      <c r="CV373">
        <f t="shared" si="343"/>
        <v>1.59</v>
      </c>
      <c r="CW373">
        <f t="shared" si="344"/>
        <v>0</v>
      </c>
      <c r="CX373">
        <f t="shared" si="345"/>
        <v>0</v>
      </c>
      <c r="CY373">
        <f t="shared" si="346"/>
        <v>43.105999999999995</v>
      </c>
      <c r="CZ373">
        <f t="shared" si="347"/>
        <v>6.1579999999999995</v>
      </c>
      <c r="DC373" t="s">
        <v>3</v>
      </c>
      <c r="DD373" t="s">
        <v>3</v>
      </c>
      <c r="DE373" t="s">
        <v>3</v>
      </c>
      <c r="DF373" t="s">
        <v>3</v>
      </c>
      <c r="DG373" t="s">
        <v>3</v>
      </c>
      <c r="DH373" t="s">
        <v>3</v>
      </c>
      <c r="DI373" t="s">
        <v>3</v>
      </c>
      <c r="DJ373" t="s">
        <v>3</v>
      </c>
      <c r="DK373" t="s">
        <v>3</v>
      </c>
      <c r="DL373" t="s">
        <v>3</v>
      </c>
      <c r="DM373" t="s">
        <v>3</v>
      </c>
      <c r="DN373">
        <v>0</v>
      </c>
      <c r="DO373">
        <v>0</v>
      </c>
      <c r="DP373">
        <v>1</v>
      </c>
      <c r="DQ373">
        <v>1</v>
      </c>
      <c r="DU373">
        <v>1007</v>
      </c>
      <c r="DV373" t="s">
        <v>216</v>
      </c>
      <c r="DW373" t="s">
        <v>216</v>
      </c>
      <c r="DX373">
        <v>100</v>
      </c>
      <c r="DZ373" t="s">
        <v>3</v>
      </c>
      <c r="EA373" t="s">
        <v>3</v>
      </c>
      <c r="EB373" t="s">
        <v>3</v>
      </c>
      <c r="EC373" t="s">
        <v>3</v>
      </c>
      <c r="EE373">
        <v>54545671</v>
      </c>
      <c r="EF373">
        <v>1</v>
      </c>
      <c r="EG373" t="s">
        <v>20</v>
      </c>
      <c r="EH373">
        <v>0</v>
      </c>
      <c r="EI373" t="s">
        <v>3</v>
      </c>
      <c r="EJ373">
        <v>4</v>
      </c>
      <c r="EK373">
        <v>0</v>
      </c>
      <c r="EL373" t="s">
        <v>21</v>
      </c>
      <c r="EM373" t="s">
        <v>22</v>
      </c>
      <c r="EO373" t="s">
        <v>3</v>
      </c>
      <c r="EQ373">
        <v>0</v>
      </c>
      <c r="ER373">
        <v>8776.4</v>
      </c>
      <c r="ES373">
        <v>0</v>
      </c>
      <c r="ET373">
        <v>8502.7099999999991</v>
      </c>
      <c r="EU373">
        <v>3260.42</v>
      </c>
      <c r="EV373">
        <v>273.69</v>
      </c>
      <c r="EW373">
        <v>1.59</v>
      </c>
      <c r="EX373">
        <v>0</v>
      </c>
      <c r="EY373">
        <v>0</v>
      </c>
      <c r="FQ373">
        <v>0</v>
      </c>
      <c r="FR373">
        <f t="shared" si="348"/>
        <v>0</v>
      </c>
      <c r="FS373">
        <v>0</v>
      </c>
      <c r="FX373">
        <v>70</v>
      </c>
      <c r="FY373">
        <v>10</v>
      </c>
      <c r="GA373" t="s">
        <v>3</v>
      </c>
      <c r="GD373">
        <v>0</v>
      </c>
      <c r="GF373">
        <v>1514717659</v>
      </c>
      <c r="GG373">
        <v>2</v>
      </c>
      <c r="GH373">
        <v>1</v>
      </c>
      <c r="GI373">
        <v>-2</v>
      </c>
      <c r="GJ373">
        <v>0</v>
      </c>
      <c r="GK373">
        <f>ROUND(R373*(R12)/100,2)</f>
        <v>792.28</v>
      </c>
      <c r="GL373">
        <f t="shared" si="349"/>
        <v>0</v>
      </c>
      <c r="GM373">
        <f>ROUND(O373+X373+Y373+GK373,2)+GX373</f>
        <v>2816.24</v>
      </c>
      <c r="GN373">
        <f>IF(OR(BI373=0,BI373=1),ROUND(O373+X373+Y373+GK373,2),0)</f>
        <v>0</v>
      </c>
      <c r="GO373">
        <f>IF(BI373=2,ROUND(O373+X373+Y373+GK373,2),0)</f>
        <v>0</v>
      </c>
      <c r="GP373">
        <f>IF(BI373=4,ROUND(O373+X373+Y373+GK373,2)+GX373,0)</f>
        <v>2816.24</v>
      </c>
      <c r="GR373">
        <v>0</v>
      </c>
      <c r="GS373">
        <v>3</v>
      </c>
      <c r="GT373">
        <v>0</v>
      </c>
      <c r="GU373" t="s">
        <v>3</v>
      </c>
      <c r="GV373">
        <f t="shared" si="350"/>
        <v>0</v>
      </c>
      <c r="GW373">
        <v>1</v>
      </c>
      <c r="GX373">
        <f t="shared" si="351"/>
        <v>0</v>
      </c>
      <c r="HA373">
        <v>0</v>
      </c>
      <c r="HB373">
        <v>0</v>
      </c>
      <c r="HC373">
        <f t="shared" si="352"/>
        <v>0</v>
      </c>
      <c r="HE373" t="s">
        <v>3</v>
      </c>
      <c r="HF373" t="s">
        <v>3</v>
      </c>
      <c r="IK373">
        <v>0</v>
      </c>
    </row>
    <row r="374" spans="1:245" x14ac:dyDescent="0.2">
      <c r="A374">
        <v>17</v>
      </c>
      <c r="B374">
        <v>1</v>
      </c>
      <c r="C374">
        <f>ROW(SmtRes!A162)</f>
        <v>162</v>
      </c>
      <c r="D374">
        <f>ROW(EtalonRes!A150)</f>
        <v>150</v>
      </c>
      <c r="E374" t="s">
        <v>274</v>
      </c>
      <c r="F374" t="s">
        <v>275</v>
      </c>
      <c r="G374" t="s">
        <v>276</v>
      </c>
      <c r="H374" t="s">
        <v>216</v>
      </c>
      <c r="I374">
        <f>ROUND((I372*0.1),9)</f>
        <v>2.5000000000000001E-2</v>
      </c>
      <c r="J374">
        <v>0</v>
      </c>
      <c r="O374">
        <f t="shared" si="322"/>
        <v>266.22000000000003</v>
      </c>
      <c r="P374">
        <f t="shared" si="323"/>
        <v>0</v>
      </c>
      <c r="Q374">
        <f t="shared" si="324"/>
        <v>0</v>
      </c>
      <c r="R374">
        <f t="shared" si="325"/>
        <v>0</v>
      </c>
      <c r="S374">
        <f t="shared" si="326"/>
        <v>266.22000000000003</v>
      </c>
      <c r="T374">
        <f t="shared" si="327"/>
        <v>0</v>
      </c>
      <c r="U374">
        <f t="shared" si="328"/>
        <v>2.0750000000000002</v>
      </c>
      <c r="V374">
        <f t="shared" si="329"/>
        <v>0</v>
      </c>
      <c r="W374">
        <f t="shared" si="330"/>
        <v>0</v>
      </c>
      <c r="X374">
        <f t="shared" si="331"/>
        <v>186.35</v>
      </c>
      <c r="Y374">
        <f t="shared" si="332"/>
        <v>26.62</v>
      </c>
      <c r="AA374">
        <v>56440881</v>
      </c>
      <c r="AB374">
        <f t="shared" si="333"/>
        <v>10648.9</v>
      </c>
      <c r="AC374">
        <f>ROUND((ES374),2)</f>
        <v>0</v>
      </c>
      <c r="AD374">
        <f>ROUND((((ET374)-(EU374))+AE374),2)</f>
        <v>0</v>
      </c>
      <c r="AE374">
        <f t="shared" si="334"/>
        <v>0</v>
      </c>
      <c r="AF374">
        <f t="shared" si="334"/>
        <v>10648.9</v>
      </c>
      <c r="AG374">
        <f t="shared" si="335"/>
        <v>0</v>
      </c>
      <c r="AH374">
        <f t="shared" si="336"/>
        <v>83</v>
      </c>
      <c r="AI374">
        <f t="shared" si="336"/>
        <v>0</v>
      </c>
      <c r="AJ374">
        <f t="shared" si="337"/>
        <v>0</v>
      </c>
      <c r="AK374">
        <v>10648.9</v>
      </c>
      <c r="AL374">
        <v>0</v>
      </c>
      <c r="AM374">
        <v>0</v>
      </c>
      <c r="AN374">
        <v>0</v>
      </c>
      <c r="AO374">
        <v>10648.9</v>
      </c>
      <c r="AP374">
        <v>0</v>
      </c>
      <c r="AQ374">
        <v>83</v>
      </c>
      <c r="AR374">
        <v>0</v>
      </c>
      <c r="AS374">
        <v>0</v>
      </c>
      <c r="AT374">
        <v>70</v>
      </c>
      <c r="AU374">
        <v>10</v>
      </c>
      <c r="AV374">
        <v>1</v>
      </c>
      <c r="AW374">
        <v>1</v>
      </c>
      <c r="AZ374">
        <v>1</v>
      </c>
      <c r="BA374">
        <v>1</v>
      </c>
      <c r="BB374">
        <v>1</v>
      </c>
      <c r="BC374">
        <v>1</v>
      </c>
      <c r="BD374" t="s">
        <v>3</v>
      </c>
      <c r="BE374" t="s">
        <v>3</v>
      </c>
      <c r="BF374" t="s">
        <v>3</v>
      </c>
      <c r="BG374" t="s">
        <v>3</v>
      </c>
      <c r="BH374">
        <v>0</v>
      </c>
      <c r="BI374">
        <v>4</v>
      </c>
      <c r="BJ374" t="s">
        <v>277</v>
      </c>
      <c r="BM374">
        <v>0</v>
      </c>
      <c r="BN374">
        <v>0</v>
      </c>
      <c r="BO374" t="s">
        <v>3</v>
      </c>
      <c r="BP374">
        <v>0</v>
      </c>
      <c r="BQ374">
        <v>1</v>
      </c>
      <c r="BR374">
        <v>0</v>
      </c>
      <c r="BS374">
        <v>1</v>
      </c>
      <c r="BT374">
        <v>1</v>
      </c>
      <c r="BU374">
        <v>1</v>
      </c>
      <c r="BV374">
        <v>1</v>
      </c>
      <c r="BW374">
        <v>1</v>
      </c>
      <c r="BX374">
        <v>1</v>
      </c>
      <c r="BY374" t="s">
        <v>3</v>
      </c>
      <c r="BZ374">
        <v>70</v>
      </c>
      <c r="CA374">
        <v>10</v>
      </c>
      <c r="CE374">
        <v>0</v>
      </c>
      <c r="CF374">
        <v>0</v>
      </c>
      <c r="CG374">
        <v>0</v>
      </c>
      <c r="CM374">
        <v>0</v>
      </c>
      <c r="CN374" t="s">
        <v>3</v>
      </c>
      <c r="CO374">
        <v>0</v>
      </c>
      <c r="CP374">
        <f t="shared" si="338"/>
        <v>266.22000000000003</v>
      </c>
      <c r="CQ374">
        <f t="shared" si="339"/>
        <v>0</v>
      </c>
      <c r="CR374">
        <f>((((ET374)*BB374-(EU374)*BS374)+AE374*BS374)*AV374)</f>
        <v>0</v>
      </c>
      <c r="CS374">
        <f t="shared" si="340"/>
        <v>0</v>
      </c>
      <c r="CT374">
        <f t="shared" si="341"/>
        <v>10648.9</v>
      </c>
      <c r="CU374">
        <f t="shared" si="342"/>
        <v>0</v>
      </c>
      <c r="CV374">
        <f t="shared" si="343"/>
        <v>83</v>
      </c>
      <c r="CW374">
        <f t="shared" si="344"/>
        <v>0</v>
      </c>
      <c r="CX374">
        <f t="shared" si="345"/>
        <v>0</v>
      </c>
      <c r="CY374">
        <f t="shared" si="346"/>
        <v>186.35400000000001</v>
      </c>
      <c r="CZ374">
        <f t="shared" si="347"/>
        <v>26.622000000000003</v>
      </c>
      <c r="DC374" t="s">
        <v>3</v>
      </c>
      <c r="DD374" t="s">
        <v>3</v>
      </c>
      <c r="DE374" t="s">
        <v>3</v>
      </c>
      <c r="DF374" t="s">
        <v>3</v>
      </c>
      <c r="DG374" t="s">
        <v>3</v>
      </c>
      <c r="DH374" t="s">
        <v>3</v>
      </c>
      <c r="DI374" t="s">
        <v>3</v>
      </c>
      <c r="DJ374" t="s">
        <v>3</v>
      </c>
      <c r="DK374" t="s">
        <v>3</v>
      </c>
      <c r="DL374" t="s">
        <v>3</v>
      </c>
      <c r="DM374" t="s">
        <v>3</v>
      </c>
      <c r="DN374">
        <v>0</v>
      </c>
      <c r="DO374">
        <v>0</v>
      </c>
      <c r="DP374">
        <v>1</v>
      </c>
      <c r="DQ374">
        <v>1</v>
      </c>
      <c r="DU374">
        <v>1007</v>
      </c>
      <c r="DV374" t="s">
        <v>216</v>
      </c>
      <c r="DW374" t="s">
        <v>216</v>
      </c>
      <c r="DX374">
        <v>100</v>
      </c>
      <c r="DZ374" t="s">
        <v>3</v>
      </c>
      <c r="EA374" t="s">
        <v>3</v>
      </c>
      <c r="EB374" t="s">
        <v>3</v>
      </c>
      <c r="EC374" t="s">
        <v>3</v>
      </c>
      <c r="EE374">
        <v>54545671</v>
      </c>
      <c r="EF374">
        <v>1</v>
      </c>
      <c r="EG374" t="s">
        <v>20</v>
      </c>
      <c r="EH374">
        <v>0</v>
      </c>
      <c r="EI374" t="s">
        <v>3</v>
      </c>
      <c r="EJ374">
        <v>4</v>
      </c>
      <c r="EK374">
        <v>0</v>
      </c>
      <c r="EL374" t="s">
        <v>21</v>
      </c>
      <c r="EM374" t="s">
        <v>22</v>
      </c>
      <c r="EO374" t="s">
        <v>3</v>
      </c>
      <c r="EQ374">
        <v>0</v>
      </c>
      <c r="ER374">
        <v>10648.9</v>
      </c>
      <c r="ES374">
        <v>0</v>
      </c>
      <c r="ET374">
        <v>0</v>
      </c>
      <c r="EU374">
        <v>0</v>
      </c>
      <c r="EV374">
        <v>10648.9</v>
      </c>
      <c r="EW374">
        <v>83</v>
      </c>
      <c r="EX374">
        <v>0</v>
      </c>
      <c r="EY374">
        <v>0</v>
      </c>
      <c r="FQ374">
        <v>0</v>
      </c>
      <c r="FR374">
        <f t="shared" si="348"/>
        <v>0</v>
      </c>
      <c r="FS374">
        <v>0</v>
      </c>
      <c r="FX374">
        <v>70</v>
      </c>
      <c r="FY374">
        <v>10</v>
      </c>
      <c r="GA374" t="s">
        <v>3</v>
      </c>
      <c r="GD374">
        <v>0</v>
      </c>
      <c r="GF374">
        <v>1848102735</v>
      </c>
      <c r="GG374">
        <v>2</v>
      </c>
      <c r="GH374">
        <v>1</v>
      </c>
      <c r="GI374">
        <v>-2</v>
      </c>
      <c r="GJ374">
        <v>0</v>
      </c>
      <c r="GK374">
        <f>ROUND(R374*(R12)/100,2)</f>
        <v>0</v>
      </c>
      <c r="GL374">
        <f t="shared" si="349"/>
        <v>0</v>
      </c>
      <c r="GM374">
        <f>ROUND(O374+X374+Y374+GK374,2)+GX374</f>
        <v>479.19</v>
      </c>
      <c r="GN374">
        <f>IF(OR(BI374=0,BI374=1),ROUND(O374+X374+Y374+GK374,2),0)</f>
        <v>0</v>
      </c>
      <c r="GO374">
        <f>IF(BI374=2,ROUND(O374+X374+Y374+GK374,2),0)</f>
        <v>0</v>
      </c>
      <c r="GP374">
        <f>IF(BI374=4,ROUND(O374+X374+Y374+GK374,2)+GX374,0)</f>
        <v>479.19</v>
      </c>
      <c r="GR374">
        <v>0</v>
      </c>
      <c r="GS374">
        <v>3</v>
      </c>
      <c r="GT374">
        <v>0</v>
      </c>
      <c r="GU374" t="s">
        <v>3</v>
      </c>
      <c r="GV374">
        <f t="shared" si="350"/>
        <v>0</v>
      </c>
      <c r="GW374">
        <v>1</v>
      </c>
      <c r="GX374">
        <f t="shared" si="351"/>
        <v>0</v>
      </c>
      <c r="HA374">
        <v>0</v>
      </c>
      <c r="HB374">
        <v>0</v>
      </c>
      <c r="HC374">
        <f t="shared" si="352"/>
        <v>0</v>
      </c>
      <c r="HE374" t="s">
        <v>3</v>
      </c>
      <c r="HF374" t="s">
        <v>3</v>
      </c>
      <c r="IK374">
        <v>0</v>
      </c>
    </row>
    <row r="375" spans="1:245" x14ac:dyDescent="0.2">
      <c r="A375">
        <v>17</v>
      </c>
      <c r="B375">
        <v>1</v>
      </c>
      <c r="C375">
        <f>ROW(SmtRes!A163)</f>
        <v>163</v>
      </c>
      <c r="D375">
        <f>ROW(EtalonRes!A151)</f>
        <v>151</v>
      </c>
      <c r="E375" t="s">
        <v>278</v>
      </c>
      <c r="F375" t="s">
        <v>279</v>
      </c>
      <c r="G375" t="s">
        <v>280</v>
      </c>
      <c r="H375" t="s">
        <v>26</v>
      </c>
      <c r="I375">
        <f>ROUND(I381*0.1*100,9)</f>
        <v>100</v>
      </c>
      <c r="J375">
        <v>0</v>
      </c>
      <c r="O375">
        <f t="shared" si="322"/>
        <v>5167</v>
      </c>
      <c r="P375">
        <f t="shared" si="323"/>
        <v>0</v>
      </c>
      <c r="Q375">
        <f t="shared" si="324"/>
        <v>5167</v>
      </c>
      <c r="R375">
        <f t="shared" si="325"/>
        <v>3022</v>
      </c>
      <c r="S375">
        <f t="shared" si="326"/>
        <v>0</v>
      </c>
      <c r="T375">
        <f t="shared" si="327"/>
        <v>0</v>
      </c>
      <c r="U375">
        <f t="shared" si="328"/>
        <v>0</v>
      </c>
      <c r="V375">
        <f t="shared" si="329"/>
        <v>0</v>
      </c>
      <c r="W375">
        <f t="shared" si="330"/>
        <v>0</v>
      </c>
      <c r="X375">
        <f t="shared" si="331"/>
        <v>0</v>
      </c>
      <c r="Y375">
        <f t="shared" si="332"/>
        <v>0</v>
      </c>
      <c r="AA375">
        <v>56440881</v>
      </c>
      <c r="AB375">
        <f t="shared" si="333"/>
        <v>51.67</v>
      </c>
      <c r="AC375">
        <f>ROUND((ES375),2)</f>
        <v>0</v>
      </c>
      <c r="AD375">
        <f>ROUND((((ET375)-(EU375))+AE375),2)</f>
        <v>51.67</v>
      </c>
      <c r="AE375">
        <f t="shared" si="334"/>
        <v>30.22</v>
      </c>
      <c r="AF375">
        <f t="shared" si="334"/>
        <v>0</v>
      </c>
      <c r="AG375">
        <f t="shared" si="335"/>
        <v>0</v>
      </c>
      <c r="AH375">
        <f t="shared" si="336"/>
        <v>0</v>
      </c>
      <c r="AI375">
        <f t="shared" si="336"/>
        <v>0</v>
      </c>
      <c r="AJ375">
        <f t="shared" si="337"/>
        <v>0</v>
      </c>
      <c r="AK375">
        <v>51.67</v>
      </c>
      <c r="AL375">
        <v>0</v>
      </c>
      <c r="AM375">
        <v>51.67</v>
      </c>
      <c r="AN375">
        <v>30.22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1</v>
      </c>
      <c r="AZ375">
        <v>1</v>
      </c>
      <c r="BA375">
        <v>1</v>
      </c>
      <c r="BB375">
        <v>1</v>
      </c>
      <c r="BC375">
        <v>1</v>
      </c>
      <c r="BD375" t="s">
        <v>3</v>
      </c>
      <c r="BE375" t="s">
        <v>3</v>
      </c>
      <c r="BF375" t="s">
        <v>3</v>
      </c>
      <c r="BG375" t="s">
        <v>3</v>
      </c>
      <c r="BH375">
        <v>0</v>
      </c>
      <c r="BI375">
        <v>4</v>
      </c>
      <c r="BJ375" t="s">
        <v>281</v>
      </c>
      <c r="BM375">
        <v>1</v>
      </c>
      <c r="BN375">
        <v>0</v>
      </c>
      <c r="BO375" t="s">
        <v>3</v>
      </c>
      <c r="BP375">
        <v>0</v>
      </c>
      <c r="BQ375">
        <v>1</v>
      </c>
      <c r="BR375">
        <v>0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 t="s">
        <v>3</v>
      </c>
      <c r="BZ375">
        <v>0</v>
      </c>
      <c r="CA375">
        <v>0</v>
      </c>
      <c r="CE375">
        <v>0</v>
      </c>
      <c r="CF375">
        <v>0</v>
      </c>
      <c r="CG375">
        <v>0</v>
      </c>
      <c r="CM375">
        <v>0</v>
      </c>
      <c r="CN375" t="s">
        <v>3</v>
      </c>
      <c r="CO375">
        <v>0</v>
      </c>
      <c r="CP375">
        <f t="shared" si="338"/>
        <v>5167</v>
      </c>
      <c r="CQ375">
        <f t="shared" si="339"/>
        <v>0</v>
      </c>
      <c r="CR375">
        <f>((((ET375)*BB375-(EU375)*BS375)+AE375*BS375)*AV375)</f>
        <v>51.67</v>
      </c>
      <c r="CS375">
        <f t="shared" si="340"/>
        <v>30.22</v>
      </c>
      <c r="CT375">
        <f t="shared" si="341"/>
        <v>0</v>
      </c>
      <c r="CU375">
        <f t="shared" si="342"/>
        <v>0</v>
      </c>
      <c r="CV375">
        <f t="shared" si="343"/>
        <v>0</v>
      </c>
      <c r="CW375">
        <f t="shared" si="344"/>
        <v>0</v>
      </c>
      <c r="CX375">
        <f t="shared" si="345"/>
        <v>0</v>
      </c>
      <c r="CY375">
        <f t="shared" si="346"/>
        <v>0</v>
      </c>
      <c r="CZ375">
        <f t="shared" si="347"/>
        <v>0</v>
      </c>
      <c r="DC375" t="s">
        <v>3</v>
      </c>
      <c r="DD375" t="s">
        <v>3</v>
      </c>
      <c r="DE375" t="s">
        <v>3</v>
      </c>
      <c r="DF375" t="s">
        <v>3</v>
      </c>
      <c r="DG375" t="s">
        <v>3</v>
      </c>
      <c r="DH375" t="s">
        <v>3</v>
      </c>
      <c r="DI375" t="s">
        <v>3</v>
      </c>
      <c r="DJ375" t="s">
        <v>3</v>
      </c>
      <c r="DK375" t="s">
        <v>3</v>
      </c>
      <c r="DL375" t="s">
        <v>3</v>
      </c>
      <c r="DM375" t="s">
        <v>3</v>
      </c>
      <c r="DN375">
        <v>0</v>
      </c>
      <c r="DO375">
        <v>0</v>
      </c>
      <c r="DP375">
        <v>1</v>
      </c>
      <c r="DQ375">
        <v>1</v>
      </c>
      <c r="DU375">
        <v>1007</v>
      </c>
      <c r="DV375" t="s">
        <v>26</v>
      </c>
      <c r="DW375" t="s">
        <v>26</v>
      </c>
      <c r="DX375">
        <v>1</v>
      </c>
      <c r="DZ375" t="s">
        <v>3</v>
      </c>
      <c r="EA375" t="s">
        <v>3</v>
      </c>
      <c r="EB375" t="s">
        <v>3</v>
      </c>
      <c r="EC375" t="s">
        <v>3</v>
      </c>
      <c r="EE375">
        <v>54545673</v>
      </c>
      <c r="EF375">
        <v>1</v>
      </c>
      <c r="EG375" t="s">
        <v>20</v>
      </c>
      <c r="EH375">
        <v>0</v>
      </c>
      <c r="EI375" t="s">
        <v>3</v>
      </c>
      <c r="EJ375">
        <v>4</v>
      </c>
      <c r="EK375">
        <v>1</v>
      </c>
      <c r="EL375" t="s">
        <v>132</v>
      </c>
      <c r="EM375" t="s">
        <v>22</v>
      </c>
      <c r="EO375" t="s">
        <v>3</v>
      </c>
      <c r="EQ375">
        <v>0</v>
      </c>
      <c r="ER375">
        <v>51.67</v>
      </c>
      <c r="ES375">
        <v>0</v>
      </c>
      <c r="ET375">
        <v>51.67</v>
      </c>
      <c r="EU375">
        <v>30.22</v>
      </c>
      <c r="EV375">
        <v>0</v>
      </c>
      <c r="EW375">
        <v>0</v>
      </c>
      <c r="EX375">
        <v>0</v>
      </c>
      <c r="EY375">
        <v>0</v>
      </c>
      <c r="FQ375">
        <v>0</v>
      </c>
      <c r="FR375">
        <f t="shared" si="348"/>
        <v>0</v>
      </c>
      <c r="FS375">
        <v>0</v>
      </c>
      <c r="FX375">
        <v>0</v>
      </c>
      <c r="FY375">
        <v>0</v>
      </c>
      <c r="GA375" t="s">
        <v>3</v>
      </c>
      <c r="GD375">
        <v>1</v>
      </c>
      <c r="GF375">
        <v>65406317</v>
      </c>
      <c r="GG375">
        <v>2</v>
      </c>
      <c r="GH375">
        <v>1</v>
      </c>
      <c r="GI375">
        <v>-2</v>
      </c>
      <c r="GJ375">
        <v>0</v>
      </c>
      <c r="GK375">
        <v>0</v>
      </c>
      <c r="GL375">
        <f t="shared" si="349"/>
        <v>0</v>
      </c>
      <c r="GM375">
        <f>ROUND(O375+X375+Y375,2)+GX375</f>
        <v>5167</v>
      </c>
      <c r="GN375">
        <f>IF(OR(BI375=0,BI375=1),ROUND(O375+X375+Y375,2),0)</f>
        <v>0</v>
      </c>
      <c r="GO375">
        <f>IF(BI375=2,ROUND(O375+X375+Y375,2),0)</f>
        <v>0</v>
      </c>
      <c r="GP375">
        <f>IF(BI375=4,ROUND(O375+X375+Y375,2)+GX375,0)</f>
        <v>5167</v>
      </c>
      <c r="GR375">
        <v>0</v>
      </c>
      <c r="GS375">
        <v>3</v>
      </c>
      <c r="GT375">
        <v>0</v>
      </c>
      <c r="GU375" t="s">
        <v>3</v>
      </c>
      <c r="GV375">
        <f t="shared" si="350"/>
        <v>0</v>
      </c>
      <c r="GW375">
        <v>1</v>
      </c>
      <c r="GX375">
        <f t="shared" si="351"/>
        <v>0</v>
      </c>
      <c r="HA375">
        <v>0</v>
      </c>
      <c r="HB375">
        <v>0</v>
      </c>
      <c r="HC375">
        <f t="shared" si="352"/>
        <v>0</v>
      </c>
      <c r="HE375" t="s">
        <v>3</v>
      </c>
      <c r="HF375" t="s">
        <v>3</v>
      </c>
      <c r="IK375">
        <v>0</v>
      </c>
    </row>
    <row r="376" spans="1:245" x14ac:dyDescent="0.2">
      <c r="A376">
        <v>17</v>
      </c>
      <c r="B376">
        <v>1</v>
      </c>
      <c r="C376">
        <f>ROW(SmtRes!A164)</f>
        <v>164</v>
      </c>
      <c r="D376">
        <f>ROW(EtalonRes!A152)</f>
        <v>152</v>
      </c>
      <c r="E376" t="s">
        <v>282</v>
      </c>
      <c r="F376" t="s">
        <v>283</v>
      </c>
      <c r="G376" t="s">
        <v>284</v>
      </c>
      <c r="H376" t="s">
        <v>26</v>
      </c>
      <c r="I376">
        <f>ROUND(I375,9)</f>
        <v>100</v>
      </c>
      <c r="J376">
        <v>0</v>
      </c>
      <c r="O376">
        <f t="shared" si="322"/>
        <v>88351</v>
      </c>
      <c r="P376">
        <f t="shared" si="323"/>
        <v>0</v>
      </c>
      <c r="Q376">
        <f t="shared" si="324"/>
        <v>88351</v>
      </c>
      <c r="R376">
        <f t="shared" si="325"/>
        <v>51675</v>
      </c>
      <c r="S376">
        <f t="shared" si="326"/>
        <v>0</v>
      </c>
      <c r="T376">
        <f t="shared" si="327"/>
        <v>0</v>
      </c>
      <c r="U376">
        <f t="shared" si="328"/>
        <v>0</v>
      </c>
      <c r="V376">
        <f t="shared" si="329"/>
        <v>0</v>
      </c>
      <c r="W376">
        <f t="shared" si="330"/>
        <v>0</v>
      </c>
      <c r="X376">
        <f t="shared" si="331"/>
        <v>0</v>
      </c>
      <c r="Y376">
        <f t="shared" si="332"/>
        <v>0</v>
      </c>
      <c r="AA376">
        <v>56440881</v>
      </c>
      <c r="AB376">
        <f t="shared" si="333"/>
        <v>883.51</v>
      </c>
      <c r="AC376">
        <f>ROUND(((ES376*53)),2)</f>
        <v>0</v>
      </c>
      <c r="AD376">
        <f>ROUND(((((ET376*53))-((EU376*53)))+AE376),2)</f>
        <v>883.51</v>
      </c>
      <c r="AE376">
        <f>ROUND(((EU376*53)),2)</f>
        <v>516.75</v>
      </c>
      <c r="AF376">
        <f>ROUND(((EV376*53)),2)</f>
        <v>0</v>
      </c>
      <c r="AG376">
        <f t="shared" si="335"/>
        <v>0</v>
      </c>
      <c r="AH376">
        <f>((EW376*53))</f>
        <v>0</v>
      </c>
      <c r="AI376">
        <f>((EX376*53))</f>
        <v>0</v>
      </c>
      <c r="AJ376">
        <f t="shared" si="337"/>
        <v>0</v>
      </c>
      <c r="AK376">
        <v>16.670000000000002</v>
      </c>
      <c r="AL376">
        <v>0</v>
      </c>
      <c r="AM376">
        <v>16.670000000000002</v>
      </c>
      <c r="AN376">
        <v>9.75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1</v>
      </c>
      <c r="AZ376">
        <v>1</v>
      </c>
      <c r="BA376">
        <v>1</v>
      </c>
      <c r="BB376">
        <v>1</v>
      </c>
      <c r="BC376">
        <v>1</v>
      </c>
      <c r="BD376" t="s">
        <v>3</v>
      </c>
      <c r="BE376" t="s">
        <v>3</v>
      </c>
      <c r="BF376" t="s">
        <v>3</v>
      </c>
      <c r="BG376" t="s">
        <v>3</v>
      </c>
      <c r="BH376">
        <v>0</v>
      </c>
      <c r="BI376">
        <v>4</v>
      </c>
      <c r="BJ376" t="s">
        <v>285</v>
      </c>
      <c r="BM376">
        <v>1</v>
      </c>
      <c r="BN376">
        <v>0</v>
      </c>
      <c r="BO376" t="s">
        <v>3</v>
      </c>
      <c r="BP376">
        <v>0</v>
      </c>
      <c r="BQ376">
        <v>1</v>
      </c>
      <c r="BR376">
        <v>0</v>
      </c>
      <c r="BS376">
        <v>1</v>
      </c>
      <c r="BT376">
        <v>1</v>
      </c>
      <c r="BU376">
        <v>1</v>
      </c>
      <c r="BV376">
        <v>1</v>
      </c>
      <c r="BW376">
        <v>1</v>
      </c>
      <c r="BX376">
        <v>1</v>
      </c>
      <c r="BY376" t="s">
        <v>3</v>
      </c>
      <c r="BZ376">
        <v>0</v>
      </c>
      <c r="CA376">
        <v>0</v>
      </c>
      <c r="CE376">
        <v>0</v>
      </c>
      <c r="CF376">
        <v>0</v>
      </c>
      <c r="CG376">
        <v>0</v>
      </c>
      <c r="CM376">
        <v>0</v>
      </c>
      <c r="CN376" t="s">
        <v>3</v>
      </c>
      <c r="CO376">
        <v>0</v>
      </c>
      <c r="CP376">
        <f t="shared" si="338"/>
        <v>88351</v>
      </c>
      <c r="CQ376">
        <f t="shared" si="339"/>
        <v>0</v>
      </c>
      <c r="CR376">
        <f>(((((ET376*53))*BB376-((EU376*53))*BS376)+AE376*BS376)*AV376)</f>
        <v>883.5100000000001</v>
      </c>
      <c r="CS376">
        <f t="shared" si="340"/>
        <v>516.75</v>
      </c>
      <c r="CT376">
        <f t="shared" si="341"/>
        <v>0</v>
      </c>
      <c r="CU376">
        <f t="shared" si="342"/>
        <v>0</v>
      </c>
      <c r="CV376">
        <f t="shared" si="343"/>
        <v>0</v>
      </c>
      <c r="CW376">
        <f t="shared" si="344"/>
        <v>0</v>
      </c>
      <c r="CX376">
        <f t="shared" si="345"/>
        <v>0</v>
      </c>
      <c r="CY376">
        <f t="shared" si="346"/>
        <v>0</v>
      </c>
      <c r="CZ376">
        <f t="shared" si="347"/>
        <v>0</v>
      </c>
      <c r="DC376" t="s">
        <v>3</v>
      </c>
      <c r="DD376" t="s">
        <v>286</v>
      </c>
      <c r="DE376" t="s">
        <v>286</v>
      </c>
      <c r="DF376" t="s">
        <v>286</v>
      </c>
      <c r="DG376" t="s">
        <v>286</v>
      </c>
      <c r="DH376" t="s">
        <v>3</v>
      </c>
      <c r="DI376" t="s">
        <v>286</v>
      </c>
      <c r="DJ376" t="s">
        <v>286</v>
      </c>
      <c r="DK376" t="s">
        <v>3</v>
      </c>
      <c r="DL376" t="s">
        <v>3</v>
      </c>
      <c r="DM376" t="s">
        <v>3</v>
      </c>
      <c r="DN376">
        <v>0</v>
      </c>
      <c r="DO376">
        <v>0</v>
      </c>
      <c r="DP376">
        <v>1</v>
      </c>
      <c r="DQ376">
        <v>1</v>
      </c>
      <c r="DU376">
        <v>1007</v>
      </c>
      <c r="DV376" t="s">
        <v>26</v>
      </c>
      <c r="DW376" t="s">
        <v>26</v>
      </c>
      <c r="DX376">
        <v>1</v>
      </c>
      <c r="DZ376" t="s">
        <v>3</v>
      </c>
      <c r="EA376" t="s">
        <v>3</v>
      </c>
      <c r="EB376" t="s">
        <v>3</v>
      </c>
      <c r="EC376" t="s">
        <v>3</v>
      </c>
      <c r="EE376">
        <v>54545673</v>
      </c>
      <c r="EF376">
        <v>1</v>
      </c>
      <c r="EG376" t="s">
        <v>20</v>
      </c>
      <c r="EH376">
        <v>0</v>
      </c>
      <c r="EI376" t="s">
        <v>3</v>
      </c>
      <c r="EJ376">
        <v>4</v>
      </c>
      <c r="EK376">
        <v>1</v>
      </c>
      <c r="EL376" t="s">
        <v>132</v>
      </c>
      <c r="EM376" t="s">
        <v>22</v>
      </c>
      <c r="EO376" t="s">
        <v>3</v>
      </c>
      <c r="EQ376">
        <v>0</v>
      </c>
      <c r="ER376">
        <v>16.670000000000002</v>
      </c>
      <c r="ES376">
        <v>0</v>
      </c>
      <c r="ET376">
        <v>16.670000000000002</v>
      </c>
      <c r="EU376">
        <v>9.75</v>
      </c>
      <c r="EV376">
        <v>0</v>
      </c>
      <c r="EW376">
        <v>0</v>
      </c>
      <c r="EX376">
        <v>0</v>
      </c>
      <c r="EY376">
        <v>0</v>
      </c>
      <c r="FQ376">
        <v>0</v>
      </c>
      <c r="FR376">
        <f t="shared" si="348"/>
        <v>0</v>
      </c>
      <c r="FS376">
        <v>0</v>
      </c>
      <c r="FX376">
        <v>0</v>
      </c>
      <c r="FY376">
        <v>0</v>
      </c>
      <c r="GA376" t="s">
        <v>3</v>
      </c>
      <c r="GD376">
        <v>1</v>
      </c>
      <c r="GF376">
        <v>-1540952486</v>
      </c>
      <c r="GG376">
        <v>2</v>
      </c>
      <c r="GH376">
        <v>1</v>
      </c>
      <c r="GI376">
        <v>-2</v>
      </c>
      <c r="GJ376">
        <v>0</v>
      </c>
      <c r="GK376">
        <v>0</v>
      </c>
      <c r="GL376">
        <f t="shared" si="349"/>
        <v>0</v>
      </c>
      <c r="GM376">
        <f>ROUND(O376+X376+Y376,2)+GX376</f>
        <v>88351</v>
      </c>
      <c r="GN376">
        <f>IF(OR(BI376=0,BI376=1),ROUND(O376+X376+Y376,2),0)</f>
        <v>0</v>
      </c>
      <c r="GO376">
        <f>IF(BI376=2,ROUND(O376+X376+Y376,2),0)</f>
        <v>0</v>
      </c>
      <c r="GP376">
        <f>IF(BI376=4,ROUND(O376+X376+Y376,2)+GX376,0)</f>
        <v>88351</v>
      </c>
      <c r="GR376">
        <v>0</v>
      </c>
      <c r="GS376">
        <v>3</v>
      </c>
      <c r="GT376">
        <v>0</v>
      </c>
      <c r="GU376" t="s">
        <v>3</v>
      </c>
      <c r="GV376">
        <f t="shared" si="350"/>
        <v>0</v>
      </c>
      <c r="GW376">
        <v>1</v>
      </c>
      <c r="GX376">
        <f t="shared" si="351"/>
        <v>0</v>
      </c>
      <c r="HA376">
        <v>0</v>
      </c>
      <c r="HB376">
        <v>0</v>
      </c>
      <c r="HC376">
        <f t="shared" si="352"/>
        <v>0</v>
      </c>
      <c r="HE376" t="s">
        <v>3</v>
      </c>
      <c r="HF376" t="s">
        <v>3</v>
      </c>
      <c r="IK376">
        <v>0</v>
      </c>
    </row>
    <row r="377" spans="1:245" x14ac:dyDescent="0.2">
      <c r="A377">
        <v>17</v>
      </c>
      <c r="B377">
        <v>1</v>
      </c>
      <c r="E377" t="s">
        <v>287</v>
      </c>
      <c r="F377" t="s">
        <v>288</v>
      </c>
      <c r="G377" t="s">
        <v>289</v>
      </c>
      <c r="H377" t="s">
        <v>44</v>
      </c>
      <c r="I377">
        <f>ROUND(I376*1.4,9)</f>
        <v>140</v>
      </c>
      <c r="J377">
        <v>0</v>
      </c>
      <c r="O377">
        <f t="shared" si="322"/>
        <v>21509.599999999999</v>
      </c>
      <c r="P377">
        <f t="shared" si="323"/>
        <v>21509.599999999999</v>
      </c>
      <c r="Q377">
        <f t="shared" si="324"/>
        <v>0</v>
      </c>
      <c r="R377">
        <f t="shared" si="325"/>
        <v>0</v>
      </c>
      <c r="S377">
        <f t="shared" si="326"/>
        <v>0</v>
      </c>
      <c r="T377">
        <f t="shared" si="327"/>
        <v>0</v>
      </c>
      <c r="U377">
        <f t="shared" si="328"/>
        <v>0</v>
      </c>
      <c r="V377">
        <f t="shared" si="329"/>
        <v>0</v>
      </c>
      <c r="W377">
        <f t="shared" si="330"/>
        <v>0</v>
      </c>
      <c r="X377">
        <f t="shared" si="331"/>
        <v>0</v>
      </c>
      <c r="Y377">
        <f t="shared" si="332"/>
        <v>0</v>
      </c>
      <c r="AA377">
        <v>56440881</v>
      </c>
      <c r="AB377">
        <f t="shared" si="333"/>
        <v>153.63999999999999</v>
      </c>
      <c r="AC377">
        <f>ROUND((ES377),2)</f>
        <v>153.63999999999999</v>
      </c>
      <c r="AD377">
        <f>ROUND((((ET377)-(EU377))+AE377),2)</f>
        <v>0</v>
      </c>
      <c r="AE377">
        <f t="shared" ref="AE377:AF379" si="353">ROUND((EU377),2)</f>
        <v>0</v>
      </c>
      <c r="AF377">
        <f t="shared" si="353"/>
        <v>0</v>
      </c>
      <c r="AG377">
        <f t="shared" si="335"/>
        <v>0</v>
      </c>
      <c r="AH377">
        <f t="shared" ref="AH377:AI379" si="354">(EW377)</f>
        <v>0</v>
      </c>
      <c r="AI377">
        <f t="shared" si="354"/>
        <v>0</v>
      </c>
      <c r="AJ377">
        <f t="shared" si="337"/>
        <v>0</v>
      </c>
      <c r="AK377">
        <v>153.63999999999999</v>
      </c>
      <c r="AL377">
        <v>153.63999999999999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70</v>
      </c>
      <c r="AU377">
        <v>10</v>
      </c>
      <c r="AV377">
        <v>1</v>
      </c>
      <c r="AW377">
        <v>1</v>
      </c>
      <c r="AZ377">
        <v>1</v>
      </c>
      <c r="BA377">
        <v>1</v>
      </c>
      <c r="BB377">
        <v>1</v>
      </c>
      <c r="BC377">
        <v>1</v>
      </c>
      <c r="BD377" t="s">
        <v>3</v>
      </c>
      <c r="BE377" t="s">
        <v>3</v>
      </c>
      <c r="BF377" t="s">
        <v>3</v>
      </c>
      <c r="BG377" t="s">
        <v>3</v>
      </c>
      <c r="BH377">
        <v>3</v>
      </c>
      <c r="BI377">
        <v>4</v>
      </c>
      <c r="BJ377" t="s">
        <v>290</v>
      </c>
      <c r="BM377">
        <v>0</v>
      </c>
      <c r="BN377">
        <v>0</v>
      </c>
      <c r="BO377" t="s">
        <v>3</v>
      </c>
      <c r="BP377">
        <v>0</v>
      </c>
      <c r="BQ377">
        <v>1</v>
      </c>
      <c r="BR377">
        <v>0</v>
      </c>
      <c r="BS377">
        <v>1</v>
      </c>
      <c r="BT377">
        <v>1</v>
      </c>
      <c r="BU377">
        <v>1</v>
      </c>
      <c r="BV377">
        <v>1</v>
      </c>
      <c r="BW377">
        <v>1</v>
      </c>
      <c r="BX377">
        <v>1</v>
      </c>
      <c r="BY377" t="s">
        <v>3</v>
      </c>
      <c r="BZ377">
        <v>70</v>
      </c>
      <c r="CA377">
        <v>10</v>
      </c>
      <c r="CE377">
        <v>0</v>
      </c>
      <c r="CF377">
        <v>0</v>
      </c>
      <c r="CG377">
        <v>0</v>
      </c>
      <c r="CM377">
        <v>0</v>
      </c>
      <c r="CN377" t="s">
        <v>3</v>
      </c>
      <c r="CO377">
        <v>0</v>
      </c>
      <c r="CP377">
        <f t="shared" si="338"/>
        <v>21509.599999999999</v>
      </c>
      <c r="CQ377">
        <f t="shared" si="339"/>
        <v>153.63999999999999</v>
      </c>
      <c r="CR377">
        <f>((((ET377)*BB377-(EU377)*BS377)+AE377*BS377)*AV377)</f>
        <v>0</v>
      </c>
      <c r="CS377">
        <f t="shared" si="340"/>
        <v>0</v>
      </c>
      <c r="CT377">
        <f t="shared" si="341"/>
        <v>0</v>
      </c>
      <c r="CU377">
        <f t="shared" si="342"/>
        <v>0</v>
      </c>
      <c r="CV377">
        <f t="shared" si="343"/>
        <v>0</v>
      </c>
      <c r="CW377">
        <f t="shared" si="344"/>
        <v>0</v>
      </c>
      <c r="CX377">
        <f t="shared" si="345"/>
        <v>0</v>
      </c>
      <c r="CY377">
        <f t="shared" si="346"/>
        <v>0</v>
      </c>
      <c r="CZ377">
        <f t="shared" si="347"/>
        <v>0</v>
      </c>
      <c r="DC377" t="s">
        <v>3</v>
      </c>
      <c r="DD377" t="s">
        <v>3</v>
      </c>
      <c r="DE377" t="s">
        <v>3</v>
      </c>
      <c r="DF377" t="s">
        <v>3</v>
      </c>
      <c r="DG377" t="s">
        <v>3</v>
      </c>
      <c r="DH377" t="s">
        <v>3</v>
      </c>
      <c r="DI377" t="s">
        <v>3</v>
      </c>
      <c r="DJ377" t="s">
        <v>3</v>
      </c>
      <c r="DK377" t="s">
        <v>3</v>
      </c>
      <c r="DL377" t="s">
        <v>3</v>
      </c>
      <c r="DM377" t="s">
        <v>3</v>
      </c>
      <c r="DN377">
        <v>0</v>
      </c>
      <c r="DO377">
        <v>0</v>
      </c>
      <c r="DP377">
        <v>1</v>
      </c>
      <c r="DQ377">
        <v>1</v>
      </c>
      <c r="DU377">
        <v>1009</v>
      </c>
      <c r="DV377" t="s">
        <v>44</v>
      </c>
      <c r="DW377" t="s">
        <v>44</v>
      </c>
      <c r="DX377">
        <v>1000</v>
      </c>
      <c r="DZ377" t="s">
        <v>3</v>
      </c>
      <c r="EA377" t="s">
        <v>3</v>
      </c>
      <c r="EB377" t="s">
        <v>3</v>
      </c>
      <c r="EC377" t="s">
        <v>3</v>
      </c>
      <c r="EE377">
        <v>54545671</v>
      </c>
      <c r="EF377">
        <v>1</v>
      </c>
      <c r="EG377" t="s">
        <v>20</v>
      </c>
      <c r="EH377">
        <v>0</v>
      </c>
      <c r="EI377" t="s">
        <v>3</v>
      </c>
      <c r="EJ377">
        <v>4</v>
      </c>
      <c r="EK377">
        <v>0</v>
      </c>
      <c r="EL377" t="s">
        <v>21</v>
      </c>
      <c r="EM377" t="s">
        <v>22</v>
      </c>
      <c r="EO377" t="s">
        <v>3</v>
      </c>
      <c r="EQ377">
        <v>0</v>
      </c>
      <c r="ER377">
        <v>153.63999999999999</v>
      </c>
      <c r="ES377">
        <v>153.63999999999999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FQ377">
        <v>0</v>
      </c>
      <c r="FR377">
        <f t="shared" si="348"/>
        <v>0</v>
      </c>
      <c r="FS377">
        <v>0</v>
      </c>
      <c r="FX377">
        <v>70</v>
      </c>
      <c r="FY377">
        <v>10</v>
      </c>
      <c r="GA377" t="s">
        <v>3</v>
      </c>
      <c r="GD377">
        <v>0</v>
      </c>
      <c r="GF377">
        <v>1377633297</v>
      </c>
      <c r="GG377">
        <v>2</v>
      </c>
      <c r="GH377">
        <v>1</v>
      </c>
      <c r="GI377">
        <v>-2</v>
      </c>
      <c r="GJ377">
        <v>0</v>
      </c>
      <c r="GK377">
        <f>ROUND(R377*(R12)/100,2)</f>
        <v>0</v>
      </c>
      <c r="GL377">
        <f t="shared" si="349"/>
        <v>0</v>
      </c>
      <c r="GM377">
        <f>ROUND(O377+X377+Y377+GK377,2)+GX377</f>
        <v>21509.599999999999</v>
      </c>
      <c r="GN377">
        <f>IF(OR(BI377=0,BI377=1),ROUND(O377+X377+Y377+GK377,2),0)</f>
        <v>0</v>
      </c>
      <c r="GO377">
        <f>IF(BI377=2,ROUND(O377+X377+Y377+GK377,2),0)</f>
        <v>0</v>
      </c>
      <c r="GP377">
        <f>IF(BI377=4,ROUND(O377+X377+Y377+GK377,2)+GX377,0)</f>
        <v>21509.599999999999</v>
      </c>
      <c r="GR377">
        <v>0</v>
      </c>
      <c r="GS377">
        <v>3</v>
      </c>
      <c r="GT377">
        <v>0</v>
      </c>
      <c r="GU377" t="s">
        <v>3</v>
      </c>
      <c r="GV377">
        <f t="shared" si="350"/>
        <v>0</v>
      </c>
      <c r="GW377">
        <v>1</v>
      </c>
      <c r="GX377">
        <f t="shared" si="351"/>
        <v>0</v>
      </c>
      <c r="HA377">
        <v>0</v>
      </c>
      <c r="HB377">
        <v>0</v>
      </c>
      <c r="HC377">
        <f t="shared" si="352"/>
        <v>0</v>
      </c>
      <c r="HE377" t="s">
        <v>3</v>
      </c>
      <c r="HF377" t="s">
        <v>3</v>
      </c>
      <c r="IK377">
        <v>0</v>
      </c>
    </row>
    <row r="378" spans="1:245" x14ac:dyDescent="0.2">
      <c r="A378">
        <v>17</v>
      </c>
      <c r="B378">
        <v>1</v>
      </c>
      <c r="C378">
        <f>ROW(SmtRes!A168)</f>
        <v>168</v>
      </c>
      <c r="D378">
        <f>ROW(EtalonRes!A156)</f>
        <v>156</v>
      </c>
      <c r="E378" t="s">
        <v>291</v>
      </c>
      <c r="F378" t="s">
        <v>292</v>
      </c>
      <c r="G378" t="s">
        <v>293</v>
      </c>
      <c r="H378" t="s">
        <v>39</v>
      </c>
      <c r="I378">
        <f>ROUND(I380*0.75,9)</f>
        <v>7.5</v>
      </c>
      <c r="J378">
        <v>0</v>
      </c>
      <c r="O378">
        <f t="shared" si="322"/>
        <v>125887.44</v>
      </c>
      <c r="P378">
        <f t="shared" si="323"/>
        <v>84787.88</v>
      </c>
      <c r="Q378">
        <f t="shared" si="324"/>
        <v>395.03</v>
      </c>
      <c r="R378">
        <f t="shared" si="325"/>
        <v>191.93</v>
      </c>
      <c r="S378">
        <f t="shared" si="326"/>
        <v>40704.53</v>
      </c>
      <c r="T378">
        <f t="shared" si="327"/>
        <v>0</v>
      </c>
      <c r="U378">
        <f t="shared" si="328"/>
        <v>231</v>
      </c>
      <c r="V378">
        <f t="shared" si="329"/>
        <v>0</v>
      </c>
      <c r="W378">
        <f t="shared" si="330"/>
        <v>0</v>
      </c>
      <c r="X378">
        <f t="shared" si="331"/>
        <v>28493.17</v>
      </c>
      <c r="Y378">
        <f t="shared" si="332"/>
        <v>4070.45</v>
      </c>
      <c r="AA378">
        <v>56440881</v>
      </c>
      <c r="AB378">
        <f t="shared" si="333"/>
        <v>16784.990000000002</v>
      </c>
      <c r="AC378">
        <f>ROUND((ES378),2)</f>
        <v>11305.05</v>
      </c>
      <c r="AD378">
        <f>ROUND((((ET378)-(EU378))+AE378),2)</f>
        <v>52.67</v>
      </c>
      <c r="AE378">
        <f t="shared" si="353"/>
        <v>25.59</v>
      </c>
      <c r="AF378">
        <f t="shared" si="353"/>
        <v>5427.27</v>
      </c>
      <c r="AG378">
        <f t="shared" si="335"/>
        <v>0</v>
      </c>
      <c r="AH378">
        <f t="shared" si="354"/>
        <v>30.8</v>
      </c>
      <c r="AI378">
        <f t="shared" si="354"/>
        <v>0</v>
      </c>
      <c r="AJ378">
        <f t="shared" si="337"/>
        <v>0</v>
      </c>
      <c r="AK378">
        <v>16784.990000000002</v>
      </c>
      <c r="AL378">
        <v>11305.05</v>
      </c>
      <c r="AM378">
        <v>52.67</v>
      </c>
      <c r="AN378">
        <v>25.59</v>
      </c>
      <c r="AO378">
        <v>5427.27</v>
      </c>
      <c r="AP378">
        <v>0</v>
      </c>
      <c r="AQ378">
        <v>30.8</v>
      </c>
      <c r="AR378">
        <v>0</v>
      </c>
      <c r="AS378">
        <v>0</v>
      </c>
      <c r="AT378">
        <v>70</v>
      </c>
      <c r="AU378">
        <v>10</v>
      </c>
      <c r="AV378">
        <v>1</v>
      </c>
      <c r="AW378">
        <v>1</v>
      </c>
      <c r="AZ378">
        <v>1</v>
      </c>
      <c r="BA378">
        <v>1</v>
      </c>
      <c r="BB378">
        <v>1</v>
      </c>
      <c r="BC378">
        <v>1</v>
      </c>
      <c r="BD378" t="s">
        <v>3</v>
      </c>
      <c r="BE378" t="s">
        <v>3</v>
      </c>
      <c r="BF378" t="s">
        <v>3</v>
      </c>
      <c r="BG378" t="s">
        <v>3</v>
      </c>
      <c r="BH378">
        <v>0</v>
      </c>
      <c r="BI378">
        <v>4</v>
      </c>
      <c r="BJ378" t="s">
        <v>294</v>
      </c>
      <c r="BM378">
        <v>0</v>
      </c>
      <c r="BN378">
        <v>0</v>
      </c>
      <c r="BO378" t="s">
        <v>3</v>
      </c>
      <c r="BP378">
        <v>0</v>
      </c>
      <c r="BQ378">
        <v>1</v>
      </c>
      <c r="BR378">
        <v>0</v>
      </c>
      <c r="BS378">
        <v>1</v>
      </c>
      <c r="BT378">
        <v>1</v>
      </c>
      <c r="BU378">
        <v>1</v>
      </c>
      <c r="BV378">
        <v>1</v>
      </c>
      <c r="BW378">
        <v>1</v>
      </c>
      <c r="BX378">
        <v>1</v>
      </c>
      <c r="BY378" t="s">
        <v>3</v>
      </c>
      <c r="BZ378">
        <v>70</v>
      </c>
      <c r="CA378">
        <v>10</v>
      </c>
      <c r="CE378">
        <v>0</v>
      </c>
      <c r="CF378">
        <v>0</v>
      </c>
      <c r="CG378">
        <v>0</v>
      </c>
      <c r="CM378">
        <v>0</v>
      </c>
      <c r="CN378" t="s">
        <v>3</v>
      </c>
      <c r="CO378">
        <v>0</v>
      </c>
      <c r="CP378">
        <f t="shared" si="338"/>
        <v>125887.44</v>
      </c>
      <c r="CQ378">
        <f t="shared" si="339"/>
        <v>11305.05</v>
      </c>
      <c r="CR378">
        <f>((((ET378)*BB378-(EU378)*BS378)+AE378*BS378)*AV378)</f>
        <v>52.67</v>
      </c>
      <c r="CS378">
        <f t="shared" si="340"/>
        <v>25.59</v>
      </c>
      <c r="CT378">
        <f t="shared" si="341"/>
        <v>5427.27</v>
      </c>
      <c r="CU378">
        <f t="shared" si="342"/>
        <v>0</v>
      </c>
      <c r="CV378">
        <f t="shared" si="343"/>
        <v>30.8</v>
      </c>
      <c r="CW378">
        <f t="shared" si="344"/>
        <v>0</v>
      </c>
      <c r="CX378">
        <f t="shared" si="345"/>
        <v>0</v>
      </c>
      <c r="CY378">
        <f t="shared" si="346"/>
        <v>28493.171000000002</v>
      </c>
      <c r="CZ378">
        <f t="shared" si="347"/>
        <v>4070.453</v>
      </c>
      <c r="DC378" t="s">
        <v>3</v>
      </c>
      <c r="DD378" t="s">
        <v>3</v>
      </c>
      <c r="DE378" t="s">
        <v>3</v>
      </c>
      <c r="DF378" t="s">
        <v>3</v>
      </c>
      <c r="DG378" t="s">
        <v>3</v>
      </c>
      <c r="DH378" t="s">
        <v>3</v>
      </c>
      <c r="DI378" t="s">
        <v>3</v>
      </c>
      <c r="DJ378" t="s">
        <v>3</v>
      </c>
      <c r="DK378" t="s">
        <v>3</v>
      </c>
      <c r="DL378" t="s">
        <v>3</v>
      </c>
      <c r="DM378" t="s">
        <v>3</v>
      </c>
      <c r="DN378">
        <v>0</v>
      </c>
      <c r="DO378">
        <v>0</v>
      </c>
      <c r="DP378">
        <v>1</v>
      </c>
      <c r="DQ378">
        <v>1</v>
      </c>
      <c r="DU378">
        <v>1005</v>
      </c>
      <c r="DV378" t="s">
        <v>39</v>
      </c>
      <c r="DW378" t="s">
        <v>39</v>
      </c>
      <c r="DX378">
        <v>100</v>
      </c>
      <c r="DZ378" t="s">
        <v>3</v>
      </c>
      <c r="EA378" t="s">
        <v>3</v>
      </c>
      <c r="EB378" t="s">
        <v>3</v>
      </c>
      <c r="EC378" t="s">
        <v>3</v>
      </c>
      <c r="EE378">
        <v>54545671</v>
      </c>
      <c r="EF378">
        <v>1</v>
      </c>
      <c r="EG378" t="s">
        <v>20</v>
      </c>
      <c r="EH378">
        <v>0</v>
      </c>
      <c r="EI378" t="s">
        <v>3</v>
      </c>
      <c r="EJ378">
        <v>4</v>
      </c>
      <c r="EK378">
        <v>0</v>
      </c>
      <c r="EL378" t="s">
        <v>21</v>
      </c>
      <c r="EM378" t="s">
        <v>22</v>
      </c>
      <c r="EO378" t="s">
        <v>3</v>
      </c>
      <c r="EQ378">
        <v>0</v>
      </c>
      <c r="ER378">
        <v>16784.990000000002</v>
      </c>
      <c r="ES378">
        <v>11305.05</v>
      </c>
      <c r="ET378">
        <v>52.67</v>
      </c>
      <c r="EU378">
        <v>25.59</v>
      </c>
      <c r="EV378">
        <v>5427.27</v>
      </c>
      <c r="EW378">
        <v>30.8</v>
      </c>
      <c r="EX378">
        <v>0</v>
      </c>
      <c r="EY378">
        <v>0</v>
      </c>
      <c r="FQ378">
        <v>0</v>
      </c>
      <c r="FR378">
        <f t="shared" si="348"/>
        <v>0</v>
      </c>
      <c r="FS378">
        <v>0</v>
      </c>
      <c r="FX378">
        <v>70</v>
      </c>
      <c r="FY378">
        <v>10</v>
      </c>
      <c r="GA378" t="s">
        <v>3</v>
      </c>
      <c r="GD378">
        <v>0</v>
      </c>
      <c r="GF378">
        <v>463961420</v>
      </c>
      <c r="GG378">
        <v>2</v>
      </c>
      <c r="GH378">
        <v>1</v>
      </c>
      <c r="GI378">
        <v>-2</v>
      </c>
      <c r="GJ378">
        <v>0</v>
      </c>
      <c r="GK378">
        <f>ROUND(R378*(R12)/100,2)</f>
        <v>207.28</v>
      </c>
      <c r="GL378">
        <f t="shared" si="349"/>
        <v>0</v>
      </c>
      <c r="GM378">
        <f>ROUND(O378+X378+Y378+GK378,2)+GX378</f>
        <v>158658.34</v>
      </c>
      <c r="GN378">
        <f>IF(OR(BI378=0,BI378=1),ROUND(O378+X378+Y378+GK378,2),0)</f>
        <v>0</v>
      </c>
      <c r="GO378">
        <f>IF(BI378=2,ROUND(O378+X378+Y378+GK378,2),0)</f>
        <v>0</v>
      </c>
      <c r="GP378">
        <f>IF(BI378=4,ROUND(O378+X378+Y378+GK378,2)+GX378,0)</f>
        <v>158658.34</v>
      </c>
      <c r="GR378">
        <v>0</v>
      </c>
      <c r="GS378">
        <v>3</v>
      </c>
      <c r="GT378">
        <v>0</v>
      </c>
      <c r="GU378" t="s">
        <v>3</v>
      </c>
      <c r="GV378">
        <f t="shared" si="350"/>
        <v>0</v>
      </c>
      <c r="GW378">
        <v>1</v>
      </c>
      <c r="GX378">
        <f t="shared" si="351"/>
        <v>0</v>
      </c>
      <c r="HA378">
        <v>0</v>
      </c>
      <c r="HB378">
        <v>0</v>
      </c>
      <c r="HC378">
        <f t="shared" si="352"/>
        <v>0</v>
      </c>
      <c r="HE378" t="s">
        <v>3</v>
      </c>
      <c r="HF378" t="s">
        <v>3</v>
      </c>
      <c r="IK378">
        <v>0</v>
      </c>
    </row>
    <row r="379" spans="1:245" x14ac:dyDescent="0.2">
      <c r="A379">
        <v>17</v>
      </c>
      <c r="B379">
        <v>1</v>
      </c>
      <c r="C379">
        <f>ROW(SmtRes!A170)</f>
        <v>170</v>
      </c>
      <c r="D379">
        <f>ROW(EtalonRes!A158)</f>
        <v>158</v>
      </c>
      <c r="E379" t="s">
        <v>295</v>
      </c>
      <c r="F379" t="s">
        <v>296</v>
      </c>
      <c r="G379" t="s">
        <v>297</v>
      </c>
      <c r="H379" t="s">
        <v>39</v>
      </c>
      <c r="I379">
        <f>ROUND(I380*0.25,9)</f>
        <v>2.5</v>
      </c>
      <c r="J379">
        <v>0</v>
      </c>
      <c r="O379">
        <f t="shared" si="322"/>
        <v>48526.78</v>
      </c>
      <c r="P379">
        <f t="shared" si="323"/>
        <v>28262.63</v>
      </c>
      <c r="Q379">
        <f t="shared" si="324"/>
        <v>0</v>
      </c>
      <c r="R379">
        <f t="shared" si="325"/>
        <v>0</v>
      </c>
      <c r="S379">
        <f t="shared" si="326"/>
        <v>20264.150000000001</v>
      </c>
      <c r="T379">
        <f t="shared" si="327"/>
        <v>0</v>
      </c>
      <c r="U379">
        <f t="shared" si="328"/>
        <v>115</v>
      </c>
      <c r="V379">
        <f t="shared" si="329"/>
        <v>0</v>
      </c>
      <c r="W379">
        <f t="shared" si="330"/>
        <v>0</v>
      </c>
      <c r="X379">
        <f t="shared" si="331"/>
        <v>14184.91</v>
      </c>
      <c r="Y379">
        <f t="shared" si="332"/>
        <v>2026.42</v>
      </c>
      <c r="AA379">
        <v>56440881</v>
      </c>
      <c r="AB379">
        <f t="shared" si="333"/>
        <v>19410.71</v>
      </c>
      <c r="AC379">
        <f>ROUND((ES379),2)</f>
        <v>11305.05</v>
      </c>
      <c r="AD379">
        <f>ROUND((((ET379)-(EU379))+AE379),2)</f>
        <v>0</v>
      </c>
      <c r="AE379">
        <f t="shared" si="353"/>
        <v>0</v>
      </c>
      <c r="AF379">
        <f t="shared" si="353"/>
        <v>8105.66</v>
      </c>
      <c r="AG379">
        <f t="shared" si="335"/>
        <v>0</v>
      </c>
      <c r="AH379">
        <f t="shared" si="354"/>
        <v>46</v>
      </c>
      <c r="AI379">
        <f t="shared" si="354"/>
        <v>0</v>
      </c>
      <c r="AJ379">
        <f t="shared" si="337"/>
        <v>0</v>
      </c>
      <c r="AK379">
        <v>19410.71</v>
      </c>
      <c r="AL379">
        <v>11305.05</v>
      </c>
      <c r="AM379">
        <v>0</v>
      </c>
      <c r="AN379">
        <v>0</v>
      </c>
      <c r="AO379">
        <v>8105.66</v>
      </c>
      <c r="AP379">
        <v>0</v>
      </c>
      <c r="AQ379">
        <v>46</v>
      </c>
      <c r="AR379">
        <v>0</v>
      </c>
      <c r="AS379">
        <v>0</v>
      </c>
      <c r="AT379">
        <v>70</v>
      </c>
      <c r="AU379">
        <v>10</v>
      </c>
      <c r="AV379">
        <v>1</v>
      </c>
      <c r="AW379">
        <v>1</v>
      </c>
      <c r="AZ379">
        <v>1</v>
      </c>
      <c r="BA379">
        <v>1</v>
      </c>
      <c r="BB379">
        <v>1</v>
      </c>
      <c r="BC379">
        <v>1</v>
      </c>
      <c r="BD379" t="s">
        <v>3</v>
      </c>
      <c r="BE379" t="s">
        <v>3</v>
      </c>
      <c r="BF379" t="s">
        <v>3</v>
      </c>
      <c r="BG379" t="s">
        <v>3</v>
      </c>
      <c r="BH379">
        <v>0</v>
      </c>
      <c r="BI379">
        <v>4</v>
      </c>
      <c r="BJ379" t="s">
        <v>298</v>
      </c>
      <c r="BM379">
        <v>0</v>
      </c>
      <c r="BN379">
        <v>0</v>
      </c>
      <c r="BO379" t="s">
        <v>3</v>
      </c>
      <c r="BP379">
        <v>0</v>
      </c>
      <c r="BQ379">
        <v>1</v>
      </c>
      <c r="BR379">
        <v>0</v>
      </c>
      <c r="BS379">
        <v>1</v>
      </c>
      <c r="BT379">
        <v>1</v>
      </c>
      <c r="BU379">
        <v>1</v>
      </c>
      <c r="BV379">
        <v>1</v>
      </c>
      <c r="BW379">
        <v>1</v>
      </c>
      <c r="BX379">
        <v>1</v>
      </c>
      <c r="BY379" t="s">
        <v>3</v>
      </c>
      <c r="BZ379">
        <v>70</v>
      </c>
      <c r="CA379">
        <v>10</v>
      </c>
      <c r="CE379">
        <v>0</v>
      </c>
      <c r="CF379">
        <v>0</v>
      </c>
      <c r="CG379">
        <v>0</v>
      </c>
      <c r="CM379">
        <v>0</v>
      </c>
      <c r="CN379" t="s">
        <v>3</v>
      </c>
      <c r="CO379">
        <v>0</v>
      </c>
      <c r="CP379">
        <f t="shared" si="338"/>
        <v>48526.78</v>
      </c>
      <c r="CQ379">
        <f t="shared" si="339"/>
        <v>11305.05</v>
      </c>
      <c r="CR379">
        <f>((((ET379)*BB379-(EU379)*BS379)+AE379*BS379)*AV379)</f>
        <v>0</v>
      </c>
      <c r="CS379">
        <f t="shared" si="340"/>
        <v>0</v>
      </c>
      <c r="CT379">
        <f t="shared" si="341"/>
        <v>8105.66</v>
      </c>
      <c r="CU379">
        <f t="shared" si="342"/>
        <v>0</v>
      </c>
      <c r="CV379">
        <f t="shared" si="343"/>
        <v>46</v>
      </c>
      <c r="CW379">
        <f t="shared" si="344"/>
        <v>0</v>
      </c>
      <c r="CX379">
        <f t="shared" si="345"/>
        <v>0</v>
      </c>
      <c r="CY379">
        <f t="shared" si="346"/>
        <v>14184.905000000001</v>
      </c>
      <c r="CZ379">
        <f t="shared" si="347"/>
        <v>2026.415</v>
      </c>
      <c r="DC379" t="s">
        <v>3</v>
      </c>
      <c r="DD379" t="s">
        <v>3</v>
      </c>
      <c r="DE379" t="s">
        <v>3</v>
      </c>
      <c r="DF379" t="s">
        <v>3</v>
      </c>
      <c r="DG379" t="s">
        <v>3</v>
      </c>
      <c r="DH379" t="s">
        <v>3</v>
      </c>
      <c r="DI379" t="s">
        <v>3</v>
      </c>
      <c r="DJ379" t="s">
        <v>3</v>
      </c>
      <c r="DK379" t="s">
        <v>3</v>
      </c>
      <c r="DL379" t="s">
        <v>3</v>
      </c>
      <c r="DM379" t="s">
        <v>3</v>
      </c>
      <c r="DN379">
        <v>0</v>
      </c>
      <c r="DO379">
        <v>0</v>
      </c>
      <c r="DP379">
        <v>1</v>
      </c>
      <c r="DQ379">
        <v>1</v>
      </c>
      <c r="DU379">
        <v>1005</v>
      </c>
      <c r="DV379" t="s">
        <v>39</v>
      </c>
      <c r="DW379" t="s">
        <v>39</v>
      </c>
      <c r="DX379">
        <v>100</v>
      </c>
      <c r="DZ379" t="s">
        <v>3</v>
      </c>
      <c r="EA379" t="s">
        <v>3</v>
      </c>
      <c r="EB379" t="s">
        <v>3</v>
      </c>
      <c r="EC379" t="s">
        <v>3</v>
      </c>
      <c r="EE379">
        <v>54545671</v>
      </c>
      <c r="EF379">
        <v>1</v>
      </c>
      <c r="EG379" t="s">
        <v>20</v>
      </c>
      <c r="EH379">
        <v>0</v>
      </c>
      <c r="EI379" t="s">
        <v>3</v>
      </c>
      <c r="EJ379">
        <v>4</v>
      </c>
      <c r="EK379">
        <v>0</v>
      </c>
      <c r="EL379" t="s">
        <v>21</v>
      </c>
      <c r="EM379" t="s">
        <v>22</v>
      </c>
      <c r="EO379" t="s">
        <v>3</v>
      </c>
      <c r="EQ379">
        <v>0</v>
      </c>
      <c r="ER379">
        <v>19410.71</v>
      </c>
      <c r="ES379">
        <v>11305.05</v>
      </c>
      <c r="ET379">
        <v>0</v>
      </c>
      <c r="EU379">
        <v>0</v>
      </c>
      <c r="EV379">
        <v>8105.66</v>
      </c>
      <c r="EW379">
        <v>46</v>
      </c>
      <c r="EX379">
        <v>0</v>
      </c>
      <c r="EY379">
        <v>0</v>
      </c>
      <c r="FQ379">
        <v>0</v>
      </c>
      <c r="FR379">
        <f t="shared" si="348"/>
        <v>0</v>
      </c>
      <c r="FS379">
        <v>0</v>
      </c>
      <c r="FX379">
        <v>70</v>
      </c>
      <c r="FY379">
        <v>10</v>
      </c>
      <c r="GA379" t="s">
        <v>3</v>
      </c>
      <c r="GD379">
        <v>0</v>
      </c>
      <c r="GF379">
        <v>-971833945</v>
      </c>
      <c r="GG379">
        <v>2</v>
      </c>
      <c r="GH379">
        <v>1</v>
      </c>
      <c r="GI379">
        <v>-2</v>
      </c>
      <c r="GJ379">
        <v>0</v>
      </c>
      <c r="GK379">
        <f>ROUND(R379*(R12)/100,2)</f>
        <v>0</v>
      </c>
      <c r="GL379">
        <f t="shared" si="349"/>
        <v>0</v>
      </c>
      <c r="GM379">
        <f>ROUND(O379+X379+Y379+GK379,2)+GX379</f>
        <v>64738.11</v>
      </c>
      <c r="GN379">
        <f>IF(OR(BI379=0,BI379=1),ROUND(O379+X379+Y379+GK379,2),0)</f>
        <v>0</v>
      </c>
      <c r="GO379">
        <f>IF(BI379=2,ROUND(O379+X379+Y379+GK379,2),0)</f>
        <v>0</v>
      </c>
      <c r="GP379">
        <f>IF(BI379=4,ROUND(O379+X379+Y379+GK379,2)+GX379,0)</f>
        <v>64738.11</v>
      </c>
      <c r="GR379">
        <v>0</v>
      </c>
      <c r="GS379">
        <v>3</v>
      </c>
      <c r="GT379">
        <v>0</v>
      </c>
      <c r="GU379" t="s">
        <v>3</v>
      </c>
      <c r="GV379">
        <f t="shared" si="350"/>
        <v>0</v>
      </c>
      <c r="GW379">
        <v>1</v>
      </c>
      <c r="GX379">
        <f t="shared" si="351"/>
        <v>0</v>
      </c>
      <c r="HA379">
        <v>0</v>
      </c>
      <c r="HB379">
        <v>0</v>
      </c>
      <c r="HC379">
        <f t="shared" si="352"/>
        <v>0</v>
      </c>
      <c r="HE379" t="s">
        <v>3</v>
      </c>
      <c r="HF379" t="s">
        <v>3</v>
      </c>
      <c r="IK379">
        <v>0</v>
      </c>
    </row>
    <row r="380" spans="1:245" x14ac:dyDescent="0.2">
      <c r="A380">
        <v>17</v>
      </c>
      <c r="B380">
        <v>1</v>
      </c>
      <c r="C380">
        <f>ROW(SmtRes!A172)</f>
        <v>172</v>
      </c>
      <c r="D380">
        <f>ROW(EtalonRes!A160)</f>
        <v>160</v>
      </c>
      <c r="E380" t="s">
        <v>299</v>
      </c>
      <c r="F380" t="s">
        <v>300</v>
      </c>
      <c r="G380" t="s">
        <v>301</v>
      </c>
      <c r="H380" t="s">
        <v>39</v>
      </c>
      <c r="I380">
        <f>ROUND(I381,9)</f>
        <v>10</v>
      </c>
      <c r="J380">
        <v>0</v>
      </c>
      <c r="O380">
        <f t="shared" si="322"/>
        <v>-48767.1</v>
      </c>
      <c r="P380">
        <f t="shared" si="323"/>
        <v>-37683.5</v>
      </c>
      <c r="Q380">
        <f t="shared" si="324"/>
        <v>0</v>
      </c>
      <c r="R380">
        <f t="shared" si="325"/>
        <v>0</v>
      </c>
      <c r="S380">
        <f t="shared" si="326"/>
        <v>-11083.6</v>
      </c>
      <c r="T380">
        <f t="shared" si="327"/>
        <v>0</v>
      </c>
      <c r="U380">
        <f t="shared" si="328"/>
        <v>-62.9</v>
      </c>
      <c r="V380">
        <f t="shared" si="329"/>
        <v>0</v>
      </c>
      <c r="W380">
        <f t="shared" si="330"/>
        <v>0</v>
      </c>
      <c r="X380">
        <f t="shared" si="331"/>
        <v>-7758.52</v>
      </c>
      <c r="Y380">
        <f t="shared" si="332"/>
        <v>-1108.3599999999999</v>
      </c>
      <c r="AA380">
        <v>56440881</v>
      </c>
      <c r="AB380">
        <f t="shared" si="333"/>
        <v>-4876.71</v>
      </c>
      <c r="AC380">
        <f>ROUND(((ES380*-1)),2)</f>
        <v>-3768.35</v>
      </c>
      <c r="AD380">
        <f>ROUND(((((ET380*-1))-((EU380*-1)))+AE380),2)</f>
        <v>0</v>
      </c>
      <c r="AE380">
        <f>ROUND(((EU380*-1)),2)</f>
        <v>0</v>
      </c>
      <c r="AF380">
        <f>ROUND(((EV380*-1)),2)</f>
        <v>-1108.3599999999999</v>
      </c>
      <c r="AG380">
        <f t="shared" si="335"/>
        <v>0</v>
      </c>
      <c r="AH380">
        <f>((EW380*-1))</f>
        <v>-6.29</v>
      </c>
      <c r="AI380">
        <f>((EX380*-1))</f>
        <v>0</v>
      </c>
      <c r="AJ380">
        <f t="shared" si="337"/>
        <v>0</v>
      </c>
      <c r="AK380">
        <v>4876.71</v>
      </c>
      <c r="AL380">
        <v>3768.35</v>
      </c>
      <c r="AM380">
        <v>0</v>
      </c>
      <c r="AN380">
        <v>0</v>
      </c>
      <c r="AO380">
        <v>1108.3599999999999</v>
      </c>
      <c r="AP380">
        <v>0</v>
      </c>
      <c r="AQ380">
        <v>6.29</v>
      </c>
      <c r="AR380">
        <v>0</v>
      </c>
      <c r="AS380">
        <v>0</v>
      </c>
      <c r="AT380">
        <v>70</v>
      </c>
      <c r="AU380">
        <v>10</v>
      </c>
      <c r="AV380">
        <v>1</v>
      </c>
      <c r="AW380">
        <v>1</v>
      </c>
      <c r="AZ380">
        <v>1</v>
      </c>
      <c r="BA380">
        <v>1</v>
      </c>
      <c r="BB380">
        <v>1</v>
      </c>
      <c r="BC380">
        <v>1</v>
      </c>
      <c r="BD380" t="s">
        <v>3</v>
      </c>
      <c r="BE380" t="s">
        <v>3</v>
      </c>
      <c r="BF380" t="s">
        <v>3</v>
      </c>
      <c r="BG380" t="s">
        <v>3</v>
      </c>
      <c r="BH380">
        <v>0</v>
      </c>
      <c r="BI380">
        <v>4</v>
      </c>
      <c r="BJ380" t="s">
        <v>302</v>
      </c>
      <c r="BM380">
        <v>0</v>
      </c>
      <c r="BN380">
        <v>0</v>
      </c>
      <c r="BO380" t="s">
        <v>3</v>
      </c>
      <c r="BP380">
        <v>0</v>
      </c>
      <c r="BQ380">
        <v>1</v>
      </c>
      <c r="BR380">
        <v>0</v>
      </c>
      <c r="BS380">
        <v>1</v>
      </c>
      <c r="BT380">
        <v>1</v>
      </c>
      <c r="BU380">
        <v>1</v>
      </c>
      <c r="BV380">
        <v>1</v>
      </c>
      <c r="BW380">
        <v>1</v>
      </c>
      <c r="BX380">
        <v>1</v>
      </c>
      <c r="BY380" t="s">
        <v>3</v>
      </c>
      <c r="BZ380">
        <v>70</v>
      </c>
      <c r="CA380">
        <v>10</v>
      </c>
      <c r="CE380">
        <v>0</v>
      </c>
      <c r="CF380">
        <v>0</v>
      </c>
      <c r="CG380">
        <v>0</v>
      </c>
      <c r="CM380">
        <v>0</v>
      </c>
      <c r="CN380" t="s">
        <v>3</v>
      </c>
      <c r="CO380">
        <v>0</v>
      </c>
      <c r="CP380">
        <f t="shared" si="338"/>
        <v>-48767.1</v>
      </c>
      <c r="CQ380">
        <f t="shared" si="339"/>
        <v>-3768.35</v>
      </c>
      <c r="CR380">
        <f>(((((ET380*-1))*BB380-((EU380*-1))*BS380)+AE380*BS380)*AV380)</f>
        <v>0</v>
      </c>
      <c r="CS380">
        <f t="shared" si="340"/>
        <v>0</v>
      </c>
      <c r="CT380">
        <f t="shared" si="341"/>
        <v>-1108.3599999999999</v>
      </c>
      <c r="CU380">
        <f t="shared" si="342"/>
        <v>0</v>
      </c>
      <c r="CV380">
        <f t="shared" si="343"/>
        <v>-6.29</v>
      </c>
      <c r="CW380">
        <f t="shared" si="344"/>
        <v>0</v>
      </c>
      <c r="CX380">
        <f t="shared" si="345"/>
        <v>0</v>
      </c>
      <c r="CY380">
        <f t="shared" si="346"/>
        <v>-7758.52</v>
      </c>
      <c r="CZ380">
        <f t="shared" si="347"/>
        <v>-1108.3599999999999</v>
      </c>
      <c r="DC380" t="s">
        <v>3</v>
      </c>
      <c r="DD380" t="s">
        <v>303</v>
      </c>
      <c r="DE380" t="s">
        <v>303</v>
      </c>
      <c r="DF380" t="s">
        <v>303</v>
      </c>
      <c r="DG380" t="s">
        <v>303</v>
      </c>
      <c r="DH380" t="s">
        <v>3</v>
      </c>
      <c r="DI380" t="s">
        <v>303</v>
      </c>
      <c r="DJ380" t="s">
        <v>303</v>
      </c>
      <c r="DK380" t="s">
        <v>3</v>
      </c>
      <c r="DL380" t="s">
        <v>3</v>
      </c>
      <c r="DM380" t="s">
        <v>3</v>
      </c>
      <c r="DN380">
        <v>0</v>
      </c>
      <c r="DO380">
        <v>0</v>
      </c>
      <c r="DP380">
        <v>1</v>
      </c>
      <c r="DQ380">
        <v>1</v>
      </c>
      <c r="DU380">
        <v>1005</v>
      </c>
      <c r="DV380" t="s">
        <v>39</v>
      </c>
      <c r="DW380" t="s">
        <v>39</v>
      </c>
      <c r="DX380">
        <v>100</v>
      </c>
      <c r="DZ380" t="s">
        <v>3</v>
      </c>
      <c r="EA380" t="s">
        <v>3</v>
      </c>
      <c r="EB380" t="s">
        <v>3</v>
      </c>
      <c r="EC380" t="s">
        <v>3</v>
      </c>
      <c r="EE380">
        <v>54545671</v>
      </c>
      <c r="EF380">
        <v>1</v>
      </c>
      <c r="EG380" t="s">
        <v>20</v>
      </c>
      <c r="EH380">
        <v>0</v>
      </c>
      <c r="EI380" t="s">
        <v>3</v>
      </c>
      <c r="EJ380">
        <v>4</v>
      </c>
      <c r="EK380">
        <v>0</v>
      </c>
      <c r="EL380" t="s">
        <v>21</v>
      </c>
      <c r="EM380" t="s">
        <v>22</v>
      </c>
      <c r="EO380" t="s">
        <v>3</v>
      </c>
      <c r="EQ380">
        <v>0</v>
      </c>
      <c r="ER380">
        <v>4876.71</v>
      </c>
      <c r="ES380">
        <v>3768.35</v>
      </c>
      <c r="ET380">
        <v>0</v>
      </c>
      <c r="EU380">
        <v>0</v>
      </c>
      <c r="EV380">
        <v>1108.3599999999999</v>
      </c>
      <c r="EW380">
        <v>6.29</v>
      </c>
      <c r="EX380">
        <v>0</v>
      </c>
      <c r="EY380">
        <v>0</v>
      </c>
      <c r="FQ380">
        <v>0</v>
      </c>
      <c r="FR380">
        <f t="shared" si="348"/>
        <v>0</v>
      </c>
      <c r="FS380">
        <v>0</v>
      </c>
      <c r="FX380">
        <v>70</v>
      </c>
      <c r="FY380">
        <v>10</v>
      </c>
      <c r="GA380" t="s">
        <v>3</v>
      </c>
      <c r="GD380">
        <v>0</v>
      </c>
      <c r="GF380">
        <v>1445274438</v>
      </c>
      <c r="GG380">
        <v>2</v>
      </c>
      <c r="GH380">
        <v>1</v>
      </c>
      <c r="GI380">
        <v>-2</v>
      </c>
      <c r="GJ380">
        <v>0</v>
      </c>
      <c r="GK380">
        <f>ROUND(R380*(R12)/100,2)</f>
        <v>0</v>
      </c>
      <c r="GL380">
        <f t="shared" si="349"/>
        <v>0</v>
      </c>
      <c r="GM380">
        <f>ROUND(O380+X380+Y380+GK380,2)+GX380</f>
        <v>-57633.98</v>
      </c>
      <c r="GN380">
        <f>IF(OR(BI380=0,BI380=1),ROUND(O380+X380+Y380+GK380,2),0)</f>
        <v>0</v>
      </c>
      <c r="GO380">
        <f>IF(BI380=2,ROUND(O380+X380+Y380+GK380,2),0)</f>
        <v>0</v>
      </c>
      <c r="GP380">
        <f>IF(BI380=4,ROUND(O380+X380+Y380+GK380,2)+GX380,0)</f>
        <v>-57633.98</v>
      </c>
      <c r="GR380">
        <v>0</v>
      </c>
      <c r="GS380">
        <v>3</v>
      </c>
      <c r="GT380">
        <v>0</v>
      </c>
      <c r="GU380" t="s">
        <v>3</v>
      </c>
      <c r="GV380">
        <f t="shared" si="350"/>
        <v>0</v>
      </c>
      <c r="GW380">
        <v>1</v>
      </c>
      <c r="GX380">
        <f t="shared" si="351"/>
        <v>0</v>
      </c>
      <c r="HA380">
        <v>0</v>
      </c>
      <c r="HB380">
        <v>0</v>
      </c>
      <c r="HC380">
        <f t="shared" si="352"/>
        <v>0</v>
      </c>
      <c r="HE380" t="s">
        <v>3</v>
      </c>
      <c r="HF380" t="s">
        <v>3</v>
      </c>
      <c r="IK380">
        <v>0</v>
      </c>
    </row>
    <row r="381" spans="1:245" x14ac:dyDescent="0.2">
      <c r="A381">
        <v>17</v>
      </c>
      <c r="B381">
        <v>1</v>
      </c>
      <c r="C381">
        <f>ROW(SmtRes!A175)</f>
        <v>175</v>
      </c>
      <c r="D381">
        <f>ROW(EtalonRes!A163)</f>
        <v>163</v>
      </c>
      <c r="E381" t="s">
        <v>304</v>
      </c>
      <c r="F381" t="s">
        <v>305</v>
      </c>
      <c r="G381" t="s">
        <v>306</v>
      </c>
      <c r="H381" t="s">
        <v>39</v>
      </c>
      <c r="I381">
        <f>ROUND(1000/100,9)</f>
        <v>10</v>
      </c>
      <c r="J381">
        <v>0</v>
      </c>
      <c r="O381">
        <f t="shared" si="322"/>
        <v>166126.70000000001</v>
      </c>
      <c r="P381">
        <f t="shared" si="323"/>
        <v>141461.4</v>
      </c>
      <c r="Q381">
        <f t="shared" si="324"/>
        <v>0</v>
      </c>
      <c r="R381">
        <f t="shared" si="325"/>
        <v>0</v>
      </c>
      <c r="S381">
        <f t="shared" si="326"/>
        <v>24665.3</v>
      </c>
      <c r="T381">
        <f t="shared" si="327"/>
        <v>0</v>
      </c>
      <c r="U381">
        <f t="shared" si="328"/>
        <v>134.19999999999999</v>
      </c>
      <c r="V381">
        <f t="shared" si="329"/>
        <v>0</v>
      </c>
      <c r="W381">
        <f t="shared" si="330"/>
        <v>0</v>
      </c>
      <c r="X381">
        <f t="shared" si="331"/>
        <v>17265.71</v>
      </c>
      <c r="Y381">
        <f t="shared" si="332"/>
        <v>2466.5300000000002</v>
      </c>
      <c r="AA381">
        <v>56440881</v>
      </c>
      <c r="AB381">
        <f t="shared" si="333"/>
        <v>16612.669999999998</v>
      </c>
      <c r="AC381">
        <f>ROUND((ES381),2)</f>
        <v>14146.14</v>
      </c>
      <c r="AD381">
        <f>ROUND((((ET381)-(EU381))+AE381),2)</f>
        <v>0</v>
      </c>
      <c r="AE381">
        <f>ROUND((EU381),2)</f>
        <v>0</v>
      </c>
      <c r="AF381">
        <f>ROUND((EV381),2)</f>
        <v>2466.5300000000002</v>
      </c>
      <c r="AG381">
        <f t="shared" si="335"/>
        <v>0</v>
      </c>
      <c r="AH381">
        <f>(EW381)</f>
        <v>13.42</v>
      </c>
      <c r="AI381">
        <f>(EX381)</f>
        <v>0</v>
      </c>
      <c r="AJ381">
        <f t="shared" si="337"/>
        <v>0</v>
      </c>
      <c r="AK381">
        <v>16612.669999999998</v>
      </c>
      <c r="AL381">
        <v>14146.14</v>
      </c>
      <c r="AM381">
        <v>0</v>
      </c>
      <c r="AN381">
        <v>0</v>
      </c>
      <c r="AO381">
        <v>2466.5300000000002</v>
      </c>
      <c r="AP381">
        <v>0</v>
      </c>
      <c r="AQ381">
        <v>13.42</v>
      </c>
      <c r="AR381">
        <v>0</v>
      </c>
      <c r="AS381">
        <v>0</v>
      </c>
      <c r="AT381">
        <v>70</v>
      </c>
      <c r="AU381">
        <v>10</v>
      </c>
      <c r="AV381">
        <v>1</v>
      </c>
      <c r="AW381">
        <v>1</v>
      </c>
      <c r="AZ381">
        <v>1</v>
      </c>
      <c r="BA381">
        <v>1</v>
      </c>
      <c r="BB381">
        <v>1</v>
      </c>
      <c r="BC381">
        <v>1</v>
      </c>
      <c r="BD381" t="s">
        <v>3</v>
      </c>
      <c r="BE381" t="s">
        <v>3</v>
      </c>
      <c r="BF381" t="s">
        <v>3</v>
      </c>
      <c r="BG381" t="s">
        <v>3</v>
      </c>
      <c r="BH381">
        <v>0</v>
      </c>
      <c r="BI381">
        <v>4</v>
      </c>
      <c r="BJ381" t="s">
        <v>307</v>
      </c>
      <c r="BM381">
        <v>0</v>
      </c>
      <c r="BN381">
        <v>0</v>
      </c>
      <c r="BO381" t="s">
        <v>3</v>
      </c>
      <c r="BP381">
        <v>0</v>
      </c>
      <c r="BQ381">
        <v>1</v>
      </c>
      <c r="BR381">
        <v>0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 t="s">
        <v>3</v>
      </c>
      <c r="BZ381">
        <v>70</v>
      </c>
      <c r="CA381">
        <v>10</v>
      </c>
      <c r="CE381">
        <v>0</v>
      </c>
      <c r="CF381">
        <v>0</v>
      </c>
      <c r="CG381">
        <v>0</v>
      </c>
      <c r="CM381">
        <v>0</v>
      </c>
      <c r="CN381" t="s">
        <v>3</v>
      </c>
      <c r="CO381">
        <v>0</v>
      </c>
      <c r="CP381">
        <f t="shared" si="338"/>
        <v>166126.69999999998</v>
      </c>
      <c r="CQ381">
        <f t="shared" si="339"/>
        <v>14146.14</v>
      </c>
      <c r="CR381">
        <f>((((ET381)*BB381-(EU381)*BS381)+AE381*BS381)*AV381)</f>
        <v>0</v>
      </c>
      <c r="CS381">
        <f t="shared" si="340"/>
        <v>0</v>
      </c>
      <c r="CT381">
        <f t="shared" si="341"/>
        <v>2466.5300000000002</v>
      </c>
      <c r="CU381">
        <f t="shared" si="342"/>
        <v>0</v>
      </c>
      <c r="CV381">
        <f t="shared" si="343"/>
        <v>13.42</v>
      </c>
      <c r="CW381">
        <f t="shared" si="344"/>
        <v>0</v>
      </c>
      <c r="CX381">
        <f t="shared" si="345"/>
        <v>0</v>
      </c>
      <c r="CY381">
        <f t="shared" si="346"/>
        <v>17265.71</v>
      </c>
      <c r="CZ381">
        <f t="shared" si="347"/>
        <v>2466.5300000000002</v>
      </c>
      <c r="DC381" t="s">
        <v>3</v>
      </c>
      <c r="DD381" t="s">
        <v>3</v>
      </c>
      <c r="DE381" t="s">
        <v>3</v>
      </c>
      <c r="DF381" t="s">
        <v>3</v>
      </c>
      <c r="DG381" t="s">
        <v>3</v>
      </c>
      <c r="DH381" t="s">
        <v>3</v>
      </c>
      <c r="DI381" t="s">
        <v>3</v>
      </c>
      <c r="DJ381" t="s">
        <v>3</v>
      </c>
      <c r="DK381" t="s">
        <v>3</v>
      </c>
      <c r="DL381" t="s">
        <v>3</v>
      </c>
      <c r="DM381" t="s">
        <v>3</v>
      </c>
      <c r="DN381">
        <v>0</v>
      </c>
      <c r="DO381">
        <v>0</v>
      </c>
      <c r="DP381">
        <v>1</v>
      </c>
      <c r="DQ381">
        <v>1</v>
      </c>
      <c r="DU381">
        <v>1005</v>
      </c>
      <c r="DV381" t="s">
        <v>39</v>
      </c>
      <c r="DW381" t="s">
        <v>39</v>
      </c>
      <c r="DX381">
        <v>100</v>
      </c>
      <c r="DZ381" t="s">
        <v>3</v>
      </c>
      <c r="EA381" t="s">
        <v>3</v>
      </c>
      <c r="EB381" t="s">
        <v>3</v>
      </c>
      <c r="EC381" t="s">
        <v>3</v>
      </c>
      <c r="EE381">
        <v>54545671</v>
      </c>
      <c r="EF381">
        <v>1</v>
      </c>
      <c r="EG381" t="s">
        <v>20</v>
      </c>
      <c r="EH381">
        <v>0</v>
      </c>
      <c r="EI381" t="s">
        <v>3</v>
      </c>
      <c r="EJ381">
        <v>4</v>
      </c>
      <c r="EK381">
        <v>0</v>
      </c>
      <c r="EL381" t="s">
        <v>21</v>
      </c>
      <c r="EM381" t="s">
        <v>22</v>
      </c>
      <c r="EO381" t="s">
        <v>3</v>
      </c>
      <c r="EQ381">
        <v>0</v>
      </c>
      <c r="ER381">
        <v>16612.669999999998</v>
      </c>
      <c r="ES381">
        <v>14146.14</v>
      </c>
      <c r="ET381">
        <v>0</v>
      </c>
      <c r="EU381">
        <v>0</v>
      </c>
      <c r="EV381">
        <v>2466.5300000000002</v>
      </c>
      <c r="EW381">
        <v>13.42</v>
      </c>
      <c r="EX381">
        <v>0</v>
      </c>
      <c r="EY381">
        <v>0</v>
      </c>
      <c r="FQ381">
        <v>0</v>
      </c>
      <c r="FR381">
        <f t="shared" si="348"/>
        <v>0</v>
      </c>
      <c r="FS381">
        <v>0</v>
      </c>
      <c r="FX381">
        <v>70</v>
      </c>
      <c r="FY381">
        <v>10</v>
      </c>
      <c r="GA381" t="s">
        <v>3</v>
      </c>
      <c r="GD381">
        <v>0</v>
      </c>
      <c r="GF381">
        <v>1039252515</v>
      </c>
      <c r="GG381">
        <v>2</v>
      </c>
      <c r="GH381">
        <v>1</v>
      </c>
      <c r="GI381">
        <v>-2</v>
      </c>
      <c r="GJ381">
        <v>0</v>
      </c>
      <c r="GK381">
        <f>ROUND(R381*(R12)/100,2)</f>
        <v>0</v>
      </c>
      <c r="GL381">
        <f t="shared" si="349"/>
        <v>0</v>
      </c>
      <c r="GM381">
        <f>ROUND(O381+X381+Y381+GK381,2)+GX381</f>
        <v>185858.94</v>
      </c>
      <c r="GN381">
        <f>IF(OR(BI381=0,BI381=1),ROUND(O381+X381+Y381+GK381,2),0)</f>
        <v>0</v>
      </c>
      <c r="GO381">
        <f>IF(BI381=2,ROUND(O381+X381+Y381+GK381,2),0)</f>
        <v>0</v>
      </c>
      <c r="GP381">
        <f>IF(BI381=4,ROUND(O381+X381+Y381+GK381,2)+GX381,0)</f>
        <v>185858.94</v>
      </c>
      <c r="GR381">
        <v>0</v>
      </c>
      <c r="GS381">
        <v>3</v>
      </c>
      <c r="GT381">
        <v>0</v>
      </c>
      <c r="GU381" t="s">
        <v>3</v>
      </c>
      <c r="GV381">
        <f t="shared" si="350"/>
        <v>0</v>
      </c>
      <c r="GW381">
        <v>1</v>
      </c>
      <c r="GX381">
        <f t="shared" si="351"/>
        <v>0</v>
      </c>
      <c r="HA381">
        <v>0</v>
      </c>
      <c r="HB381">
        <v>0</v>
      </c>
      <c r="HC381">
        <f t="shared" si="352"/>
        <v>0</v>
      </c>
      <c r="HE381" t="s">
        <v>3</v>
      </c>
      <c r="HF381" t="s">
        <v>3</v>
      </c>
      <c r="IK381">
        <v>0</v>
      </c>
    </row>
    <row r="383" spans="1:245" x14ac:dyDescent="0.2">
      <c r="A383" s="2">
        <v>51</v>
      </c>
      <c r="B383" s="2">
        <f>B367</f>
        <v>1</v>
      </c>
      <c r="C383" s="2">
        <f>A367</f>
        <v>4</v>
      </c>
      <c r="D383" s="2">
        <f>ROW(A367)</f>
        <v>367</v>
      </c>
      <c r="E383" s="2"/>
      <c r="F383" s="2" t="str">
        <f>IF(F367&lt;&gt;"",F367,"")</f>
        <v>Новый раздел</v>
      </c>
      <c r="G383" s="2" t="str">
        <f>IF(G367&lt;&gt;"",G367,"")</f>
        <v>Устройство газона (1000 м2)</v>
      </c>
      <c r="H383" s="2">
        <v>0</v>
      </c>
      <c r="I383" s="2"/>
      <c r="J383" s="2"/>
      <c r="K383" s="2"/>
      <c r="L383" s="2"/>
      <c r="M383" s="2"/>
      <c r="N383" s="2"/>
      <c r="O383" s="2">
        <f t="shared" ref="O383:T383" si="355">ROUND(AB383,2)</f>
        <v>425612.7</v>
      </c>
      <c r="P383" s="2">
        <f t="shared" si="355"/>
        <v>238338.01</v>
      </c>
      <c r="Q383" s="2">
        <f t="shared" si="355"/>
        <v>102203.17</v>
      </c>
      <c r="R383" s="2">
        <f t="shared" si="355"/>
        <v>58067.839999999997</v>
      </c>
      <c r="S383" s="2">
        <f t="shared" si="355"/>
        <v>85071.52</v>
      </c>
      <c r="T383" s="2">
        <f t="shared" si="355"/>
        <v>0</v>
      </c>
      <c r="U383" s="2">
        <f>AH383</f>
        <v>476.32525000000004</v>
      </c>
      <c r="V383" s="2">
        <f>AI383</f>
        <v>0</v>
      </c>
      <c r="W383" s="2">
        <f>ROUND(AJ383,2)</f>
        <v>0</v>
      </c>
      <c r="X383" s="2">
        <f>ROUND(AK383,2)</f>
        <v>59550.07</v>
      </c>
      <c r="Y383" s="2">
        <f>ROUND(AL383,2)</f>
        <v>8507.16</v>
      </c>
      <c r="Z383" s="2"/>
      <c r="AA383" s="2"/>
      <c r="AB383" s="2">
        <f>ROUND(SUMIF(AA371:AA381,"=56440881",O371:O381),2)</f>
        <v>425612.7</v>
      </c>
      <c r="AC383" s="2">
        <f>ROUND(SUMIF(AA371:AA381,"=56440881",P371:P381),2)</f>
        <v>238338.01</v>
      </c>
      <c r="AD383" s="2">
        <f>ROUND(SUMIF(AA371:AA381,"=56440881",Q371:Q381),2)</f>
        <v>102203.17</v>
      </c>
      <c r="AE383" s="2">
        <f>ROUND(SUMIF(AA371:AA381,"=56440881",R371:R381),2)</f>
        <v>58067.839999999997</v>
      </c>
      <c r="AF383" s="2">
        <f>ROUND(SUMIF(AA371:AA381,"=56440881",S371:S381),2)</f>
        <v>85071.52</v>
      </c>
      <c r="AG383" s="2">
        <f>ROUND(SUMIF(AA371:AA381,"=56440881",T371:T381),2)</f>
        <v>0</v>
      </c>
      <c r="AH383" s="2">
        <f>SUMIF(AA371:AA381,"=56440881",U371:U381)</f>
        <v>476.32525000000004</v>
      </c>
      <c r="AI383" s="2">
        <f>SUMIF(AA371:AA381,"=56440881",V371:V381)</f>
        <v>0</v>
      </c>
      <c r="AJ383" s="2">
        <f>ROUND(SUMIF(AA371:AA381,"=56440881",W371:W381),2)</f>
        <v>0</v>
      </c>
      <c r="AK383" s="2">
        <f>ROUND(SUMIF(AA371:AA381,"=56440881",X371:X381),2)</f>
        <v>59550.07</v>
      </c>
      <c r="AL383" s="2">
        <f>ROUND(SUMIF(AA371:AA381,"=56440881",Y371:Y381),2)</f>
        <v>8507.16</v>
      </c>
      <c r="AM383" s="2"/>
      <c r="AN383" s="2"/>
      <c r="AO383" s="2">
        <f t="shared" ref="AO383:BD383" si="356">ROUND(BX383,2)</f>
        <v>0</v>
      </c>
      <c r="AP383" s="2">
        <f t="shared" si="356"/>
        <v>0</v>
      </c>
      <c r="AQ383" s="2">
        <f t="shared" si="356"/>
        <v>0</v>
      </c>
      <c r="AR383" s="2">
        <f t="shared" si="356"/>
        <v>497310.44</v>
      </c>
      <c r="AS383" s="2">
        <f t="shared" si="356"/>
        <v>0</v>
      </c>
      <c r="AT383" s="2">
        <f t="shared" si="356"/>
        <v>0</v>
      </c>
      <c r="AU383" s="2">
        <f t="shared" si="356"/>
        <v>497310.44</v>
      </c>
      <c r="AV383" s="2">
        <f t="shared" si="356"/>
        <v>238338.01</v>
      </c>
      <c r="AW383" s="2">
        <f t="shared" si="356"/>
        <v>238338.01</v>
      </c>
      <c r="AX383" s="2">
        <f t="shared" si="356"/>
        <v>0</v>
      </c>
      <c r="AY383" s="2">
        <f t="shared" si="356"/>
        <v>238338.01</v>
      </c>
      <c r="AZ383" s="2">
        <f t="shared" si="356"/>
        <v>0</v>
      </c>
      <c r="BA383" s="2">
        <f t="shared" si="356"/>
        <v>0</v>
      </c>
      <c r="BB383" s="2">
        <f t="shared" si="356"/>
        <v>0</v>
      </c>
      <c r="BC383" s="2">
        <f t="shared" si="356"/>
        <v>0</v>
      </c>
      <c r="BD383" s="2">
        <f t="shared" si="356"/>
        <v>0</v>
      </c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>
        <f>ROUND(SUMIF(AA371:AA381,"=56440881",FQ371:FQ381),2)</f>
        <v>0</v>
      </c>
      <c r="BY383" s="2">
        <f>ROUND(SUMIF(AA371:AA381,"=56440881",FR371:FR381),2)</f>
        <v>0</v>
      </c>
      <c r="BZ383" s="2">
        <f>ROUND(SUMIF(AA371:AA381,"=56440881",GL371:GL381),2)</f>
        <v>0</v>
      </c>
      <c r="CA383" s="2">
        <f>ROUND(SUMIF(AA371:AA381,"=56440881",GM371:GM381),2)</f>
        <v>497310.44</v>
      </c>
      <c r="CB383" s="2">
        <f>ROUND(SUMIF(AA371:AA381,"=56440881",GN371:GN381),2)</f>
        <v>0</v>
      </c>
      <c r="CC383" s="2">
        <f>ROUND(SUMIF(AA371:AA381,"=56440881",GO371:GO381),2)</f>
        <v>0</v>
      </c>
      <c r="CD383" s="2">
        <f>ROUND(SUMIF(AA371:AA381,"=56440881",GP371:GP381),2)</f>
        <v>497310.44</v>
      </c>
      <c r="CE383" s="2">
        <f>AC383-BX383</f>
        <v>238338.01</v>
      </c>
      <c r="CF383" s="2">
        <f>AC383-BY383</f>
        <v>238338.01</v>
      </c>
      <c r="CG383" s="2">
        <f>BX383-BZ383</f>
        <v>0</v>
      </c>
      <c r="CH383" s="2">
        <f>AC383-BX383-BY383+BZ383</f>
        <v>238338.01</v>
      </c>
      <c r="CI383" s="2">
        <f>BY383-BZ383</f>
        <v>0</v>
      </c>
      <c r="CJ383" s="2">
        <f>ROUND(SUMIF(AA371:AA381,"=56440881",GX371:GX381),2)</f>
        <v>0</v>
      </c>
      <c r="CK383" s="2">
        <f>ROUND(SUMIF(AA371:AA381,"=56440881",GY371:GY381),2)</f>
        <v>0</v>
      </c>
      <c r="CL383" s="2">
        <f>ROUND(SUMIF(AA371:AA381,"=56440881",GZ371:GZ381),2)</f>
        <v>0</v>
      </c>
      <c r="CM383" s="2">
        <f>ROUND(SUMIF(AA371:AA381,"=56440881",HD371:HD381),2)</f>
        <v>0</v>
      </c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>
        <v>0</v>
      </c>
    </row>
    <row r="385" spans="1:23" x14ac:dyDescent="0.2">
      <c r="A385" s="4">
        <v>50</v>
      </c>
      <c r="B385" s="4">
        <v>0</v>
      </c>
      <c r="C385" s="4">
        <v>0</v>
      </c>
      <c r="D385" s="4">
        <v>1</v>
      </c>
      <c r="E385" s="4">
        <v>201</v>
      </c>
      <c r="F385" s="4">
        <f>ROUND(Source!O383,O385)</f>
        <v>425612.7</v>
      </c>
      <c r="G385" s="4" t="s">
        <v>50</v>
      </c>
      <c r="H385" s="4" t="s">
        <v>51</v>
      </c>
      <c r="I385" s="4"/>
      <c r="J385" s="4"/>
      <c r="K385" s="4">
        <v>-201</v>
      </c>
      <c r="L385" s="4">
        <v>1</v>
      </c>
      <c r="M385" s="4">
        <v>3</v>
      </c>
      <c r="N385" s="4" t="s">
        <v>3</v>
      </c>
      <c r="O385" s="4">
        <v>2</v>
      </c>
      <c r="P385" s="4"/>
      <c r="Q385" s="4"/>
      <c r="R385" s="4"/>
      <c r="S385" s="4"/>
      <c r="T385" s="4"/>
      <c r="U385" s="4"/>
      <c r="V385" s="4"/>
      <c r="W385" s="4"/>
    </row>
    <row r="386" spans="1:23" x14ac:dyDescent="0.2">
      <c r="A386" s="4">
        <v>50</v>
      </c>
      <c r="B386" s="4">
        <v>0</v>
      </c>
      <c r="C386" s="4">
        <v>0</v>
      </c>
      <c r="D386" s="4">
        <v>1</v>
      </c>
      <c r="E386" s="4">
        <v>202</v>
      </c>
      <c r="F386" s="4">
        <f>ROUND(Source!P383,O386)</f>
        <v>238338.01</v>
      </c>
      <c r="G386" s="4" t="s">
        <v>52</v>
      </c>
      <c r="H386" s="4" t="s">
        <v>53</v>
      </c>
      <c r="I386" s="4"/>
      <c r="J386" s="4"/>
      <c r="K386" s="4">
        <v>-202</v>
      </c>
      <c r="L386" s="4">
        <v>2</v>
      </c>
      <c r="M386" s="4">
        <v>3</v>
      </c>
      <c r="N386" s="4" t="s">
        <v>3</v>
      </c>
      <c r="O386" s="4">
        <v>2</v>
      </c>
      <c r="P386" s="4"/>
      <c r="Q386" s="4"/>
      <c r="R386" s="4"/>
      <c r="S386" s="4"/>
      <c r="T386" s="4"/>
      <c r="U386" s="4"/>
      <c r="V386" s="4"/>
      <c r="W386" s="4"/>
    </row>
    <row r="387" spans="1:23" x14ac:dyDescent="0.2">
      <c r="A387" s="4">
        <v>50</v>
      </c>
      <c r="B387" s="4">
        <v>0</v>
      </c>
      <c r="C387" s="4">
        <v>0</v>
      </c>
      <c r="D387" s="4">
        <v>1</v>
      </c>
      <c r="E387" s="4">
        <v>222</v>
      </c>
      <c r="F387" s="4">
        <f>ROUND(Source!AO383,O387)</f>
        <v>0</v>
      </c>
      <c r="G387" s="4" t="s">
        <v>54</v>
      </c>
      <c r="H387" s="4" t="s">
        <v>55</v>
      </c>
      <c r="I387" s="4"/>
      <c r="J387" s="4"/>
      <c r="K387" s="4">
        <v>-222</v>
      </c>
      <c r="L387" s="4">
        <v>3</v>
      </c>
      <c r="M387" s="4">
        <v>3</v>
      </c>
      <c r="N387" s="4" t="s">
        <v>3</v>
      </c>
      <c r="O387" s="4">
        <v>2</v>
      </c>
      <c r="P387" s="4"/>
      <c r="Q387" s="4"/>
      <c r="R387" s="4"/>
      <c r="S387" s="4"/>
      <c r="T387" s="4"/>
      <c r="U387" s="4"/>
      <c r="V387" s="4"/>
      <c r="W387" s="4"/>
    </row>
    <row r="388" spans="1:23" x14ac:dyDescent="0.2">
      <c r="A388" s="4">
        <v>50</v>
      </c>
      <c r="B388" s="4">
        <v>0</v>
      </c>
      <c r="C388" s="4">
        <v>0</v>
      </c>
      <c r="D388" s="4">
        <v>1</v>
      </c>
      <c r="E388" s="4">
        <v>225</v>
      </c>
      <c r="F388" s="4">
        <f>ROUND(Source!AV383,O388)</f>
        <v>238338.01</v>
      </c>
      <c r="G388" s="4" t="s">
        <v>56</v>
      </c>
      <c r="H388" s="4" t="s">
        <v>57</v>
      </c>
      <c r="I388" s="4"/>
      <c r="J388" s="4"/>
      <c r="K388" s="4">
        <v>-225</v>
      </c>
      <c r="L388" s="4">
        <v>4</v>
      </c>
      <c r="M388" s="4">
        <v>3</v>
      </c>
      <c r="N388" s="4" t="s">
        <v>3</v>
      </c>
      <c r="O388" s="4">
        <v>2</v>
      </c>
      <c r="P388" s="4"/>
      <c r="Q388" s="4"/>
      <c r="R388" s="4"/>
      <c r="S388" s="4"/>
      <c r="T388" s="4"/>
      <c r="U388" s="4"/>
      <c r="V388" s="4"/>
      <c r="W388" s="4"/>
    </row>
    <row r="389" spans="1:23" x14ac:dyDescent="0.2">
      <c r="A389" s="4">
        <v>50</v>
      </c>
      <c r="B389" s="4">
        <v>0</v>
      </c>
      <c r="C389" s="4">
        <v>0</v>
      </c>
      <c r="D389" s="4">
        <v>1</v>
      </c>
      <c r="E389" s="4">
        <v>226</v>
      </c>
      <c r="F389" s="4">
        <f>ROUND(Source!AW383,O389)</f>
        <v>238338.01</v>
      </c>
      <c r="G389" s="4" t="s">
        <v>58</v>
      </c>
      <c r="H389" s="4" t="s">
        <v>59</v>
      </c>
      <c r="I389" s="4"/>
      <c r="J389" s="4"/>
      <c r="K389" s="4">
        <v>-226</v>
      </c>
      <c r="L389" s="4">
        <v>5</v>
      </c>
      <c r="M389" s="4">
        <v>3</v>
      </c>
      <c r="N389" s="4" t="s">
        <v>3</v>
      </c>
      <c r="O389" s="4">
        <v>2</v>
      </c>
      <c r="P389" s="4"/>
      <c r="Q389" s="4"/>
      <c r="R389" s="4"/>
      <c r="S389" s="4"/>
      <c r="T389" s="4"/>
      <c r="U389" s="4"/>
      <c r="V389" s="4"/>
      <c r="W389" s="4"/>
    </row>
    <row r="390" spans="1:23" x14ac:dyDescent="0.2">
      <c r="A390" s="4">
        <v>50</v>
      </c>
      <c r="B390" s="4">
        <v>0</v>
      </c>
      <c r="C390" s="4">
        <v>0</v>
      </c>
      <c r="D390" s="4">
        <v>1</v>
      </c>
      <c r="E390" s="4">
        <v>227</v>
      </c>
      <c r="F390" s="4">
        <f>ROUND(Source!AX383,O390)</f>
        <v>0</v>
      </c>
      <c r="G390" s="4" t="s">
        <v>60</v>
      </c>
      <c r="H390" s="4" t="s">
        <v>61</v>
      </c>
      <c r="I390" s="4"/>
      <c r="J390" s="4"/>
      <c r="K390" s="4">
        <v>-227</v>
      </c>
      <c r="L390" s="4">
        <v>6</v>
      </c>
      <c r="M390" s="4">
        <v>3</v>
      </c>
      <c r="N390" s="4" t="s">
        <v>3</v>
      </c>
      <c r="O390" s="4">
        <v>2</v>
      </c>
      <c r="P390" s="4"/>
      <c r="Q390" s="4"/>
      <c r="R390" s="4"/>
      <c r="S390" s="4"/>
      <c r="T390" s="4"/>
      <c r="U390" s="4"/>
      <c r="V390" s="4"/>
      <c r="W390" s="4"/>
    </row>
    <row r="391" spans="1:23" x14ac:dyDescent="0.2">
      <c r="A391" s="4">
        <v>50</v>
      </c>
      <c r="B391" s="4">
        <v>0</v>
      </c>
      <c r="C391" s="4">
        <v>0</v>
      </c>
      <c r="D391" s="4">
        <v>1</v>
      </c>
      <c r="E391" s="4">
        <v>228</v>
      </c>
      <c r="F391" s="4">
        <f>ROUND(Source!AY383,O391)</f>
        <v>238338.01</v>
      </c>
      <c r="G391" s="4" t="s">
        <v>62</v>
      </c>
      <c r="H391" s="4" t="s">
        <v>63</v>
      </c>
      <c r="I391" s="4"/>
      <c r="J391" s="4"/>
      <c r="K391" s="4">
        <v>-228</v>
      </c>
      <c r="L391" s="4">
        <v>7</v>
      </c>
      <c r="M391" s="4">
        <v>3</v>
      </c>
      <c r="N391" s="4" t="s">
        <v>3</v>
      </c>
      <c r="O391" s="4">
        <v>2</v>
      </c>
      <c r="P391" s="4"/>
      <c r="Q391" s="4"/>
      <c r="R391" s="4"/>
      <c r="S391" s="4"/>
      <c r="T391" s="4"/>
      <c r="U391" s="4"/>
      <c r="V391" s="4"/>
      <c r="W391" s="4"/>
    </row>
    <row r="392" spans="1:23" x14ac:dyDescent="0.2">
      <c r="A392" s="4">
        <v>50</v>
      </c>
      <c r="B392" s="4">
        <v>0</v>
      </c>
      <c r="C392" s="4">
        <v>0</v>
      </c>
      <c r="D392" s="4">
        <v>1</v>
      </c>
      <c r="E392" s="4">
        <v>216</v>
      </c>
      <c r="F392" s="4">
        <f>ROUND(Source!AP383,O392)</f>
        <v>0</v>
      </c>
      <c r="G392" s="4" t="s">
        <v>64</v>
      </c>
      <c r="H392" s="4" t="s">
        <v>65</v>
      </c>
      <c r="I392" s="4"/>
      <c r="J392" s="4"/>
      <c r="K392" s="4">
        <v>-216</v>
      </c>
      <c r="L392" s="4">
        <v>8</v>
      </c>
      <c r="M392" s="4">
        <v>3</v>
      </c>
      <c r="N392" s="4" t="s">
        <v>3</v>
      </c>
      <c r="O392" s="4">
        <v>2</v>
      </c>
      <c r="P392" s="4"/>
      <c r="Q392" s="4"/>
      <c r="R392" s="4"/>
      <c r="S392" s="4"/>
      <c r="T392" s="4"/>
      <c r="U392" s="4"/>
      <c r="V392" s="4"/>
      <c r="W392" s="4"/>
    </row>
    <row r="393" spans="1:23" x14ac:dyDescent="0.2">
      <c r="A393" s="4">
        <v>50</v>
      </c>
      <c r="B393" s="4">
        <v>0</v>
      </c>
      <c r="C393" s="4">
        <v>0</v>
      </c>
      <c r="D393" s="4">
        <v>1</v>
      </c>
      <c r="E393" s="4">
        <v>223</v>
      </c>
      <c r="F393" s="4">
        <f>ROUND(Source!AQ383,O393)</f>
        <v>0</v>
      </c>
      <c r="G393" s="4" t="s">
        <v>66</v>
      </c>
      <c r="H393" s="4" t="s">
        <v>67</v>
      </c>
      <c r="I393" s="4"/>
      <c r="J393" s="4"/>
      <c r="K393" s="4">
        <v>-223</v>
      </c>
      <c r="L393" s="4">
        <v>9</v>
      </c>
      <c r="M393" s="4">
        <v>3</v>
      </c>
      <c r="N393" s="4" t="s">
        <v>3</v>
      </c>
      <c r="O393" s="4">
        <v>2</v>
      </c>
      <c r="P393" s="4"/>
      <c r="Q393" s="4"/>
      <c r="R393" s="4"/>
      <c r="S393" s="4"/>
      <c r="T393" s="4"/>
      <c r="U393" s="4"/>
      <c r="V393" s="4"/>
      <c r="W393" s="4"/>
    </row>
    <row r="394" spans="1:23" x14ac:dyDescent="0.2">
      <c r="A394" s="4">
        <v>50</v>
      </c>
      <c r="B394" s="4">
        <v>0</v>
      </c>
      <c r="C394" s="4">
        <v>0</v>
      </c>
      <c r="D394" s="4">
        <v>1</v>
      </c>
      <c r="E394" s="4">
        <v>229</v>
      </c>
      <c r="F394" s="4">
        <f>ROUND(Source!AZ383,O394)</f>
        <v>0</v>
      </c>
      <c r="G394" s="4" t="s">
        <v>68</v>
      </c>
      <c r="H394" s="4" t="s">
        <v>69</v>
      </c>
      <c r="I394" s="4"/>
      <c r="J394" s="4"/>
      <c r="K394" s="4">
        <v>-229</v>
      </c>
      <c r="L394" s="4">
        <v>10</v>
      </c>
      <c r="M394" s="4">
        <v>3</v>
      </c>
      <c r="N394" s="4" t="s">
        <v>3</v>
      </c>
      <c r="O394" s="4">
        <v>2</v>
      </c>
      <c r="P394" s="4"/>
      <c r="Q394" s="4"/>
      <c r="R394" s="4"/>
      <c r="S394" s="4"/>
      <c r="T394" s="4"/>
      <c r="U394" s="4"/>
      <c r="V394" s="4"/>
      <c r="W394" s="4"/>
    </row>
    <row r="395" spans="1:23" x14ac:dyDescent="0.2">
      <c r="A395" s="4">
        <v>50</v>
      </c>
      <c r="B395" s="4">
        <v>0</v>
      </c>
      <c r="C395" s="4">
        <v>0</v>
      </c>
      <c r="D395" s="4">
        <v>1</v>
      </c>
      <c r="E395" s="4">
        <v>203</v>
      </c>
      <c r="F395" s="4">
        <f>ROUND(Source!Q383,O395)</f>
        <v>102203.17</v>
      </c>
      <c r="G395" s="4" t="s">
        <v>70</v>
      </c>
      <c r="H395" s="4" t="s">
        <v>71</v>
      </c>
      <c r="I395" s="4"/>
      <c r="J395" s="4"/>
      <c r="K395" s="4">
        <v>-203</v>
      </c>
      <c r="L395" s="4">
        <v>11</v>
      </c>
      <c r="M395" s="4">
        <v>3</v>
      </c>
      <c r="N395" s="4" t="s">
        <v>3</v>
      </c>
      <c r="O395" s="4">
        <v>2</v>
      </c>
      <c r="P395" s="4"/>
      <c r="Q395" s="4"/>
      <c r="R395" s="4"/>
      <c r="S395" s="4"/>
      <c r="T395" s="4"/>
      <c r="U395" s="4"/>
      <c r="V395" s="4"/>
      <c r="W395" s="4"/>
    </row>
    <row r="396" spans="1:23" x14ac:dyDescent="0.2">
      <c r="A396" s="4">
        <v>50</v>
      </c>
      <c r="B396" s="4">
        <v>0</v>
      </c>
      <c r="C396" s="4">
        <v>0</v>
      </c>
      <c r="D396" s="4">
        <v>1</v>
      </c>
      <c r="E396" s="4">
        <v>231</v>
      </c>
      <c r="F396" s="4">
        <f>ROUND(Source!BB383,O396)</f>
        <v>0</v>
      </c>
      <c r="G396" s="4" t="s">
        <v>72</v>
      </c>
      <c r="H396" s="4" t="s">
        <v>73</v>
      </c>
      <c r="I396" s="4"/>
      <c r="J396" s="4"/>
      <c r="K396" s="4">
        <v>-231</v>
      </c>
      <c r="L396" s="4">
        <v>12</v>
      </c>
      <c r="M396" s="4">
        <v>3</v>
      </c>
      <c r="N396" s="4" t="s">
        <v>3</v>
      </c>
      <c r="O396" s="4">
        <v>2</v>
      </c>
      <c r="P396" s="4"/>
      <c r="Q396" s="4"/>
      <c r="R396" s="4"/>
      <c r="S396" s="4"/>
      <c r="T396" s="4"/>
      <c r="U396" s="4"/>
      <c r="V396" s="4"/>
      <c r="W396" s="4"/>
    </row>
    <row r="397" spans="1:23" x14ac:dyDescent="0.2">
      <c r="A397" s="4">
        <v>50</v>
      </c>
      <c r="B397" s="4">
        <v>0</v>
      </c>
      <c r="C397" s="4">
        <v>0</v>
      </c>
      <c r="D397" s="4">
        <v>1</v>
      </c>
      <c r="E397" s="4">
        <v>204</v>
      </c>
      <c r="F397" s="4">
        <f>ROUND(Source!R383,O397)</f>
        <v>58067.839999999997</v>
      </c>
      <c r="G397" s="4" t="s">
        <v>74</v>
      </c>
      <c r="H397" s="4" t="s">
        <v>75</v>
      </c>
      <c r="I397" s="4"/>
      <c r="J397" s="4"/>
      <c r="K397" s="4">
        <v>-204</v>
      </c>
      <c r="L397" s="4">
        <v>13</v>
      </c>
      <c r="M397" s="4">
        <v>3</v>
      </c>
      <c r="N397" s="4" t="s">
        <v>3</v>
      </c>
      <c r="O397" s="4">
        <v>2</v>
      </c>
      <c r="P397" s="4"/>
      <c r="Q397" s="4"/>
      <c r="R397" s="4"/>
      <c r="S397" s="4"/>
      <c r="T397" s="4"/>
      <c r="U397" s="4"/>
      <c r="V397" s="4"/>
      <c r="W397" s="4"/>
    </row>
    <row r="398" spans="1:23" x14ac:dyDescent="0.2">
      <c r="A398" s="4">
        <v>50</v>
      </c>
      <c r="B398" s="4">
        <v>0</v>
      </c>
      <c r="C398" s="4">
        <v>0</v>
      </c>
      <c r="D398" s="4">
        <v>1</v>
      </c>
      <c r="E398" s="4">
        <v>205</v>
      </c>
      <c r="F398" s="4">
        <f>ROUND(Source!S383,O398)</f>
        <v>85071.52</v>
      </c>
      <c r="G398" s="4" t="s">
        <v>76</v>
      </c>
      <c r="H398" s="4" t="s">
        <v>77</v>
      </c>
      <c r="I398" s="4"/>
      <c r="J398" s="4"/>
      <c r="K398" s="4">
        <v>-205</v>
      </c>
      <c r="L398" s="4">
        <v>14</v>
      </c>
      <c r="M398" s="4">
        <v>3</v>
      </c>
      <c r="N398" s="4" t="s">
        <v>3</v>
      </c>
      <c r="O398" s="4">
        <v>2</v>
      </c>
      <c r="P398" s="4"/>
      <c r="Q398" s="4"/>
      <c r="R398" s="4"/>
      <c r="S398" s="4"/>
      <c r="T398" s="4"/>
      <c r="U398" s="4"/>
      <c r="V398" s="4"/>
      <c r="W398" s="4"/>
    </row>
    <row r="399" spans="1:23" x14ac:dyDescent="0.2">
      <c r="A399" s="4">
        <v>50</v>
      </c>
      <c r="B399" s="4">
        <v>0</v>
      </c>
      <c r="C399" s="4">
        <v>0</v>
      </c>
      <c r="D399" s="4">
        <v>1</v>
      </c>
      <c r="E399" s="4">
        <v>232</v>
      </c>
      <c r="F399" s="4">
        <f>ROUND(Source!BC383,O399)</f>
        <v>0</v>
      </c>
      <c r="G399" s="4" t="s">
        <v>78</v>
      </c>
      <c r="H399" s="4" t="s">
        <v>79</v>
      </c>
      <c r="I399" s="4"/>
      <c r="J399" s="4"/>
      <c r="K399" s="4">
        <v>-232</v>
      </c>
      <c r="L399" s="4">
        <v>15</v>
      </c>
      <c r="M399" s="4">
        <v>3</v>
      </c>
      <c r="N399" s="4" t="s">
        <v>3</v>
      </c>
      <c r="O399" s="4">
        <v>2</v>
      </c>
      <c r="P399" s="4"/>
      <c r="Q399" s="4"/>
      <c r="R399" s="4"/>
      <c r="S399" s="4"/>
      <c r="T399" s="4"/>
      <c r="U399" s="4"/>
      <c r="V399" s="4"/>
      <c r="W399" s="4"/>
    </row>
    <row r="400" spans="1:23" x14ac:dyDescent="0.2">
      <c r="A400" s="4">
        <v>50</v>
      </c>
      <c r="B400" s="4">
        <v>0</v>
      </c>
      <c r="C400" s="4">
        <v>0</v>
      </c>
      <c r="D400" s="4">
        <v>1</v>
      </c>
      <c r="E400" s="4">
        <v>214</v>
      </c>
      <c r="F400" s="4">
        <f>ROUND(Source!AS383,O400)</f>
        <v>0</v>
      </c>
      <c r="G400" s="4" t="s">
        <v>80</v>
      </c>
      <c r="H400" s="4" t="s">
        <v>81</v>
      </c>
      <c r="I400" s="4"/>
      <c r="J400" s="4"/>
      <c r="K400" s="4">
        <v>-214</v>
      </c>
      <c r="L400" s="4">
        <v>16</v>
      </c>
      <c r="M400" s="4">
        <v>3</v>
      </c>
      <c r="N400" s="4" t="s">
        <v>3</v>
      </c>
      <c r="O400" s="4">
        <v>2</v>
      </c>
      <c r="P400" s="4"/>
      <c r="Q400" s="4"/>
      <c r="R400" s="4"/>
      <c r="S400" s="4"/>
      <c r="T400" s="4"/>
      <c r="U400" s="4"/>
      <c r="V400" s="4"/>
      <c r="W400" s="4"/>
    </row>
    <row r="401" spans="1:206" x14ac:dyDescent="0.2">
      <c r="A401" s="4">
        <v>50</v>
      </c>
      <c r="B401" s="4">
        <v>0</v>
      </c>
      <c r="C401" s="4">
        <v>0</v>
      </c>
      <c r="D401" s="4">
        <v>1</v>
      </c>
      <c r="E401" s="4">
        <v>215</v>
      </c>
      <c r="F401" s="4">
        <f>ROUND(Source!AT383,O401)</f>
        <v>0</v>
      </c>
      <c r="G401" s="4" t="s">
        <v>82</v>
      </c>
      <c r="H401" s="4" t="s">
        <v>83</v>
      </c>
      <c r="I401" s="4"/>
      <c r="J401" s="4"/>
      <c r="K401" s="4">
        <v>-215</v>
      </c>
      <c r="L401" s="4">
        <v>17</v>
      </c>
      <c r="M401" s="4">
        <v>3</v>
      </c>
      <c r="N401" s="4" t="s">
        <v>3</v>
      </c>
      <c r="O401" s="4">
        <v>2</v>
      </c>
      <c r="P401" s="4"/>
      <c r="Q401" s="4"/>
      <c r="R401" s="4"/>
      <c r="S401" s="4"/>
      <c r="T401" s="4"/>
      <c r="U401" s="4"/>
      <c r="V401" s="4"/>
      <c r="W401" s="4"/>
    </row>
    <row r="402" spans="1:206" x14ac:dyDescent="0.2">
      <c r="A402" s="4">
        <v>50</v>
      </c>
      <c r="B402" s="4">
        <v>0</v>
      </c>
      <c r="C402" s="4">
        <v>0</v>
      </c>
      <c r="D402" s="4">
        <v>1</v>
      </c>
      <c r="E402" s="4">
        <v>217</v>
      </c>
      <c r="F402" s="4">
        <f>ROUND(Source!AU383,O402)</f>
        <v>497310.44</v>
      </c>
      <c r="G402" s="4" t="s">
        <v>84</v>
      </c>
      <c r="H402" s="4" t="s">
        <v>85</v>
      </c>
      <c r="I402" s="4"/>
      <c r="J402" s="4"/>
      <c r="K402" s="4">
        <v>-217</v>
      </c>
      <c r="L402" s="4">
        <v>18</v>
      </c>
      <c r="M402" s="4">
        <v>3</v>
      </c>
      <c r="N402" s="4" t="s">
        <v>3</v>
      </c>
      <c r="O402" s="4">
        <v>2</v>
      </c>
      <c r="P402" s="4"/>
      <c r="Q402" s="4"/>
      <c r="R402" s="4"/>
      <c r="S402" s="4"/>
      <c r="T402" s="4"/>
      <c r="U402" s="4"/>
      <c r="V402" s="4"/>
      <c r="W402" s="4"/>
    </row>
    <row r="403" spans="1:206" x14ac:dyDescent="0.2">
      <c r="A403" s="4">
        <v>50</v>
      </c>
      <c r="B403" s="4">
        <v>0</v>
      </c>
      <c r="C403" s="4">
        <v>0</v>
      </c>
      <c r="D403" s="4">
        <v>1</v>
      </c>
      <c r="E403" s="4">
        <v>230</v>
      </c>
      <c r="F403" s="4">
        <f>ROUND(Source!BA383,O403)</f>
        <v>0</v>
      </c>
      <c r="G403" s="4" t="s">
        <v>86</v>
      </c>
      <c r="H403" s="4" t="s">
        <v>87</v>
      </c>
      <c r="I403" s="4"/>
      <c r="J403" s="4"/>
      <c r="K403" s="4">
        <v>-230</v>
      </c>
      <c r="L403" s="4">
        <v>19</v>
      </c>
      <c r="M403" s="4">
        <v>3</v>
      </c>
      <c r="N403" s="4" t="s">
        <v>3</v>
      </c>
      <c r="O403" s="4">
        <v>2</v>
      </c>
      <c r="P403" s="4"/>
      <c r="Q403" s="4"/>
      <c r="R403" s="4"/>
      <c r="S403" s="4"/>
      <c r="T403" s="4"/>
      <c r="U403" s="4"/>
      <c r="V403" s="4"/>
      <c r="W403" s="4"/>
    </row>
    <row r="404" spans="1:206" x14ac:dyDescent="0.2">
      <c r="A404" s="4">
        <v>50</v>
      </c>
      <c r="B404" s="4">
        <v>0</v>
      </c>
      <c r="C404" s="4">
        <v>0</v>
      </c>
      <c r="D404" s="4">
        <v>1</v>
      </c>
      <c r="E404" s="4">
        <v>206</v>
      </c>
      <c r="F404" s="4">
        <f>ROUND(Source!T383,O404)</f>
        <v>0</v>
      </c>
      <c r="G404" s="4" t="s">
        <v>88</v>
      </c>
      <c r="H404" s="4" t="s">
        <v>89</v>
      </c>
      <c r="I404" s="4"/>
      <c r="J404" s="4"/>
      <c r="K404" s="4">
        <v>-206</v>
      </c>
      <c r="L404" s="4">
        <v>20</v>
      </c>
      <c r="M404" s="4">
        <v>3</v>
      </c>
      <c r="N404" s="4" t="s">
        <v>3</v>
      </c>
      <c r="O404" s="4">
        <v>2</v>
      </c>
      <c r="P404" s="4"/>
      <c r="Q404" s="4"/>
      <c r="R404" s="4"/>
      <c r="S404" s="4"/>
      <c r="T404" s="4"/>
      <c r="U404" s="4"/>
      <c r="V404" s="4"/>
      <c r="W404" s="4"/>
    </row>
    <row r="405" spans="1:206" x14ac:dyDescent="0.2">
      <c r="A405" s="4">
        <v>50</v>
      </c>
      <c r="B405" s="4">
        <v>0</v>
      </c>
      <c r="C405" s="4">
        <v>0</v>
      </c>
      <c r="D405" s="4">
        <v>1</v>
      </c>
      <c r="E405" s="4">
        <v>207</v>
      </c>
      <c r="F405" s="4">
        <f>Source!U383</f>
        <v>476.32525000000004</v>
      </c>
      <c r="G405" s="4" t="s">
        <v>90</v>
      </c>
      <c r="H405" s="4" t="s">
        <v>91</v>
      </c>
      <c r="I405" s="4"/>
      <c r="J405" s="4"/>
      <c r="K405" s="4">
        <v>-207</v>
      </c>
      <c r="L405" s="4">
        <v>21</v>
      </c>
      <c r="M405" s="4">
        <v>3</v>
      </c>
      <c r="N405" s="4" t="s">
        <v>3</v>
      </c>
      <c r="O405" s="4">
        <v>-1</v>
      </c>
      <c r="P405" s="4"/>
      <c r="Q405" s="4"/>
      <c r="R405" s="4"/>
      <c r="S405" s="4"/>
      <c r="T405" s="4"/>
      <c r="U405" s="4"/>
      <c r="V405" s="4"/>
      <c r="W405" s="4"/>
    </row>
    <row r="406" spans="1:206" x14ac:dyDescent="0.2">
      <c r="A406" s="4">
        <v>50</v>
      </c>
      <c r="B406" s="4">
        <v>0</v>
      </c>
      <c r="C406" s="4">
        <v>0</v>
      </c>
      <c r="D406" s="4">
        <v>1</v>
      </c>
      <c r="E406" s="4">
        <v>208</v>
      </c>
      <c r="F406" s="4">
        <f>Source!V383</f>
        <v>0</v>
      </c>
      <c r="G406" s="4" t="s">
        <v>92</v>
      </c>
      <c r="H406" s="4" t="s">
        <v>93</v>
      </c>
      <c r="I406" s="4"/>
      <c r="J406" s="4"/>
      <c r="K406" s="4">
        <v>-208</v>
      </c>
      <c r="L406" s="4">
        <v>22</v>
      </c>
      <c r="M406" s="4">
        <v>3</v>
      </c>
      <c r="N406" s="4" t="s">
        <v>3</v>
      </c>
      <c r="O406" s="4">
        <v>-1</v>
      </c>
      <c r="P406" s="4"/>
      <c r="Q406" s="4"/>
      <c r="R406" s="4"/>
      <c r="S406" s="4"/>
      <c r="T406" s="4"/>
      <c r="U406" s="4"/>
      <c r="V406" s="4"/>
      <c r="W406" s="4"/>
    </row>
    <row r="407" spans="1:206" x14ac:dyDescent="0.2">
      <c r="A407" s="4">
        <v>50</v>
      </c>
      <c r="B407" s="4">
        <v>0</v>
      </c>
      <c r="C407" s="4">
        <v>0</v>
      </c>
      <c r="D407" s="4">
        <v>1</v>
      </c>
      <c r="E407" s="4">
        <v>209</v>
      </c>
      <c r="F407" s="4">
        <f>ROUND(Source!W383,O407)</f>
        <v>0</v>
      </c>
      <c r="G407" s="4" t="s">
        <v>94</v>
      </c>
      <c r="H407" s="4" t="s">
        <v>95</v>
      </c>
      <c r="I407" s="4"/>
      <c r="J407" s="4"/>
      <c r="K407" s="4">
        <v>-209</v>
      </c>
      <c r="L407" s="4">
        <v>23</v>
      </c>
      <c r="M407" s="4">
        <v>3</v>
      </c>
      <c r="N407" s="4" t="s">
        <v>3</v>
      </c>
      <c r="O407" s="4">
        <v>2</v>
      </c>
      <c r="P407" s="4"/>
      <c r="Q407" s="4"/>
      <c r="R407" s="4"/>
      <c r="S407" s="4"/>
      <c r="T407" s="4"/>
      <c r="U407" s="4"/>
      <c r="V407" s="4"/>
      <c r="W407" s="4"/>
    </row>
    <row r="408" spans="1:206" x14ac:dyDescent="0.2">
      <c r="A408" s="4">
        <v>50</v>
      </c>
      <c r="B408" s="4">
        <v>0</v>
      </c>
      <c r="C408" s="4">
        <v>0</v>
      </c>
      <c r="D408" s="4">
        <v>1</v>
      </c>
      <c r="E408" s="4">
        <v>233</v>
      </c>
      <c r="F408" s="4">
        <f>ROUND(Source!BD383,O408)</f>
        <v>0</v>
      </c>
      <c r="G408" s="4" t="s">
        <v>96</v>
      </c>
      <c r="H408" s="4" t="s">
        <v>97</v>
      </c>
      <c r="I408" s="4"/>
      <c r="J408" s="4"/>
      <c r="K408" s="4">
        <v>-233</v>
      </c>
      <c r="L408" s="4">
        <v>24</v>
      </c>
      <c r="M408" s="4">
        <v>3</v>
      </c>
      <c r="N408" s="4" t="s">
        <v>3</v>
      </c>
      <c r="O408" s="4">
        <v>2</v>
      </c>
      <c r="P408" s="4"/>
      <c r="Q408" s="4"/>
      <c r="R408" s="4"/>
      <c r="S408" s="4"/>
      <c r="T408" s="4"/>
      <c r="U408" s="4"/>
      <c r="V408" s="4"/>
      <c r="W408" s="4"/>
    </row>
    <row r="409" spans="1:206" x14ac:dyDescent="0.2">
      <c r="A409" s="4">
        <v>50</v>
      </c>
      <c r="B409" s="4">
        <v>0</v>
      </c>
      <c r="C409" s="4">
        <v>0</v>
      </c>
      <c r="D409" s="4">
        <v>1</v>
      </c>
      <c r="E409" s="4">
        <v>210</v>
      </c>
      <c r="F409" s="4">
        <f>ROUND(Source!X383,O409)</f>
        <v>59550.07</v>
      </c>
      <c r="G409" s="4" t="s">
        <v>98</v>
      </c>
      <c r="H409" s="4" t="s">
        <v>99</v>
      </c>
      <c r="I409" s="4"/>
      <c r="J409" s="4"/>
      <c r="K409" s="4">
        <v>-210</v>
      </c>
      <c r="L409" s="4">
        <v>25</v>
      </c>
      <c r="M409" s="4">
        <v>3</v>
      </c>
      <c r="N409" s="4" t="s">
        <v>3</v>
      </c>
      <c r="O409" s="4">
        <v>2</v>
      </c>
      <c r="P409" s="4"/>
      <c r="Q409" s="4"/>
      <c r="R409" s="4"/>
      <c r="S409" s="4"/>
      <c r="T409" s="4"/>
      <c r="U409" s="4"/>
      <c r="V409" s="4"/>
      <c r="W409" s="4"/>
    </row>
    <row r="410" spans="1:206" x14ac:dyDescent="0.2">
      <c r="A410" s="4">
        <v>50</v>
      </c>
      <c r="B410" s="4">
        <v>0</v>
      </c>
      <c r="C410" s="4">
        <v>0</v>
      </c>
      <c r="D410" s="4">
        <v>1</v>
      </c>
      <c r="E410" s="4">
        <v>211</v>
      </c>
      <c r="F410" s="4">
        <f>ROUND(Source!Y383,O410)</f>
        <v>8507.16</v>
      </c>
      <c r="G410" s="4" t="s">
        <v>100</v>
      </c>
      <c r="H410" s="4" t="s">
        <v>101</v>
      </c>
      <c r="I410" s="4"/>
      <c r="J410" s="4"/>
      <c r="K410" s="4">
        <v>-211</v>
      </c>
      <c r="L410" s="4">
        <v>26</v>
      </c>
      <c r="M410" s="4">
        <v>3</v>
      </c>
      <c r="N410" s="4" t="s">
        <v>3</v>
      </c>
      <c r="O410" s="4">
        <v>2</v>
      </c>
      <c r="P410" s="4"/>
      <c r="Q410" s="4"/>
      <c r="R410" s="4"/>
      <c r="S410" s="4"/>
      <c r="T410" s="4"/>
      <c r="U410" s="4"/>
      <c r="V410" s="4"/>
      <c r="W410" s="4"/>
    </row>
    <row r="411" spans="1:206" x14ac:dyDescent="0.2">
      <c r="A411" s="4">
        <v>50</v>
      </c>
      <c r="B411" s="4">
        <v>0</v>
      </c>
      <c r="C411" s="4">
        <v>0</v>
      </c>
      <c r="D411" s="4">
        <v>1</v>
      </c>
      <c r="E411" s="4">
        <v>224</v>
      </c>
      <c r="F411" s="4">
        <f>ROUND(Source!AR383,O411)</f>
        <v>497310.44</v>
      </c>
      <c r="G411" s="4" t="s">
        <v>102</v>
      </c>
      <c r="H411" s="4" t="s">
        <v>103</v>
      </c>
      <c r="I411" s="4"/>
      <c r="J411" s="4"/>
      <c r="K411" s="4">
        <v>-224</v>
      </c>
      <c r="L411" s="4">
        <v>27</v>
      </c>
      <c r="M411" s="4">
        <v>3</v>
      </c>
      <c r="N411" s="4" t="s">
        <v>3</v>
      </c>
      <c r="O411" s="4">
        <v>2</v>
      </c>
      <c r="P411" s="4"/>
      <c r="Q411" s="4"/>
      <c r="R411" s="4"/>
      <c r="S411" s="4"/>
      <c r="T411" s="4"/>
      <c r="U411" s="4"/>
      <c r="V411" s="4"/>
      <c r="W411" s="4"/>
    </row>
    <row r="413" spans="1:206" x14ac:dyDescent="0.2">
      <c r="A413" s="1">
        <v>4</v>
      </c>
      <c r="B413" s="1">
        <v>1</v>
      </c>
      <c r="C413" s="1"/>
      <c r="D413" s="1">
        <f>ROW(A430)</f>
        <v>430</v>
      </c>
      <c r="E413" s="1"/>
      <c r="F413" s="1" t="s">
        <v>13</v>
      </c>
      <c r="G413" s="1" t="s">
        <v>308</v>
      </c>
      <c r="H413" s="1" t="s">
        <v>3</v>
      </c>
      <c r="I413" s="1">
        <v>0</v>
      </c>
      <c r="J413" s="1"/>
      <c r="K413" s="1">
        <v>-1</v>
      </c>
      <c r="L413" s="1"/>
      <c r="M413" s="1" t="s">
        <v>3</v>
      </c>
      <c r="N413" s="1"/>
      <c r="O413" s="1"/>
      <c r="P413" s="1"/>
      <c r="Q413" s="1"/>
      <c r="R413" s="1"/>
      <c r="S413" s="1">
        <v>0</v>
      </c>
      <c r="T413" s="1"/>
      <c r="U413" s="1" t="s">
        <v>3</v>
      </c>
      <c r="V413" s="1">
        <v>7</v>
      </c>
      <c r="W413" s="1"/>
      <c r="X413" s="1"/>
      <c r="Y413" s="1"/>
      <c r="Z413" s="1"/>
      <c r="AA413" s="1"/>
      <c r="AB413" s="1" t="s">
        <v>3</v>
      </c>
      <c r="AC413" s="1" t="s">
        <v>3</v>
      </c>
      <c r="AD413" s="1" t="s">
        <v>3</v>
      </c>
      <c r="AE413" s="1" t="s">
        <v>3</v>
      </c>
      <c r="AF413" s="1" t="s">
        <v>3</v>
      </c>
      <c r="AG413" s="1" t="s">
        <v>3</v>
      </c>
      <c r="AH413" s="1"/>
      <c r="AI413" s="1"/>
      <c r="AJ413" s="1"/>
      <c r="AK413" s="1"/>
      <c r="AL413" s="1"/>
      <c r="AM413" s="1"/>
      <c r="AN413" s="1"/>
      <c r="AO413" s="1"/>
      <c r="AP413" s="1" t="s">
        <v>3</v>
      </c>
      <c r="AQ413" s="1" t="s">
        <v>3</v>
      </c>
      <c r="AR413" s="1" t="s">
        <v>3</v>
      </c>
      <c r="AS413" s="1"/>
      <c r="AT413" s="1"/>
      <c r="AU413" s="1"/>
      <c r="AV413" s="1"/>
      <c r="AW413" s="1"/>
      <c r="AX413" s="1"/>
      <c r="AY413" s="1"/>
      <c r="AZ413" s="1" t="s">
        <v>3</v>
      </c>
      <c r="BA413" s="1"/>
      <c r="BB413" s="1" t="s">
        <v>3</v>
      </c>
      <c r="BC413" s="1" t="s">
        <v>3</v>
      </c>
      <c r="BD413" s="1" t="s">
        <v>3</v>
      </c>
      <c r="BE413" s="1" t="s">
        <v>3</v>
      </c>
      <c r="BF413" s="1" t="s">
        <v>3</v>
      </c>
      <c r="BG413" s="1" t="s">
        <v>3</v>
      </c>
      <c r="BH413" s="1" t="s">
        <v>3</v>
      </c>
      <c r="BI413" s="1" t="s">
        <v>3</v>
      </c>
      <c r="BJ413" s="1" t="s">
        <v>3</v>
      </c>
      <c r="BK413" s="1" t="s">
        <v>3</v>
      </c>
      <c r="BL413" s="1" t="s">
        <v>3</v>
      </c>
      <c r="BM413" s="1" t="s">
        <v>3</v>
      </c>
      <c r="BN413" s="1" t="s">
        <v>3</v>
      </c>
      <c r="BO413" s="1" t="s">
        <v>3</v>
      </c>
      <c r="BP413" s="1" t="s">
        <v>3</v>
      </c>
      <c r="BQ413" s="1"/>
      <c r="BR413" s="1"/>
      <c r="BS413" s="1"/>
      <c r="BT413" s="1"/>
      <c r="BU413" s="1"/>
      <c r="BV413" s="1"/>
      <c r="BW413" s="1"/>
      <c r="BX413" s="1">
        <v>0</v>
      </c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>
        <v>0</v>
      </c>
    </row>
    <row r="415" spans="1:206" x14ac:dyDescent="0.2">
      <c r="A415" s="2">
        <v>52</v>
      </c>
      <c r="B415" s="2">
        <f t="shared" ref="B415:G415" si="357">B430</f>
        <v>1</v>
      </c>
      <c r="C415" s="2">
        <f t="shared" si="357"/>
        <v>4</v>
      </c>
      <c r="D415" s="2">
        <f t="shared" si="357"/>
        <v>413</v>
      </c>
      <c r="E415" s="2">
        <f t="shared" si="357"/>
        <v>0</v>
      </c>
      <c r="F415" s="2" t="str">
        <f t="shared" si="357"/>
        <v>Новый раздел</v>
      </c>
      <c r="G415" s="2" t="str">
        <f t="shared" si="357"/>
        <v>Устройство асфальтобетонного покрытия площадок (828 м2)</v>
      </c>
      <c r="H415" s="2"/>
      <c r="I415" s="2"/>
      <c r="J415" s="2"/>
      <c r="K415" s="2"/>
      <c r="L415" s="2"/>
      <c r="M415" s="2"/>
      <c r="N415" s="2"/>
      <c r="O415" s="2">
        <f t="shared" ref="O415:AT415" si="358">O430</f>
        <v>648066.68999999994</v>
      </c>
      <c r="P415" s="2">
        <f t="shared" si="358"/>
        <v>536879.66</v>
      </c>
      <c r="Q415" s="2">
        <f t="shared" si="358"/>
        <v>78287.460000000006</v>
      </c>
      <c r="R415" s="2">
        <f t="shared" si="358"/>
        <v>33606.22</v>
      </c>
      <c r="S415" s="2">
        <f t="shared" si="358"/>
        <v>32899.57</v>
      </c>
      <c r="T415" s="2">
        <f t="shared" si="358"/>
        <v>0</v>
      </c>
      <c r="U415" s="2">
        <f t="shared" si="358"/>
        <v>159.664896</v>
      </c>
      <c r="V415" s="2">
        <f t="shared" si="358"/>
        <v>0</v>
      </c>
      <c r="W415" s="2">
        <f t="shared" si="358"/>
        <v>0</v>
      </c>
      <c r="X415" s="2">
        <f t="shared" si="358"/>
        <v>23029.7</v>
      </c>
      <c r="Y415" s="2">
        <f t="shared" si="358"/>
        <v>3289.97</v>
      </c>
      <c r="Z415" s="2">
        <f t="shared" si="358"/>
        <v>0</v>
      </c>
      <c r="AA415" s="2">
        <f t="shared" si="358"/>
        <v>0</v>
      </c>
      <c r="AB415" s="2">
        <f t="shared" si="358"/>
        <v>648066.68999999994</v>
      </c>
      <c r="AC415" s="2">
        <f t="shared" si="358"/>
        <v>536879.66</v>
      </c>
      <c r="AD415" s="2">
        <f t="shared" si="358"/>
        <v>78287.460000000006</v>
      </c>
      <c r="AE415" s="2">
        <f t="shared" si="358"/>
        <v>33606.22</v>
      </c>
      <c r="AF415" s="2">
        <f t="shared" si="358"/>
        <v>32899.57</v>
      </c>
      <c r="AG415" s="2">
        <f t="shared" si="358"/>
        <v>0</v>
      </c>
      <c r="AH415" s="2">
        <f t="shared" si="358"/>
        <v>159.664896</v>
      </c>
      <c r="AI415" s="2">
        <f t="shared" si="358"/>
        <v>0</v>
      </c>
      <c r="AJ415" s="2">
        <f t="shared" si="358"/>
        <v>0</v>
      </c>
      <c r="AK415" s="2">
        <f t="shared" si="358"/>
        <v>23029.7</v>
      </c>
      <c r="AL415" s="2">
        <f t="shared" si="358"/>
        <v>3289.97</v>
      </c>
      <c r="AM415" s="2">
        <f t="shared" si="358"/>
        <v>0</v>
      </c>
      <c r="AN415" s="2">
        <f t="shared" si="358"/>
        <v>0</v>
      </c>
      <c r="AO415" s="2">
        <f t="shared" si="358"/>
        <v>0</v>
      </c>
      <c r="AP415" s="2">
        <f t="shared" si="358"/>
        <v>0</v>
      </c>
      <c r="AQ415" s="2">
        <f t="shared" si="358"/>
        <v>0</v>
      </c>
      <c r="AR415" s="2">
        <f t="shared" si="358"/>
        <v>710681.07</v>
      </c>
      <c r="AS415" s="2">
        <f t="shared" si="358"/>
        <v>0</v>
      </c>
      <c r="AT415" s="2">
        <f t="shared" si="358"/>
        <v>0</v>
      </c>
      <c r="AU415" s="2">
        <f t="shared" ref="AU415:BZ415" si="359">AU430</f>
        <v>710681.07</v>
      </c>
      <c r="AV415" s="2">
        <f t="shared" si="359"/>
        <v>536879.66</v>
      </c>
      <c r="AW415" s="2">
        <f t="shared" si="359"/>
        <v>536879.66</v>
      </c>
      <c r="AX415" s="2">
        <f t="shared" si="359"/>
        <v>0</v>
      </c>
      <c r="AY415" s="2">
        <f t="shared" si="359"/>
        <v>536879.66</v>
      </c>
      <c r="AZ415" s="2">
        <f t="shared" si="359"/>
        <v>0</v>
      </c>
      <c r="BA415" s="2">
        <f t="shared" si="359"/>
        <v>0</v>
      </c>
      <c r="BB415" s="2">
        <f t="shared" si="359"/>
        <v>0</v>
      </c>
      <c r="BC415" s="2">
        <f t="shared" si="359"/>
        <v>0</v>
      </c>
      <c r="BD415" s="2">
        <f t="shared" si="359"/>
        <v>0</v>
      </c>
      <c r="BE415" s="2">
        <f t="shared" si="359"/>
        <v>0</v>
      </c>
      <c r="BF415" s="2">
        <f t="shared" si="359"/>
        <v>0</v>
      </c>
      <c r="BG415" s="2">
        <f t="shared" si="359"/>
        <v>0</v>
      </c>
      <c r="BH415" s="2">
        <f t="shared" si="359"/>
        <v>0</v>
      </c>
      <c r="BI415" s="2">
        <f t="shared" si="359"/>
        <v>0</v>
      </c>
      <c r="BJ415" s="2">
        <f t="shared" si="359"/>
        <v>0</v>
      </c>
      <c r="BK415" s="2">
        <f t="shared" si="359"/>
        <v>0</v>
      </c>
      <c r="BL415" s="2">
        <f t="shared" si="359"/>
        <v>0</v>
      </c>
      <c r="BM415" s="2">
        <f t="shared" si="359"/>
        <v>0</v>
      </c>
      <c r="BN415" s="2">
        <f t="shared" si="359"/>
        <v>0</v>
      </c>
      <c r="BO415" s="2">
        <f t="shared" si="359"/>
        <v>0</v>
      </c>
      <c r="BP415" s="2">
        <f t="shared" si="359"/>
        <v>0</v>
      </c>
      <c r="BQ415" s="2">
        <f t="shared" si="359"/>
        <v>0</v>
      </c>
      <c r="BR415" s="2">
        <f t="shared" si="359"/>
        <v>0</v>
      </c>
      <c r="BS415" s="2">
        <f t="shared" si="359"/>
        <v>0</v>
      </c>
      <c r="BT415" s="2">
        <f t="shared" si="359"/>
        <v>0</v>
      </c>
      <c r="BU415" s="2">
        <f t="shared" si="359"/>
        <v>0</v>
      </c>
      <c r="BV415" s="2">
        <f t="shared" si="359"/>
        <v>0</v>
      </c>
      <c r="BW415" s="2">
        <f t="shared" si="359"/>
        <v>0</v>
      </c>
      <c r="BX415" s="2">
        <f t="shared" si="359"/>
        <v>0</v>
      </c>
      <c r="BY415" s="2">
        <f t="shared" si="359"/>
        <v>0</v>
      </c>
      <c r="BZ415" s="2">
        <f t="shared" si="359"/>
        <v>0</v>
      </c>
      <c r="CA415" s="2">
        <f t="shared" ref="CA415:DF415" si="360">CA430</f>
        <v>710681.07</v>
      </c>
      <c r="CB415" s="2">
        <f t="shared" si="360"/>
        <v>0</v>
      </c>
      <c r="CC415" s="2">
        <f t="shared" si="360"/>
        <v>0</v>
      </c>
      <c r="CD415" s="2">
        <f t="shared" si="360"/>
        <v>710681.07</v>
      </c>
      <c r="CE415" s="2">
        <f t="shared" si="360"/>
        <v>536879.66</v>
      </c>
      <c r="CF415" s="2">
        <f t="shared" si="360"/>
        <v>536879.66</v>
      </c>
      <c r="CG415" s="2">
        <f t="shared" si="360"/>
        <v>0</v>
      </c>
      <c r="CH415" s="2">
        <f t="shared" si="360"/>
        <v>536879.66</v>
      </c>
      <c r="CI415" s="2">
        <f t="shared" si="360"/>
        <v>0</v>
      </c>
      <c r="CJ415" s="2">
        <f t="shared" si="360"/>
        <v>0</v>
      </c>
      <c r="CK415" s="2">
        <f t="shared" si="360"/>
        <v>0</v>
      </c>
      <c r="CL415" s="2">
        <f t="shared" si="360"/>
        <v>0</v>
      </c>
      <c r="CM415" s="2">
        <f t="shared" si="360"/>
        <v>0</v>
      </c>
      <c r="CN415" s="2">
        <f t="shared" si="360"/>
        <v>0</v>
      </c>
      <c r="CO415" s="2">
        <f t="shared" si="360"/>
        <v>0</v>
      </c>
      <c r="CP415" s="2">
        <f t="shared" si="360"/>
        <v>0</v>
      </c>
      <c r="CQ415" s="2">
        <f t="shared" si="360"/>
        <v>0</v>
      </c>
      <c r="CR415" s="2">
        <f t="shared" si="360"/>
        <v>0</v>
      </c>
      <c r="CS415" s="2">
        <f t="shared" si="360"/>
        <v>0</v>
      </c>
      <c r="CT415" s="2">
        <f t="shared" si="360"/>
        <v>0</v>
      </c>
      <c r="CU415" s="2">
        <f t="shared" si="360"/>
        <v>0</v>
      </c>
      <c r="CV415" s="2">
        <f t="shared" si="360"/>
        <v>0</v>
      </c>
      <c r="CW415" s="2">
        <f t="shared" si="360"/>
        <v>0</v>
      </c>
      <c r="CX415" s="2">
        <f t="shared" si="360"/>
        <v>0</v>
      </c>
      <c r="CY415" s="2">
        <f t="shared" si="360"/>
        <v>0</v>
      </c>
      <c r="CZ415" s="2">
        <f t="shared" si="360"/>
        <v>0</v>
      </c>
      <c r="DA415" s="2">
        <f t="shared" si="360"/>
        <v>0</v>
      </c>
      <c r="DB415" s="2">
        <f t="shared" si="360"/>
        <v>0</v>
      </c>
      <c r="DC415" s="2">
        <f t="shared" si="360"/>
        <v>0</v>
      </c>
      <c r="DD415" s="2">
        <f t="shared" si="360"/>
        <v>0</v>
      </c>
      <c r="DE415" s="2">
        <f t="shared" si="360"/>
        <v>0</v>
      </c>
      <c r="DF415" s="2">
        <f t="shared" si="360"/>
        <v>0</v>
      </c>
      <c r="DG415" s="3">
        <f t="shared" ref="DG415:EL415" si="361">DG430</f>
        <v>0</v>
      </c>
      <c r="DH415" s="3">
        <f t="shared" si="361"/>
        <v>0</v>
      </c>
      <c r="DI415" s="3">
        <f t="shared" si="361"/>
        <v>0</v>
      </c>
      <c r="DJ415" s="3">
        <f t="shared" si="361"/>
        <v>0</v>
      </c>
      <c r="DK415" s="3">
        <f t="shared" si="361"/>
        <v>0</v>
      </c>
      <c r="DL415" s="3">
        <f t="shared" si="361"/>
        <v>0</v>
      </c>
      <c r="DM415" s="3">
        <f t="shared" si="361"/>
        <v>0</v>
      </c>
      <c r="DN415" s="3">
        <f t="shared" si="361"/>
        <v>0</v>
      </c>
      <c r="DO415" s="3">
        <f t="shared" si="361"/>
        <v>0</v>
      </c>
      <c r="DP415" s="3">
        <f t="shared" si="361"/>
        <v>0</v>
      </c>
      <c r="DQ415" s="3">
        <f t="shared" si="361"/>
        <v>0</v>
      </c>
      <c r="DR415" s="3">
        <f t="shared" si="361"/>
        <v>0</v>
      </c>
      <c r="DS415" s="3">
        <f t="shared" si="361"/>
        <v>0</v>
      </c>
      <c r="DT415" s="3">
        <f t="shared" si="361"/>
        <v>0</v>
      </c>
      <c r="DU415" s="3">
        <f t="shared" si="361"/>
        <v>0</v>
      </c>
      <c r="DV415" s="3">
        <f t="shared" si="361"/>
        <v>0</v>
      </c>
      <c r="DW415" s="3">
        <f t="shared" si="361"/>
        <v>0</v>
      </c>
      <c r="DX415" s="3">
        <f t="shared" si="361"/>
        <v>0</v>
      </c>
      <c r="DY415" s="3">
        <f t="shared" si="361"/>
        <v>0</v>
      </c>
      <c r="DZ415" s="3">
        <f t="shared" si="361"/>
        <v>0</v>
      </c>
      <c r="EA415" s="3">
        <f t="shared" si="361"/>
        <v>0</v>
      </c>
      <c r="EB415" s="3">
        <f t="shared" si="361"/>
        <v>0</v>
      </c>
      <c r="EC415" s="3">
        <f t="shared" si="361"/>
        <v>0</v>
      </c>
      <c r="ED415" s="3">
        <f t="shared" si="361"/>
        <v>0</v>
      </c>
      <c r="EE415" s="3">
        <f t="shared" si="361"/>
        <v>0</v>
      </c>
      <c r="EF415" s="3">
        <f t="shared" si="361"/>
        <v>0</v>
      </c>
      <c r="EG415" s="3">
        <f t="shared" si="361"/>
        <v>0</v>
      </c>
      <c r="EH415" s="3">
        <f t="shared" si="361"/>
        <v>0</v>
      </c>
      <c r="EI415" s="3">
        <f t="shared" si="361"/>
        <v>0</v>
      </c>
      <c r="EJ415" s="3">
        <f t="shared" si="361"/>
        <v>0</v>
      </c>
      <c r="EK415" s="3">
        <f t="shared" si="361"/>
        <v>0</v>
      </c>
      <c r="EL415" s="3">
        <f t="shared" si="361"/>
        <v>0</v>
      </c>
      <c r="EM415" s="3">
        <f t="shared" ref="EM415:FR415" si="362">EM430</f>
        <v>0</v>
      </c>
      <c r="EN415" s="3">
        <f t="shared" si="362"/>
        <v>0</v>
      </c>
      <c r="EO415" s="3">
        <f t="shared" si="362"/>
        <v>0</v>
      </c>
      <c r="EP415" s="3">
        <f t="shared" si="362"/>
        <v>0</v>
      </c>
      <c r="EQ415" s="3">
        <f t="shared" si="362"/>
        <v>0</v>
      </c>
      <c r="ER415" s="3">
        <f t="shared" si="362"/>
        <v>0</v>
      </c>
      <c r="ES415" s="3">
        <f t="shared" si="362"/>
        <v>0</v>
      </c>
      <c r="ET415" s="3">
        <f t="shared" si="362"/>
        <v>0</v>
      </c>
      <c r="EU415" s="3">
        <f t="shared" si="362"/>
        <v>0</v>
      </c>
      <c r="EV415" s="3">
        <f t="shared" si="362"/>
        <v>0</v>
      </c>
      <c r="EW415" s="3">
        <f t="shared" si="362"/>
        <v>0</v>
      </c>
      <c r="EX415" s="3">
        <f t="shared" si="362"/>
        <v>0</v>
      </c>
      <c r="EY415" s="3">
        <f t="shared" si="362"/>
        <v>0</v>
      </c>
      <c r="EZ415" s="3">
        <f t="shared" si="362"/>
        <v>0</v>
      </c>
      <c r="FA415" s="3">
        <f t="shared" si="362"/>
        <v>0</v>
      </c>
      <c r="FB415" s="3">
        <f t="shared" si="362"/>
        <v>0</v>
      </c>
      <c r="FC415" s="3">
        <f t="shared" si="362"/>
        <v>0</v>
      </c>
      <c r="FD415" s="3">
        <f t="shared" si="362"/>
        <v>0</v>
      </c>
      <c r="FE415" s="3">
        <f t="shared" si="362"/>
        <v>0</v>
      </c>
      <c r="FF415" s="3">
        <f t="shared" si="362"/>
        <v>0</v>
      </c>
      <c r="FG415" s="3">
        <f t="shared" si="362"/>
        <v>0</v>
      </c>
      <c r="FH415" s="3">
        <f t="shared" si="362"/>
        <v>0</v>
      </c>
      <c r="FI415" s="3">
        <f t="shared" si="362"/>
        <v>0</v>
      </c>
      <c r="FJ415" s="3">
        <f t="shared" si="362"/>
        <v>0</v>
      </c>
      <c r="FK415" s="3">
        <f t="shared" si="362"/>
        <v>0</v>
      </c>
      <c r="FL415" s="3">
        <f t="shared" si="362"/>
        <v>0</v>
      </c>
      <c r="FM415" s="3">
        <f t="shared" si="362"/>
        <v>0</v>
      </c>
      <c r="FN415" s="3">
        <f t="shared" si="362"/>
        <v>0</v>
      </c>
      <c r="FO415" s="3">
        <f t="shared" si="362"/>
        <v>0</v>
      </c>
      <c r="FP415" s="3">
        <f t="shared" si="362"/>
        <v>0</v>
      </c>
      <c r="FQ415" s="3">
        <f t="shared" si="362"/>
        <v>0</v>
      </c>
      <c r="FR415" s="3">
        <f t="shared" si="362"/>
        <v>0</v>
      </c>
      <c r="FS415" s="3">
        <f t="shared" ref="FS415:GX415" si="363">FS430</f>
        <v>0</v>
      </c>
      <c r="FT415" s="3">
        <f t="shared" si="363"/>
        <v>0</v>
      </c>
      <c r="FU415" s="3">
        <f t="shared" si="363"/>
        <v>0</v>
      </c>
      <c r="FV415" s="3">
        <f t="shared" si="363"/>
        <v>0</v>
      </c>
      <c r="FW415" s="3">
        <f t="shared" si="363"/>
        <v>0</v>
      </c>
      <c r="FX415" s="3">
        <f t="shared" si="363"/>
        <v>0</v>
      </c>
      <c r="FY415" s="3">
        <f t="shared" si="363"/>
        <v>0</v>
      </c>
      <c r="FZ415" s="3">
        <f t="shared" si="363"/>
        <v>0</v>
      </c>
      <c r="GA415" s="3">
        <f t="shared" si="363"/>
        <v>0</v>
      </c>
      <c r="GB415" s="3">
        <f t="shared" si="363"/>
        <v>0</v>
      </c>
      <c r="GC415" s="3">
        <f t="shared" si="363"/>
        <v>0</v>
      </c>
      <c r="GD415" s="3">
        <f t="shared" si="363"/>
        <v>0</v>
      </c>
      <c r="GE415" s="3">
        <f t="shared" si="363"/>
        <v>0</v>
      </c>
      <c r="GF415" s="3">
        <f t="shared" si="363"/>
        <v>0</v>
      </c>
      <c r="GG415" s="3">
        <f t="shared" si="363"/>
        <v>0</v>
      </c>
      <c r="GH415" s="3">
        <f t="shared" si="363"/>
        <v>0</v>
      </c>
      <c r="GI415" s="3">
        <f t="shared" si="363"/>
        <v>0</v>
      </c>
      <c r="GJ415" s="3">
        <f t="shared" si="363"/>
        <v>0</v>
      </c>
      <c r="GK415" s="3">
        <f t="shared" si="363"/>
        <v>0</v>
      </c>
      <c r="GL415" s="3">
        <f t="shared" si="363"/>
        <v>0</v>
      </c>
      <c r="GM415" s="3">
        <f t="shared" si="363"/>
        <v>0</v>
      </c>
      <c r="GN415" s="3">
        <f t="shared" si="363"/>
        <v>0</v>
      </c>
      <c r="GO415" s="3">
        <f t="shared" si="363"/>
        <v>0</v>
      </c>
      <c r="GP415" s="3">
        <f t="shared" si="363"/>
        <v>0</v>
      </c>
      <c r="GQ415" s="3">
        <f t="shared" si="363"/>
        <v>0</v>
      </c>
      <c r="GR415" s="3">
        <f t="shared" si="363"/>
        <v>0</v>
      </c>
      <c r="GS415" s="3">
        <f t="shared" si="363"/>
        <v>0</v>
      </c>
      <c r="GT415" s="3">
        <f t="shared" si="363"/>
        <v>0</v>
      </c>
      <c r="GU415" s="3">
        <f t="shared" si="363"/>
        <v>0</v>
      </c>
      <c r="GV415" s="3">
        <f t="shared" si="363"/>
        <v>0</v>
      </c>
      <c r="GW415" s="3">
        <f t="shared" si="363"/>
        <v>0</v>
      </c>
      <c r="GX415" s="3">
        <f t="shared" si="363"/>
        <v>0</v>
      </c>
    </row>
    <row r="417" spans="1:245" x14ac:dyDescent="0.2">
      <c r="A417">
        <v>17</v>
      </c>
      <c r="B417">
        <v>1</v>
      </c>
      <c r="C417">
        <f>ROW(SmtRes!A180)</f>
        <v>180</v>
      </c>
      <c r="D417">
        <f>ROW(EtalonRes!A168)</f>
        <v>168</v>
      </c>
      <c r="E417" t="s">
        <v>309</v>
      </c>
      <c r="F417" t="s">
        <v>310</v>
      </c>
      <c r="G417" t="s">
        <v>311</v>
      </c>
      <c r="H417" t="s">
        <v>18</v>
      </c>
      <c r="I417">
        <f>ROUND((I426*100)/1000*0,9)</f>
        <v>0</v>
      </c>
      <c r="J417">
        <v>0</v>
      </c>
      <c r="O417">
        <f t="shared" ref="O417:O428" si="364">ROUND(CP417,2)</f>
        <v>0</v>
      </c>
      <c r="P417">
        <f t="shared" ref="P417:P428" si="365">ROUND(CQ417*I417,2)</f>
        <v>0</v>
      </c>
      <c r="Q417">
        <f t="shared" ref="Q417:Q428" si="366">ROUND(CR417*I417,2)</f>
        <v>0</v>
      </c>
      <c r="R417">
        <f t="shared" ref="R417:R428" si="367">ROUND(CS417*I417,2)</f>
        <v>0</v>
      </c>
      <c r="S417">
        <f t="shared" ref="S417:S428" si="368">ROUND(CT417*I417,2)</f>
        <v>0</v>
      </c>
      <c r="T417">
        <f t="shared" ref="T417:T428" si="369">ROUND(CU417*I417,2)</f>
        <v>0</v>
      </c>
      <c r="U417">
        <f t="shared" ref="U417:U428" si="370">CV417*I417</f>
        <v>0</v>
      </c>
      <c r="V417">
        <f t="shared" ref="V417:V428" si="371">CW417*I417</f>
        <v>0</v>
      </c>
      <c r="W417">
        <f t="shared" ref="W417:W428" si="372">ROUND(CX417*I417,2)</f>
        <v>0</v>
      </c>
      <c r="X417">
        <f t="shared" ref="X417:X428" si="373">ROUND(CY417,2)</f>
        <v>0</v>
      </c>
      <c r="Y417">
        <f t="shared" ref="Y417:Y428" si="374">ROUND(CZ417,2)</f>
        <v>0</v>
      </c>
      <c r="AA417">
        <v>56440881</v>
      </c>
      <c r="AB417">
        <f t="shared" ref="AB417:AB428" si="375">ROUND((AC417+AD417+AF417),2)</f>
        <v>10326.379999999999</v>
      </c>
      <c r="AC417">
        <f t="shared" ref="AC417:AC428" si="376">ROUND((ES417),2)</f>
        <v>5.69</v>
      </c>
      <c r="AD417">
        <f t="shared" ref="AD417:AD428" si="377">ROUND((((ET417)-(EU417))+AE417),2)</f>
        <v>4771.63</v>
      </c>
      <c r="AE417">
        <f t="shared" ref="AE417:AE428" si="378">ROUND((EU417),2)</f>
        <v>2027.34</v>
      </c>
      <c r="AF417">
        <f t="shared" ref="AF417:AF428" si="379">ROUND((EV417),2)</f>
        <v>5549.06</v>
      </c>
      <c r="AG417">
        <f t="shared" ref="AG417:AG428" si="380">ROUND((AP417),2)</f>
        <v>0</v>
      </c>
      <c r="AH417">
        <f t="shared" ref="AH417:AH428" si="381">(EW417)</f>
        <v>31.86</v>
      </c>
      <c r="AI417">
        <f t="shared" ref="AI417:AI428" si="382">(EX417)</f>
        <v>0</v>
      </c>
      <c r="AJ417">
        <f t="shared" ref="AJ417:AJ428" si="383">(AS417)</f>
        <v>0</v>
      </c>
      <c r="AK417">
        <v>10326.379999999999</v>
      </c>
      <c r="AL417">
        <v>5.69</v>
      </c>
      <c r="AM417">
        <v>4771.63</v>
      </c>
      <c r="AN417">
        <v>2027.34</v>
      </c>
      <c r="AO417">
        <v>5549.06</v>
      </c>
      <c r="AP417">
        <v>0</v>
      </c>
      <c r="AQ417">
        <v>31.86</v>
      </c>
      <c r="AR417">
        <v>0</v>
      </c>
      <c r="AS417">
        <v>0</v>
      </c>
      <c r="AT417">
        <v>70</v>
      </c>
      <c r="AU417">
        <v>10</v>
      </c>
      <c r="AV417">
        <v>1</v>
      </c>
      <c r="AW417">
        <v>1</v>
      </c>
      <c r="AZ417">
        <v>1</v>
      </c>
      <c r="BA417">
        <v>1</v>
      </c>
      <c r="BB417">
        <v>1</v>
      </c>
      <c r="BC417">
        <v>1</v>
      </c>
      <c r="BD417" t="s">
        <v>3</v>
      </c>
      <c r="BE417" t="s">
        <v>3</v>
      </c>
      <c r="BF417" t="s">
        <v>3</v>
      </c>
      <c r="BG417" t="s">
        <v>3</v>
      </c>
      <c r="BH417">
        <v>0</v>
      </c>
      <c r="BI417">
        <v>4</v>
      </c>
      <c r="BJ417" t="s">
        <v>312</v>
      </c>
      <c r="BM417">
        <v>0</v>
      </c>
      <c r="BN417">
        <v>0</v>
      </c>
      <c r="BO417" t="s">
        <v>3</v>
      </c>
      <c r="BP417">
        <v>0</v>
      </c>
      <c r="BQ417">
        <v>1</v>
      </c>
      <c r="BR417">
        <v>0</v>
      </c>
      <c r="BS417">
        <v>1</v>
      </c>
      <c r="BT417">
        <v>1</v>
      </c>
      <c r="BU417">
        <v>1</v>
      </c>
      <c r="BV417">
        <v>1</v>
      </c>
      <c r="BW417">
        <v>1</v>
      </c>
      <c r="BX417">
        <v>1</v>
      </c>
      <c r="BY417" t="s">
        <v>3</v>
      </c>
      <c r="BZ417">
        <v>70</v>
      </c>
      <c r="CA417">
        <v>10</v>
      </c>
      <c r="CE417">
        <v>0</v>
      </c>
      <c r="CF417">
        <v>0</v>
      </c>
      <c r="CG417">
        <v>0</v>
      </c>
      <c r="CM417">
        <v>0</v>
      </c>
      <c r="CN417" t="s">
        <v>3</v>
      </c>
      <c r="CO417">
        <v>0</v>
      </c>
      <c r="CP417">
        <f t="shared" ref="CP417:CP428" si="384">(P417+Q417+S417)</f>
        <v>0</v>
      </c>
      <c r="CQ417">
        <f t="shared" ref="CQ417:CQ428" si="385">(AC417*BC417*AW417)</f>
        <v>5.69</v>
      </c>
      <c r="CR417">
        <f t="shared" ref="CR417:CR428" si="386">((((ET417)*BB417-(EU417)*BS417)+AE417*BS417)*AV417)</f>
        <v>4771.63</v>
      </c>
      <c r="CS417">
        <f t="shared" ref="CS417:CS428" si="387">(AE417*BS417*AV417)</f>
        <v>2027.34</v>
      </c>
      <c r="CT417">
        <f t="shared" ref="CT417:CT428" si="388">(AF417*BA417*AV417)</f>
        <v>5549.06</v>
      </c>
      <c r="CU417">
        <f t="shared" ref="CU417:CU428" si="389">AG417</f>
        <v>0</v>
      </c>
      <c r="CV417">
        <f t="shared" ref="CV417:CV428" si="390">(AH417*AV417)</f>
        <v>31.86</v>
      </c>
      <c r="CW417">
        <f t="shared" ref="CW417:CW428" si="391">AI417</f>
        <v>0</v>
      </c>
      <c r="CX417">
        <f t="shared" ref="CX417:CX428" si="392">AJ417</f>
        <v>0</v>
      </c>
      <c r="CY417">
        <f t="shared" ref="CY417:CY428" si="393">((S417*BZ417)/100)</f>
        <v>0</v>
      </c>
      <c r="CZ417">
        <f t="shared" ref="CZ417:CZ428" si="394">((S417*CA417)/100)</f>
        <v>0</v>
      </c>
      <c r="DC417" t="s">
        <v>3</v>
      </c>
      <c r="DD417" t="s">
        <v>3</v>
      </c>
      <c r="DE417" t="s">
        <v>3</v>
      </c>
      <c r="DF417" t="s">
        <v>3</v>
      </c>
      <c r="DG417" t="s">
        <v>3</v>
      </c>
      <c r="DH417" t="s">
        <v>3</v>
      </c>
      <c r="DI417" t="s">
        <v>3</v>
      </c>
      <c r="DJ417" t="s">
        <v>3</v>
      </c>
      <c r="DK417" t="s">
        <v>3</v>
      </c>
      <c r="DL417" t="s">
        <v>3</v>
      </c>
      <c r="DM417" t="s">
        <v>3</v>
      </c>
      <c r="DN417">
        <v>0</v>
      </c>
      <c r="DO417">
        <v>0</v>
      </c>
      <c r="DP417">
        <v>1</v>
      </c>
      <c r="DQ417">
        <v>1</v>
      </c>
      <c r="DU417">
        <v>1005</v>
      </c>
      <c r="DV417" t="s">
        <v>18</v>
      </c>
      <c r="DW417" t="s">
        <v>18</v>
      </c>
      <c r="DX417">
        <v>1000</v>
      </c>
      <c r="DZ417" t="s">
        <v>3</v>
      </c>
      <c r="EA417" t="s">
        <v>3</v>
      </c>
      <c r="EB417" t="s">
        <v>3</v>
      </c>
      <c r="EC417" t="s">
        <v>3</v>
      </c>
      <c r="EE417">
        <v>54545671</v>
      </c>
      <c r="EF417">
        <v>1</v>
      </c>
      <c r="EG417" t="s">
        <v>20</v>
      </c>
      <c r="EH417">
        <v>0</v>
      </c>
      <c r="EI417" t="s">
        <v>3</v>
      </c>
      <c r="EJ417">
        <v>4</v>
      </c>
      <c r="EK417">
        <v>0</v>
      </c>
      <c r="EL417" t="s">
        <v>21</v>
      </c>
      <c r="EM417" t="s">
        <v>22</v>
      </c>
      <c r="EO417" t="s">
        <v>3</v>
      </c>
      <c r="EQ417">
        <v>0</v>
      </c>
      <c r="ER417">
        <v>10326.379999999999</v>
      </c>
      <c r="ES417">
        <v>5.69</v>
      </c>
      <c r="ET417">
        <v>4771.63</v>
      </c>
      <c r="EU417">
        <v>2027.34</v>
      </c>
      <c r="EV417">
        <v>5549.06</v>
      </c>
      <c r="EW417">
        <v>31.86</v>
      </c>
      <c r="EX417">
        <v>0</v>
      </c>
      <c r="EY417">
        <v>0</v>
      </c>
      <c r="FQ417">
        <v>0</v>
      </c>
      <c r="FR417">
        <f t="shared" ref="FR417:FR428" si="395">ROUND(IF(AND(BH417=3,BI417=3),P417,0),2)</f>
        <v>0</v>
      </c>
      <c r="FS417">
        <v>0</v>
      </c>
      <c r="FX417">
        <v>70</v>
      </c>
      <c r="FY417">
        <v>10</v>
      </c>
      <c r="GA417" t="s">
        <v>3</v>
      </c>
      <c r="GD417">
        <v>0</v>
      </c>
      <c r="GF417">
        <v>-862719965</v>
      </c>
      <c r="GG417">
        <v>2</v>
      </c>
      <c r="GH417">
        <v>1</v>
      </c>
      <c r="GI417">
        <v>-2</v>
      </c>
      <c r="GJ417">
        <v>0</v>
      </c>
      <c r="GK417">
        <f>ROUND(R417*(R12)/100,2)</f>
        <v>0</v>
      </c>
      <c r="GL417">
        <f t="shared" ref="GL417:GL428" si="396">ROUND(IF(AND(BH417=3,BI417=3,FS417&lt;&gt;0),P417,0),2)</f>
        <v>0</v>
      </c>
      <c r="GM417">
        <f t="shared" ref="GM417:GM428" si="397">ROUND(O417+X417+Y417+GK417,2)+GX417</f>
        <v>0</v>
      </c>
      <c r="GN417">
        <f t="shared" ref="GN417:GN428" si="398">IF(OR(BI417=0,BI417=1),ROUND(O417+X417+Y417+GK417,2),0)</f>
        <v>0</v>
      </c>
      <c r="GO417">
        <f t="shared" ref="GO417:GO428" si="399">IF(BI417=2,ROUND(O417+X417+Y417+GK417,2),0)</f>
        <v>0</v>
      </c>
      <c r="GP417">
        <f t="shared" ref="GP417:GP428" si="400">IF(BI417=4,ROUND(O417+X417+Y417+GK417,2)+GX417,0)</f>
        <v>0</v>
      </c>
      <c r="GR417">
        <v>0</v>
      </c>
      <c r="GS417">
        <v>3</v>
      </c>
      <c r="GT417">
        <v>0</v>
      </c>
      <c r="GU417" t="s">
        <v>3</v>
      </c>
      <c r="GV417">
        <f t="shared" ref="GV417:GV428" si="401">ROUND((GT417),2)</f>
        <v>0</v>
      </c>
      <c r="GW417">
        <v>1</v>
      </c>
      <c r="GX417">
        <f t="shared" ref="GX417:GX428" si="402">ROUND(HC417*I417,2)</f>
        <v>0</v>
      </c>
      <c r="HA417">
        <v>0</v>
      </c>
      <c r="HB417">
        <v>0</v>
      </c>
      <c r="HC417">
        <f t="shared" ref="HC417:HC428" si="403">GV417*GW417</f>
        <v>0</v>
      </c>
      <c r="HE417" t="s">
        <v>3</v>
      </c>
      <c r="HF417" t="s">
        <v>3</v>
      </c>
      <c r="IK417">
        <v>0</v>
      </c>
    </row>
    <row r="418" spans="1:245" x14ac:dyDescent="0.2">
      <c r="A418">
        <v>18</v>
      </c>
      <c r="B418">
        <v>1</v>
      </c>
      <c r="C418">
        <v>180</v>
      </c>
      <c r="E418" t="s">
        <v>313</v>
      </c>
      <c r="F418" t="s">
        <v>314</v>
      </c>
      <c r="G418" t="s">
        <v>315</v>
      </c>
      <c r="H418" t="s">
        <v>157</v>
      </c>
      <c r="I418">
        <f>I417*J418</f>
        <v>0</v>
      </c>
      <c r="J418">
        <v>1100</v>
      </c>
      <c r="O418">
        <f t="shared" si="364"/>
        <v>0</v>
      </c>
      <c r="P418">
        <f t="shared" si="365"/>
        <v>0</v>
      </c>
      <c r="Q418">
        <f t="shared" si="366"/>
        <v>0</v>
      </c>
      <c r="R418">
        <f t="shared" si="367"/>
        <v>0</v>
      </c>
      <c r="S418">
        <f t="shared" si="368"/>
        <v>0</v>
      </c>
      <c r="T418">
        <f t="shared" si="369"/>
        <v>0</v>
      </c>
      <c r="U418">
        <f t="shared" si="370"/>
        <v>0</v>
      </c>
      <c r="V418">
        <f t="shared" si="371"/>
        <v>0</v>
      </c>
      <c r="W418">
        <f t="shared" si="372"/>
        <v>0</v>
      </c>
      <c r="X418">
        <f t="shared" si="373"/>
        <v>0</v>
      </c>
      <c r="Y418">
        <f t="shared" si="374"/>
        <v>0</v>
      </c>
      <c r="AA418">
        <v>56440881</v>
      </c>
      <c r="AB418">
        <f t="shared" si="375"/>
        <v>59.26</v>
      </c>
      <c r="AC418">
        <f t="shared" si="376"/>
        <v>59.26</v>
      </c>
      <c r="AD418">
        <f t="shared" si="377"/>
        <v>0</v>
      </c>
      <c r="AE418">
        <f t="shared" si="378"/>
        <v>0</v>
      </c>
      <c r="AF418">
        <f t="shared" si="379"/>
        <v>0</v>
      </c>
      <c r="AG418">
        <f t="shared" si="380"/>
        <v>0</v>
      </c>
      <c r="AH418">
        <f t="shared" si="381"/>
        <v>0</v>
      </c>
      <c r="AI418">
        <f t="shared" si="382"/>
        <v>0</v>
      </c>
      <c r="AJ418">
        <f t="shared" si="383"/>
        <v>0</v>
      </c>
      <c r="AK418">
        <v>59.26</v>
      </c>
      <c r="AL418">
        <v>59.26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70</v>
      </c>
      <c r="AU418">
        <v>10</v>
      </c>
      <c r="AV418">
        <v>1</v>
      </c>
      <c r="AW418">
        <v>1</v>
      </c>
      <c r="AZ418">
        <v>1</v>
      </c>
      <c r="BA418">
        <v>1</v>
      </c>
      <c r="BB418">
        <v>1</v>
      </c>
      <c r="BC418">
        <v>1</v>
      </c>
      <c r="BD418" t="s">
        <v>3</v>
      </c>
      <c r="BE418" t="s">
        <v>3</v>
      </c>
      <c r="BF418" t="s">
        <v>3</v>
      </c>
      <c r="BG418" t="s">
        <v>3</v>
      </c>
      <c r="BH418">
        <v>3</v>
      </c>
      <c r="BI418">
        <v>4</v>
      </c>
      <c r="BJ418" t="s">
        <v>316</v>
      </c>
      <c r="BM418">
        <v>0</v>
      </c>
      <c r="BN418">
        <v>0</v>
      </c>
      <c r="BO418" t="s">
        <v>3</v>
      </c>
      <c r="BP418">
        <v>0</v>
      </c>
      <c r="BQ418">
        <v>1</v>
      </c>
      <c r="BR418">
        <v>0</v>
      </c>
      <c r="BS418">
        <v>1</v>
      </c>
      <c r="BT418">
        <v>1</v>
      </c>
      <c r="BU418">
        <v>1</v>
      </c>
      <c r="BV418">
        <v>1</v>
      </c>
      <c r="BW418">
        <v>1</v>
      </c>
      <c r="BX418">
        <v>1</v>
      </c>
      <c r="BY418" t="s">
        <v>3</v>
      </c>
      <c r="BZ418">
        <v>70</v>
      </c>
      <c r="CA418">
        <v>10</v>
      </c>
      <c r="CE418">
        <v>0</v>
      </c>
      <c r="CF418">
        <v>0</v>
      </c>
      <c r="CG418">
        <v>0</v>
      </c>
      <c r="CM418">
        <v>0</v>
      </c>
      <c r="CN418" t="s">
        <v>3</v>
      </c>
      <c r="CO418">
        <v>0</v>
      </c>
      <c r="CP418">
        <f t="shared" si="384"/>
        <v>0</v>
      </c>
      <c r="CQ418">
        <f t="shared" si="385"/>
        <v>59.26</v>
      </c>
      <c r="CR418">
        <f t="shared" si="386"/>
        <v>0</v>
      </c>
      <c r="CS418">
        <f t="shared" si="387"/>
        <v>0</v>
      </c>
      <c r="CT418">
        <f t="shared" si="388"/>
        <v>0</v>
      </c>
      <c r="CU418">
        <f t="shared" si="389"/>
        <v>0</v>
      </c>
      <c r="CV418">
        <f t="shared" si="390"/>
        <v>0</v>
      </c>
      <c r="CW418">
        <f t="shared" si="391"/>
        <v>0</v>
      </c>
      <c r="CX418">
        <f t="shared" si="392"/>
        <v>0</v>
      </c>
      <c r="CY418">
        <f t="shared" si="393"/>
        <v>0</v>
      </c>
      <c r="CZ418">
        <f t="shared" si="394"/>
        <v>0</v>
      </c>
      <c r="DC418" t="s">
        <v>3</v>
      </c>
      <c r="DD418" t="s">
        <v>3</v>
      </c>
      <c r="DE418" t="s">
        <v>3</v>
      </c>
      <c r="DF418" t="s">
        <v>3</v>
      </c>
      <c r="DG418" t="s">
        <v>3</v>
      </c>
      <c r="DH418" t="s">
        <v>3</v>
      </c>
      <c r="DI418" t="s">
        <v>3</v>
      </c>
      <c r="DJ418" t="s">
        <v>3</v>
      </c>
      <c r="DK418" t="s">
        <v>3</v>
      </c>
      <c r="DL418" t="s">
        <v>3</v>
      </c>
      <c r="DM418" t="s">
        <v>3</v>
      </c>
      <c r="DN418">
        <v>0</v>
      </c>
      <c r="DO418">
        <v>0</v>
      </c>
      <c r="DP418">
        <v>1</v>
      </c>
      <c r="DQ418">
        <v>1</v>
      </c>
      <c r="DU418">
        <v>1005</v>
      </c>
      <c r="DV418" t="s">
        <v>157</v>
      </c>
      <c r="DW418" t="s">
        <v>157</v>
      </c>
      <c r="DX418">
        <v>1</v>
      </c>
      <c r="DZ418" t="s">
        <v>3</v>
      </c>
      <c r="EA418" t="s">
        <v>3</v>
      </c>
      <c r="EB418" t="s">
        <v>3</v>
      </c>
      <c r="EC418" t="s">
        <v>3</v>
      </c>
      <c r="EE418">
        <v>54545671</v>
      </c>
      <c r="EF418">
        <v>1</v>
      </c>
      <c r="EG418" t="s">
        <v>20</v>
      </c>
      <c r="EH418">
        <v>0</v>
      </c>
      <c r="EI418" t="s">
        <v>3</v>
      </c>
      <c r="EJ418">
        <v>4</v>
      </c>
      <c r="EK418">
        <v>0</v>
      </c>
      <c r="EL418" t="s">
        <v>21</v>
      </c>
      <c r="EM418" t="s">
        <v>22</v>
      </c>
      <c r="EO418" t="s">
        <v>3</v>
      </c>
      <c r="EQ418">
        <v>0</v>
      </c>
      <c r="ER418">
        <v>59.26</v>
      </c>
      <c r="ES418">
        <v>59.26</v>
      </c>
      <c r="ET418">
        <v>0</v>
      </c>
      <c r="EU418">
        <v>0</v>
      </c>
      <c r="EV418">
        <v>0</v>
      </c>
      <c r="EW418">
        <v>0</v>
      </c>
      <c r="EX418">
        <v>0</v>
      </c>
      <c r="FQ418">
        <v>0</v>
      </c>
      <c r="FR418">
        <f t="shared" si="395"/>
        <v>0</v>
      </c>
      <c r="FS418">
        <v>0</v>
      </c>
      <c r="FX418">
        <v>70</v>
      </c>
      <c r="FY418">
        <v>10</v>
      </c>
      <c r="GA418" t="s">
        <v>3</v>
      </c>
      <c r="GD418">
        <v>0</v>
      </c>
      <c r="GF418">
        <v>1538991037</v>
      </c>
      <c r="GG418">
        <v>2</v>
      </c>
      <c r="GH418">
        <v>1</v>
      </c>
      <c r="GI418">
        <v>-2</v>
      </c>
      <c r="GJ418">
        <v>0</v>
      </c>
      <c r="GK418">
        <f>ROUND(R418*(R12)/100,2)</f>
        <v>0</v>
      </c>
      <c r="GL418">
        <f t="shared" si="396"/>
        <v>0</v>
      </c>
      <c r="GM418">
        <f t="shared" si="397"/>
        <v>0</v>
      </c>
      <c r="GN418">
        <f t="shared" si="398"/>
        <v>0</v>
      </c>
      <c r="GO418">
        <f t="shared" si="399"/>
        <v>0</v>
      </c>
      <c r="GP418">
        <f t="shared" si="400"/>
        <v>0</v>
      </c>
      <c r="GR418">
        <v>0</v>
      </c>
      <c r="GS418">
        <v>3</v>
      </c>
      <c r="GT418">
        <v>0</v>
      </c>
      <c r="GU418" t="s">
        <v>3</v>
      </c>
      <c r="GV418">
        <f t="shared" si="401"/>
        <v>0</v>
      </c>
      <c r="GW418">
        <v>1</v>
      </c>
      <c r="GX418">
        <f t="shared" si="402"/>
        <v>0</v>
      </c>
      <c r="HA418">
        <v>0</v>
      </c>
      <c r="HB418">
        <v>0</v>
      </c>
      <c r="HC418">
        <f t="shared" si="403"/>
        <v>0</v>
      </c>
      <c r="HE418" t="s">
        <v>3</v>
      </c>
      <c r="HF418" t="s">
        <v>3</v>
      </c>
      <c r="IK418">
        <v>0</v>
      </c>
    </row>
    <row r="419" spans="1:245" x14ac:dyDescent="0.2">
      <c r="A419">
        <v>17</v>
      </c>
      <c r="B419">
        <v>1</v>
      </c>
      <c r="C419">
        <f>ROW(SmtRes!A188)</f>
        <v>188</v>
      </c>
      <c r="D419">
        <f>ROW(EtalonRes!A176)</f>
        <v>176</v>
      </c>
      <c r="E419" t="s">
        <v>317</v>
      </c>
      <c r="F419" t="s">
        <v>214</v>
      </c>
      <c r="G419" t="s">
        <v>215</v>
      </c>
      <c r="H419" t="s">
        <v>216</v>
      </c>
      <c r="I419">
        <f>ROUND((I426*0.15),9)</f>
        <v>1.242</v>
      </c>
      <c r="J419">
        <v>0</v>
      </c>
      <c r="O419">
        <f t="shared" si="364"/>
        <v>94853.16</v>
      </c>
      <c r="P419">
        <f t="shared" si="365"/>
        <v>80921.83</v>
      </c>
      <c r="Q419">
        <f t="shared" si="366"/>
        <v>10265.17</v>
      </c>
      <c r="R419">
        <f t="shared" si="367"/>
        <v>4151.68</v>
      </c>
      <c r="S419">
        <f t="shared" si="368"/>
        <v>3666.16</v>
      </c>
      <c r="T419">
        <f t="shared" si="369"/>
        <v>0</v>
      </c>
      <c r="U419">
        <f t="shared" si="370"/>
        <v>20.567519999999998</v>
      </c>
      <c r="V419">
        <f t="shared" si="371"/>
        <v>0</v>
      </c>
      <c r="W419">
        <f t="shared" si="372"/>
        <v>0</v>
      </c>
      <c r="X419">
        <f t="shared" si="373"/>
        <v>2566.31</v>
      </c>
      <c r="Y419">
        <f t="shared" si="374"/>
        <v>366.62</v>
      </c>
      <c r="AA419">
        <v>56440881</v>
      </c>
      <c r="AB419">
        <f t="shared" si="375"/>
        <v>76371.3</v>
      </c>
      <c r="AC419">
        <f t="shared" si="376"/>
        <v>65154.45</v>
      </c>
      <c r="AD419">
        <f t="shared" si="377"/>
        <v>8265.0300000000007</v>
      </c>
      <c r="AE419">
        <f t="shared" si="378"/>
        <v>3342.74</v>
      </c>
      <c r="AF419">
        <f t="shared" si="379"/>
        <v>2951.82</v>
      </c>
      <c r="AG419">
        <f t="shared" si="380"/>
        <v>0</v>
      </c>
      <c r="AH419">
        <f t="shared" si="381"/>
        <v>16.559999999999999</v>
      </c>
      <c r="AI419">
        <f t="shared" si="382"/>
        <v>0</v>
      </c>
      <c r="AJ419">
        <f t="shared" si="383"/>
        <v>0</v>
      </c>
      <c r="AK419">
        <v>76371.3</v>
      </c>
      <c r="AL419">
        <v>65154.45</v>
      </c>
      <c r="AM419">
        <v>8265.0300000000007</v>
      </c>
      <c r="AN419">
        <v>3342.74</v>
      </c>
      <c r="AO419">
        <v>2951.82</v>
      </c>
      <c r="AP419">
        <v>0</v>
      </c>
      <c r="AQ419">
        <v>16.559999999999999</v>
      </c>
      <c r="AR419">
        <v>0</v>
      </c>
      <c r="AS419">
        <v>0</v>
      </c>
      <c r="AT419">
        <v>70</v>
      </c>
      <c r="AU419">
        <v>10</v>
      </c>
      <c r="AV419">
        <v>1</v>
      </c>
      <c r="AW419">
        <v>1</v>
      </c>
      <c r="AZ419">
        <v>1</v>
      </c>
      <c r="BA419">
        <v>1</v>
      </c>
      <c r="BB419">
        <v>1</v>
      </c>
      <c r="BC419">
        <v>1</v>
      </c>
      <c r="BD419" t="s">
        <v>3</v>
      </c>
      <c r="BE419" t="s">
        <v>3</v>
      </c>
      <c r="BF419" t="s">
        <v>3</v>
      </c>
      <c r="BG419" t="s">
        <v>3</v>
      </c>
      <c r="BH419">
        <v>0</v>
      </c>
      <c r="BI419">
        <v>4</v>
      </c>
      <c r="BJ419" t="s">
        <v>217</v>
      </c>
      <c r="BM419">
        <v>0</v>
      </c>
      <c r="BN419">
        <v>0</v>
      </c>
      <c r="BO419" t="s">
        <v>3</v>
      </c>
      <c r="BP419">
        <v>0</v>
      </c>
      <c r="BQ419">
        <v>1</v>
      </c>
      <c r="BR419">
        <v>0</v>
      </c>
      <c r="BS419">
        <v>1</v>
      </c>
      <c r="BT419">
        <v>1</v>
      </c>
      <c r="BU419">
        <v>1</v>
      </c>
      <c r="BV419">
        <v>1</v>
      </c>
      <c r="BW419">
        <v>1</v>
      </c>
      <c r="BX419">
        <v>1</v>
      </c>
      <c r="BY419" t="s">
        <v>3</v>
      </c>
      <c r="BZ419">
        <v>70</v>
      </c>
      <c r="CA419">
        <v>10</v>
      </c>
      <c r="CE419">
        <v>0</v>
      </c>
      <c r="CF419">
        <v>0</v>
      </c>
      <c r="CG419">
        <v>0</v>
      </c>
      <c r="CM419">
        <v>0</v>
      </c>
      <c r="CN419" t="s">
        <v>3</v>
      </c>
      <c r="CO419">
        <v>0</v>
      </c>
      <c r="CP419">
        <f t="shared" si="384"/>
        <v>94853.16</v>
      </c>
      <c r="CQ419">
        <f t="shared" si="385"/>
        <v>65154.45</v>
      </c>
      <c r="CR419">
        <f t="shared" si="386"/>
        <v>8265.0300000000007</v>
      </c>
      <c r="CS419">
        <f t="shared" si="387"/>
        <v>3342.74</v>
      </c>
      <c r="CT419">
        <f t="shared" si="388"/>
        <v>2951.82</v>
      </c>
      <c r="CU419">
        <f t="shared" si="389"/>
        <v>0</v>
      </c>
      <c r="CV419">
        <f t="shared" si="390"/>
        <v>16.559999999999999</v>
      </c>
      <c r="CW419">
        <f t="shared" si="391"/>
        <v>0</v>
      </c>
      <c r="CX419">
        <f t="shared" si="392"/>
        <v>0</v>
      </c>
      <c r="CY419">
        <f t="shared" si="393"/>
        <v>2566.3119999999999</v>
      </c>
      <c r="CZ419">
        <f t="shared" si="394"/>
        <v>366.61599999999999</v>
      </c>
      <c r="DC419" t="s">
        <v>3</v>
      </c>
      <c r="DD419" t="s">
        <v>3</v>
      </c>
      <c r="DE419" t="s">
        <v>3</v>
      </c>
      <c r="DF419" t="s">
        <v>3</v>
      </c>
      <c r="DG419" t="s">
        <v>3</v>
      </c>
      <c r="DH419" t="s">
        <v>3</v>
      </c>
      <c r="DI419" t="s">
        <v>3</v>
      </c>
      <c r="DJ419" t="s">
        <v>3</v>
      </c>
      <c r="DK419" t="s">
        <v>3</v>
      </c>
      <c r="DL419" t="s">
        <v>3</v>
      </c>
      <c r="DM419" t="s">
        <v>3</v>
      </c>
      <c r="DN419">
        <v>0</v>
      </c>
      <c r="DO419">
        <v>0</v>
      </c>
      <c r="DP419">
        <v>1</v>
      </c>
      <c r="DQ419">
        <v>1</v>
      </c>
      <c r="DU419">
        <v>1007</v>
      </c>
      <c r="DV419" t="s">
        <v>216</v>
      </c>
      <c r="DW419" t="s">
        <v>216</v>
      </c>
      <c r="DX419">
        <v>100</v>
      </c>
      <c r="DZ419" t="s">
        <v>3</v>
      </c>
      <c r="EA419" t="s">
        <v>3</v>
      </c>
      <c r="EB419" t="s">
        <v>3</v>
      </c>
      <c r="EC419" t="s">
        <v>3</v>
      </c>
      <c r="EE419">
        <v>54545671</v>
      </c>
      <c r="EF419">
        <v>1</v>
      </c>
      <c r="EG419" t="s">
        <v>20</v>
      </c>
      <c r="EH419">
        <v>0</v>
      </c>
      <c r="EI419" t="s">
        <v>3</v>
      </c>
      <c r="EJ419">
        <v>4</v>
      </c>
      <c r="EK419">
        <v>0</v>
      </c>
      <c r="EL419" t="s">
        <v>21</v>
      </c>
      <c r="EM419" t="s">
        <v>22</v>
      </c>
      <c r="EO419" t="s">
        <v>3</v>
      </c>
      <c r="EQ419">
        <v>0</v>
      </c>
      <c r="ER419">
        <v>76371.3</v>
      </c>
      <c r="ES419">
        <v>65154.45</v>
      </c>
      <c r="ET419">
        <v>8265.0300000000007</v>
      </c>
      <c r="EU419">
        <v>3342.74</v>
      </c>
      <c r="EV419">
        <v>2951.82</v>
      </c>
      <c r="EW419">
        <v>16.559999999999999</v>
      </c>
      <c r="EX419">
        <v>0</v>
      </c>
      <c r="EY419">
        <v>0</v>
      </c>
      <c r="FQ419">
        <v>0</v>
      </c>
      <c r="FR419">
        <f t="shared" si="395"/>
        <v>0</v>
      </c>
      <c r="FS419">
        <v>0</v>
      </c>
      <c r="FX419">
        <v>70</v>
      </c>
      <c r="FY419">
        <v>10</v>
      </c>
      <c r="GA419" t="s">
        <v>3</v>
      </c>
      <c r="GD419">
        <v>0</v>
      </c>
      <c r="GF419">
        <v>-1058061468</v>
      </c>
      <c r="GG419">
        <v>2</v>
      </c>
      <c r="GH419">
        <v>1</v>
      </c>
      <c r="GI419">
        <v>-2</v>
      </c>
      <c r="GJ419">
        <v>0</v>
      </c>
      <c r="GK419">
        <f>ROUND(R419*(R12)/100,2)</f>
        <v>4483.8100000000004</v>
      </c>
      <c r="GL419">
        <f t="shared" si="396"/>
        <v>0</v>
      </c>
      <c r="GM419">
        <f t="shared" si="397"/>
        <v>102269.9</v>
      </c>
      <c r="GN419">
        <f t="shared" si="398"/>
        <v>0</v>
      </c>
      <c r="GO419">
        <f t="shared" si="399"/>
        <v>0</v>
      </c>
      <c r="GP419">
        <f t="shared" si="400"/>
        <v>102269.9</v>
      </c>
      <c r="GR419">
        <v>0</v>
      </c>
      <c r="GS419">
        <v>3</v>
      </c>
      <c r="GT419">
        <v>0</v>
      </c>
      <c r="GU419" t="s">
        <v>3</v>
      </c>
      <c r="GV419">
        <f t="shared" si="401"/>
        <v>0</v>
      </c>
      <c r="GW419">
        <v>1</v>
      </c>
      <c r="GX419">
        <f t="shared" si="402"/>
        <v>0</v>
      </c>
      <c r="HA419">
        <v>0</v>
      </c>
      <c r="HB419">
        <v>0</v>
      </c>
      <c r="HC419">
        <f t="shared" si="403"/>
        <v>0</v>
      </c>
      <c r="HE419" t="s">
        <v>3</v>
      </c>
      <c r="HF419" t="s">
        <v>3</v>
      </c>
      <c r="IK419">
        <v>0</v>
      </c>
    </row>
    <row r="420" spans="1:245" x14ac:dyDescent="0.2">
      <c r="A420">
        <v>17</v>
      </c>
      <c r="B420">
        <v>1</v>
      </c>
      <c r="C420">
        <f>ROW(SmtRes!A198)</f>
        <v>198</v>
      </c>
      <c r="D420">
        <f>ROW(EtalonRes!A185)</f>
        <v>185</v>
      </c>
      <c r="E420" t="s">
        <v>318</v>
      </c>
      <c r="F420" t="s">
        <v>219</v>
      </c>
      <c r="G420" t="s">
        <v>220</v>
      </c>
      <c r="H420" t="s">
        <v>216</v>
      </c>
      <c r="I420">
        <f>ROUND((I426*0.1),9)</f>
        <v>0.82799999999999996</v>
      </c>
      <c r="J420">
        <v>0</v>
      </c>
      <c r="O420">
        <f t="shared" si="364"/>
        <v>234826.82</v>
      </c>
      <c r="P420">
        <f t="shared" si="365"/>
        <v>188640.04</v>
      </c>
      <c r="Q420">
        <f t="shared" si="366"/>
        <v>42520.62</v>
      </c>
      <c r="R420">
        <f t="shared" si="367"/>
        <v>16716.82</v>
      </c>
      <c r="S420">
        <f t="shared" si="368"/>
        <v>3666.16</v>
      </c>
      <c r="T420">
        <f t="shared" si="369"/>
        <v>0</v>
      </c>
      <c r="U420">
        <f t="shared" si="370"/>
        <v>20.567519999999998</v>
      </c>
      <c r="V420">
        <f t="shared" si="371"/>
        <v>0</v>
      </c>
      <c r="W420">
        <f t="shared" si="372"/>
        <v>0</v>
      </c>
      <c r="X420">
        <f t="shared" si="373"/>
        <v>2566.31</v>
      </c>
      <c r="Y420">
        <f t="shared" si="374"/>
        <v>366.62</v>
      </c>
      <c r="AA420">
        <v>56440881</v>
      </c>
      <c r="AB420">
        <f t="shared" si="375"/>
        <v>283607.26</v>
      </c>
      <c r="AC420">
        <f t="shared" si="376"/>
        <v>227826.13</v>
      </c>
      <c r="AD420">
        <f t="shared" si="377"/>
        <v>51353.4</v>
      </c>
      <c r="AE420">
        <f t="shared" si="378"/>
        <v>20189.400000000001</v>
      </c>
      <c r="AF420">
        <f t="shared" si="379"/>
        <v>4427.7299999999996</v>
      </c>
      <c r="AG420">
        <f t="shared" si="380"/>
        <v>0</v>
      </c>
      <c r="AH420">
        <f t="shared" si="381"/>
        <v>24.84</v>
      </c>
      <c r="AI420">
        <f t="shared" si="382"/>
        <v>0</v>
      </c>
      <c r="AJ420">
        <f t="shared" si="383"/>
        <v>0</v>
      </c>
      <c r="AK420">
        <v>283607.26</v>
      </c>
      <c r="AL420">
        <v>227826.13</v>
      </c>
      <c r="AM420">
        <v>51353.4</v>
      </c>
      <c r="AN420">
        <v>20189.400000000001</v>
      </c>
      <c r="AO420">
        <v>4427.7299999999996</v>
      </c>
      <c r="AP420">
        <v>0</v>
      </c>
      <c r="AQ420">
        <v>24.84</v>
      </c>
      <c r="AR420">
        <v>0</v>
      </c>
      <c r="AS420">
        <v>0</v>
      </c>
      <c r="AT420">
        <v>70</v>
      </c>
      <c r="AU420">
        <v>10</v>
      </c>
      <c r="AV420">
        <v>1</v>
      </c>
      <c r="AW420">
        <v>1</v>
      </c>
      <c r="AZ420">
        <v>1</v>
      </c>
      <c r="BA420">
        <v>1</v>
      </c>
      <c r="BB420">
        <v>1</v>
      </c>
      <c r="BC420">
        <v>1</v>
      </c>
      <c r="BD420" t="s">
        <v>3</v>
      </c>
      <c r="BE420" t="s">
        <v>3</v>
      </c>
      <c r="BF420" t="s">
        <v>3</v>
      </c>
      <c r="BG420" t="s">
        <v>3</v>
      </c>
      <c r="BH420">
        <v>0</v>
      </c>
      <c r="BI420">
        <v>4</v>
      </c>
      <c r="BJ420" t="s">
        <v>221</v>
      </c>
      <c r="BM420">
        <v>0</v>
      </c>
      <c r="BN420">
        <v>0</v>
      </c>
      <c r="BO420" t="s">
        <v>3</v>
      </c>
      <c r="BP420">
        <v>0</v>
      </c>
      <c r="BQ420">
        <v>1</v>
      </c>
      <c r="BR420">
        <v>0</v>
      </c>
      <c r="BS420">
        <v>1</v>
      </c>
      <c r="BT420">
        <v>1</v>
      </c>
      <c r="BU420">
        <v>1</v>
      </c>
      <c r="BV420">
        <v>1</v>
      </c>
      <c r="BW420">
        <v>1</v>
      </c>
      <c r="BX420">
        <v>1</v>
      </c>
      <c r="BY420" t="s">
        <v>3</v>
      </c>
      <c r="BZ420">
        <v>70</v>
      </c>
      <c r="CA420">
        <v>10</v>
      </c>
      <c r="CE420">
        <v>0</v>
      </c>
      <c r="CF420">
        <v>0</v>
      </c>
      <c r="CG420">
        <v>0</v>
      </c>
      <c r="CM420">
        <v>0</v>
      </c>
      <c r="CN420" t="s">
        <v>3</v>
      </c>
      <c r="CO420">
        <v>0</v>
      </c>
      <c r="CP420">
        <f t="shared" si="384"/>
        <v>234826.82</v>
      </c>
      <c r="CQ420">
        <f t="shared" si="385"/>
        <v>227826.13</v>
      </c>
      <c r="CR420">
        <f t="shared" si="386"/>
        <v>51353.4</v>
      </c>
      <c r="CS420">
        <f t="shared" si="387"/>
        <v>20189.400000000001</v>
      </c>
      <c r="CT420">
        <f t="shared" si="388"/>
        <v>4427.7299999999996</v>
      </c>
      <c r="CU420">
        <f t="shared" si="389"/>
        <v>0</v>
      </c>
      <c r="CV420">
        <f t="shared" si="390"/>
        <v>24.84</v>
      </c>
      <c r="CW420">
        <f t="shared" si="391"/>
        <v>0</v>
      </c>
      <c r="CX420">
        <f t="shared" si="392"/>
        <v>0</v>
      </c>
      <c r="CY420">
        <f t="shared" si="393"/>
        <v>2566.3119999999999</v>
      </c>
      <c r="CZ420">
        <f t="shared" si="394"/>
        <v>366.61599999999999</v>
      </c>
      <c r="DC420" t="s">
        <v>3</v>
      </c>
      <c r="DD420" t="s">
        <v>3</v>
      </c>
      <c r="DE420" t="s">
        <v>3</v>
      </c>
      <c r="DF420" t="s">
        <v>3</v>
      </c>
      <c r="DG420" t="s">
        <v>3</v>
      </c>
      <c r="DH420" t="s">
        <v>3</v>
      </c>
      <c r="DI420" t="s">
        <v>3</v>
      </c>
      <c r="DJ420" t="s">
        <v>3</v>
      </c>
      <c r="DK420" t="s">
        <v>3</v>
      </c>
      <c r="DL420" t="s">
        <v>3</v>
      </c>
      <c r="DM420" t="s">
        <v>3</v>
      </c>
      <c r="DN420">
        <v>0</v>
      </c>
      <c r="DO420">
        <v>0</v>
      </c>
      <c r="DP420">
        <v>1</v>
      </c>
      <c r="DQ420">
        <v>1</v>
      </c>
      <c r="DU420">
        <v>1007</v>
      </c>
      <c r="DV420" t="s">
        <v>216</v>
      </c>
      <c r="DW420" t="s">
        <v>216</v>
      </c>
      <c r="DX420">
        <v>100</v>
      </c>
      <c r="DZ420" t="s">
        <v>3</v>
      </c>
      <c r="EA420" t="s">
        <v>3</v>
      </c>
      <c r="EB420" t="s">
        <v>3</v>
      </c>
      <c r="EC420" t="s">
        <v>3</v>
      </c>
      <c r="EE420">
        <v>54545671</v>
      </c>
      <c r="EF420">
        <v>1</v>
      </c>
      <c r="EG420" t="s">
        <v>20</v>
      </c>
      <c r="EH420">
        <v>0</v>
      </c>
      <c r="EI420" t="s">
        <v>3</v>
      </c>
      <c r="EJ420">
        <v>4</v>
      </c>
      <c r="EK420">
        <v>0</v>
      </c>
      <c r="EL420" t="s">
        <v>21</v>
      </c>
      <c r="EM420" t="s">
        <v>22</v>
      </c>
      <c r="EO420" t="s">
        <v>3</v>
      </c>
      <c r="EQ420">
        <v>0</v>
      </c>
      <c r="ER420">
        <v>283607.26</v>
      </c>
      <c r="ES420">
        <v>227826.13</v>
      </c>
      <c r="ET420">
        <v>51353.4</v>
      </c>
      <c r="EU420">
        <v>20189.400000000001</v>
      </c>
      <c r="EV420">
        <v>4427.7299999999996</v>
      </c>
      <c r="EW420">
        <v>24.84</v>
      </c>
      <c r="EX420">
        <v>0</v>
      </c>
      <c r="EY420">
        <v>0</v>
      </c>
      <c r="FQ420">
        <v>0</v>
      </c>
      <c r="FR420">
        <f t="shared" si="395"/>
        <v>0</v>
      </c>
      <c r="FS420">
        <v>0</v>
      </c>
      <c r="FX420">
        <v>70</v>
      </c>
      <c r="FY420">
        <v>10</v>
      </c>
      <c r="GA420" t="s">
        <v>3</v>
      </c>
      <c r="GD420">
        <v>0</v>
      </c>
      <c r="GF420">
        <v>1990771062</v>
      </c>
      <c r="GG420">
        <v>2</v>
      </c>
      <c r="GH420">
        <v>1</v>
      </c>
      <c r="GI420">
        <v>-2</v>
      </c>
      <c r="GJ420">
        <v>0</v>
      </c>
      <c r="GK420">
        <f>ROUND(R420*(R12)/100,2)</f>
        <v>18054.169999999998</v>
      </c>
      <c r="GL420">
        <f t="shared" si="396"/>
        <v>0</v>
      </c>
      <c r="GM420">
        <f t="shared" si="397"/>
        <v>255813.92</v>
      </c>
      <c r="GN420">
        <f t="shared" si="398"/>
        <v>0</v>
      </c>
      <c r="GO420">
        <f t="shared" si="399"/>
        <v>0</v>
      </c>
      <c r="GP420">
        <f t="shared" si="400"/>
        <v>255813.92</v>
      </c>
      <c r="GR420">
        <v>0</v>
      </c>
      <c r="GS420">
        <v>3</v>
      </c>
      <c r="GT420">
        <v>0</v>
      </c>
      <c r="GU420" t="s">
        <v>3</v>
      </c>
      <c r="GV420">
        <f t="shared" si="401"/>
        <v>0</v>
      </c>
      <c r="GW420">
        <v>1</v>
      </c>
      <c r="GX420">
        <f t="shared" si="402"/>
        <v>0</v>
      </c>
      <c r="HA420">
        <v>0</v>
      </c>
      <c r="HB420">
        <v>0</v>
      </c>
      <c r="HC420">
        <f t="shared" si="403"/>
        <v>0</v>
      </c>
      <c r="HE420" t="s">
        <v>3</v>
      </c>
      <c r="HF420" t="s">
        <v>3</v>
      </c>
      <c r="IK420">
        <v>0</v>
      </c>
    </row>
    <row r="421" spans="1:245" x14ac:dyDescent="0.2">
      <c r="A421">
        <v>18</v>
      </c>
      <c r="B421">
        <v>1</v>
      </c>
      <c r="C421">
        <v>197</v>
      </c>
      <c r="E421" t="s">
        <v>319</v>
      </c>
      <c r="F421" t="s">
        <v>29</v>
      </c>
      <c r="G421" t="s">
        <v>30</v>
      </c>
      <c r="H421" t="s">
        <v>26</v>
      </c>
      <c r="I421">
        <f>I420*J421</f>
        <v>-104.328</v>
      </c>
      <c r="J421">
        <v>-126.00000000000001</v>
      </c>
      <c r="O421">
        <f t="shared" si="364"/>
        <v>-188444.54</v>
      </c>
      <c r="P421">
        <f t="shared" si="365"/>
        <v>-188444.54</v>
      </c>
      <c r="Q421">
        <f t="shared" si="366"/>
        <v>0</v>
      </c>
      <c r="R421">
        <f t="shared" si="367"/>
        <v>0</v>
      </c>
      <c r="S421">
        <f t="shared" si="368"/>
        <v>0</v>
      </c>
      <c r="T421">
        <f t="shared" si="369"/>
        <v>0</v>
      </c>
      <c r="U421">
        <f t="shared" si="370"/>
        <v>0</v>
      </c>
      <c r="V421">
        <f t="shared" si="371"/>
        <v>0</v>
      </c>
      <c r="W421">
        <f t="shared" si="372"/>
        <v>0</v>
      </c>
      <c r="X421">
        <f t="shared" si="373"/>
        <v>0</v>
      </c>
      <c r="Y421">
        <f t="shared" si="374"/>
        <v>0</v>
      </c>
      <c r="AA421">
        <v>56440881</v>
      </c>
      <c r="AB421">
        <f t="shared" si="375"/>
        <v>1806.27</v>
      </c>
      <c r="AC421">
        <f t="shared" si="376"/>
        <v>1806.27</v>
      </c>
      <c r="AD421">
        <f t="shared" si="377"/>
        <v>0</v>
      </c>
      <c r="AE421">
        <f t="shared" si="378"/>
        <v>0</v>
      </c>
      <c r="AF421">
        <f t="shared" si="379"/>
        <v>0</v>
      </c>
      <c r="AG421">
        <f t="shared" si="380"/>
        <v>0</v>
      </c>
      <c r="AH421">
        <f t="shared" si="381"/>
        <v>0</v>
      </c>
      <c r="AI421">
        <f t="shared" si="382"/>
        <v>0</v>
      </c>
      <c r="AJ421">
        <f t="shared" si="383"/>
        <v>0</v>
      </c>
      <c r="AK421">
        <v>1806.27</v>
      </c>
      <c r="AL421">
        <v>1806.27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70</v>
      </c>
      <c r="AU421">
        <v>10</v>
      </c>
      <c r="AV421">
        <v>1</v>
      </c>
      <c r="AW421">
        <v>1</v>
      </c>
      <c r="AZ421">
        <v>1</v>
      </c>
      <c r="BA421">
        <v>1</v>
      </c>
      <c r="BB421">
        <v>1</v>
      </c>
      <c r="BC421">
        <v>1</v>
      </c>
      <c r="BD421" t="s">
        <v>3</v>
      </c>
      <c r="BE421" t="s">
        <v>3</v>
      </c>
      <c r="BF421" t="s">
        <v>3</v>
      </c>
      <c r="BG421" t="s">
        <v>3</v>
      </c>
      <c r="BH421">
        <v>3</v>
      </c>
      <c r="BI421">
        <v>4</v>
      </c>
      <c r="BJ421" t="s">
        <v>31</v>
      </c>
      <c r="BM421">
        <v>0</v>
      </c>
      <c r="BN421">
        <v>0</v>
      </c>
      <c r="BO421" t="s">
        <v>3</v>
      </c>
      <c r="BP421">
        <v>0</v>
      </c>
      <c r="BQ421">
        <v>1</v>
      </c>
      <c r="BR421">
        <v>1</v>
      </c>
      <c r="BS421">
        <v>1</v>
      </c>
      <c r="BT421">
        <v>1</v>
      </c>
      <c r="BU421">
        <v>1</v>
      </c>
      <c r="BV421">
        <v>1</v>
      </c>
      <c r="BW421">
        <v>1</v>
      </c>
      <c r="BX421">
        <v>1</v>
      </c>
      <c r="BY421" t="s">
        <v>3</v>
      </c>
      <c r="BZ421">
        <v>70</v>
      </c>
      <c r="CA421">
        <v>10</v>
      </c>
      <c r="CE421">
        <v>0</v>
      </c>
      <c r="CF421">
        <v>0</v>
      </c>
      <c r="CG421">
        <v>0</v>
      </c>
      <c r="CM421">
        <v>0</v>
      </c>
      <c r="CN421" t="s">
        <v>3</v>
      </c>
      <c r="CO421">
        <v>0</v>
      </c>
      <c r="CP421">
        <f t="shared" si="384"/>
        <v>-188444.54</v>
      </c>
      <c r="CQ421">
        <f t="shared" si="385"/>
        <v>1806.27</v>
      </c>
      <c r="CR421">
        <f t="shared" si="386"/>
        <v>0</v>
      </c>
      <c r="CS421">
        <f t="shared" si="387"/>
        <v>0</v>
      </c>
      <c r="CT421">
        <f t="shared" si="388"/>
        <v>0</v>
      </c>
      <c r="CU421">
        <f t="shared" si="389"/>
        <v>0</v>
      </c>
      <c r="CV421">
        <f t="shared" si="390"/>
        <v>0</v>
      </c>
      <c r="CW421">
        <f t="shared" si="391"/>
        <v>0</v>
      </c>
      <c r="CX421">
        <f t="shared" si="392"/>
        <v>0</v>
      </c>
      <c r="CY421">
        <f t="shared" si="393"/>
        <v>0</v>
      </c>
      <c r="CZ421">
        <f t="shared" si="394"/>
        <v>0</v>
      </c>
      <c r="DC421" t="s">
        <v>3</v>
      </c>
      <c r="DD421" t="s">
        <v>3</v>
      </c>
      <c r="DE421" t="s">
        <v>3</v>
      </c>
      <c r="DF421" t="s">
        <v>3</v>
      </c>
      <c r="DG421" t="s">
        <v>3</v>
      </c>
      <c r="DH421" t="s">
        <v>3</v>
      </c>
      <c r="DI421" t="s">
        <v>3</v>
      </c>
      <c r="DJ421" t="s">
        <v>3</v>
      </c>
      <c r="DK421" t="s">
        <v>3</v>
      </c>
      <c r="DL421" t="s">
        <v>3</v>
      </c>
      <c r="DM421" t="s">
        <v>3</v>
      </c>
      <c r="DN421">
        <v>0</v>
      </c>
      <c r="DO421">
        <v>0</v>
      </c>
      <c r="DP421">
        <v>1</v>
      </c>
      <c r="DQ421">
        <v>1</v>
      </c>
      <c r="DU421">
        <v>1007</v>
      </c>
      <c r="DV421" t="s">
        <v>26</v>
      </c>
      <c r="DW421" t="s">
        <v>26</v>
      </c>
      <c r="DX421">
        <v>1</v>
      </c>
      <c r="DZ421" t="s">
        <v>3</v>
      </c>
      <c r="EA421" t="s">
        <v>3</v>
      </c>
      <c r="EB421" t="s">
        <v>3</v>
      </c>
      <c r="EC421" t="s">
        <v>3</v>
      </c>
      <c r="EE421">
        <v>54545671</v>
      </c>
      <c r="EF421">
        <v>1</v>
      </c>
      <c r="EG421" t="s">
        <v>20</v>
      </c>
      <c r="EH421">
        <v>0</v>
      </c>
      <c r="EI421" t="s">
        <v>3</v>
      </c>
      <c r="EJ421">
        <v>4</v>
      </c>
      <c r="EK421">
        <v>0</v>
      </c>
      <c r="EL421" t="s">
        <v>21</v>
      </c>
      <c r="EM421" t="s">
        <v>22</v>
      </c>
      <c r="EO421" t="s">
        <v>3</v>
      </c>
      <c r="EQ421">
        <v>0</v>
      </c>
      <c r="ER421">
        <v>1806.27</v>
      </c>
      <c r="ES421">
        <v>1806.27</v>
      </c>
      <c r="ET421">
        <v>0</v>
      </c>
      <c r="EU421">
        <v>0</v>
      </c>
      <c r="EV421">
        <v>0</v>
      </c>
      <c r="EW421">
        <v>0</v>
      </c>
      <c r="EX421">
        <v>0</v>
      </c>
      <c r="FQ421">
        <v>0</v>
      </c>
      <c r="FR421">
        <f t="shared" si="395"/>
        <v>0</v>
      </c>
      <c r="FS421">
        <v>0</v>
      </c>
      <c r="FX421">
        <v>70</v>
      </c>
      <c r="FY421">
        <v>10</v>
      </c>
      <c r="GA421" t="s">
        <v>3</v>
      </c>
      <c r="GD421">
        <v>0</v>
      </c>
      <c r="GF421">
        <v>407286016</v>
      </c>
      <c r="GG421">
        <v>2</v>
      </c>
      <c r="GH421">
        <v>1</v>
      </c>
      <c r="GI421">
        <v>-2</v>
      </c>
      <c r="GJ421">
        <v>0</v>
      </c>
      <c r="GK421">
        <f>ROUND(R421*(R12)/100,2)</f>
        <v>0</v>
      </c>
      <c r="GL421">
        <f t="shared" si="396"/>
        <v>0</v>
      </c>
      <c r="GM421">
        <f t="shared" si="397"/>
        <v>-188444.54</v>
      </c>
      <c r="GN421">
        <f t="shared" si="398"/>
        <v>0</v>
      </c>
      <c r="GO421">
        <f t="shared" si="399"/>
        <v>0</v>
      </c>
      <c r="GP421">
        <f t="shared" si="400"/>
        <v>-188444.54</v>
      </c>
      <c r="GR421">
        <v>0</v>
      </c>
      <c r="GS421">
        <v>3</v>
      </c>
      <c r="GT421">
        <v>0</v>
      </c>
      <c r="GU421" t="s">
        <v>3</v>
      </c>
      <c r="GV421">
        <f t="shared" si="401"/>
        <v>0</v>
      </c>
      <c r="GW421">
        <v>1</v>
      </c>
      <c r="GX421">
        <f t="shared" si="402"/>
        <v>0</v>
      </c>
      <c r="HA421">
        <v>0</v>
      </c>
      <c r="HB421">
        <v>0</v>
      </c>
      <c r="HC421">
        <f t="shared" si="403"/>
        <v>0</v>
      </c>
      <c r="HE421" t="s">
        <v>3</v>
      </c>
      <c r="HF421" t="s">
        <v>3</v>
      </c>
      <c r="IK421">
        <v>0</v>
      </c>
    </row>
    <row r="422" spans="1:245" x14ac:dyDescent="0.2">
      <c r="A422">
        <v>18</v>
      </c>
      <c r="B422">
        <v>1</v>
      </c>
      <c r="C422">
        <v>196</v>
      </c>
      <c r="E422" t="s">
        <v>320</v>
      </c>
      <c r="F422" t="s">
        <v>224</v>
      </c>
      <c r="G422" t="s">
        <v>225</v>
      </c>
      <c r="H422" t="s">
        <v>26</v>
      </c>
      <c r="I422">
        <f>I420*J422</f>
        <v>104.328</v>
      </c>
      <c r="J422">
        <v>126.00000000000001</v>
      </c>
      <c r="O422">
        <f t="shared" si="364"/>
        <v>155189.99</v>
      </c>
      <c r="P422">
        <f t="shared" si="365"/>
        <v>155189.99</v>
      </c>
      <c r="Q422">
        <f t="shared" si="366"/>
        <v>0</v>
      </c>
      <c r="R422">
        <f t="shared" si="367"/>
        <v>0</v>
      </c>
      <c r="S422">
        <f t="shared" si="368"/>
        <v>0</v>
      </c>
      <c r="T422">
        <f t="shared" si="369"/>
        <v>0</v>
      </c>
      <c r="U422">
        <f t="shared" si="370"/>
        <v>0</v>
      </c>
      <c r="V422">
        <f t="shared" si="371"/>
        <v>0</v>
      </c>
      <c r="W422">
        <f t="shared" si="372"/>
        <v>0</v>
      </c>
      <c r="X422">
        <f t="shared" si="373"/>
        <v>0</v>
      </c>
      <c r="Y422">
        <f t="shared" si="374"/>
        <v>0</v>
      </c>
      <c r="AA422">
        <v>56440881</v>
      </c>
      <c r="AB422">
        <f t="shared" si="375"/>
        <v>1487.52</v>
      </c>
      <c r="AC422">
        <f t="shared" si="376"/>
        <v>1487.52</v>
      </c>
      <c r="AD422">
        <f t="shared" si="377"/>
        <v>0</v>
      </c>
      <c r="AE422">
        <f t="shared" si="378"/>
        <v>0</v>
      </c>
      <c r="AF422">
        <f t="shared" si="379"/>
        <v>0</v>
      </c>
      <c r="AG422">
        <f t="shared" si="380"/>
        <v>0</v>
      </c>
      <c r="AH422">
        <f t="shared" si="381"/>
        <v>0</v>
      </c>
      <c r="AI422">
        <f t="shared" si="382"/>
        <v>0</v>
      </c>
      <c r="AJ422">
        <f t="shared" si="383"/>
        <v>0</v>
      </c>
      <c r="AK422">
        <v>1487.52</v>
      </c>
      <c r="AL422">
        <v>1487.52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70</v>
      </c>
      <c r="AU422">
        <v>10</v>
      </c>
      <c r="AV422">
        <v>1</v>
      </c>
      <c r="AW422">
        <v>1</v>
      </c>
      <c r="AZ422">
        <v>1</v>
      </c>
      <c r="BA422">
        <v>1</v>
      </c>
      <c r="BB422">
        <v>1</v>
      </c>
      <c r="BC422">
        <v>1</v>
      </c>
      <c r="BD422" t="s">
        <v>3</v>
      </c>
      <c r="BE422" t="s">
        <v>3</v>
      </c>
      <c r="BF422" t="s">
        <v>3</v>
      </c>
      <c r="BG422" t="s">
        <v>3</v>
      </c>
      <c r="BH422">
        <v>3</v>
      </c>
      <c r="BI422">
        <v>4</v>
      </c>
      <c r="BJ422" t="s">
        <v>226</v>
      </c>
      <c r="BM422">
        <v>0</v>
      </c>
      <c r="BN422">
        <v>0</v>
      </c>
      <c r="BO422" t="s">
        <v>3</v>
      </c>
      <c r="BP422">
        <v>0</v>
      </c>
      <c r="BQ422">
        <v>1</v>
      </c>
      <c r="BR422">
        <v>0</v>
      </c>
      <c r="BS422">
        <v>1</v>
      </c>
      <c r="BT422">
        <v>1</v>
      </c>
      <c r="BU422">
        <v>1</v>
      </c>
      <c r="BV422">
        <v>1</v>
      </c>
      <c r="BW422">
        <v>1</v>
      </c>
      <c r="BX422">
        <v>1</v>
      </c>
      <c r="BY422" t="s">
        <v>3</v>
      </c>
      <c r="BZ422">
        <v>70</v>
      </c>
      <c r="CA422">
        <v>10</v>
      </c>
      <c r="CE422">
        <v>0</v>
      </c>
      <c r="CF422">
        <v>0</v>
      </c>
      <c r="CG422">
        <v>0</v>
      </c>
      <c r="CM422">
        <v>0</v>
      </c>
      <c r="CN422" t="s">
        <v>3</v>
      </c>
      <c r="CO422">
        <v>0</v>
      </c>
      <c r="CP422">
        <f t="shared" si="384"/>
        <v>155189.99</v>
      </c>
      <c r="CQ422">
        <f t="shared" si="385"/>
        <v>1487.52</v>
      </c>
      <c r="CR422">
        <f t="shared" si="386"/>
        <v>0</v>
      </c>
      <c r="CS422">
        <f t="shared" si="387"/>
        <v>0</v>
      </c>
      <c r="CT422">
        <f t="shared" si="388"/>
        <v>0</v>
      </c>
      <c r="CU422">
        <f t="shared" si="389"/>
        <v>0</v>
      </c>
      <c r="CV422">
        <f t="shared" si="390"/>
        <v>0</v>
      </c>
      <c r="CW422">
        <f t="shared" si="391"/>
        <v>0</v>
      </c>
      <c r="CX422">
        <f t="shared" si="392"/>
        <v>0</v>
      </c>
      <c r="CY422">
        <f t="shared" si="393"/>
        <v>0</v>
      </c>
      <c r="CZ422">
        <f t="shared" si="394"/>
        <v>0</v>
      </c>
      <c r="DC422" t="s">
        <v>3</v>
      </c>
      <c r="DD422" t="s">
        <v>3</v>
      </c>
      <c r="DE422" t="s">
        <v>3</v>
      </c>
      <c r="DF422" t="s">
        <v>3</v>
      </c>
      <c r="DG422" t="s">
        <v>3</v>
      </c>
      <c r="DH422" t="s">
        <v>3</v>
      </c>
      <c r="DI422" t="s">
        <v>3</v>
      </c>
      <c r="DJ422" t="s">
        <v>3</v>
      </c>
      <c r="DK422" t="s">
        <v>3</v>
      </c>
      <c r="DL422" t="s">
        <v>3</v>
      </c>
      <c r="DM422" t="s">
        <v>3</v>
      </c>
      <c r="DN422">
        <v>0</v>
      </c>
      <c r="DO422">
        <v>0</v>
      </c>
      <c r="DP422">
        <v>1</v>
      </c>
      <c r="DQ422">
        <v>1</v>
      </c>
      <c r="DU422">
        <v>1007</v>
      </c>
      <c r="DV422" t="s">
        <v>26</v>
      </c>
      <c r="DW422" t="s">
        <v>26</v>
      </c>
      <c r="DX422">
        <v>1</v>
      </c>
      <c r="DZ422" t="s">
        <v>3</v>
      </c>
      <c r="EA422" t="s">
        <v>3</v>
      </c>
      <c r="EB422" t="s">
        <v>3</v>
      </c>
      <c r="EC422" t="s">
        <v>3</v>
      </c>
      <c r="EE422">
        <v>54545671</v>
      </c>
      <c r="EF422">
        <v>1</v>
      </c>
      <c r="EG422" t="s">
        <v>20</v>
      </c>
      <c r="EH422">
        <v>0</v>
      </c>
      <c r="EI422" t="s">
        <v>3</v>
      </c>
      <c r="EJ422">
        <v>4</v>
      </c>
      <c r="EK422">
        <v>0</v>
      </c>
      <c r="EL422" t="s">
        <v>21</v>
      </c>
      <c r="EM422" t="s">
        <v>22</v>
      </c>
      <c r="EO422" t="s">
        <v>3</v>
      </c>
      <c r="EQ422">
        <v>0</v>
      </c>
      <c r="ER422">
        <v>1487.52</v>
      </c>
      <c r="ES422">
        <v>1487.52</v>
      </c>
      <c r="ET422">
        <v>0</v>
      </c>
      <c r="EU422">
        <v>0</v>
      </c>
      <c r="EV422">
        <v>0</v>
      </c>
      <c r="EW422">
        <v>0</v>
      </c>
      <c r="EX422">
        <v>0</v>
      </c>
      <c r="FQ422">
        <v>0</v>
      </c>
      <c r="FR422">
        <f t="shared" si="395"/>
        <v>0</v>
      </c>
      <c r="FS422">
        <v>0</v>
      </c>
      <c r="FX422">
        <v>70</v>
      </c>
      <c r="FY422">
        <v>10</v>
      </c>
      <c r="GA422" t="s">
        <v>3</v>
      </c>
      <c r="GD422">
        <v>0</v>
      </c>
      <c r="GF422">
        <v>-1266475872</v>
      </c>
      <c r="GG422">
        <v>2</v>
      </c>
      <c r="GH422">
        <v>1</v>
      </c>
      <c r="GI422">
        <v>-2</v>
      </c>
      <c r="GJ422">
        <v>0</v>
      </c>
      <c r="GK422">
        <f>ROUND(R422*(R12)/100,2)</f>
        <v>0</v>
      </c>
      <c r="GL422">
        <f t="shared" si="396"/>
        <v>0</v>
      </c>
      <c r="GM422">
        <f t="shared" si="397"/>
        <v>155189.99</v>
      </c>
      <c r="GN422">
        <f t="shared" si="398"/>
        <v>0</v>
      </c>
      <c r="GO422">
        <f t="shared" si="399"/>
        <v>0</v>
      </c>
      <c r="GP422">
        <f t="shared" si="400"/>
        <v>155189.99</v>
      </c>
      <c r="GR422">
        <v>0</v>
      </c>
      <c r="GS422">
        <v>3</v>
      </c>
      <c r="GT422">
        <v>0</v>
      </c>
      <c r="GU422" t="s">
        <v>3</v>
      </c>
      <c r="GV422">
        <f t="shared" si="401"/>
        <v>0</v>
      </c>
      <c r="GW422">
        <v>1</v>
      </c>
      <c r="GX422">
        <f t="shared" si="402"/>
        <v>0</v>
      </c>
      <c r="HA422">
        <v>0</v>
      </c>
      <c r="HB422">
        <v>0</v>
      </c>
      <c r="HC422">
        <f t="shared" si="403"/>
        <v>0</v>
      </c>
      <c r="HE422" t="s">
        <v>3</v>
      </c>
      <c r="HF422" t="s">
        <v>3</v>
      </c>
      <c r="IK422">
        <v>0</v>
      </c>
    </row>
    <row r="423" spans="1:245" x14ac:dyDescent="0.2">
      <c r="A423">
        <v>17</v>
      </c>
      <c r="B423">
        <v>1</v>
      </c>
      <c r="C423">
        <f>ROW(SmtRes!A208)</f>
        <v>208</v>
      </c>
      <c r="D423">
        <f>ROW(EtalonRes!A194)</f>
        <v>194</v>
      </c>
      <c r="E423" t="s">
        <v>321</v>
      </c>
      <c r="F423" t="s">
        <v>219</v>
      </c>
      <c r="G423" t="s">
        <v>220</v>
      </c>
      <c r="H423" t="s">
        <v>216</v>
      </c>
      <c r="I423">
        <f>ROUND((I426*0.03),9)</f>
        <v>0.24840000000000001</v>
      </c>
      <c r="J423">
        <v>0</v>
      </c>
      <c r="O423">
        <f t="shared" si="364"/>
        <v>70448.039999999994</v>
      </c>
      <c r="P423">
        <f t="shared" si="365"/>
        <v>56592.01</v>
      </c>
      <c r="Q423">
        <f t="shared" si="366"/>
        <v>12756.18</v>
      </c>
      <c r="R423">
        <f t="shared" si="367"/>
        <v>5015.05</v>
      </c>
      <c r="S423">
        <f t="shared" si="368"/>
        <v>1099.8499999999999</v>
      </c>
      <c r="T423">
        <f t="shared" si="369"/>
        <v>0</v>
      </c>
      <c r="U423">
        <f t="shared" si="370"/>
        <v>6.1702560000000002</v>
      </c>
      <c r="V423">
        <f t="shared" si="371"/>
        <v>0</v>
      </c>
      <c r="W423">
        <f t="shared" si="372"/>
        <v>0</v>
      </c>
      <c r="X423">
        <f t="shared" si="373"/>
        <v>769.9</v>
      </c>
      <c r="Y423">
        <f t="shared" si="374"/>
        <v>109.99</v>
      </c>
      <c r="AA423">
        <v>56440881</v>
      </c>
      <c r="AB423">
        <f t="shared" si="375"/>
        <v>283607.26</v>
      </c>
      <c r="AC423">
        <f t="shared" si="376"/>
        <v>227826.13</v>
      </c>
      <c r="AD423">
        <f t="shared" si="377"/>
        <v>51353.4</v>
      </c>
      <c r="AE423">
        <f t="shared" si="378"/>
        <v>20189.400000000001</v>
      </c>
      <c r="AF423">
        <f t="shared" si="379"/>
        <v>4427.7299999999996</v>
      </c>
      <c r="AG423">
        <f t="shared" si="380"/>
        <v>0</v>
      </c>
      <c r="AH423">
        <f t="shared" si="381"/>
        <v>24.84</v>
      </c>
      <c r="AI423">
        <f t="shared" si="382"/>
        <v>0</v>
      </c>
      <c r="AJ423">
        <f t="shared" si="383"/>
        <v>0</v>
      </c>
      <c r="AK423">
        <v>283607.26</v>
      </c>
      <c r="AL423">
        <v>227826.13</v>
      </c>
      <c r="AM423">
        <v>51353.4</v>
      </c>
      <c r="AN423">
        <v>20189.400000000001</v>
      </c>
      <c r="AO423">
        <v>4427.7299999999996</v>
      </c>
      <c r="AP423">
        <v>0</v>
      </c>
      <c r="AQ423">
        <v>24.84</v>
      </c>
      <c r="AR423">
        <v>0</v>
      </c>
      <c r="AS423">
        <v>0</v>
      </c>
      <c r="AT423">
        <v>70</v>
      </c>
      <c r="AU423">
        <v>10</v>
      </c>
      <c r="AV423">
        <v>1</v>
      </c>
      <c r="AW423">
        <v>1</v>
      </c>
      <c r="AZ423">
        <v>1</v>
      </c>
      <c r="BA423">
        <v>1</v>
      </c>
      <c r="BB423">
        <v>1</v>
      </c>
      <c r="BC423">
        <v>1</v>
      </c>
      <c r="BD423" t="s">
        <v>3</v>
      </c>
      <c r="BE423" t="s">
        <v>3</v>
      </c>
      <c r="BF423" t="s">
        <v>3</v>
      </c>
      <c r="BG423" t="s">
        <v>3</v>
      </c>
      <c r="BH423">
        <v>0</v>
      </c>
      <c r="BI423">
        <v>4</v>
      </c>
      <c r="BJ423" t="s">
        <v>221</v>
      </c>
      <c r="BM423">
        <v>0</v>
      </c>
      <c r="BN423">
        <v>0</v>
      </c>
      <c r="BO423" t="s">
        <v>3</v>
      </c>
      <c r="BP423">
        <v>0</v>
      </c>
      <c r="BQ423">
        <v>1</v>
      </c>
      <c r="BR423">
        <v>0</v>
      </c>
      <c r="BS423">
        <v>1</v>
      </c>
      <c r="BT423">
        <v>1</v>
      </c>
      <c r="BU423">
        <v>1</v>
      </c>
      <c r="BV423">
        <v>1</v>
      </c>
      <c r="BW423">
        <v>1</v>
      </c>
      <c r="BX423">
        <v>1</v>
      </c>
      <c r="BY423" t="s">
        <v>3</v>
      </c>
      <c r="BZ423">
        <v>70</v>
      </c>
      <c r="CA423">
        <v>10</v>
      </c>
      <c r="CE423">
        <v>0</v>
      </c>
      <c r="CF423">
        <v>0</v>
      </c>
      <c r="CG423">
        <v>0</v>
      </c>
      <c r="CM423">
        <v>0</v>
      </c>
      <c r="CN423" t="s">
        <v>3</v>
      </c>
      <c r="CO423">
        <v>0</v>
      </c>
      <c r="CP423">
        <f t="shared" si="384"/>
        <v>70448.040000000008</v>
      </c>
      <c r="CQ423">
        <f t="shared" si="385"/>
        <v>227826.13</v>
      </c>
      <c r="CR423">
        <f t="shared" si="386"/>
        <v>51353.4</v>
      </c>
      <c r="CS423">
        <f t="shared" si="387"/>
        <v>20189.400000000001</v>
      </c>
      <c r="CT423">
        <f t="shared" si="388"/>
        <v>4427.7299999999996</v>
      </c>
      <c r="CU423">
        <f t="shared" si="389"/>
        <v>0</v>
      </c>
      <c r="CV423">
        <f t="shared" si="390"/>
        <v>24.84</v>
      </c>
      <c r="CW423">
        <f t="shared" si="391"/>
        <v>0</v>
      </c>
      <c r="CX423">
        <f t="shared" si="392"/>
        <v>0</v>
      </c>
      <c r="CY423">
        <f t="shared" si="393"/>
        <v>769.89499999999998</v>
      </c>
      <c r="CZ423">
        <f t="shared" si="394"/>
        <v>109.985</v>
      </c>
      <c r="DC423" t="s">
        <v>3</v>
      </c>
      <c r="DD423" t="s">
        <v>3</v>
      </c>
      <c r="DE423" t="s">
        <v>3</v>
      </c>
      <c r="DF423" t="s">
        <v>3</v>
      </c>
      <c r="DG423" t="s">
        <v>3</v>
      </c>
      <c r="DH423" t="s">
        <v>3</v>
      </c>
      <c r="DI423" t="s">
        <v>3</v>
      </c>
      <c r="DJ423" t="s">
        <v>3</v>
      </c>
      <c r="DK423" t="s">
        <v>3</v>
      </c>
      <c r="DL423" t="s">
        <v>3</v>
      </c>
      <c r="DM423" t="s">
        <v>3</v>
      </c>
      <c r="DN423">
        <v>0</v>
      </c>
      <c r="DO423">
        <v>0</v>
      </c>
      <c r="DP423">
        <v>1</v>
      </c>
      <c r="DQ423">
        <v>1</v>
      </c>
      <c r="DU423">
        <v>1007</v>
      </c>
      <c r="DV423" t="s">
        <v>216</v>
      </c>
      <c r="DW423" t="s">
        <v>216</v>
      </c>
      <c r="DX423">
        <v>100</v>
      </c>
      <c r="DZ423" t="s">
        <v>3</v>
      </c>
      <c r="EA423" t="s">
        <v>3</v>
      </c>
      <c r="EB423" t="s">
        <v>3</v>
      </c>
      <c r="EC423" t="s">
        <v>3</v>
      </c>
      <c r="EE423">
        <v>54545671</v>
      </c>
      <c r="EF423">
        <v>1</v>
      </c>
      <c r="EG423" t="s">
        <v>20</v>
      </c>
      <c r="EH423">
        <v>0</v>
      </c>
      <c r="EI423" t="s">
        <v>3</v>
      </c>
      <c r="EJ423">
        <v>4</v>
      </c>
      <c r="EK423">
        <v>0</v>
      </c>
      <c r="EL423" t="s">
        <v>21</v>
      </c>
      <c r="EM423" t="s">
        <v>22</v>
      </c>
      <c r="EO423" t="s">
        <v>3</v>
      </c>
      <c r="EQ423">
        <v>0</v>
      </c>
      <c r="ER423">
        <v>283607.26</v>
      </c>
      <c r="ES423">
        <v>227826.13</v>
      </c>
      <c r="ET423">
        <v>51353.4</v>
      </c>
      <c r="EU423">
        <v>20189.400000000001</v>
      </c>
      <c r="EV423">
        <v>4427.7299999999996</v>
      </c>
      <c r="EW423">
        <v>24.84</v>
      </c>
      <c r="EX423">
        <v>0</v>
      </c>
      <c r="EY423">
        <v>0</v>
      </c>
      <c r="FQ423">
        <v>0</v>
      </c>
      <c r="FR423">
        <f t="shared" si="395"/>
        <v>0</v>
      </c>
      <c r="FS423">
        <v>0</v>
      </c>
      <c r="FX423">
        <v>70</v>
      </c>
      <c r="FY423">
        <v>10</v>
      </c>
      <c r="GA423" t="s">
        <v>3</v>
      </c>
      <c r="GD423">
        <v>0</v>
      </c>
      <c r="GF423">
        <v>1990771062</v>
      </c>
      <c r="GG423">
        <v>2</v>
      </c>
      <c r="GH423">
        <v>1</v>
      </c>
      <c r="GI423">
        <v>-2</v>
      </c>
      <c r="GJ423">
        <v>0</v>
      </c>
      <c r="GK423">
        <f>ROUND(R423*(R12)/100,2)</f>
        <v>5416.25</v>
      </c>
      <c r="GL423">
        <f t="shared" si="396"/>
        <v>0</v>
      </c>
      <c r="GM423">
        <f t="shared" si="397"/>
        <v>76744.179999999993</v>
      </c>
      <c r="GN423">
        <f t="shared" si="398"/>
        <v>0</v>
      </c>
      <c r="GO423">
        <f t="shared" si="399"/>
        <v>0</v>
      </c>
      <c r="GP423">
        <f t="shared" si="400"/>
        <v>76744.179999999993</v>
      </c>
      <c r="GR423">
        <v>0</v>
      </c>
      <c r="GS423">
        <v>3</v>
      </c>
      <c r="GT423">
        <v>0</v>
      </c>
      <c r="GU423" t="s">
        <v>3</v>
      </c>
      <c r="GV423">
        <f t="shared" si="401"/>
        <v>0</v>
      </c>
      <c r="GW423">
        <v>1</v>
      </c>
      <c r="GX423">
        <f t="shared" si="402"/>
        <v>0</v>
      </c>
      <c r="HA423">
        <v>0</v>
      </c>
      <c r="HB423">
        <v>0</v>
      </c>
      <c r="HC423">
        <f t="shared" si="403"/>
        <v>0</v>
      </c>
      <c r="HE423" t="s">
        <v>3</v>
      </c>
      <c r="HF423" t="s">
        <v>3</v>
      </c>
      <c r="IK423">
        <v>0</v>
      </c>
    </row>
    <row r="424" spans="1:245" x14ac:dyDescent="0.2">
      <c r="A424">
        <v>18</v>
      </c>
      <c r="B424">
        <v>1</v>
      </c>
      <c r="C424">
        <v>207</v>
      </c>
      <c r="E424" t="s">
        <v>322</v>
      </c>
      <c r="F424" t="s">
        <v>29</v>
      </c>
      <c r="G424" t="s">
        <v>30</v>
      </c>
      <c r="H424" t="s">
        <v>26</v>
      </c>
      <c r="I424">
        <f>I423*J424</f>
        <v>-31.298400000000001</v>
      </c>
      <c r="J424">
        <v>-126</v>
      </c>
      <c r="O424">
        <f t="shared" si="364"/>
        <v>-56533.36</v>
      </c>
      <c r="P424">
        <f t="shared" si="365"/>
        <v>-56533.36</v>
      </c>
      <c r="Q424">
        <f t="shared" si="366"/>
        <v>0</v>
      </c>
      <c r="R424">
        <f t="shared" si="367"/>
        <v>0</v>
      </c>
      <c r="S424">
        <f t="shared" si="368"/>
        <v>0</v>
      </c>
      <c r="T424">
        <f t="shared" si="369"/>
        <v>0</v>
      </c>
      <c r="U424">
        <f t="shared" si="370"/>
        <v>0</v>
      </c>
      <c r="V424">
        <f t="shared" si="371"/>
        <v>0</v>
      </c>
      <c r="W424">
        <f t="shared" si="372"/>
        <v>0</v>
      </c>
      <c r="X424">
        <f t="shared" si="373"/>
        <v>0</v>
      </c>
      <c r="Y424">
        <f t="shared" si="374"/>
        <v>0</v>
      </c>
      <c r="AA424">
        <v>56440881</v>
      </c>
      <c r="AB424">
        <f t="shared" si="375"/>
        <v>1806.27</v>
      </c>
      <c r="AC424">
        <f t="shared" si="376"/>
        <v>1806.27</v>
      </c>
      <c r="AD424">
        <f t="shared" si="377"/>
        <v>0</v>
      </c>
      <c r="AE424">
        <f t="shared" si="378"/>
        <v>0</v>
      </c>
      <c r="AF424">
        <f t="shared" si="379"/>
        <v>0</v>
      </c>
      <c r="AG424">
        <f t="shared" si="380"/>
        <v>0</v>
      </c>
      <c r="AH424">
        <f t="shared" si="381"/>
        <v>0</v>
      </c>
      <c r="AI424">
        <f t="shared" si="382"/>
        <v>0</v>
      </c>
      <c r="AJ424">
        <f t="shared" si="383"/>
        <v>0</v>
      </c>
      <c r="AK424">
        <v>1806.27</v>
      </c>
      <c r="AL424">
        <v>1806.27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70</v>
      </c>
      <c r="AU424">
        <v>10</v>
      </c>
      <c r="AV424">
        <v>1</v>
      </c>
      <c r="AW424">
        <v>1</v>
      </c>
      <c r="AZ424">
        <v>1</v>
      </c>
      <c r="BA424">
        <v>1</v>
      </c>
      <c r="BB424">
        <v>1</v>
      </c>
      <c r="BC424">
        <v>1</v>
      </c>
      <c r="BD424" t="s">
        <v>3</v>
      </c>
      <c r="BE424" t="s">
        <v>3</v>
      </c>
      <c r="BF424" t="s">
        <v>3</v>
      </c>
      <c r="BG424" t="s">
        <v>3</v>
      </c>
      <c r="BH424">
        <v>3</v>
      </c>
      <c r="BI424">
        <v>4</v>
      </c>
      <c r="BJ424" t="s">
        <v>31</v>
      </c>
      <c r="BM424">
        <v>0</v>
      </c>
      <c r="BN424">
        <v>0</v>
      </c>
      <c r="BO424" t="s">
        <v>3</v>
      </c>
      <c r="BP424">
        <v>0</v>
      </c>
      <c r="BQ424">
        <v>1</v>
      </c>
      <c r="BR424">
        <v>1</v>
      </c>
      <c r="BS424">
        <v>1</v>
      </c>
      <c r="BT424">
        <v>1</v>
      </c>
      <c r="BU424">
        <v>1</v>
      </c>
      <c r="BV424">
        <v>1</v>
      </c>
      <c r="BW424">
        <v>1</v>
      </c>
      <c r="BX424">
        <v>1</v>
      </c>
      <c r="BY424" t="s">
        <v>3</v>
      </c>
      <c r="BZ424">
        <v>70</v>
      </c>
      <c r="CA424">
        <v>10</v>
      </c>
      <c r="CE424">
        <v>0</v>
      </c>
      <c r="CF424">
        <v>0</v>
      </c>
      <c r="CG424">
        <v>0</v>
      </c>
      <c r="CM424">
        <v>0</v>
      </c>
      <c r="CN424" t="s">
        <v>3</v>
      </c>
      <c r="CO424">
        <v>0</v>
      </c>
      <c r="CP424">
        <f t="shared" si="384"/>
        <v>-56533.36</v>
      </c>
      <c r="CQ424">
        <f t="shared" si="385"/>
        <v>1806.27</v>
      </c>
      <c r="CR424">
        <f t="shared" si="386"/>
        <v>0</v>
      </c>
      <c r="CS424">
        <f t="shared" si="387"/>
        <v>0</v>
      </c>
      <c r="CT424">
        <f t="shared" si="388"/>
        <v>0</v>
      </c>
      <c r="CU424">
        <f t="shared" si="389"/>
        <v>0</v>
      </c>
      <c r="CV424">
        <f t="shared" si="390"/>
        <v>0</v>
      </c>
      <c r="CW424">
        <f t="shared" si="391"/>
        <v>0</v>
      </c>
      <c r="CX424">
        <f t="shared" si="392"/>
        <v>0</v>
      </c>
      <c r="CY424">
        <f t="shared" si="393"/>
        <v>0</v>
      </c>
      <c r="CZ424">
        <f t="shared" si="394"/>
        <v>0</v>
      </c>
      <c r="DC424" t="s">
        <v>3</v>
      </c>
      <c r="DD424" t="s">
        <v>3</v>
      </c>
      <c r="DE424" t="s">
        <v>3</v>
      </c>
      <c r="DF424" t="s">
        <v>3</v>
      </c>
      <c r="DG424" t="s">
        <v>3</v>
      </c>
      <c r="DH424" t="s">
        <v>3</v>
      </c>
      <c r="DI424" t="s">
        <v>3</v>
      </c>
      <c r="DJ424" t="s">
        <v>3</v>
      </c>
      <c r="DK424" t="s">
        <v>3</v>
      </c>
      <c r="DL424" t="s">
        <v>3</v>
      </c>
      <c r="DM424" t="s">
        <v>3</v>
      </c>
      <c r="DN424">
        <v>0</v>
      </c>
      <c r="DO424">
        <v>0</v>
      </c>
      <c r="DP424">
        <v>1</v>
      </c>
      <c r="DQ424">
        <v>1</v>
      </c>
      <c r="DU424">
        <v>1007</v>
      </c>
      <c r="DV424" t="s">
        <v>26</v>
      </c>
      <c r="DW424" t="s">
        <v>26</v>
      </c>
      <c r="DX424">
        <v>1</v>
      </c>
      <c r="DZ424" t="s">
        <v>3</v>
      </c>
      <c r="EA424" t="s">
        <v>3</v>
      </c>
      <c r="EB424" t="s">
        <v>3</v>
      </c>
      <c r="EC424" t="s">
        <v>3</v>
      </c>
      <c r="EE424">
        <v>54545671</v>
      </c>
      <c r="EF424">
        <v>1</v>
      </c>
      <c r="EG424" t="s">
        <v>20</v>
      </c>
      <c r="EH424">
        <v>0</v>
      </c>
      <c r="EI424" t="s">
        <v>3</v>
      </c>
      <c r="EJ424">
        <v>4</v>
      </c>
      <c r="EK424">
        <v>0</v>
      </c>
      <c r="EL424" t="s">
        <v>21</v>
      </c>
      <c r="EM424" t="s">
        <v>22</v>
      </c>
      <c r="EO424" t="s">
        <v>3</v>
      </c>
      <c r="EQ424">
        <v>32768</v>
      </c>
      <c r="ER424">
        <v>1806.27</v>
      </c>
      <c r="ES424">
        <v>1806.27</v>
      </c>
      <c r="ET424">
        <v>0</v>
      </c>
      <c r="EU424">
        <v>0</v>
      </c>
      <c r="EV424">
        <v>0</v>
      </c>
      <c r="EW424">
        <v>0</v>
      </c>
      <c r="EX424">
        <v>0</v>
      </c>
      <c r="FQ424">
        <v>0</v>
      </c>
      <c r="FR424">
        <f t="shared" si="395"/>
        <v>0</v>
      </c>
      <c r="FS424">
        <v>0</v>
      </c>
      <c r="FX424">
        <v>70</v>
      </c>
      <c r="FY424">
        <v>10</v>
      </c>
      <c r="GA424" t="s">
        <v>3</v>
      </c>
      <c r="GD424">
        <v>0</v>
      </c>
      <c r="GF424">
        <v>407286016</v>
      </c>
      <c r="GG424">
        <v>2</v>
      </c>
      <c r="GH424">
        <v>1</v>
      </c>
      <c r="GI424">
        <v>-2</v>
      </c>
      <c r="GJ424">
        <v>0</v>
      </c>
      <c r="GK424">
        <f>ROUND(R424*(R12)/100,2)</f>
        <v>0</v>
      </c>
      <c r="GL424">
        <f t="shared" si="396"/>
        <v>0</v>
      </c>
      <c r="GM424">
        <f t="shared" si="397"/>
        <v>-56533.36</v>
      </c>
      <c r="GN424">
        <f t="shared" si="398"/>
        <v>0</v>
      </c>
      <c r="GO424">
        <f t="shared" si="399"/>
        <v>0</v>
      </c>
      <c r="GP424">
        <f t="shared" si="400"/>
        <v>-56533.36</v>
      </c>
      <c r="GR424">
        <v>0</v>
      </c>
      <c r="GS424">
        <v>3</v>
      </c>
      <c r="GT424">
        <v>0</v>
      </c>
      <c r="GU424" t="s">
        <v>3</v>
      </c>
      <c r="GV424">
        <f t="shared" si="401"/>
        <v>0</v>
      </c>
      <c r="GW424">
        <v>1</v>
      </c>
      <c r="GX424">
        <f t="shared" si="402"/>
        <v>0</v>
      </c>
      <c r="HA424">
        <v>0</v>
      </c>
      <c r="HB424">
        <v>0</v>
      </c>
      <c r="HC424">
        <f t="shared" si="403"/>
        <v>0</v>
      </c>
      <c r="HE424" t="s">
        <v>3</v>
      </c>
      <c r="HF424" t="s">
        <v>3</v>
      </c>
      <c r="IK424">
        <v>0</v>
      </c>
    </row>
    <row r="425" spans="1:245" x14ac:dyDescent="0.2">
      <c r="A425">
        <v>18</v>
      </c>
      <c r="B425">
        <v>1</v>
      </c>
      <c r="C425">
        <v>206</v>
      </c>
      <c r="E425" t="s">
        <v>323</v>
      </c>
      <c r="F425" t="s">
        <v>33</v>
      </c>
      <c r="G425" t="s">
        <v>34</v>
      </c>
      <c r="H425" t="s">
        <v>26</v>
      </c>
      <c r="I425">
        <f>I423*J425</f>
        <v>31.298400000000001</v>
      </c>
      <c r="J425">
        <v>126</v>
      </c>
      <c r="O425">
        <f t="shared" si="364"/>
        <v>46557</v>
      </c>
      <c r="P425">
        <f t="shared" si="365"/>
        <v>46557</v>
      </c>
      <c r="Q425">
        <f t="shared" si="366"/>
        <v>0</v>
      </c>
      <c r="R425">
        <f t="shared" si="367"/>
        <v>0</v>
      </c>
      <c r="S425">
        <f t="shared" si="368"/>
        <v>0</v>
      </c>
      <c r="T425">
        <f t="shared" si="369"/>
        <v>0</v>
      </c>
      <c r="U425">
        <f t="shared" si="370"/>
        <v>0</v>
      </c>
      <c r="V425">
        <f t="shared" si="371"/>
        <v>0</v>
      </c>
      <c r="W425">
        <f t="shared" si="372"/>
        <v>0</v>
      </c>
      <c r="X425">
        <f t="shared" si="373"/>
        <v>0</v>
      </c>
      <c r="Y425">
        <f t="shared" si="374"/>
        <v>0</v>
      </c>
      <c r="AA425">
        <v>56440881</v>
      </c>
      <c r="AB425">
        <f t="shared" si="375"/>
        <v>1487.52</v>
      </c>
      <c r="AC425">
        <f t="shared" si="376"/>
        <v>1487.52</v>
      </c>
      <c r="AD425">
        <f t="shared" si="377"/>
        <v>0</v>
      </c>
      <c r="AE425">
        <f t="shared" si="378"/>
        <v>0</v>
      </c>
      <c r="AF425">
        <f t="shared" si="379"/>
        <v>0</v>
      </c>
      <c r="AG425">
        <f t="shared" si="380"/>
        <v>0</v>
      </c>
      <c r="AH425">
        <f t="shared" si="381"/>
        <v>0</v>
      </c>
      <c r="AI425">
        <f t="shared" si="382"/>
        <v>0</v>
      </c>
      <c r="AJ425">
        <f t="shared" si="383"/>
        <v>0</v>
      </c>
      <c r="AK425">
        <v>1487.52</v>
      </c>
      <c r="AL425">
        <v>1487.52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70</v>
      </c>
      <c r="AU425">
        <v>10</v>
      </c>
      <c r="AV425">
        <v>1</v>
      </c>
      <c r="AW425">
        <v>1</v>
      </c>
      <c r="AZ425">
        <v>1</v>
      </c>
      <c r="BA425">
        <v>1</v>
      </c>
      <c r="BB425">
        <v>1</v>
      </c>
      <c r="BC425">
        <v>1</v>
      </c>
      <c r="BD425" t="s">
        <v>3</v>
      </c>
      <c r="BE425" t="s">
        <v>3</v>
      </c>
      <c r="BF425" t="s">
        <v>3</v>
      </c>
      <c r="BG425" t="s">
        <v>3</v>
      </c>
      <c r="BH425">
        <v>3</v>
      </c>
      <c r="BI425">
        <v>4</v>
      </c>
      <c r="BJ425" t="s">
        <v>35</v>
      </c>
      <c r="BM425">
        <v>0</v>
      </c>
      <c r="BN425">
        <v>0</v>
      </c>
      <c r="BO425" t="s">
        <v>3</v>
      </c>
      <c r="BP425">
        <v>0</v>
      </c>
      <c r="BQ425">
        <v>1</v>
      </c>
      <c r="BR425">
        <v>0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 t="s">
        <v>3</v>
      </c>
      <c r="BZ425">
        <v>70</v>
      </c>
      <c r="CA425">
        <v>10</v>
      </c>
      <c r="CE425">
        <v>0</v>
      </c>
      <c r="CF425">
        <v>0</v>
      </c>
      <c r="CG425">
        <v>0</v>
      </c>
      <c r="CM425">
        <v>0</v>
      </c>
      <c r="CN425" t="s">
        <v>3</v>
      </c>
      <c r="CO425">
        <v>0</v>
      </c>
      <c r="CP425">
        <f t="shared" si="384"/>
        <v>46557</v>
      </c>
      <c r="CQ425">
        <f t="shared" si="385"/>
        <v>1487.52</v>
      </c>
      <c r="CR425">
        <f t="shared" si="386"/>
        <v>0</v>
      </c>
      <c r="CS425">
        <f t="shared" si="387"/>
        <v>0</v>
      </c>
      <c r="CT425">
        <f t="shared" si="388"/>
        <v>0</v>
      </c>
      <c r="CU425">
        <f t="shared" si="389"/>
        <v>0</v>
      </c>
      <c r="CV425">
        <f t="shared" si="390"/>
        <v>0</v>
      </c>
      <c r="CW425">
        <f t="shared" si="391"/>
        <v>0</v>
      </c>
      <c r="CX425">
        <f t="shared" si="392"/>
        <v>0</v>
      </c>
      <c r="CY425">
        <f t="shared" si="393"/>
        <v>0</v>
      </c>
      <c r="CZ425">
        <f t="shared" si="394"/>
        <v>0</v>
      </c>
      <c r="DC425" t="s">
        <v>3</v>
      </c>
      <c r="DD425" t="s">
        <v>3</v>
      </c>
      <c r="DE425" t="s">
        <v>3</v>
      </c>
      <c r="DF425" t="s">
        <v>3</v>
      </c>
      <c r="DG425" t="s">
        <v>3</v>
      </c>
      <c r="DH425" t="s">
        <v>3</v>
      </c>
      <c r="DI425" t="s">
        <v>3</v>
      </c>
      <c r="DJ425" t="s">
        <v>3</v>
      </c>
      <c r="DK425" t="s">
        <v>3</v>
      </c>
      <c r="DL425" t="s">
        <v>3</v>
      </c>
      <c r="DM425" t="s">
        <v>3</v>
      </c>
      <c r="DN425">
        <v>0</v>
      </c>
      <c r="DO425">
        <v>0</v>
      </c>
      <c r="DP425">
        <v>1</v>
      </c>
      <c r="DQ425">
        <v>1</v>
      </c>
      <c r="DU425">
        <v>1007</v>
      </c>
      <c r="DV425" t="s">
        <v>26</v>
      </c>
      <c r="DW425" t="s">
        <v>26</v>
      </c>
      <c r="DX425">
        <v>1</v>
      </c>
      <c r="DZ425" t="s">
        <v>3</v>
      </c>
      <c r="EA425" t="s">
        <v>3</v>
      </c>
      <c r="EB425" t="s">
        <v>3</v>
      </c>
      <c r="EC425" t="s">
        <v>3</v>
      </c>
      <c r="EE425">
        <v>54545671</v>
      </c>
      <c r="EF425">
        <v>1</v>
      </c>
      <c r="EG425" t="s">
        <v>20</v>
      </c>
      <c r="EH425">
        <v>0</v>
      </c>
      <c r="EI425" t="s">
        <v>3</v>
      </c>
      <c r="EJ425">
        <v>4</v>
      </c>
      <c r="EK425">
        <v>0</v>
      </c>
      <c r="EL425" t="s">
        <v>21</v>
      </c>
      <c r="EM425" t="s">
        <v>22</v>
      </c>
      <c r="EO425" t="s">
        <v>3</v>
      </c>
      <c r="EQ425">
        <v>0</v>
      </c>
      <c r="ER425">
        <v>1487.52</v>
      </c>
      <c r="ES425">
        <v>1487.52</v>
      </c>
      <c r="ET425">
        <v>0</v>
      </c>
      <c r="EU425">
        <v>0</v>
      </c>
      <c r="EV425">
        <v>0</v>
      </c>
      <c r="EW425">
        <v>0</v>
      </c>
      <c r="EX425">
        <v>0</v>
      </c>
      <c r="FQ425">
        <v>0</v>
      </c>
      <c r="FR425">
        <f t="shared" si="395"/>
        <v>0</v>
      </c>
      <c r="FS425">
        <v>0</v>
      </c>
      <c r="FX425">
        <v>70</v>
      </c>
      <c r="FY425">
        <v>10</v>
      </c>
      <c r="GA425" t="s">
        <v>3</v>
      </c>
      <c r="GD425">
        <v>0</v>
      </c>
      <c r="GF425">
        <v>2025333854</v>
      </c>
      <c r="GG425">
        <v>2</v>
      </c>
      <c r="GH425">
        <v>1</v>
      </c>
      <c r="GI425">
        <v>-2</v>
      </c>
      <c r="GJ425">
        <v>0</v>
      </c>
      <c r="GK425">
        <f>ROUND(R425*(R12)/100,2)</f>
        <v>0</v>
      </c>
      <c r="GL425">
        <f t="shared" si="396"/>
        <v>0</v>
      </c>
      <c r="GM425">
        <f t="shared" si="397"/>
        <v>46557</v>
      </c>
      <c r="GN425">
        <f t="shared" si="398"/>
        <v>0</v>
      </c>
      <c r="GO425">
        <f t="shared" si="399"/>
        <v>0</v>
      </c>
      <c r="GP425">
        <f t="shared" si="400"/>
        <v>46557</v>
      </c>
      <c r="GR425">
        <v>0</v>
      </c>
      <c r="GS425">
        <v>3</v>
      </c>
      <c r="GT425">
        <v>0</v>
      </c>
      <c r="GU425" t="s">
        <v>3</v>
      </c>
      <c r="GV425">
        <f t="shared" si="401"/>
        <v>0</v>
      </c>
      <c r="GW425">
        <v>1</v>
      </c>
      <c r="GX425">
        <f t="shared" si="402"/>
        <v>0</v>
      </c>
      <c r="HA425">
        <v>0</v>
      </c>
      <c r="HB425">
        <v>0</v>
      </c>
      <c r="HC425">
        <f t="shared" si="403"/>
        <v>0</v>
      </c>
      <c r="HE425" t="s">
        <v>3</v>
      </c>
      <c r="HF425" t="s">
        <v>3</v>
      </c>
      <c r="IK425">
        <v>0</v>
      </c>
    </row>
    <row r="426" spans="1:245" x14ac:dyDescent="0.2">
      <c r="A426">
        <v>17</v>
      </c>
      <c r="B426">
        <v>1</v>
      </c>
      <c r="C426">
        <f>ROW(SmtRes!A213)</f>
        <v>213</v>
      </c>
      <c r="D426">
        <f>ROW(EtalonRes!A198)</f>
        <v>198</v>
      </c>
      <c r="E426" t="s">
        <v>324</v>
      </c>
      <c r="F426" t="s">
        <v>37</v>
      </c>
      <c r="G426" t="s">
        <v>38</v>
      </c>
      <c r="H426" t="s">
        <v>39</v>
      </c>
      <c r="I426">
        <f>ROUND(828/100,9)</f>
        <v>8.2799999999999994</v>
      </c>
      <c r="J426">
        <v>0</v>
      </c>
      <c r="O426">
        <f t="shared" si="364"/>
        <v>253576.66</v>
      </c>
      <c r="P426">
        <f t="shared" si="365"/>
        <v>216363.77</v>
      </c>
      <c r="Q426">
        <f t="shared" si="366"/>
        <v>12745.49</v>
      </c>
      <c r="R426">
        <f t="shared" si="367"/>
        <v>7722.67</v>
      </c>
      <c r="S426">
        <f t="shared" si="368"/>
        <v>24467.4</v>
      </c>
      <c r="T426">
        <f t="shared" si="369"/>
        <v>0</v>
      </c>
      <c r="U426">
        <f t="shared" si="370"/>
        <v>112.3596</v>
      </c>
      <c r="V426">
        <f t="shared" si="371"/>
        <v>0</v>
      </c>
      <c r="W426">
        <f t="shared" si="372"/>
        <v>0</v>
      </c>
      <c r="X426">
        <f t="shared" si="373"/>
        <v>17127.18</v>
      </c>
      <c r="Y426">
        <f t="shared" si="374"/>
        <v>2446.7399999999998</v>
      </c>
      <c r="AA426">
        <v>56440881</v>
      </c>
      <c r="AB426">
        <f t="shared" si="375"/>
        <v>30625.200000000001</v>
      </c>
      <c r="AC426">
        <f t="shared" si="376"/>
        <v>26130.89</v>
      </c>
      <c r="AD426">
        <f t="shared" si="377"/>
        <v>1539.31</v>
      </c>
      <c r="AE426">
        <f t="shared" si="378"/>
        <v>932.69</v>
      </c>
      <c r="AF426">
        <f t="shared" si="379"/>
        <v>2955</v>
      </c>
      <c r="AG426">
        <f t="shared" si="380"/>
        <v>0</v>
      </c>
      <c r="AH426">
        <f t="shared" si="381"/>
        <v>13.57</v>
      </c>
      <c r="AI426">
        <f t="shared" si="382"/>
        <v>0</v>
      </c>
      <c r="AJ426">
        <f t="shared" si="383"/>
        <v>0</v>
      </c>
      <c r="AK426">
        <v>30625.200000000001</v>
      </c>
      <c r="AL426">
        <v>26130.89</v>
      </c>
      <c r="AM426">
        <v>1539.31</v>
      </c>
      <c r="AN426">
        <v>932.69</v>
      </c>
      <c r="AO426">
        <v>2955</v>
      </c>
      <c r="AP426">
        <v>0</v>
      </c>
      <c r="AQ426">
        <v>13.57</v>
      </c>
      <c r="AR426">
        <v>0</v>
      </c>
      <c r="AS426">
        <v>0</v>
      </c>
      <c r="AT426">
        <v>70</v>
      </c>
      <c r="AU426">
        <v>10</v>
      </c>
      <c r="AV426">
        <v>1</v>
      </c>
      <c r="AW426">
        <v>1</v>
      </c>
      <c r="AZ426">
        <v>1</v>
      </c>
      <c r="BA426">
        <v>1</v>
      </c>
      <c r="BB426">
        <v>1</v>
      </c>
      <c r="BC426">
        <v>1</v>
      </c>
      <c r="BD426" t="s">
        <v>3</v>
      </c>
      <c r="BE426" t="s">
        <v>3</v>
      </c>
      <c r="BF426" t="s">
        <v>3</v>
      </c>
      <c r="BG426" t="s">
        <v>3</v>
      </c>
      <c r="BH426">
        <v>0</v>
      </c>
      <c r="BI426">
        <v>4</v>
      </c>
      <c r="BJ426" t="s">
        <v>40</v>
      </c>
      <c r="BM426">
        <v>0</v>
      </c>
      <c r="BN426">
        <v>0</v>
      </c>
      <c r="BO426" t="s">
        <v>3</v>
      </c>
      <c r="BP426">
        <v>0</v>
      </c>
      <c r="BQ426">
        <v>1</v>
      </c>
      <c r="BR426">
        <v>0</v>
      </c>
      <c r="BS426">
        <v>1</v>
      </c>
      <c r="BT426">
        <v>1</v>
      </c>
      <c r="BU426">
        <v>1</v>
      </c>
      <c r="BV426">
        <v>1</v>
      </c>
      <c r="BW426">
        <v>1</v>
      </c>
      <c r="BX426">
        <v>1</v>
      </c>
      <c r="BY426" t="s">
        <v>3</v>
      </c>
      <c r="BZ426">
        <v>70</v>
      </c>
      <c r="CA426">
        <v>10</v>
      </c>
      <c r="CE426">
        <v>0</v>
      </c>
      <c r="CF426">
        <v>0</v>
      </c>
      <c r="CG426">
        <v>0</v>
      </c>
      <c r="CM426">
        <v>0</v>
      </c>
      <c r="CN426" t="s">
        <v>3</v>
      </c>
      <c r="CO426">
        <v>0</v>
      </c>
      <c r="CP426">
        <f t="shared" si="384"/>
        <v>253576.65999999997</v>
      </c>
      <c r="CQ426">
        <f t="shared" si="385"/>
        <v>26130.89</v>
      </c>
      <c r="CR426">
        <f t="shared" si="386"/>
        <v>1539.31</v>
      </c>
      <c r="CS426">
        <f t="shared" si="387"/>
        <v>932.69</v>
      </c>
      <c r="CT426">
        <f t="shared" si="388"/>
        <v>2955</v>
      </c>
      <c r="CU426">
        <f t="shared" si="389"/>
        <v>0</v>
      </c>
      <c r="CV426">
        <f t="shared" si="390"/>
        <v>13.57</v>
      </c>
      <c r="CW426">
        <f t="shared" si="391"/>
        <v>0</v>
      </c>
      <c r="CX426">
        <f t="shared" si="392"/>
        <v>0</v>
      </c>
      <c r="CY426">
        <f t="shared" si="393"/>
        <v>17127.18</v>
      </c>
      <c r="CZ426">
        <f t="shared" si="394"/>
        <v>2446.7399999999998</v>
      </c>
      <c r="DC426" t="s">
        <v>3</v>
      </c>
      <c r="DD426" t="s">
        <v>3</v>
      </c>
      <c r="DE426" t="s">
        <v>3</v>
      </c>
      <c r="DF426" t="s">
        <v>3</v>
      </c>
      <c r="DG426" t="s">
        <v>3</v>
      </c>
      <c r="DH426" t="s">
        <v>3</v>
      </c>
      <c r="DI426" t="s">
        <v>3</v>
      </c>
      <c r="DJ426" t="s">
        <v>3</v>
      </c>
      <c r="DK426" t="s">
        <v>3</v>
      </c>
      <c r="DL426" t="s">
        <v>3</v>
      </c>
      <c r="DM426" t="s">
        <v>3</v>
      </c>
      <c r="DN426">
        <v>0</v>
      </c>
      <c r="DO426">
        <v>0</v>
      </c>
      <c r="DP426">
        <v>1</v>
      </c>
      <c r="DQ426">
        <v>1</v>
      </c>
      <c r="DU426">
        <v>1005</v>
      </c>
      <c r="DV426" t="s">
        <v>39</v>
      </c>
      <c r="DW426" t="s">
        <v>39</v>
      </c>
      <c r="DX426">
        <v>100</v>
      </c>
      <c r="DZ426" t="s">
        <v>3</v>
      </c>
      <c r="EA426" t="s">
        <v>3</v>
      </c>
      <c r="EB426" t="s">
        <v>3</v>
      </c>
      <c r="EC426" t="s">
        <v>3</v>
      </c>
      <c r="EE426">
        <v>54545671</v>
      </c>
      <c r="EF426">
        <v>1</v>
      </c>
      <c r="EG426" t="s">
        <v>20</v>
      </c>
      <c r="EH426">
        <v>0</v>
      </c>
      <c r="EI426" t="s">
        <v>3</v>
      </c>
      <c r="EJ426">
        <v>4</v>
      </c>
      <c r="EK426">
        <v>0</v>
      </c>
      <c r="EL426" t="s">
        <v>21</v>
      </c>
      <c r="EM426" t="s">
        <v>22</v>
      </c>
      <c r="EO426" t="s">
        <v>3</v>
      </c>
      <c r="EQ426">
        <v>0</v>
      </c>
      <c r="ER426">
        <v>30625.200000000001</v>
      </c>
      <c r="ES426">
        <v>26130.89</v>
      </c>
      <c r="ET426">
        <v>1539.31</v>
      </c>
      <c r="EU426">
        <v>932.69</v>
      </c>
      <c r="EV426">
        <v>2955</v>
      </c>
      <c r="EW426">
        <v>13.57</v>
      </c>
      <c r="EX426">
        <v>0</v>
      </c>
      <c r="EY426">
        <v>0</v>
      </c>
      <c r="FQ426">
        <v>0</v>
      </c>
      <c r="FR426">
        <f t="shared" si="395"/>
        <v>0</v>
      </c>
      <c r="FS426">
        <v>0</v>
      </c>
      <c r="FX426">
        <v>70</v>
      </c>
      <c r="FY426">
        <v>10</v>
      </c>
      <c r="GA426" t="s">
        <v>3</v>
      </c>
      <c r="GD426">
        <v>0</v>
      </c>
      <c r="GF426">
        <v>1752731852</v>
      </c>
      <c r="GG426">
        <v>2</v>
      </c>
      <c r="GH426">
        <v>1</v>
      </c>
      <c r="GI426">
        <v>-2</v>
      </c>
      <c r="GJ426">
        <v>0</v>
      </c>
      <c r="GK426">
        <f>ROUND(R426*(R12)/100,2)</f>
        <v>8340.48</v>
      </c>
      <c r="GL426">
        <f t="shared" si="396"/>
        <v>0</v>
      </c>
      <c r="GM426">
        <f t="shared" si="397"/>
        <v>281491.06</v>
      </c>
      <c r="GN426">
        <f t="shared" si="398"/>
        <v>0</v>
      </c>
      <c r="GO426">
        <f t="shared" si="399"/>
        <v>0</v>
      </c>
      <c r="GP426">
        <f t="shared" si="400"/>
        <v>281491.06</v>
      </c>
      <c r="GR426">
        <v>0</v>
      </c>
      <c r="GS426">
        <v>3</v>
      </c>
      <c r="GT426">
        <v>0</v>
      </c>
      <c r="GU426" t="s">
        <v>3</v>
      </c>
      <c r="GV426">
        <f t="shared" si="401"/>
        <v>0</v>
      </c>
      <c r="GW426">
        <v>1</v>
      </c>
      <c r="GX426">
        <f t="shared" si="402"/>
        <v>0</v>
      </c>
      <c r="HA426">
        <v>0</v>
      </c>
      <c r="HB426">
        <v>0</v>
      </c>
      <c r="HC426">
        <f t="shared" si="403"/>
        <v>0</v>
      </c>
      <c r="HE426" t="s">
        <v>3</v>
      </c>
      <c r="HF426" t="s">
        <v>3</v>
      </c>
      <c r="IK426">
        <v>0</v>
      </c>
    </row>
    <row r="427" spans="1:245" x14ac:dyDescent="0.2">
      <c r="A427">
        <v>18</v>
      </c>
      <c r="B427">
        <v>1</v>
      </c>
      <c r="C427">
        <v>212</v>
      </c>
      <c r="E427" t="s">
        <v>325</v>
      </c>
      <c r="F427" t="s">
        <v>42</v>
      </c>
      <c r="G427" t="s">
        <v>43</v>
      </c>
      <c r="H427" t="s">
        <v>44</v>
      </c>
      <c r="I427">
        <f>I426*J427</f>
        <v>-79.322399999999988</v>
      </c>
      <c r="J427">
        <v>-9.58</v>
      </c>
      <c r="O427">
        <f t="shared" si="364"/>
        <v>-216363.74</v>
      </c>
      <c r="P427">
        <f t="shared" si="365"/>
        <v>-216363.74</v>
      </c>
      <c r="Q427">
        <f t="shared" si="366"/>
        <v>0</v>
      </c>
      <c r="R427">
        <f t="shared" si="367"/>
        <v>0</v>
      </c>
      <c r="S427">
        <f t="shared" si="368"/>
        <v>0</v>
      </c>
      <c r="T427">
        <f t="shared" si="369"/>
        <v>0</v>
      </c>
      <c r="U427">
        <f t="shared" si="370"/>
        <v>0</v>
      </c>
      <c r="V427">
        <f t="shared" si="371"/>
        <v>0</v>
      </c>
      <c r="W427">
        <f t="shared" si="372"/>
        <v>0</v>
      </c>
      <c r="X427">
        <f t="shared" si="373"/>
        <v>0</v>
      </c>
      <c r="Y427">
        <f t="shared" si="374"/>
        <v>0</v>
      </c>
      <c r="AA427">
        <v>56440881</v>
      </c>
      <c r="AB427">
        <f t="shared" si="375"/>
        <v>2727.65</v>
      </c>
      <c r="AC427">
        <f t="shared" si="376"/>
        <v>2727.65</v>
      </c>
      <c r="AD427">
        <f t="shared" si="377"/>
        <v>0</v>
      </c>
      <c r="AE427">
        <f t="shared" si="378"/>
        <v>0</v>
      </c>
      <c r="AF427">
        <f t="shared" si="379"/>
        <v>0</v>
      </c>
      <c r="AG427">
        <f t="shared" si="380"/>
        <v>0</v>
      </c>
      <c r="AH427">
        <f t="shared" si="381"/>
        <v>0</v>
      </c>
      <c r="AI427">
        <f t="shared" si="382"/>
        <v>0</v>
      </c>
      <c r="AJ427">
        <f t="shared" si="383"/>
        <v>0</v>
      </c>
      <c r="AK427">
        <v>2727.65</v>
      </c>
      <c r="AL427">
        <v>2727.65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70</v>
      </c>
      <c r="AU427">
        <v>10</v>
      </c>
      <c r="AV427">
        <v>1</v>
      </c>
      <c r="AW427">
        <v>1</v>
      </c>
      <c r="AZ427">
        <v>1</v>
      </c>
      <c r="BA427">
        <v>1</v>
      </c>
      <c r="BB427">
        <v>1</v>
      </c>
      <c r="BC427">
        <v>1</v>
      </c>
      <c r="BD427" t="s">
        <v>3</v>
      </c>
      <c r="BE427" t="s">
        <v>3</v>
      </c>
      <c r="BF427" t="s">
        <v>3</v>
      </c>
      <c r="BG427" t="s">
        <v>3</v>
      </c>
      <c r="BH427">
        <v>3</v>
      </c>
      <c r="BI427">
        <v>4</v>
      </c>
      <c r="BJ427" t="s">
        <v>45</v>
      </c>
      <c r="BM427">
        <v>0</v>
      </c>
      <c r="BN427">
        <v>0</v>
      </c>
      <c r="BO427" t="s">
        <v>3</v>
      </c>
      <c r="BP427">
        <v>0</v>
      </c>
      <c r="BQ427">
        <v>1</v>
      </c>
      <c r="BR427">
        <v>1</v>
      </c>
      <c r="BS427">
        <v>1</v>
      </c>
      <c r="BT427">
        <v>1</v>
      </c>
      <c r="BU427">
        <v>1</v>
      </c>
      <c r="BV427">
        <v>1</v>
      </c>
      <c r="BW427">
        <v>1</v>
      </c>
      <c r="BX427">
        <v>1</v>
      </c>
      <c r="BY427" t="s">
        <v>3</v>
      </c>
      <c r="BZ427">
        <v>70</v>
      </c>
      <c r="CA427">
        <v>10</v>
      </c>
      <c r="CE427">
        <v>0</v>
      </c>
      <c r="CF427">
        <v>0</v>
      </c>
      <c r="CG427">
        <v>0</v>
      </c>
      <c r="CM427">
        <v>0</v>
      </c>
      <c r="CN427" t="s">
        <v>3</v>
      </c>
      <c r="CO427">
        <v>0</v>
      </c>
      <c r="CP427">
        <f t="shared" si="384"/>
        <v>-216363.74</v>
      </c>
      <c r="CQ427">
        <f t="shared" si="385"/>
        <v>2727.65</v>
      </c>
      <c r="CR427">
        <f t="shared" si="386"/>
        <v>0</v>
      </c>
      <c r="CS427">
        <f t="shared" si="387"/>
        <v>0</v>
      </c>
      <c r="CT427">
        <f t="shared" si="388"/>
        <v>0</v>
      </c>
      <c r="CU427">
        <f t="shared" si="389"/>
        <v>0</v>
      </c>
      <c r="CV427">
        <f t="shared" si="390"/>
        <v>0</v>
      </c>
      <c r="CW427">
        <f t="shared" si="391"/>
        <v>0</v>
      </c>
      <c r="CX427">
        <f t="shared" si="392"/>
        <v>0</v>
      </c>
      <c r="CY427">
        <f t="shared" si="393"/>
        <v>0</v>
      </c>
      <c r="CZ427">
        <f t="shared" si="394"/>
        <v>0</v>
      </c>
      <c r="DC427" t="s">
        <v>3</v>
      </c>
      <c r="DD427" t="s">
        <v>3</v>
      </c>
      <c r="DE427" t="s">
        <v>3</v>
      </c>
      <c r="DF427" t="s">
        <v>3</v>
      </c>
      <c r="DG427" t="s">
        <v>3</v>
      </c>
      <c r="DH427" t="s">
        <v>3</v>
      </c>
      <c r="DI427" t="s">
        <v>3</v>
      </c>
      <c r="DJ427" t="s">
        <v>3</v>
      </c>
      <c r="DK427" t="s">
        <v>3</v>
      </c>
      <c r="DL427" t="s">
        <v>3</v>
      </c>
      <c r="DM427" t="s">
        <v>3</v>
      </c>
      <c r="DN427">
        <v>0</v>
      </c>
      <c r="DO427">
        <v>0</v>
      </c>
      <c r="DP427">
        <v>1</v>
      </c>
      <c r="DQ427">
        <v>1</v>
      </c>
      <c r="DU427">
        <v>1009</v>
      </c>
      <c r="DV427" t="s">
        <v>44</v>
      </c>
      <c r="DW427" t="s">
        <v>44</v>
      </c>
      <c r="DX427">
        <v>1000</v>
      </c>
      <c r="DZ427" t="s">
        <v>3</v>
      </c>
      <c r="EA427" t="s">
        <v>3</v>
      </c>
      <c r="EB427" t="s">
        <v>3</v>
      </c>
      <c r="EC427" t="s">
        <v>3</v>
      </c>
      <c r="EE427">
        <v>54545671</v>
      </c>
      <c r="EF427">
        <v>1</v>
      </c>
      <c r="EG427" t="s">
        <v>20</v>
      </c>
      <c r="EH427">
        <v>0</v>
      </c>
      <c r="EI427" t="s">
        <v>3</v>
      </c>
      <c r="EJ427">
        <v>4</v>
      </c>
      <c r="EK427">
        <v>0</v>
      </c>
      <c r="EL427" t="s">
        <v>21</v>
      </c>
      <c r="EM427" t="s">
        <v>22</v>
      </c>
      <c r="EO427" t="s">
        <v>3</v>
      </c>
      <c r="EQ427">
        <v>32768</v>
      </c>
      <c r="ER427">
        <v>2727.65</v>
      </c>
      <c r="ES427">
        <v>2727.65</v>
      </c>
      <c r="ET427">
        <v>0</v>
      </c>
      <c r="EU427">
        <v>0</v>
      </c>
      <c r="EV427">
        <v>0</v>
      </c>
      <c r="EW427">
        <v>0</v>
      </c>
      <c r="EX427">
        <v>0</v>
      </c>
      <c r="FQ427">
        <v>0</v>
      </c>
      <c r="FR427">
        <f t="shared" si="395"/>
        <v>0</v>
      </c>
      <c r="FS427">
        <v>0</v>
      </c>
      <c r="FX427">
        <v>70</v>
      </c>
      <c r="FY427">
        <v>10</v>
      </c>
      <c r="GA427" t="s">
        <v>3</v>
      </c>
      <c r="GD427">
        <v>0</v>
      </c>
      <c r="GF427">
        <v>-652642392</v>
      </c>
      <c r="GG427">
        <v>2</v>
      </c>
      <c r="GH427">
        <v>1</v>
      </c>
      <c r="GI427">
        <v>-2</v>
      </c>
      <c r="GJ427">
        <v>0</v>
      </c>
      <c r="GK427">
        <f>ROUND(R427*(R12)/100,2)</f>
        <v>0</v>
      </c>
      <c r="GL427">
        <f t="shared" si="396"/>
        <v>0</v>
      </c>
      <c r="GM427">
        <f t="shared" si="397"/>
        <v>-216363.74</v>
      </c>
      <c r="GN427">
        <f t="shared" si="398"/>
        <v>0</v>
      </c>
      <c r="GO427">
        <f t="shared" si="399"/>
        <v>0</v>
      </c>
      <c r="GP427">
        <f t="shared" si="400"/>
        <v>-216363.74</v>
      </c>
      <c r="GR427">
        <v>0</v>
      </c>
      <c r="GS427">
        <v>3</v>
      </c>
      <c r="GT427">
        <v>0</v>
      </c>
      <c r="GU427" t="s">
        <v>3</v>
      </c>
      <c r="GV427">
        <f t="shared" si="401"/>
        <v>0</v>
      </c>
      <c r="GW427">
        <v>1</v>
      </c>
      <c r="GX427">
        <f t="shared" si="402"/>
        <v>0</v>
      </c>
      <c r="HA427">
        <v>0</v>
      </c>
      <c r="HB427">
        <v>0</v>
      </c>
      <c r="HC427">
        <f t="shared" si="403"/>
        <v>0</v>
      </c>
      <c r="HE427" t="s">
        <v>3</v>
      </c>
      <c r="HF427" t="s">
        <v>3</v>
      </c>
      <c r="IK427">
        <v>0</v>
      </c>
    </row>
    <row r="428" spans="1:245" x14ac:dyDescent="0.2">
      <c r="A428">
        <v>18</v>
      </c>
      <c r="B428">
        <v>1</v>
      </c>
      <c r="C428">
        <v>213</v>
      </c>
      <c r="E428" t="s">
        <v>326</v>
      </c>
      <c r="F428" t="s">
        <v>47</v>
      </c>
      <c r="G428" t="s">
        <v>48</v>
      </c>
      <c r="H428" t="s">
        <v>44</v>
      </c>
      <c r="I428">
        <f>I426*J428</f>
        <v>96.627600000000001</v>
      </c>
      <c r="J428">
        <v>11.670000000000002</v>
      </c>
      <c r="O428">
        <f t="shared" si="364"/>
        <v>253956.66</v>
      </c>
      <c r="P428">
        <f t="shared" si="365"/>
        <v>253956.66</v>
      </c>
      <c r="Q428">
        <f t="shared" si="366"/>
        <v>0</v>
      </c>
      <c r="R428">
        <f t="shared" si="367"/>
        <v>0</v>
      </c>
      <c r="S428">
        <f t="shared" si="368"/>
        <v>0</v>
      </c>
      <c r="T428">
        <f t="shared" si="369"/>
        <v>0</v>
      </c>
      <c r="U428">
        <f t="shared" si="370"/>
        <v>0</v>
      </c>
      <c r="V428">
        <f t="shared" si="371"/>
        <v>0</v>
      </c>
      <c r="W428">
        <f t="shared" si="372"/>
        <v>0</v>
      </c>
      <c r="X428">
        <f t="shared" si="373"/>
        <v>0</v>
      </c>
      <c r="Y428">
        <f t="shared" si="374"/>
        <v>0</v>
      </c>
      <c r="AA428">
        <v>56440881</v>
      </c>
      <c r="AB428">
        <f t="shared" si="375"/>
        <v>2628.2</v>
      </c>
      <c r="AC428">
        <f t="shared" si="376"/>
        <v>2628.2</v>
      </c>
      <c r="AD428">
        <f t="shared" si="377"/>
        <v>0</v>
      </c>
      <c r="AE428">
        <f t="shared" si="378"/>
        <v>0</v>
      </c>
      <c r="AF428">
        <f t="shared" si="379"/>
        <v>0</v>
      </c>
      <c r="AG428">
        <f t="shared" si="380"/>
        <v>0</v>
      </c>
      <c r="AH428">
        <f t="shared" si="381"/>
        <v>0</v>
      </c>
      <c r="AI428">
        <f t="shared" si="382"/>
        <v>0</v>
      </c>
      <c r="AJ428">
        <f t="shared" si="383"/>
        <v>0</v>
      </c>
      <c r="AK428">
        <v>2628.2</v>
      </c>
      <c r="AL428">
        <v>2628.2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70</v>
      </c>
      <c r="AU428">
        <v>10</v>
      </c>
      <c r="AV428">
        <v>1</v>
      </c>
      <c r="AW428">
        <v>1</v>
      </c>
      <c r="AZ428">
        <v>1</v>
      </c>
      <c r="BA428">
        <v>1</v>
      </c>
      <c r="BB428">
        <v>1</v>
      </c>
      <c r="BC428">
        <v>1</v>
      </c>
      <c r="BD428" t="s">
        <v>3</v>
      </c>
      <c r="BE428" t="s">
        <v>3</v>
      </c>
      <c r="BF428" t="s">
        <v>3</v>
      </c>
      <c r="BG428" t="s">
        <v>3</v>
      </c>
      <c r="BH428">
        <v>3</v>
      </c>
      <c r="BI428">
        <v>4</v>
      </c>
      <c r="BJ428" t="s">
        <v>49</v>
      </c>
      <c r="BM428">
        <v>0</v>
      </c>
      <c r="BN428">
        <v>0</v>
      </c>
      <c r="BO428" t="s">
        <v>3</v>
      </c>
      <c r="BP428">
        <v>0</v>
      </c>
      <c r="BQ428">
        <v>1</v>
      </c>
      <c r="BR428">
        <v>0</v>
      </c>
      <c r="BS428">
        <v>1</v>
      </c>
      <c r="BT428">
        <v>1</v>
      </c>
      <c r="BU428">
        <v>1</v>
      </c>
      <c r="BV428">
        <v>1</v>
      </c>
      <c r="BW428">
        <v>1</v>
      </c>
      <c r="BX428">
        <v>1</v>
      </c>
      <c r="BY428" t="s">
        <v>3</v>
      </c>
      <c r="BZ428">
        <v>70</v>
      </c>
      <c r="CA428">
        <v>10</v>
      </c>
      <c r="CE428">
        <v>0</v>
      </c>
      <c r="CF428">
        <v>0</v>
      </c>
      <c r="CG428">
        <v>0</v>
      </c>
      <c r="CM428">
        <v>0</v>
      </c>
      <c r="CN428" t="s">
        <v>3</v>
      </c>
      <c r="CO428">
        <v>0</v>
      </c>
      <c r="CP428">
        <f t="shared" si="384"/>
        <v>253956.66</v>
      </c>
      <c r="CQ428">
        <f t="shared" si="385"/>
        <v>2628.2</v>
      </c>
      <c r="CR428">
        <f t="shared" si="386"/>
        <v>0</v>
      </c>
      <c r="CS428">
        <f t="shared" si="387"/>
        <v>0</v>
      </c>
      <c r="CT428">
        <f t="shared" si="388"/>
        <v>0</v>
      </c>
      <c r="CU428">
        <f t="shared" si="389"/>
        <v>0</v>
      </c>
      <c r="CV428">
        <f t="shared" si="390"/>
        <v>0</v>
      </c>
      <c r="CW428">
        <f t="shared" si="391"/>
        <v>0</v>
      </c>
      <c r="CX428">
        <f t="shared" si="392"/>
        <v>0</v>
      </c>
      <c r="CY428">
        <f t="shared" si="393"/>
        <v>0</v>
      </c>
      <c r="CZ428">
        <f t="shared" si="394"/>
        <v>0</v>
      </c>
      <c r="DC428" t="s">
        <v>3</v>
      </c>
      <c r="DD428" t="s">
        <v>3</v>
      </c>
      <c r="DE428" t="s">
        <v>3</v>
      </c>
      <c r="DF428" t="s">
        <v>3</v>
      </c>
      <c r="DG428" t="s">
        <v>3</v>
      </c>
      <c r="DH428" t="s">
        <v>3</v>
      </c>
      <c r="DI428" t="s">
        <v>3</v>
      </c>
      <c r="DJ428" t="s">
        <v>3</v>
      </c>
      <c r="DK428" t="s">
        <v>3</v>
      </c>
      <c r="DL428" t="s">
        <v>3</v>
      </c>
      <c r="DM428" t="s">
        <v>3</v>
      </c>
      <c r="DN428">
        <v>0</v>
      </c>
      <c r="DO428">
        <v>0</v>
      </c>
      <c r="DP428">
        <v>1</v>
      </c>
      <c r="DQ428">
        <v>1</v>
      </c>
      <c r="DU428">
        <v>1009</v>
      </c>
      <c r="DV428" t="s">
        <v>44</v>
      </c>
      <c r="DW428" t="s">
        <v>44</v>
      </c>
      <c r="DX428">
        <v>1000</v>
      </c>
      <c r="DZ428" t="s">
        <v>3</v>
      </c>
      <c r="EA428" t="s">
        <v>3</v>
      </c>
      <c r="EB428" t="s">
        <v>3</v>
      </c>
      <c r="EC428" t="s">
        <v>3</v>
      </c>
      <c r="EE428">
        <v>54545671</v>
      </c>
      <c r="EF428">
        <v>1</v>
      </c>
      <c r="EG428" t="s">
        <v>20</v>
      </c>
      <c r="EH428">
        <v>0</v>
      </c>
      <c r="EI428" t="s">
        <v>3</v>
      </c>
      <c r="EJ428">
        <v>4</v>
      </c>
      <c r="EK428">
        <v>0</v>
      </c>
      <c r="EL428" t="s">
        <v>21</v>
      </c>
      <c r="EM428" t="s">
        <v>22</v>
      </c>
      <c r="EO428" t="s">
        <v>3</v>
      </c>
      <c r="EQ428">
        <v>0</v>
      </c>
      <c r="ER428">
        <v>2628.2</v>
      </c>
      <c r="ES428">
        <v>2628.2</v>
      </c>
      <c r="ET428">
        <v>0</v>
      </c>
      <c r="EU428">
        <v>0</v>
      </c>
      <c r="EV428">
        <v>0</v>
      </c>
      <c r="EW428">
        <v>0</v>
      </c>
      <c r="EX428">
        <v>0</v>
      </c>
      <c r="FQ428">
        <v>0</v>
      </c>
      <c r="FR428">
        <f t="shared" si="395"/>
        <v>0</v>
      </c>
      <c r="FS428">
        <v>0</v>
      </c>
      <c r="FX428">
        <v>70</v>
      </c>
      <c r="FY428">
        <v>10</v>
      </c>
      <c r="GA428" t="s">
        <v>3</v>
      </c>
      <c r="GD428">
        <v>0</v>
      </c>
      <c r="GF428">
        <v>2011161814</v>
      </c>
      <c r="GG428">
        <v>2</v>
      </c>
      <c r="GH428">
        <v>1</v>
      </c>
      <c r="GI428">
        <v>-2</v>
      </c>
      <c r="GJ428">
        <v>0</v>
      </c>
      <c r="GK428">
        <f>ROUND(R428*(R12)/100,2)</f>
        <v>0</v>
      </c>
      <c r="GL428">
        <f t="shared" si="396"/>
        <v>0</v>
      </c>
      <c r="GM428">
        <f t="shared" si="397"/>
        <v>253956.66</v>
      </c>
      <c r="GN428">
        <f t="shared" si="398"/>
        <v>0</v>
      </c>
      <c r="GO428">
        <f t="shared" si="399"/>
        <v>0</v>
      </c>
      <c r="GP428">
        <f t="shared" si="400"/>
        <v>253956.66</v>
      </c>
      <c r="GR428">
        <v>0</v>
      </c>
      <c r="GS428">
        <v>3</v>
      </c>
      <c r="GT428">
        <v>0</v>
      </c>
      <c r="GU428" t="s">
        <v>3</v>
      </c>
      <c r="GV428">
        <f t="shared" si="401"/>
        <v>0</v>
      </c>
      <c r="GW428">
        <v>1</v>
      </c>
      <c r="GX428">
        <f t="shared" si="402"/>
        <v>0</v>
      </c>
      <c r="HA428">
        <v>0</v>
      </c>
      <c r="HB428">
        <v>0</v>
      </c>
      <c r="HC428">
        <f t="shared" si="403"/>
        <v>0</v>
      </c>
      <c r="HE428" t="s">
        <v>3</v>
      </c>
      <c r="HF428" t="s">
        <v>3</v>
      </c>
      <c r="IK428">
        <v>0</v>
      </c>
    </row>
    <row r="430" spans="1:245" x14ac:dyDescent="0.2">
      <c r="A430" s="2">
        <v>51</v>
      </c>
      <c r="B430" s="2">
        <f>B413</f>
        <v>1</v>
      </c>
      <c r="C430" s="2">
        <f>A413</f>
        <v>4</v>
      </c>
      <c r="D430" s="2">
        <f>ROW(A413)</f>
        <v>413</v>
      </c>
      <c r="E430" s="2"/>
      <c r="F430" s="2" t="str">
        <f>IF(F413&lt;&gt;"",F413,"")</f>
        <v>Новый раздел</v>
      </c>
      <c r="G430" s="2" t="str">
        <f>IF(G413&lt;&gt;"",G413,"")</f>
        <v>Устройство асфальтобетонного покрытия площадок (828 м2)</v>
      </c>
      <c r="H430" s="2">
        <v>0</v>
      </c>
      <c r="I430" s="2"/>
      <c r="J430" s="2"/>
      <c r="K430" s="2"/>
      <c r="L430" s="2"/>
      <c r="M430" s="2"/>
      <c r="N430" s="2"/>
      <c r="O430" s="2">
        <f t="shared" ref="O430:T430" si="404">ROUND(AB430,2)</f>
        <v>648066.68999999994</v>
      </c>
      <c r="P430" s="2">
        <f t="shared" si="404"/>
        <v>536879.66</v>
      </c>
      <c r="Q430" s="2">
        <f t="shared" si="404"/>
        <v>78287.460000000006</v>
      </c>
      <c r="R430" s="2">
        <f t="shared" si="404"/>
        <v>33606.22</v>
      </c>
      <c r="S430" s="2">
        <f t="shared" si="404"/>
        <v>32899.57</v>
      </c>
      <c r="T430" s="2">
        <f t="shared" si="404"/>
        <v>0</v>
      </c>
      <c r="U430" s="2">
        <f>AH430</f>
        <v>159.664896</v>
      </c>
      <c r="V430" s="2">
        <f>AI430</f>
        <v>0</v>
      </c>
      <c r="W430" s="2">
        <f>ROUND(AJ430,2)</f>
        <v>0</v>
      </c>
      <c r="X430" s="2">
        <f>ROUND(AK430,2)</f>
        <v>23029.7</v>
      </c>
      <c r="Y430" s="2">
        <f>ROUND(AL430,2)</f>
        <v>3289.97</v>
      </c>
      <c r="Z430" s="2"/>
      <c r="AA430" s="2"/>
      <c r="AB430" s="2">
        <f>ROUND(SUMIF(AA417:AA428,"=56440881",O417:O428),2)</f>
        <v>648066.68999999994</v>
      </c>
      <c r="AC430" s="2">
        <f>ROUND(SUMIF(AA417:AA428,"=56440881",P417:P428),2)</f>
        <v>536879.66</v>
      </c>
      <c r="AD430" s="2">
        <f>ROUND(SUMIF(AA417:AA428,"=56440881",Q417:Q428),2)</f>
        <v>78287.460000000006</v>
      </c>
      <c r="AE430" s="2">
        <f>ROUND(SUMIF(AA417:AA428,"=56440881",R417:R428),2)</f>
        <v>33606.22</v>
      </c>
      <c r="AF430" s="2">
        <f>ROUND(SUMIF(AA417:AA428,"=56440881",S417:S428),2)</f>
        <v>32899.57</v>
      </c>
      <c r="AG430" s="2">
        <f>ROUND(SUMIF(AA417:AA428,"=56440881",T417:T428),2)</f>
        <v>0</v>
      </c>
      <c r="AH430" s="2">
        <f>SUMIF(AA417:AA428,"=56440881",U417:U428)</f>
        <v>159.664896</v>
      </c>
      <c r="AI430" s="2">
        <f>SUMIF(AA417:AA428,"=56440881",V417:V428)</f>
        <v>0</v>
      </c>
      <c r="AJ430" s="2">
        <f>ROUND(SUMIF(AA417:AA428,"=56440881",W417:W428),2)</f>
        <v>0</v>
      </c>
      <c r="AK430" s="2">
        <f>ROUND(SUMIF(AA417:AA428,"=56440881",X417:X428),2)</f>
        <v>23029.7</v>
      </c>
      <c r="AL430" s="2">
        <f>ROUND(SUMIF(AA417:AA428,"=56440881",Y417:Y428),2)</f>
        <v>3289.97</v>
      </c>
      <c r="AM430" s="2"/>
      <c r="AN430" s="2"/>
      <c r="AO430" s="2">
        <f t="shared" ref="AO430:BD430" si="405">ROUND(BX430,2)</f>
        <v>0</v>
      </c>
      <c r="AP430" s="2">
        <f t="shared" si="405"/>
        <v>0</v>
      </c>
      <c r="AQ430" s="2">
        <f t="shared" si="405"/>
        <v>0</v>
      </c>
      <c r="AR430" s="2">
        <f t="shared" si="405"/>
        <v>710681.07</v>
      </c>
      <c r="AS430" s="2">
        <f t="shared" si="405"/>
        <v>0</v>
      </c>
      <c r="AT430" s="2">
        <f t="shared" si="405"/>
        <v>0</v>
      </c>
      <c r="AU430" s="2">
        <f t="shared" si="405"/>
        <v>710681.07</v>
      </c>
      <c r="AV430" s="2">
        <f t="shared" si="405"/>
        <v>536879.66</v>
      </c>
      <c r="AW430" s="2">
        <f t="shared" si="405"/>
        <v>536879.66</v>
      </c>
      <c r="AX430" s="2">
        <f t="shared" si="405"/>
        <v>0</v>
      </c>
      <c r="AY430" s="2">
        <f t="shared" si="405"/>
        <v>536879.66</v>
      </c>
      <c r="AZ430" s="2">
        <f t="shared" si="405"/>
        <v>0</v>
      </c>
      <c r="BA430" s="2">
        <f t="shared" si="405"/>
        <v>0</v>
      </c>
      <c r="BB430" s="2">
        <f t="shared" si="405"/>
        <v>0</v>
      </c>
      <c r="BC430" s="2">
        <f t="shared" si="405"/>
        <v>0</v>
      </c>
      <c r="BD430" s="2">
        <f t="shared" si="405"/>
        <v>0</v>
      </c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>
        <f>ROUND(SUMIF(AA417:AA428,"=56440881",FQ417:FQ428),2)</f>
        <v>0</v>
      </c>
      <c r="BY430" s="2">
        <f>ROUND(SUMIF(AA417:AA428,"=56440881",FR417:FR428),2)</f>
        <v>0</v>
      </c>
      <c r="BZ430" s="2">
        <f>ROUND(SUMIF(AA417:AA428,"=56440881",GL417:GL428),2)</f>
        <v>0</v>
      </c>
      <c r="CA430" s="2">
        <f>ROUND(SUMIF(AA417:AA428,"=56440881",GM417:GM428),2)</f>
        <v>710681.07</v>
      </c>
      <c r="CB430" s="2">
        <f>ROUND(SUMIF(AA417:AA428,"=56440881",GN417:GN428),2)</f>
        <v>0</v>
      </c>
      <c r="CC430" s="2">
        <f>ROUND(SUMIF(AA417:AA428,"=56440881",GO417:GO428),2)</f>
        <v>0</v>
      </c>
      <c r="CD430" s="2">
        <f>ROUND(SUMIF(AA417:AA428,"=56440881",GP417:GP428),2)</f>
        <v>710681.07</v>
      </c>
      <c r="CE430" s="2">
        <f>AC430-BX430</f>
        <v>536879.66</v>
      </c>
      <c r="CF430" s="2">
        <f>AC430-BY430</f>
        <v>536879.66</v>
      </c>
      <c r="CG430" s="2">
        <f>BX430-BZ430</f>
        <v>0</v>
      </c>
      <c r="CH430" s="2">
        <f>AC430-BX430-BY430+BZ430</f>
        <v>536879.66</v>
      </c>
      <c r="CI430" s="2">
        <f>BY430-BZ430</f>
        <v>0</v>
      </c>
      <c r="CJ430" s="2">
        <f>ROUND(SUMIF(AA417:AA428,"=56440881",GX417:GX428),2)</f>
        <v>0</v>
      </c>
      <c r="CK430" s="2">
        <f>ROUND(SUMIF(AA417:AA428,"=56440881",GY417:GY428),2)</f>
        <v>0</v>
      </c>
      <c r="CL430" s="2">
        <f>ROUND(SUMIF(AA417:AA428,"=56440881",GZ417:GZ428),2)</f>
        <v>0</v>
      </c>
      <c r="CM430" s="2">
        <f>ROUND(SUMIF(AA417:AA428,"=56440881",HD417:HD428),2)</f>
        <v>0</v>
      </c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>
        <v>0</v>
      </c>
    </row>
    <row r="432" spans="1:245" x14ac:dyDescent="0.2">
      <c r="A432" s="4">
        <v>50</v>
      </c>
      <c r="B432" s="4">
        <v>0</v>
      </c>
      <c r="C432" s="4">
        <v>0</v>
      </c>
      <c r="D432" s="4">
        <v>1</v>
      </c>
      <c r="E432" s="4">
        <v>201</v>
      </c>
      <c r="F432" s="4">
        <f>ROUND(Source!O430,O432)</f>
        <v>648066.68999999994</v>
      </c>
      <c r="G432" s="4" t="s">
        <v>50</v>
      </c>
      <c r="H432" s="4" t="s">
        <v>51</v>
      </c>
      <c r="I432" s="4"/>
      <c r="J432" s="4"/>
      <c r="K432" s="4">
        <v>-201</v>
      </c>
      <c r="L432" s="4">
        <v>1</v>
      </c>
      <c r="M432" s="4">
        <v>3</v>
      </c>
      <c r="N432" s="4" t="s">
        <v>3</v>
      </c>
      <c r="O432" s="4">
        <v>2</v>
      </c>
      <c r="P432" s="4"/>
      <c r="Q432" s="4"/>
      <c r="R432" s="4"/>
      <c r="S432" s="4"/>
      <c r="T432" s="4"/>
      <c r="U432" s="4"/>
      <c r="V432" s="4"/>
      <c r="W432" s="4"/>
    </row>
    <row r="433" spans="1:23" x14ac:dyDescent="0.2">
      <c r="A433" s="4">
        <v>50</v>
      </c>
      <c r="B433" s="4">
        <v>0</v>
      </c>
      <c r="C433" s="4">
        <v>0</v>
      </c>
      <c r="D433" s="4">
        <v>1</v>
      </c>
      <c r="E433" s="4">
        <v>202</v>
      </c>
      <c r="F433" s="4">
        <f>ROUND(Source!P430,O433)</f>
        <v>536879.66</v>
      </c>
      <c r="G433" s="4" t="s">
        <v>52</v>
      </c>
      <c r="H433" s="4" t="s">
        <v>53</v>
      </c>
      <c r="I433" s="4"/>
      <c r="J433" s="4"/>
      <c r="K433" s="4">
        <v>-202</v>
      </c>
      <c r="L433" s="4">
        <v>2</v>
      </c>
      <c r="M433" s="4">
        <v>3</v>
      </c>
      <c r="N433" s="4" t="s">
        <v>3</v>
      </c>
      <c r="O433" s="4">
        <v>2</v>
      </c>
      <c r="P433" s="4"/>
      <c r="Q433" s="4"/>
      <c r="R433" s="4"/>
      <c r="S433" s="4"/>
      <c r="T433" s="4"/>
      <c r="U433" s="4"/>
      <c r="V433" s="4"/>
      <c r="W433" s="4"/>
    </row>
    <row r="434" spans="1:23" x14ac:dyDescent="0.2">
      <c r="A434" s="4">
        <v>50</v>
      </c>
      <c r="B434" s="4">
        <v>0</v>
      </c>
      <c r="C434" s="4">
        <v>0</v>
      </c>
      <c r="D434" s="4">
        <v>1</v>
      </c>
      <c r="E434" s="4">
        <v>222</v>
      </c>
      <c r="F434" s="4">
        <f>ROUND(Source!AO430,O434)</f>
        <v>0</v>
      </c>
      <c r="G434" s="4" t="s">
        <v>54</v>
      </c>
      <c r="H434" s="4" t="s">
        <v>55</v>
      </c>
      <c r="I434" s="4"/>
      <c r="J434" s="4"/>
      <c r="K434" s="4">
        <v>-222</v>
      </c>
      <c r="L434" s="4">
        <v>3</v>
      </c>
      <c r="M434" s="4">
        <v>3</v>
      </c>
      <c r="N434" s="4" t="s">
        <v>3</v>
      </c>
      <c r="O434" s="4">
        <v>2</v>
      </c>
      <c r="P434" s="4"/>
      <c r="Q434" s="4"/>
      <c r="R434" s="4"/>
      <c r="S434" s="4"/>
      <c r="T434" s="4"/>
      <c r="U434" s="4"/>
      <c r="V434" s="4"/>
      <c r="W434" s="4"/>
    </row>
    <row r="435" spans="1:23" x14ac:dyDescent="0.2">
      <c r="A435" s="4">
        <v>50</v>
      </c>
      <c r="B435" s="4">
        <v>0</v>
      </c>
      <c r="C435" s="4">
        <v>0</v>
      </c>
      <c r="D435" s="4">
        <v>1</v>
      </c>
      <c r="E435" s="4">
        <v>225</v>
      </c>
      <c r="F435" s="4">
        <f>ROUND(Source!AV430,O435)</f>
        <v>536879.66</v>
      </c>
      <c r="G435" s="4" t="s">
        <v>56</v>
      </c>
      <c r="H435" s="4" t="s">
        <v>57</v>
      </c>
      <c r="I435" s="4"/>
      <c r="J435" s="4"/>
      <c r="K435" s="4">
        <v>-225</v>
      </c>
      <c r="L435" s="4">
        <v>4</v>
      </c>
      <c r="M435" s="4">
        <v>3</v>
      </c>
      <c r="N435" s="4" t="s">
        <v>3</v>
      </c>
      <c r="O435" s="4">
        <v>2</v>
      </c>
      <c r="P435" s="4"/>
      <c r="Q435" s="4"/>
      <c r="R435" s="4"/>
      <c r="S435" s="4"/>
      <c r="T435" s="4"/>
      <c r="U435" s="4"/>
      <c r="V435" s="4"/>
      <c r="W435" s="4"/>
    </row>
    <row r="436" spans="1:23" x14ac:dyDescent="0.2">
      <c r="A436" s="4">
        <v>50</v>
      </c>
      <c r="B436" s="4">
        <v>0</v>
      </c>
      <c r="C436" s="4">
        <v>0</v>
      </c>
      <c r="D436" s="4">
        <v>1</v>
      </c>
      <c r="E436" s="4">
        <v>226</v>
      </c>
      <c r="F436" s="4">
        <f>ROUND(Source!AW430,O436)</f>
        <v>536879.66</v>
      </c>
      <c r="G436" s="4" t="s">
        <v>58</v>
      </c>
      <c r="H436" s="4" t="s">
        <v>59</v>
      </c>
      <c r="I436" s="4"/>
      <c r="J436" s="4"/>
      <c r="K436" s="4">
        <v>-226</v>
      </c>
      <c r="L436" s="4">
        <v>5</v>
      </c>
      <c r="M436" s="4">
        <v>3</v>
      </c>
      <c r="N436" s="4" t="s">
        <v>3</v>
      </c>
      <c r="O436" s="4">
        <v>2</v>
      </c>
      <c r="P436" s="4"/>
      <c r="Q436" s="4"/>
      <c r="R436" s="4"/>
      <c r="S436" s="4"/>
      <c r="T436" s="4"/>
      <c r="U436" s="4"/>
      <c r="V436" s="4"/>
      <c r="W436" s="4"/>
    </row>
    <row r="437" spans="1:23" x14ac:dyDescent="0.2">
      <c r="A437" s="4">
        <v>50</v>
      </c>
      <c r="B437" s="4">
        <v>0</v>
      </c>
      <c r="C437" s="4">
        <v>0</v>
      </c>
      <c r="D437" s="4">
        <v>1</v>
      </c>
      <c r="E437" s="4">
        <v>227</v>
      </c>
      <c r="F437" s="4">
        <f>ROUND(Source!AX430,O437)</f>
        <v>0</v>
      </c>
      <c r="G437" s="4" t="s">
        <v>60</v>
      </c>
      <c r="H437" s="4" t="s">
        <v>61</v>
      </c>
      <c r="I437" s="4"/>
      <c r="J437" s="4"/>
      <c r="K437" s="4">
        <v>-227</v>
      </c>
      <c r="L437" s="4">
        <v>6</v>
      </c>
      <c r="M437" s="4">
        <v>3</v>
      </c>
      <c r="N437" s="4" t="s">
        <v>3</v>
      </c>
      <c r="O437" s="4">
        <v>2</v>
      </c>
      <c r="P437" s="4"/>
      <c r="Q437" s="4"/>
      <c r="R437" s="4"/>
      <c r="S437" s="4"/>
      <c r="T437" s="4"/>
      <c r="U437" s="4"/>
      <c r="V437" s="4"/>
      <c r="W437" s="4"/>
    </row>
    <row r="438" spans="1:23" x14ac:dyDescent="0.2">
      <c r="A438" s="4">
        <v>50</v>
      </c>
      <c r="B438" s="4">
        <v>0</v>
      </c>
      <c r="C438" s="4">
        <v>0</v>
      </c>
      <c r="D438" s="4">
        <v>1</v>
      </c>
      <c r="E438" s="4">
        <v>228</v>
      </c>
      <c r="F438" s="4">
        <f>ROUND(Source!AY430,O438)</f>
        <v>536879.66</v>
      </c>
      <c r="G438" s="4" t="s">
        <v>62</v>
      </c>
      <c r="H438" s="4" t="s">
        <v>63</v>
      </c>
      <c r="I438" s="4"/>
      <c r="J438" s="4"/>
      <c r="K438" s="4">
        <v>-228</v>
      </c>
      <c r="L438" s="4">
        <v>7</v>
      </c>
      <c r="M438" s="4">
        <v>3</v>
      </c>
      <c r="N438" s="4" t="s">
        <v>3</v>
      </c>
      <c r="O438" s="4">
        <v>2</v>
      </c>
      <c r="P438" s="4"/>
      <c r="Q438" s="4"/>
      <c r="R438" s="4"/>
      <c r="S438" s="4"/>
      <c r="T438" s="4"/>
      <c r="U438" s="4"/>
      <c r="V438" s="4"/>
      <c r="W438" s="4"/>
    </row>
    <row r="439" spans="1:23" x14ac:dyDescent="0.2">
      <c r="A439" s="4">
        <v>50</v>
      </c>
      <c r="B439" s="4">
        <v>0</v>
      </c>
      <c r="C439" s="4">
        <v>0</v>
      </c>
      <c r="D439" s="4">
        <v>1</v>
      </c>
      <c r="E439" s="4">
        <v>216</v>
      </c>
      <c r="F439" s="4">
        <f>ROUND(Source!AP430,O439)</f>
        <v>0</v>
      </c>
      <c r="G439" s="4" t="s">
        <v>64</v>
      </c>
      <c r="H439" s="4" t="s">
        <v>65</v>
      </c>
      <c r="I439" s="4"/>
      <c r="J439" s="4"/>
      <c r="K439" s="4">
        <v>-216</v>
      </c>
      <c r="L439" s="4">
        <v>8</v>
      </c>
      <c r="M439" s="4">
        <v>3</v>
      </c>
      <c r="N439" s="4" t="s">
        <v>3</v>
      </c>
      <c r="O439" s="4">
        <v>2</v>
      </c>
      <c r="P439" s="4"/>
      <c r="Q439" s="4"/>
      <c r="R439" s="4"/>
      <c r="S439" s="4"/>
      <c r="T439" s="4"/>
      <c r="U439" s="4"/>
      <c r="V439" s="4"/>
      <c r="W439" s="4"/>
    </row>
    <row r="440" spans="1:23" x14ac:dyDescent="0.2">
      <c r="A440" s="4">
        <v>50</v>
      </c>
      <c r="B440" s="4">
        <v>0</v>
      </c>
      <c r="C440" s="4">
        <v>0</v>
      </c>
      <c r="D440" s="4">
        <v>1</v>
      </c>
      <c r="E440" s="4">
        <v>223</v>
      </c>
      <c r="F440" s="4">
        <f>ROUND(Source!AQ430,O440)</f>
        <v>0</v>
      </c>
      <c r="G440" s="4" t="s">
        <v>66</v>
      </c>
      <c r="H440" s="4" t="s">
        <v>67</v>
      </c>
      <c r="I440" s="4"/>
      <c r="J440" s="4"/>
      <c r="K440" s="4">
        <v>-223</v>
      </c>
      <c r="L440" s="4">
        <v>9</v>
      </c>
      <c r="M440" s="4">
        <v>3</v>
      </c>
      <c r="N440" s="4" t="s">
        <v>3</v>
      </c>
      <c r="O440" s="4">
        <v>2</v>
      </c>
      <c r="P440" s="4"/>
      <c r="Q440" s="4"/>
      <c r="R440" s="4"/>
      <c r="S440" s="4"/>
      <c r="T440" s="4"/>
      <c r="U440" s="4"/>
      <c r="V440" s="4"/>
      <c r="W440" s="4"/>
    </row>
    <row r="441" spans="1:23" x14ac:dyDescent="0.2">
      <c r="A441" s="4">
        <v>50</v>
      </c>
      <c r="B441" s="4">
        <v>0</v>
      </c>
      <c r="C441" s="4">
        <v>0</v>
      </c>
      <c r="D441" s="4">
        <v>1</v>
      </c>
      <c r="E441" s="4">
        <v>229</v>
      </c>
      <c r="F441" s="4">
        <f>ROUND(Source!AZ430,O441)</f>
        <v>0</v>
      </c>
      <c r="G441" s="4" t="s">
        <v>68</v>
      </c>
      <c r="H441" s="4" t="s">
        <v>69</v>
      </c>
      <c r="I441" s="4"/>
      <c r="J441" s="4"/>
      <c r="K441" s="4">
        <v>-229</v>
      </c>
      <c r="L441" s="4">
        <v>10</v>
      </c>
      <c r="M441" s="4">
        <v>3</v>
      </c>
      <c r="N441" s="4" t="s">
        <v>3</v>
      </c>
      <c r="O441" s="4">
        <v>2</v>
      </c>
      <c r="P441" s="4"/>
      <c r="Q441" s="4"/>
      <c r="R441" s="4"/>
      <c r="S441" s="4"/>
      <c r="T441" s="4"/>
      <c r="U441" s="4"/>
      <c r="V441" s="4"/>
      <c r="W441" s="4"/>
    </row>
    <row r="442" spans="1:23" x14ac:dyDescent="0.2">
      <c r="A442" s="4">
        <v>50</v>
      </c>
      <c r="B442" s="4">
        <v>0</v>
      </c>
      <c r="C442" s="4">
        <v>0</v>
      </c>
      <c r="D442" s="4">
        <v>1</v>
      </c>
      <c r="E442" s="4">
        <v>203</v>
      </c>
      <c r="F442" s="4">
        <f>ROUND(Source!Q430,O442)</f>
        <v>78287.460000000006</v>
      </c>
      <c r="G442" s="4" t="s">
        <v>70</v>
      </c>
      <c r="H442" s="4" t="s">
        <v>71</v>
      </c>
      <c r="I442" s="4"/>
      <c r="J442" s="4"/>
      <c r="K442" s="4">
        <v>-203</v>
      </c>
      <c r="L442" s="4">
        <v>11</v>
      </c>
      <c r="M442" s="4">
        <v>3</v>
      </c>
      <c r="N442" s="4" t="s">
        <v>3</v>
      </c>
      <c r="O442" s="4">
        <v>2</v>
      </c>
      <c r="P442" s="4"/>
      <c r="Q442" s="4"/>
      <c r="R442" s="4"/>
      <c r="S442" s="4"/>
      <c r="T442" s="4"/>
      <c r="U442" s="4"/>
      <c r="V442" s="4"/>
      <c r="W442" s="4"/>
    </row>
    <row r="443" spans="1:23" x14ac:dyDescent="0.2">
      <c r="A443" s="4">
        <v>50</v>
      </c>
      <c r="B443" s="4">
        <v>0</v>
      </c>
      <c r="C443" s="4">
        <v>0</v>
      </c>
      <c r="D443" s="4">
        <v>1</v>
      </c>
      <c r="E443" s="4">
        <v>231</v>
      </c>
      <c r="F443" s="4">
        <f>ROUND(Source!BB430,O443)</f>
        <v>0</v>
      </c>
      <c r="G443" s="4" t="s">
        <v>72</v>
      </c>
      <c r="H443" s="4" t="s">
        <v>73</v>
      </c>
      <c r="I443" s="4"/>
      <c r="J443" s="4"/>
      <c r="K443" s="4">
        <v>-231</v>
      </c>
      <c r="L443" s="4">
        <v>12</v>
      </c>
      <c r="M443" s="4">
        <v>3</v>
      </c>
      <c r="N443" s="4" t="s">
        <v>3</v>
      </c>
      <c r="O443" s="4">
        <v>2</v>
      </c>
      <c r="P443" s="4"/>
      <c r="Q443" s="4"/>
      <c r="R443" s="4"/>
      <c r="S443" s="4"/>
      <c r="T443" s="4"/>
      <c r="U443" s="4"/>
      <c r="V443" s="4"/>
      <c r="W443" s="4"/>
    </row>
    <row r="444" spans="1:23" x14ac:dyDescent="0.2">
      <c r="A444" s="4">
        <v>50</v>
      </c>
      <c r="B444" s="4">
        <v>0</v>
      </c>
      <c r="C444" s="4">
        <v>0</v>
      </c>
      <c r="D444" s="4">
        <v>1</v>
      </c>
      <c r="E444" s="4">
        <v>204</v>
      </c>
      <c r="F444" s="4">
        <f>ROUND(Source!R430,O444)</f>
        <v>33606.22</v>
      </c>
      <c r="G444" s="4" t="s">
        <v>74</v>
      </c>
      <c r="H444" s="4" t="s">
        <v>75</v>
      </c>
      <c r="I444" s="4"/>
      <c r="J444" s="4"/>
      <c r="K444" s="4">
        <v>-204</v>
      </c>
      <c r="L444" s="4">
        <v>13</v>
      </c>
      <c r="M444" s="4">
        <v>3</v>
      </c>
      <c r="N444" s="4" t="s">
        <v>3</v>
      </c>
      <c r="O444" s="4">
        <v>2</v>
      </c>
      <c r="P444" s="4"/>
      <c r="Q444" s="4"/>
      <c r="R444" s="4"/>
      <c r="S444" s="4"/>
      <c r="T444" s="4"/>
      <c r="U444" s="4"/>
      <c r="V444" s="4"/>
      <c r="W444" s="4"/>
    </row>
    <row r="445" spans="1:23" x14ac:dyDescent="0.2">
      <c r="A445" s="4">
        <v>50</v>
      </c>
      <c r="B445" s="4">
        <v>0</v>
      </c>
      <c r="C445" s="4">
        <v>0</v>
      </c>
      <c r="D445" s="4">
        <v>1</v>
      </c>
      <c r="E445" s="4">
        <v>205</v>
      </c>
      <c r="F445" s="4">
        <f>ROUND(Source!S430,O445)</f>
        <v>32899.57</v>
      </c>
      <c r="G445" s="4" t="s">
        <v>76</v>
      </c>
      <c r="H445" s="4" t="s">
        <v>77</v>
      </c>
      <c r="I445" s="4"/>
      <c r="J445" s="4"/>
      <c r="K445" s="4">
        <v>-205</v>
      </c>
      <c r="L445" s="4">
        <v>14</v>
      </c>
      <c r="M445" s="4">
        <v>3</v>
      </c>
      <c r="N445" s="4" t="s">
        <v>3</v>
      </c>
      <c r="O445" s="4">
        <v>2</v>
      </c>
      <c r="P445" s="4"/>
      <c r="Q445" s="4"/>
      <c r="R445" s="4"/>
      <c r="S445" s="4"/>
      <c r="T445" s="4"/>
      <c r="U445" s="4"/>
      <c r="V445" s="4"/>
      <c r="W445" s="4"/>
    </row>
    <row r="446" spans="1:23" x14ac:dyDescent="0.2">
      <c r="A446" s="4">
        <v>50</v>
      </c>
      <c r="B446" s="4">
        <v>0</v>
      </c>
      <c r="C446" s="4">
        <v>0</v>
      </c>
      <c r="D446" s="4">
        <v>1</v>
      </c>
      <c r="E446" s="4">
        <v>232</v>
      </c>
      <c r="F446" s="4">
        <f>ROUND(Source!BC430,O446)</f>
        <v>0</v>
      </c>
      <c r="G446" s="4" t="s">
        <v>78</v>
      </c>
      <c r="H446" s="4" t="s">
        <v>79</v>
      </c>
      <c r="I446" s="4"/>
      <c r="J446" s="4"/>
      <c r="K446" s="4">
        <v>-232</v>
      </c>
      <c r="L446" s="4">
        <v>15</v>
      </c>
      <c r="M446" s="4">
        <v>3</v>
      </c>
      <c r="N446" s="4" t="s">
        <v>3</v>
      </c>
      <c r="O446" s="4">
        <v>2</v>
      </c>
      <c r="P446" s="4"/>
      <c r="Q446" s="4"/>
      <c r="R446" s="4"/>
      <c r="S446" s="4"/>
      <c r="T446" s="4"/>
      <c r="U446" s="4"/>
      <c r="V446" s="4"/>
      <c r="W446" s="4"/>
    </row>
    <row r="447" spans="1:23" x14ac:dyDescent="0.2">
      <c r="A447" s="4">
        <v>50</v>
      </c>
      <c r="B447" s="4">
        <v>0</v>
      </c>
      <c r="C447" s="4">
        <v>0</v>
      </c>
      <c r="D447" s="4">
        <v>1</v>
      </c>
      <c r="E447" s="4">
        <v>214</v>
      </c>
      <c r="F447" s="4">
        <f>ROUND(Source!AS430,O447)</f>
        <v>0</v>
      </c>
      <c r="G447" s="4" t="s">
        <v>80</v>
      </c>
      <c r="H447" s="4" t="s">
        <v>81</v>
      </c>
      <c r="I447" s="4"/>
      <c r="J447" s="4"/>
      <c r="K447" s="4">
        <v>-214</v>
      </c>
      <c r="L447" s="4">
        <v>16</v>
      </c>
      <c r="M447" s="4">
        <v>3</v>
      </c>
      <c r="N447" s="4" t="s">
        <v>3</v>
      </c>
      <c r="O447" s="4">
        <v>2</v>
      </c>
      <c r="P447" s="4"/>
      <c r="Q447" s="4"/>
      <c r="R447" s="4"/>
      <c r="S447" s="4"/>
      <c r="T447" s="4"/>
      <c r="U447" s="4"/>
      <c r="V447" s="4"/>
      <c r="W447" s="4"/>
    </row>
    <row r="448" spans="1:23" x14ac:dyDescent="0.2">
      <c r="A448" s="4">
        <v>50</v>
      </c>
      <c r="B448" s="4">
        <v>0</v>
      </c>
      <c r="C448" s="4">
        <v>0</v>
      </c>
      <c r="D448" s="4">
        <v>1</v>
      </c>
      <c r="E448" s="4">
        <v>215</v>
      </c>
      <c r="F448" s="4">
        <f>ROUND(Source!AT430,O448)</f>
        <v>0</v>
      </c>
      <c r="G448" s="4" t="s">
        <v>82</v>
      </c>
      <c r="H448" s="4" t="s">
        <v>83</v>
      </c>
      <c r="I448" s="4"/>
      <c r="J448" s="4"/>
      <c r="K448" s="4">
        <v>-215</v>
      </c>
      <c r="L448" s="4">
        <v>17</v>
      </c>
      <c r="M448" s="4">
        <v>3</v>
      </c>
      <c r="N448" s="4" t="s">
        <v>3</v>
      </c>
      <c r="O448" s="4">
        <v>2</v>
      </c>
      <c r="P448" s="4"/>
      <c r="Q448" s="4"/>
      <c r="R448" s="4"/>
      <c r="S448" s="4"/>
      <c r="T448" s="4"/>
      <c r="U448" s="4"/>
      <c r="V448" s="4"/>
      <c r="W448" s="4"/>
    </row>
    <row r="449" spans="1:245" x14ac:dyDescent="0.2">
      <c r="A449" s="4">
        <v>50</v>
      </c>
      <c r="B449" s="4">
        <v>0</v>
      </c>
      <c r="C449" s="4">
        <v>0</v>
      </c>
      <c r="D449" s="4">
        <v>1</v>
      </c>
      <c r="E449" s="4">
        <v>217</v>
      </c>
      <c r="F449" s="4">
        <f>ROUND(Source!AU430,O449)</f>
        <v>710681.07</v>
      </c>
      <c r="G449" s="4" t="s">
        <v>84</v>
      </c>
      <c r="H449" s="4" t="s">
        <v>85</v>
      </c>
      <c r="I449" s="4"/>
      <c r="J449" s="4"/>
      <c r="K449" s="4">
        <v>-217</v>
      </c>
      <c r="L449" s="4">
        <v>18</v>
      </c>
      <c r="M449" s="4">
        <v>3</v>
      </c>
      <c r="N449" s="4" t="s">
        <v>3</v>
      </c>
      <c r="O449" s="4">
        <v>2</v>
      </c>
      <c r="P449" s="4"/>
      <c r="Q449" s="4"/>
      <c r="R449" s="4"/>
      <c r="S449" s="4"/>
      <c r="T449" s="4"/>
      <c r="U449" s="4"/>
      <c r="V449" s="4"/>
      <c r="W449" s="4"/>
    </row>
    <row r="450" spans="1:245" x14ac:dyDescent="0.2">
      <c r="A450" s="4">
        <v>50</v>
      </c>
      <c r="B450" s="4">
        <v>0</v>
      </c>
      <c r="C450" s="4">
        <v>0</v>
      </c>
      <c r="D450" s="4">
        <v>1</v>
      </c>
      <c r="E450" s="4">
        <v>230</v>
      </c>
      <c r="F450" s="4">
        <f>ROUND(Source!BA430,O450)</f>
        <v>0</v>
      </c>
      <c r="G450" s="4" t="s">
        <v>86</v>
      </c>
      <c r="H450" s="4" t="s">
        <v>87</v>
      </c>
      <c r="I450" s="4"/>
      <c r="J450" s="4"/>
      <c r="K450" s="4">
        <v>-230</v>
      </c>
      <c r="L450" s="4">
        <v>19</v>
      </c>
      <c r="M450" s="4">
        <v>3</v>
      </c>
      <c r="N450" s="4" t="s">
        <v>3</v>
      </c>
      <c r="O450" s="4">
        <v>2</v>
      </c>
      <c r="P450" s="4"/>
      <c r="Q450" s="4"/>
      <c r="R450" s="4"/>
      <c r="S450" s="4"/>
      <c r="T450" s="4"/>
      <c r="U450" s="4"/>
      <c r="V450" s="4"/>
      <c r="W450" s="4"/>
    </row>
    <row r="451" spans="1:245" x14ac:dyDescent="0.2">
      <c r="A451" s="4">
        <v>50</v>
      </c>
      <c r="B451" s="4">
        <v>0</v>
      </c>
      <c r="C451" s="4">
        <v>0</v>
      </c>
      <c r="D451" s="4">
        <v>1</v>
      </c>
      <c r="E451" s="4">
        <v>206</v>
      </c>
      <c r="F451" s="4">
        <f>ROUND(Source!T430,O451)</f>
        <v>0</v>
      </c>
      <c r="G451" s="4" t="s">
        <v>88</v>
      </c>
      <c r="H451" s="4" t="s">
        <v>89</v>
      </c>
      <c r="I451" s="4"/>
      <c r="J451" s="4"/>
      <c r="K451" s="4">
        <v>-206</v>
      </c>
      <c r="L451" s="4">
        <v>20</v>
      </c>
      <c r="M451" s="4">
        <v>3</v>
      </c>
      <c r="N451" s="4" t="s">
        <v>3</v>
      </c>
      <c r="O451" s="4">
        <v>2</v>
      </c>
      <c r="P451" s="4"/>
      <c r="Q451" s="4"/>
      <c r="R451" s="4"/>
      <c r="S451" s="4"/>
      <c r="T451" s="4"/>
      <c r="U451" s="4"/>
      <c r="V451" s="4"/>
      <c r="W451" s="4"/>
    </row>
    <row r="452" spans="1:245" x14ac:dyDescent="0.2">
      <c r="A452" s="4">
        <v>50</v>
      </c>
      <c r="B452" s="4">
        <v>0</v>
      </c>
      <c r="C452" s="4">
        <v>0</v>
      </c>
      <c r="D452" s="4">
        <v>1</v>
      </c>
      <c r="E452" s="4">
        <v>207</v>
      </c>
      <c r="F452" s="4">
        <f>Source!U430</f>
        <v>159.664896</v>
      </c>
      <c r="G452" s="4" t="s">
        <v>90</v>
      </c>
      <c r="H452" s="4" t="s">
        <v>91</v>
      </c>
      <c r="I452" s="4"/>
      <c r="J452" s="4"/>
      <c r="K452" s="4">
        <v>-207</v>
      </c>
      <c r="L452" s="4">
        <v>21</v>
      </c>
      <c r="M452" s="4">
        <v>3</v>
      </c>
      <c r="N452" s="4" t="s">
        <v>3</v>
      </c>
      <c r="O452" s="4">
        <v>-1</v>
      </c>
      <c r="P452" s="4"/>
      <c r="Q452" s="4"/>
      <c r="R452" s="4"/>
      <c r="S452" s="4"/>
      <c r="T452" s="4"/>
      <c r="U452" s="4"/>
      <c r="V452" s="4"/>
      <c r="W452" s="4"/>
    </row>
    <row r="453" spans="1:245" x14ac:dyDescent="0.2">
      <c r="A453" s="4">
        <v>50</v>
      </c>
      <c r="B453" s="4">
        <v>0</v>
      </c>
      <c r="C453" s="4">
        <v>0</v>
      </c>
      <c r="D453" s="4">
        <v>1</v>
      </c>
      <c r="E453" s="4">
        <v>208</v>
      </c>
      <c r="F453" s="4">
        <f>Source!V430</f>
        <v>0</v>
      </c>
      <c r="G453" s="4" t="s">
        <v>92</v>
      </c>
      <c r="H453" s="4" t="s">
        <v>93</v>
      </c>
      <c r="I453" s="4"/>
      <c r="J453" s="4"/>
      <c r="K453" s="4">
        <v>-208</v>
      </c>
      <c r="L453" s="4">
        <v>22</v>
      </c>
      <c r="M453" s="4">
        <v>3</v>
      </c>
      <c r="N453" s="4" t="s">
        <v>3</v>
      </c>
      <c r="O453" s="4">
        <v>-1</v>
      </c>
      <c r="P453" s="4"/>
      <c r="Q453" s="4"/>
      <c r="R453" s="4"/>
      <c r="S453" s="4"/>
      <c r="T453" s="4"/>
      <c r="U453" s="4"/>
      <c r="V453" s="4"/>
      <c r="W453" s="4"/>
    </row>
    <row r="454" spans="1:245" x14ac:dyDescent="0.2">
      <c r="A454" s="4">
        <v>50</v>
      </c>
      <c r="B454" s="4">
        <v>0</v>
      </c>
      <c r="C454" s="4">
        <v>0</v>
      </c>
      <c r="D454" s="4">
        <v>1</v>
      </c>
      <c r="E454" s="4">
        <v>209</v>
      </c>
      <c r="F454" s="4">
        <f>ROUND(Source!W430,O454)</f>
        <v>0</v>
      </c>
      <c r="G454" s="4" t="s">
        <v>94</v>
      </c>
      <c r="H454" s="4" t="s">
        <v>95</v>
      </c>
      <c r="I454" s="4"/>
      <c r="J454" s="4"/>
      <c r="K454" s="4">
        <v>-209</v>
      </c>
      <c r="L454" s="4">
        <v>23</v>
      </c>
      <c r="M454" s="4">
        <v>3</v>
      </c>
      <c r="N454" s="4" t="s">
        <v>3</v>
      </c>
      <c r="O454" s="4">
        <v>2</v>
      </c>
      <c r="P454" s="4"/>
      <c r="Q454" s="4"/>
      <c r="R454" s="4"/>
      <c r="S454" s="4"/>
      <c r="T454" s="4"/>
      <c r="U454" s="4"/>
      <c r="V454" s="4"/>
      <c r="W454" s="4"/>
    </row>
    <row r="455" spans="1:245" x14ac:dyDescent="0.2">
      <c r="A455" s="4">
        <v>50</v>
      </c>
      <c r="B455" s="4">
        <v>0</v>
      </c>
      <c r="C455" s="4">
        <v>0</v>
      </c>
      <c r="D455" s="4">
        <v>1</v>
      </c>
      <c r="E455" s="4">
        <v>233</v>
      </c>
      <c r="F455" s="4">
        <f>ROUND(Source!BD430,O455)</f>
        <v>0</v>
      </c>
      <c r="G455" s="4" t="s">
        <v>96</v>
      </c>
      <c r="H455" s="4" t="s">
        <v>97</v>
      </c>
      <c r="I455" s="4"/>
      <c r="J455" s="4"/>
      <c r="K455" s="4">
        <v>-233</v>
      </c>
      <c r="L455" s="4">
        <v>24</v>
      </c>
      <c r="M455" s="4">
        <v>3</v>
      </c>
      <c r="N455" s="4" t="s">
        <v>3</v>
      </c>
      <c r="O455" s="4">
        <v>2</v>
      </c>
      <c r="P455" s="4"/>
      <c r="Q455" s="4"/>
      <c r="R455" s="4"/>
      <c r="S455" s="4"/>
      <c r="T455" s="4"/>
      <c r="U455" s="4"/>
      <c r="V455" s="4"/>
      <c r="W455" s="4"/>
    </row>
    <row r="456" spans="1:245" x14ac:dyDescent="0.2">
      <c r="A456" s="4">
        <v>50</v>
      </c>
      <c r="B456" s="4">
        <v>0</v>
      </c>
      <c r="C456" s="4">
        <v>0</v>
      </c>
      <c r="D456" s="4">
        <v>1</v>
      </c>
      <c r="E456" s="4">
        <v>210</v>
      </c>
      <c r="F456" s="4">
        <f>ROUND(Source!X430,O456)</f>
        <v>23029.7</v>
      </c>
      <c r="G456" s="4" t="s">
        <v>98</v>
      </c>
      <c r="H456" s="4" t="s">
        <v>99</v>
      </c>
      <c r="I456" s="4"/>
      <c r="J456" s="4"/>
      <c r="K456" s="4">
        <v>-210</v>
      </c>
      <c r="L456" s="4">
        <v>25</v>
      </c>
      <c r="M456" s="4">
        <v>3</v>
      </c>
      <c r="N456" s="4" t="s">
        <v>3</v>
      </c>
      <c r="O456" s="4">
        <v>2</v>
      </c>
      <c r="P456" s="4"/>
      <c r="Q456" s="4"/>
      <c r="R456" s="4"/>
      <c r="S456" s="4"/>
      <c r="T456" s="4"/>
      <c r="U456" s="4"/>
      <c r="V456" s="4"/>
      <c r="W456" s="4"/>
    </row>
    <row r="457" spans="1:245" x14ac:dyDescent="0.2">
      <c r="A457" s="4">
        <v>50</v>
      </c>
      <c r="B457" s="4">
        <v>0</v>
      </c>
      <c r="C457" s="4">
        <v>0</v>
      </c>
      <c r="D457" s="4">
        <v>1</v>
      </c>
      <c r="E457" s="4">
        <v>211</v>
      </c>
      <c r="F457" s="4">
        <f>ROUND(Source!Y430,O457)</f>
        <v>3289.97</v>
      </c>
      <c r="G457" s="4" t="s">
        <v>100</v>
      </c>
      <c r="H457" s="4" t="s">
        <v>101</v>
      </c>
      <c r="I457" s="4"/>
      <c r="J457" s="4"/>
      <c r="K457" s="4">
        <v>-211</v>
      </c>
      <c r="L457" s="4">
        <v>26</v>
      </c>
      <c r="M457" s="4">
        <v>3</v>
      </c>
      <c r="N457" s="4" t="s">
        <v>3</v>
      </c>
      <c r="O457" s="4">
        <v>2</v>
      </c>
      <c r="P457" s="4"/>
      <c r="Q457" s="4"/>
      <c r="R457" s="4"/>
      <c r="S457" s="4"/>
      <c r="T457" s="4"/>
      <c r="U457" s="4"/>
      <c r="V457" s="4"/>
      <c r="W457" s="4"/>
    </row>
    <row r="458" spans="1:245" x14ac:dyDescent="0.2">
      <c r="A458" s="4">
        <v>50</v>
      </c>
      <c r="B458" s="4">
        <v>0</v>
      </c>
      <c r="C458" s="4">
        <v>0</v>
      </c>
      <c r="D458" s="4">
        <v>1</v>
      </c>
      <c r="E458" s="4">
        <v>224</v>
      </c>
      <c r="F458" s="4">
        <f>ROUND(Source!AR430,O458)</f>
        <v>710681.07</v>
      </c>
      <c r="G458" s="4" t="s">
        <v>102</v>
      </c>
      <c r="H458" s="4" t="s">
        <v>103</v>
      </c>
      <c r="I458" s="4"/>
      <c r="J458" s="4"/>
      <c r="K458" s="4">
        <v>-224</v>
      </c>
      <c r="L458" s="4">
        <v>27</v>
      </c>
      <c r="M458" s="4">
        <v>3</v>
      </c>
      <c r="N458" s="4" t="s">
        <v>3</v>
      </c>
      <c r="O458" s="4">
        <v>2</v>
      </c>
      <c r="P458" s="4"/>
      <c r="Q458" s="4"/>
      <c r="R458" s="4"/>
      <c r="S458" s="4"/>
      <c r="T458" s="4"/>
      <c r="U458" s="4"/>
      <c r="V458" s="4"/>
      <c r="W458" s="4"/>
    </row>
    <row r="460" spans="1:245" x14ac:dyDescent="0.2">
      <c r="A460" s="1">
        <v>4</v>
      </c>
      <c r="B460" s="1">
        <v>1</v>
      </c>
      <c r="C460" s="1"/>
      <c r="D460" s="1">
        <f>ROW(A470)</f>
        <v>470</v>
      </c>
      <c r="E460" s="1"/>
      <c r="F460" s="1" t="s">
        <v>13</v>
      </c>
      <c r="G460" s="1" t="s">
        <v>327</v>
      </c>
      <c r="H460" s="1" t="s">
        <v>3</v>
      </c>
      <c r="I460" s="1">
        <v>0</v>
      </c>
      <c r="J460" s="1"/>
      <c r="K460" s="1">
        <v>-1</v>
      </c>
      <c r="L460" s="1"/>
      <c r="M460" s="1" t="s">
        <v>3</v>
      </c>
      <c r="N460" s="1"/>
      <c r="O460" s="1"/>
      <c r="P460" s="1"/>
      <c r="Q460" s="1"/>
      <c r="R460" s="1"/>
      <c r="S460" s="1">
        <v>0</v>
      </c>
      <c r="T460" s="1"/>
      <c r="U460" s="1" t="s">
        <v>3</v>
      </c>
      <c r="V460" s="1">
        <v>7</v>
      </c>
      <c r="W460" s="1"/>
      <c r="X460" s="1"/>
      <c r="Y460" s="1"/>
      <c r="Z460" s="1"/>
      <c r="AA460" s="1"/>
      <c r="AB460" s="1" t="s">
        <v>3</v>
      </c>
      <c r="AC460" s="1" t="s">
        <v>3</v>
      </c>
      <c r="AD460" s="1" t="s">
        <v>3</v>
      </c>
      <c r="AE460" s="1" t="s">
        <v>3</v>
      </c>
      <c r="AF460" s="1" t="s">
        <v>3</v>
      </c>
      <c r="AG460" s="1" t="s">
        <v>3</v>
      </c>
      <c r="AH460" s="1"/>
      <c r="AI460" s="1"/>
      <c r="AJ460" s="1"/>
      <c r="AK460" s="1"/>
      <c r="AL460" s="1"/>
      <c r="AM460" s="1"/>
      <c r="AN460" s="1"/>
      <c r="AO460" s="1"/>
      <c r="AP460" s="1" t="s">
        <v>3</v>
      </c>
      <c r="AQ460" s="1" t="s">
        <v>3</v>
      </c>
      <c r="AR460" s="1" t="s">
        <v>3</v>
      </c>
      <c r="AS460" s="1"/>
      <c r="AT460" s="1"/>
      <c r="AU460" s="1"/>
      <c r="AV460" s="1"/>
      <c r="AW460" s="1"/>
      <c r="AX460" s="1"/>
      <c r="AY460" s="1"/>
      <c r="AZ460" s="1" t="s">
        <v>3</v>
      </c>
      <c r="BA460" s="1"/>
      <c r="BB460" s="1" t="s">
        <v>3</v>
      </c>
      <c r="BC460" s="1" t="s">
        <v>3</v>
      </c>
      <c r="BD460" s="1" t="s">
        <v>3</v>
      </c>
      <c r="BE460" s="1" t="s">
        <v>3</v>
      </c>
      <c r="BF460" s="1" t="s">
        <v>3</v>
      </c>
      <c r="BG460" s="1" t="s">
        <v>3</v>
      </c>
      <c r="BH460" s="1" t="s">
        <v>3</v>
      </c>
      <c r="BI460" s="1" t="s">
        <v>3</v>
      </c>
      <c r="BJ460" s="1" t="s">
        <v>3</v>
      </c>
      <c r="BK460" s="1" t="s">
        <v>3</v>
      </c>
      <c r="BL460" s="1" t="s">
        <v>3</v>
      </c>
      <c r="BM460" s="1" t="s">
        <v>3</v>
      </c>
      <c r="BN460" s="1" t="s">
        <v>3</v>
      </c>
      <c r="BO460" s="1" t="s">
        <v>3</v>
      </c>
      <c r="BP460" s="1" t="s">
        <v>3</v>
      </c>
      <c r="BQ460" s="1"/>
      <c r="BR460" s="1"/>
      <c r="BS460" s="1"/>
      <c r="BT460" s="1"/>
      <c r="BU460" s="1"/>
      <c r="BV460" s="1"/>
      <c r="BW460" s="1"/>
      <c r="BX460" s="1">
        <v>0</v>
      </c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>
        <v>0</v>
      </c>
    </row>
    <row r="462" spans="1:245" x14ac:dyDescent="0.2">
      <c r="A462" s="2">
        <v>52</v>
      </c>
      <c r="B462" s="2">
        <f t="shared" ref="B462:G462" si="406">B470</f>
        <v>1</v>
      </c>
      <c r="C462" s="2">
        <f t="shared" si="406"/>
        <v>4</v>
      </c>
      <c r="D462" s="2">
        <f t="shared" si="406"/>
        <v>460</v>
      </c>
      <c r="E462" s="2">
        <f t="shared" si="406"/>
        <v>0</v>
      </c>
      <c r="F462" s="2" t="str">
        <f t="shared" si="406"/>
        <v>Новый раздел</v>
      </c>
      <c r="G462" s="2" t="str">
        <f t="shared" si="406"/>
        <v>Устройство покрытия из резиновой крошки (828 м2)</v>
      </c>
      <c r="H462" s="2"/>
      <c r="I462" s="2"/>
      <c r="J462" s="2"/>
      <c r="K462" s="2"/>
      <c r="L462" s="2"/>
      <c r="M462" s="2"/>
      <c r="N462" s="2"/>
      <c r="O462" s="2">
        <f t="shared" ref="O462:AT462" si="407">O470</f>
        <v>1092806.72</v>
      </c>
      <c r="P462" s="2">
        <f t="shared" si="407"/>
        <v>996625.08</v>
      </c>
      <c r="Q462" s="2">
        <f t="shared" si="407"/>
        <v>40273.760000000002</v>
      </c>
      <c r="R462" s="2">
        <f t="shared" si="407"/>
        <v>31609.81</v>
      </c>
      <c r="S462" s="2">
        <f t="shared" si="407"/>
        <v>55907.88</v>
      </c>
      <c r="T462" s="2">
        <f t="shared" si="407"/>
        <v>0</v>
      </c>
      <c r="U462" s="2">
        <f t="shared" si="407"/>
        <v>262.39319999999998</v>
      </c>
      <c r="V462" s="2">
        <f t="shared" si="407"/>
        <v>0</v>
      </c>
      <c r="W462" s="2">
        <f t="shared" si="407"/>
        <v>0</v>
      </c>
      <c r="X462" s="2">
        <f t="shared" si="407"/>
        <v>39135.519999999997</v>
      </c>
      <c r="Y462" s="2">
        <f t="shared" si="407"/>
        <v>5590.79</v>
      </c>
      <c r="Z462" s="2">
        <f t="shared" si="407"/>
        <v>0</v>
      </c>
      <c r="AA462" s="2">
        <f t="shared" si="407"/>
        <v>0</v>
      </c>
      <c r="AB462" s="2">
        <f t="shared" si="407"/>
        <v>1092806.72</v>
      </c>
      <c r="AC462" s="2">
        <f t="shared" si="407"/>
        <v>996625.08</v>
      </c>
      <c r="AD462" s="2">
        <f t="shared" si="407"/>
        <v>40273.760000000002</v>
      </c>
      <c r="AE462" s="2">
        <f t="shared" si="407"/>
        <v>31609.81</v>
      </c>
      <c r="AF462" s="2">
        <f t="shared" si="407"/>
        <v>55907.88</v>
      </c>
      <c r="AG462" s="2">
        <f t="shared" si="407"/>
        <v>0</v>
      </c>
      <c r="AH462" s="2">
        <f t="shared" si="407"/>
        <v>262.39319999999998</v>
      </c>
      <c r="AI462" s="2">
        <f t="shared" si="407"/>
        <v>0</v>
      </c>
      <c r="AJ462" s="2">
        <f t="shared" si="407"/>
        <v>0</v>
      </c>
      <c r="AK462" s="2">
        <f t="shared" si="407"/>
        <v>39135.519999999997</v>
      </c>
      <c r="AL462" s="2">
        <f t="shared" si="407"/>
        <v>5590.79</v>
      </c>
      <c r="AM462" s="2">
        <f t="shared" si="407"/>
        <v>0</v>
      </c>
      <c r="AN462" s="2">
        <f t="shared" si="407"/>
        <v>0</v>
      </c>
      <c r="AO462" s="2">
        <f t="shared" si="407"/>
        <v>0</v>
      </c>
      <c r="AP462" s="2">
        <f t="shared" si="407"/>
        <v>0</v>
      </c>
      <c r="AQ462" s="2">
        <f t="shared" si="407"/>
        <v>0</v>
      </c>
      <c r="AR462" s="2">
        <f t="shared" si="407"/>
        <v>1171671.6200000001</v>
      </c>
      <c r="AS462" s="2">
        <f t="shared" si="407"/>
        <v>0</v>
      </c>
      <c r="AT462" s="2">
        <f t="shared" si="407"/>
        <v>0</v>
      </c>
      <c r="AU462" s="2">
        <f t="shared" ref="AU462:BZ462" si="408">AU470</f>
        <v>1171671.6200000001</v>
      </c>
      <c r="AV462" s="2">
        <f t="shared" si="408"/>
        <v>996625.08</v>
      </c>
      <c r="AW462" s="2">
        <f t="shared" si="408"/>
        <v>996625.08</v>
      </c>
      <c r="AX462" s="2">
        <f t="shared" si="408"/>
        <v>0</v>
      </c>
      <c r="AY462" s="2">
        <f t="shared" si="408"/>
        <v>996625.08</v>
      </c>
      <c r="AZ462" s="2">
        <f t="shared" si="408"/>
        <v>0</v>
      </c>
      <c r="BA462" s="2">
        <f t="shared" si="408"/>
        <v>0</v>
      </c>
      <c r="BB462" s="2">
        <f t="shared" si="408"/>
        <v>0</v>
      </c>
      <c r="BC462" s="2">
        <f t="shared" si="408"/>
        <v>0</v>
      </c>
      <c r="BD462" s="2">
        <f t="shared" si="408"/>
        <v>0</v>
      </c>
      <c r="BE462" s="2">
        <f t="shared" si="408"/>
        <v>0</v>
      </c>
      <c r="BF462" s="2">
        <f t="shared" si="408"/>
        <v>0</v>
      </c>
      <c r="BG462" s="2">
        <f t="shared" si="408"/>
        <v>0</v>
      </c>
      <c r="BH462" s="2">
        <f t="shared" si="408"/>
        <v>0</v>
      </c>
      <c r="BI462" s="2">
        <f t="shared" si="408"/>
        <v>0</v>
      </c>
      <c r="BJ462" s="2">
        <f t="shared" si="408"/>
        <v>0</v>
      </c>
      <c r="BK462" s="2">
        <f t="shared" si="408"/>
        <v>0</v>
      </c>
      <c r="BL462" s="2">
        <f t="shared" si="408"/>
        <v>0</v>
      </c>
      <c r="BM462" s="2">
        <f t="shared" si="408"/>
        <v>0</v>
      </c>
      <c r="BN462" s="2">
        <f t="shared" si="408"/>
        <v>0</v>
      </c>
      <c r="BO462" s="2">
        <f t="shared" si="408"/>
        <v>0</v>
      </c>
      <c r="BP462" s="2">
        <f t="shared" si="408"/>
        <v>0</v>
      </c>
      <c r="BQ462" s="2">
        <f t="shared" si="408"/>
        <v>0</v>
      </c>
      <c r="BR462" s="2">
        <f t="shared" si="408"/>
        <v>0</v>
      </c>
      <c r="BS462" s="2">
        <f t="shared" si="408"/>
        <v>0</v>
      </c>
      <c r="BT462" s="2">
        <f t="shared" si="408"/>
        <v>0</v>
      </c>
      <c r="BU462" s="2">
        <f t="shared" si="408"/>
        <v>0</v>
      </c>
      <c r="BV462" s="2">
        <f t="shared" si="408"/>
        <v>0</v>
      </c>
      <c r="BW462" s="2">
        <f t="shared" si="408"/>
        <v>0</v>
      </c>
      <c r="BX462" s="2">
        <f t="shared" si="408"/>
        <v>0</v>
      </c>
      <c r="BY462" s="2">
        <f t="shared" si="408"/>
        <v>0</v>
      </c>
      <c r="BZ462" s="2">
        <f t="shared" si="408"/>
        <v>0</v>
      </c>
      <c r="CA462" s="2">
        <f t="shared" ref="CA462:DF462" si="409">CA470</f>
        <v>1171671.6200000001</v>
      </c>
      <c r="CB462" s="2">
        <f t="shared" si="409"/>
        <v>0</v>
      </c>
      <c r="CC462" s="2">
        <f t="shared" si="409"/>
        <v>0</v>
      </c>
      <c r="CD462" s="2">
        <f t="shared" si="409"/>
        <v>1171671.6200000001</v>
      </c>
      <c r="CE462" s="2">
        <f t="shared" si="409"/>
        <v>996625.08</v>
      </c>
      <c r="CF462" s="2">
        <f t="shared" si="409"/>
        <v>996625.08</v>
      </c>
      <c r="CG462" s="2">
        <f t="shared" si="409"/>
        <v>0</v>
      </c>
      <c r="CH462" s="2">
        <f t="shared" si="409"/>
        <v>996625.08</v>
      </c>
      <c r="CI462" s="2">
        <f t="shared" si="409"/>
        <v>0</v>
      </c>
      <c r="CJ462" s="2">
        <f t="shared" si="409"/>
        <v>0</v>
      </c>
      <c r="CK462" s="2">
        <f t="shared" si="409"/>
        <v>0</v>
      </c>
      <c r="CL462" s="2">
        <f t="shared" si="409"/>
        <v>0</v>
      </c>
      <c r="CM462" s="2">
        <f t="shared" si="409"/>
        <v>0</v>
      </c>
      <c r="CN462" s="2">
        <f t="shared" si="409"/>
        <v>0</v>
      </c>
      <c r="CO462" s="2">
        <f t="shared" si="409"/>
        <v>0</v>
      </c>
      <c r="CP462" s="2">
        <f t="shared" si="409"/>
        <v>0</v>
      </c>
      <c r="CQ462" s="2">
        <f t="shared" si="409"/>
        <v>0</v>
      </c>
      <c r="CR462" s="2">
        <f t="shared" si="409"/>
        <v>0</v>
      </c>
      <c r="CS462" s="2">
        <f t="shared" si="409"/>
        <v>0</v>
      </c>
      <c r="CT462" s="2">
        <f t="shared" si="409"/>
        <v>0</v>
      </c>
      <c r="CU462" s="2">
        <f t="shared" si="409"/>
        <v>0</v>
      </c>
      <c r="CV462" s="2">
        <f t="shared" si="409"/>
        <v>0</v>
      </c>
      <c r="CW462" s="2">
        <f t="shared" si="409"/>
        <v>0</v>
      </c>
      <c r="CX462" s="2">
        <f t="shared" si="409"/>
        <v>0</v>
      </c>
      <c r="CY462" s="2">
        <f t="shared" si="409"/>
        <v>0</v>
      </c>
      <c r="CZ462" s="2">
        <f t="shared" si="409"/>
        <v>0</v>
      </c>
      <c r="DA462" s="2">
        <f t="shared" si="409"/>
        <v>0</v>
      </c>
      <c r="DB462" s="2">
        <f t="shared" si="409"/>
        <v>0</v>
      </c>
      <c r="DC462" s="2">
        <f t="shared" si="409"/>
        <v>0</v>
      </c>
      <c r="DD462" s="2">
        <f t="shared" si="409"/>
        <v>0</v>
      </c>
      <c r="DE462" s="2">
        <f t="shared" si="409"/>
        <v>0</v>
      </c>
      <c r="DF462" s="2">
        <f t="shared" si="409"/>
        <v>0</v>
      </c>
      <c r="DG462" s="3">
        <f t="shared" ref="DG462:EL462" si="410">DG470</f>
        <v>0</v>
      </c>
      <c r="DH462" s="3">
        <f t="shared" si="410"/>
        <v>0</v>
      </c>
      <c r="DI462" s="3">
        <f t="shared" si="410"/>
        <v>0</v>
      </c>
      <c r="DJ462" s="3">
        <f t="shared" si="410"/>
        <v>0</v>
      </c>
      <c r="DK462" s="3">
        <f t="shared" si="410"/>
        <v>0</v>
      </c>
      <c r="DL462" s="3">
        <f t="shared" si="410"/>
        <v>0</v>
      </c>
      <c r="DM462" s="3">
        <f t="shared" si="410"/>
        <v>0</v>
      </c>
      <c r="DN462" s="3">
        <f t="shared" si="410"/>
        <v>0</v>
      </c>
      <c r="DO462" s="3">
        <f t="shared" si="410"/>
        <v>0</v>
      </c>
      <c r="DP462" s="3">
        <f t="shared" si="410"/>
        <v>0</v>
      </c>
      <c r="DQ462" s="3">
        <f t="shared" si="410"/>
        <v>0</v>
      </c>
      <c r="DR462" s="3">
        <f t="shared" si="410"/>
        <v>0</v>
      </c>
      <c r="DS462" s="3">
        <f t="shared" si="410"/>
        <v>0</v>
      </c>
      <c r="DT462" s="3">
        <f t="shared" si="410"/>
        <v>0</v>
      </c>
      <c r="DU462" s="3">
        <f t="shared" si="410"/>
        <v>0</v>
      </c>
      <c r="DV462" s="3">
        <f t="shared" si="410"/>
        <v>0</v>
      </c>
      <c r="DW462" s="3">
        <f t="shared" si="410"/>
        <v>0</v>
      </c>
      <c r="DX462" s="3">
        <f t="shared" si="410"/>
        <v>0</v>
      </c>
      <c r="DY462" s="3">
        <f t="shared" si="410"/>
        <v>0</v>
      </c>
      <c r="DZ462" s="3">
        <f t="shared" si="410"/>
        <v>0</v>
      </c>
      <c r="EA462" s="3">
        <f t="shared" si="410"/>
        <v>0</v>
      </c>
      <c r="EB462" s="3">
        <f t="shared" si="410"/>
        <v>0</v>
      </c>
      <c r="EC462" s="3">
        <f t="shared" si="410"/>
        <v>0</v>
      </c>
      <c r="ED462" s="3">
        <f t="shared" si="410"/>
        <v>0</v>
      </c>
      <c r="EE462" s="3">
        <f t="shared" si="410"/>
        <v>0</v>
      </c>
      <c r="EF462" s="3">
        <f t="shared" si="410"/>
        <v>0</v>
      </c>
      <c r="EG462" s="3">
        <f t="shared" si="410"/>
        <v>0</v>
      </c>
      <c r="EH462" s="3">
        <f t="shared" si="410"/>
        <v>0</v>
      </c>
      <c r="EI462" s="3">
        <f t="shared" si="410"/>
        <v>0</v>
      </c>
      <c r="EJ462" s="3">
        <f t="shared" si="410"/>
        <v>0</v>
      </c>
      <c r="EK462" s="3">
        <f t="shared" si="410"/>
        <v>0</v>
      </c>
      <c r="EL462" s="3">
        <f t="shared" si="410"/>
        <v>0</v>
      </c>
      <c r="EM462" s="3">
        <f t="shared" ref="EM462:FR462" si="411">EM470</f>
        <v>0</v>
      </c>
      <c r="EN462" s="3">
        <f t="shared" si="411"/>
        <v>0</v>
      </c>
      <c r="EO462" s="3">
        <f t="shared" si="411"/>
        <v>0</v>
      </c>
      <c r="EP462" s="3">
        <f t="shared" si="411"/>
        <v>0</v>
      </c>
      <c r="EQ462" s="3">
        <f t="shared" si="411"/>
        <v>0</v>
      </c>
      <c r="ER462" s="3">
        <f t="shared" si="411"/>
        <v>0</v>
      </c>
      <c r="ES462" s="3">
        <f t="shared" si="411"/>
        <v>0</v>
      </c>
      <c r="ET462" s="3">
        <f t="shared" si="411"/>
        <v>0</v>
      </c>
      <c r="EU462" s="3">
        <f t="shared" si="411"/>
        <v>0</v>
      </c>
      <c r="EV462" s="3">
        <f t="shared" si="411"/>
        <v>0</v>
      </c>
      <c r="EW462" s="3">
        <f t="shared" si="411"/>
        <v>0</v>
      </c>
      <c r="EX462" s="3">
        <f t="shared" si="411"/>
        <v>0</v>
      </c>
      <c r="EY462" s="3">
        <f t="shared" si="411"/>
        <v>0</v>
      </c>
      <c r="EZ462" s="3">
        <f t="shared" si="411"/>
        <v>0</v>
      </c>
      <c r="FA462" s="3">
        <f t="shared" si="411"/>
        <v>0</v>
      </c>
      <c r="FB462" s="3">
        <f t="shared" si="411"/>
        <v>0</v>
      </c>
      <c r="FC462" s="3">
        <f t="shared" si="411"/>
        <v>0</v>
      </c>
      <c r="FD462" s="3">
        <f t="shared" si="411"/>
        <v>0</v>
      </c>
      <c r="FE462" s="3">
        <f t="shared" si="411"/>
        <v>0</v>
      </c>
      <c r="FF462" s="3">
        <f t="shared" si="411"/>
        <v>0</v>
      </c>
      <c r="FG462" s="3">
        <f t="shared" si="411"/>
        <v>0</v>
      </c>
      <c r="FH462" s="3">
        <f t="shared" si="411"/>
        <v>0</v>
      </c>
      <c r="FI462" s="3">
        <f t="shared" si="411"/>
        <v>0</v>
      </c>
      <c r="FJ462" s="3">
        <f t="shared" si="411"/>
        <v>0</v>
      </c>
      <c r="FK462" s="3">
        <f t="shared" si="411"/>
        <v>0</v>
      </c>
      <c r="FL462" s="3">
        <f t="shared" si="411"/>
        <v>0</v>
      </c>
      <c r="FM462" s="3">
        <f t="shared" si="411"/>
        <v>0</v>
      </c>
      <c r="FN462" s="3">
        <f t="shared" si="411"/>
        <v>0</v>
      </c>
      <c r="FO462" s="3">
        <f t="shared" si="411"/>
        <v>0</v>
      </c>
      <c r="FP462" s="3">
        <f t="shared" si="411"/>
        <v>0</v>
      </c>
      <c r="FQ462" s="3">
        <f t="shared" si="411"/>
        <v>0</v>
      </c>
      <c r="FR462" s="3">
        <f t="shared" si="411"/>
        <v>0</v>
      </c>
      <c r="FS462" s="3">
        <f t="shared" ref="FS462:GX462" si="412">FS470</f>
        <v>0</v>
      </c>
      <c r="FT462" s="3">
        <f t="shared" si="412"/>
        <v>0</v>
      </c>
      <c r="FU462" s="3">
        <f t="shared" si="412"/>
        <v>0</v>
      </c>
      <c r="FV462" s="3">
        <f t="shared" si="412"/>
        <v>0</v>
      </c>
      <c r="FW462" s="3">
        <f t="shared" si="412"/>
        <v>0</v>
      </c>
      <c r="FX462" s="3">
        <f t="shared" si="412"/>
        <v>0</v>
      </c>
      <c r="FY462" s="3">
        <f t="shared" si="412"/>
        <v>0</v>
      </c>
      <c r="FZ462" s="3">
        <f t="shared" si="412"/>
        <v>0</v>
      </c>
      <c r="GA462" s="3">
        <f t="shared" si="412"/>
        <v>0</v>
      </c>
      <c r="GB462" s="3">
        <f t="shared" si="412"/>
        <v>0</v>
      </c>
      <c r="GC462" s="3">
        <f t="shared" si="412"/>
        <v>0</v>
      </c>
      <c r="GD462" s="3">
        <f t="shared" si="412"/>
        <v>0</v>
      </c>
      <c r="GE462" s="3">
        <f t="shared" si="412"/>
        <v>0</v>
      </c>
      <c r="GF462" s="3">
        <f t="shared" si="412"/>
        <v>0</v>
      </c>
      <c r="GG462" s="3">
        <f t="shared" si="412"/>
        <v>0</v>
      </c>
      <c r="GH462" s="3">
        <f t="shared" si="412"/>
        <v>0</v>
      </c>
      <c r="GI462" s="3">
        <f t="shared" si="412"/>
        <v>0</v>
      </c>
      <c r="GJ462" s="3">
        <f t="shared" si="412"/>
        <v>0</v>
      </c>
      <c r="GK462" s="3">
        <f t="shared" si="412"/>
        <v>0</v>
      </c>
      <c r="GL462" s="3">
        <f t="shared" si="412"/>
        <v>0</v>
      </c>
      <c r="GM462" s="3">
        <f t="shared" si="412"/>
        <v>0</v>
      </c>
      <c r="GN462" s="3">
        <f t="shared" si="412"/>
        <v>0</v>
      </c>
      <c r="GO462" s="3">
        <f t="shared" si="412"/>
        <v>0</v>
      </c>
      <c r="GP462" s="3">
        <f t="shared" si="412"/>
        <v>0</v>
      </c>
      <c r="GQ462" s="3">
        <f t="shared" si="412"/>
        <v>0</v>
      </c>
      <c r="GR462" s="3">
        <f t="shared" si="412"/>
        <v>0</v>
      </c>
      <c r="GS462" s="3">
        <f t="shared" si="412"/>
        <v>0</v>
      </c>
      <c r="GT462" s="3">
        <f t="shared" si="412"/>
        <v>0</v>
      </c>
      <c r="GU462" s="3">
        <f t="shared" si="412"/>
        <v>0</v>
      </c>
      <c r="GV462" s="3">
        <f t="shared" si="412"/>
        <v>0</v>
      </c>
      <c r="GW462" s="3">
        <f t="shared" si="412"/>
        <v>0</v>
      </c>
      <c r="GX462" s="3">
        <f t="shared" si="412"/>
        <v>0</v>
      </c>
    </row>
    <row r="464" spans="1:245" x14ac:dyDescent="0.2">
      <c r="A464">
        <v>17</v>
      </c>
      <c r="B464">
        <v>1</v>
      </c>
      <c r="C464">
        <f>ROW(SmtRes!A223)</f>
        <v>223</v>
      </c>
      <c r="D464">
        <f>ROW(EtalonRes!A208)</f>
        <v>208</v>
      </c>
      <c r="E464" t="s">
        <v>328</v>
      </c>
      <c r="F464" t="s">
        <v>194</v>
      </c>
      <c r="G464" t="s">
        <v>195</v>
      </c>
      <c r="H464" t="s">
        <v>39</v>
      </c>
      <c r="I464">
        <f>ROUND(828/100,9)</f>
        <v>8.2799999999999994</v>
      </c>
      <c r="J464">
        <v>0</v>
      </c>
      <c r="O464">
        <f>ROUND(CP464,2)</f>
        <v>879014.9</v>
      </c>
      <c r="P464">
        <f>ROUND(CQ464*I464,2)</f>
        <v>826121.93</v>
      </c>
      <c r="Q464">
        <f>ROUND(CR464*I464,2)</f>
        <v>20745.79</v>
      </c>
      <c r="R464">
        <f>ROUND(CS464*I464,2)</f>
        <v>16259.52</v>
      </c>
      <c r="S464">
        <f>ROUND(CT464*I464,2)</f>
        <v>32147.18</v>
      </c>
      <c r="T464">
        <f>ROUND(CU464*I464,2)</f>
        <v>0</v>
      </c>
      <c r="U464">
        <f>CV464*I464</f>
        <v>152.6832</v>
      </c>
      <c r="V464">
        <f>CW464*I464</f>
        <v>0</v>
      </c>
      <c r="W464">
        <f>ROUND(CX464*I464,2)</f>
        <v>0</v>
      </c>
      <c r="X464">
        <f t="shared" ref="X464:Y468" si="413">ROUND(CY464,2)</f>
        <v>22503.03</v>
      </c>
      <c r="Y464">
        <f t="shared" si="413"/>
        <v>3214.72</v>
      </c>
      <c r="AA464">
        <v>56440881</v>
      </c>
      <c r="AB464">
        <f>ROUND((AC464+AD464+AF464),2)</f>
        <v>106161.22</v>
      </c>
      <c r="AC464">
        <f>ROUND((ES464),2)</f>
        <v>99773.18</v>
      </c>
      <c r="AD464">
        <f>ROUND((((ET464)-(EU464))+AE464),2)</f>
        <v>2505.5300000000002</v>
      </c>
      <c r="AE464">
        <f>ROUND((EU464),2)</f>
        <v>1963.71</v>
      </c>
      <c r="AF464">
        <f>ROUND((EV464),2)</f>
        <v>3882.51</v>
      </c>
      <c r="AG464">
        <f>ROUND((AP464),2)</f>
        <v>0</v>
      </c>
      <c r="AH464">
        <f>(EW464)</f>
        <v>18.440000000000001</v>
      </c>
      <c r="AI464">
        <f>(EX464)</f>
        <v>0</v>
      </c>
      <c r="AJ464">
        <f>(AS464)</f>
        <v>0</v>
      </c>
      <c r="AK464">
        <v>106161.22</v>
      </c>
      <c r="AL464">
        <v>99773.18</v>
      </c>
      <c r="AM464">
        <v>2505.5300000000002</v>
      </c>
      <c r="AN464">
        <v>1963.71</v>
      </c>
      <c r="AO464">
        <v>3882.51</v>
      </c>
      <c r="AP464">
        <v>0</v>
      </c>
      <c r="AQ464">
        <v>18.440000000000001</v>
      </c>
      <c r="AR464">
        <v>0</v>
      </c>
      <c r="AS464">
        <v>0</v>
      </c>
      <c r="AT464">
        <v>70</v>
      </c>
      <c r="AU464">
        <v>10</v>
      </c>
      <c r="AV464">
        <v>1</v>
      </c>
      <c r="AW464">
        <v>1</v>
      </c>
      <c r="AZ464">
        <v>1</v>
      </c>
      <c r="BA464">
        <v>1</v>
      </c>
      <c r="BB464">
        <v>1</v>
      </c>
      <c r="BC464">
        <v>1</v>
      </c>
      <c r="BD464" t="s">
        <v>3</v>
      </c>
      <c r="BE464" t="s">
        <v>3</v>
      </c>
      <c r="BF464" t="s">
        <v>3</v>
      </c>
      <c r="BG464" t="s">
        <v>3</v>
      </c>
      <c r="BH464">
        <v>0</v>
      </c>
      <c r="BI464">
        <v>4</v>
      </c>
      <c r="BJ464" t="s">
        <v>196</v>
      </c>
      <c r="BM464">
        <v>0</v>
      </c>
      <c r="BN464">
        <v>0</v>
      </c>
      <c r="BO464" t="s">
        <v>3</v>
      </c>
      <c r="BP464">
        <v>0</v>
      </c>
      <c r="BQ464">
        <v>1</v>
      </c>
      <c r="BR464">
        <v>0</v>
      </c>
      <c r="BS464">
        <v>1</v>
      </c>
      <c r="BT464">
        <v>1</v>
      </c>
      <c r="BU464">
        <v>1</v>
      </c>
      <c r="BV464">
        <v>1</v>
      </c>
      <c r="BW464">
        <v>1</v>
      </c>
      <c r="BX464">
        <v>1</v>
      </c>
      <c r="BY464" t="s">
        <v>3</v>
      </c>
      <c r="BZ464">
        <v>70</v>
      </c>
      <c r="CA464">
        <v>10</v>
      </c>
      <c r="CE464">
        <v>0</v>
      </c>
      <c r="CF464">
        <v>0</v>
      </c>
      <c r="CG464">
        <v>0</v>
      </c>
      <c r="CM464">
        <v>0</v>
      </c>
      <c r="CN464" t="s">
        <v>3</v>
      </c>
      <c r="CO464">
        <v>0</v>
      </c>
      <c r="CP464">
        <f>(P464+Q464+S464)</f>
        <v>879014.90000000014</v>
      </c>
      <c r="CQ464">
        <f>(AC464*BC464*AW464)</f>
        <v>99773.18</v>
      </c>
      <c r="CR464">
        <f>((((ET464)*BB464-(EU464)*BS464)+AE464*BS464)*AV464)</f>
        <v>2505.5300000000002</v>
      </c>
      <c r="CS464">
        <f>(AE464*BS464*AV464)</f>
        <v>1963.71</v>
      </c>
      <c r="CT464">
        <f>(AF464*BA464*AV464)</f>
        <v>3882.51</v>
      </c>
      <c r="CU464">
        <f>AG464</f>
        <v>0</v>
      </c>
      <c r="CV464">
        <f>(AH464*AV464)</f>
        <v>18.440000000000001</v>
      </c>
      <c r="CW464">
        <f t="shared" ref="CW464:CX468" si="414">AI464</f>
        <v>0</v>
      </c>
      <c r="CX464">
        <f t="shared" si="414"/>
        <v>0</v>
      </c>
      <c r="CY464">
        <f>((S464*BZ464)/100)</f>
        <v>22503.026000000002</v>
      </c>
      <c r="CZ464">
        <f>((S464*CA464)/100)</f>
        <v>3214.7179999999998</v>
      </c>
      <c r="DC464" t="s">
        <v>3</v>
      </c>
      <c r="DD464" t="s">
        <v>3</v>
      </c>
      <c r="DE464" t="s">
        <v>3</v>
      </c>
      <c r="DF464" t="s">
        <v>3</v>
      </c>
      <c r="DG464" t="s">
        <v>3</v>
      </c>
      <c r="DH464" t="s">
        <v>3</v>
      </c>
      <c r="DI464" t="s">
        <v>3</v>
      </c>
      <c r="DJ464" t="s">
        <v>3</v>
      </c>
      <c r="DK464" t="s">
        <v>3</v>
      </c>
      <c r="DL464" t="s">
        <v>3</v>
      </c>
      <c r="DM464" t="s">
        <v>3</v>
      </c>
      <c r="DN464">
        <v>0</v>
      </c>
      <c r="DO464">
        <v>0</v>
      </c>
      <c r="DP464">
        <v>1</v>
      </c>
      <c r="DQ464">
        <v>1</v>
      </c>
      <c r="DU464">
        <v>1005</v>
      </c>
      <c r="DV464" t="s">
        <v>39</v>
      </c>
      <c r="DW464" t="s">
        <v>39</v>
      </c>
      <c r="DX464">
        <v>100</v>
      </c>
      <c r="DZ464" t="s">
        <v>3</v>
      </c>
      <c r="EA464" t="s">
        <v>3</v>
      </c>
      <c r="EB464" t="s">
        <v>3</v>
      </c>
      <c r="EC464" t="s">
        <v>3</v>
      </c>
      <c r="EE464">
        <v>54545671</v>
      </c>
      <c r="EF464">
        <v>1</v>
      </c>
      <c r="EG464" t="s">
        <v>20</v>
      </c>
      <c r="EH464">
        <v>0</v>
      </c>
      <c r="EI464" t="s">
        <v>3</v>
      </c>
      <c r="EJ464">
        <v>4</v>
      </c>
      <c r="EK464">
        <v>0</v>
      </c>
      <c r="EL464" t="s">
        <v>21</v>
      </c>
      <c r="EM464" t="s">
        <v>22</v>
      </c>
      <c r="EO464" t="s">
        <v>3</v>
      </c>
      <c r="EQ464">
        <v>0</v>
      </c>
      <c r="ER464">
        <v>106161.22</v>
      </c>
      <c r="ES464">
        <v>99773.18</v>
      </c>
      <c r="ET464">
        <v>2505.5300000000002</v>
      </c>
      <c r="EU464">
        <v>1963.71</v>
      </c>
      <c r="EV464">
        <v>3882.51</v>
      </c>
      <c r="EW464">
        <v>18.440000000000001</v>
      </c>
      <c r="EX464">
        <v>0</v>
      </c>
      <c r="EY464">
        <v>0</v>
      </c>
      <c r="FQ464">
        <v>0</v>
      </c>
      <c r="FR464">
        <f>ROUND(IF(AND(BH464=3,BI464=3),P464,0),2)</f>
        <v>0</v>
      </c>
      <c r="FS464">
        <v>0</v>
      </c>
      <c r="FX464">
        <v>70</v>
      </c>
      <c r="FY464">
        <v>10</v>
      </c>
      <c r="GA464" t="s">
        <v>3</v>
      </c>
      <c r="GD464">
        <v>0</v>
      </c>
      <c r="GF464">
        <v>1797744374</v>
      </c>
      <c r="GG464">
        <v>2</v>
      </c>
      <c r="GH464">
        <v>1</v>
      </c>
      <c r="GI464">
        <v>-2</v>
      </c>
      <c r="GJ464">
        <v>0</v>
      </c>
      <c r="GK464">
        <f>ROUND(R464*(R12)/100,2)</f>
        <v>17560.28</v>
      </c>
      <c r="GL464">
        <f>ROUND(IF(AND(BH464=3,BI464=3,FS464&lt;&gt;0),P464,0),2)</f>
        <v>0</v>
      </c>
      <c r="GM464">
        <f>ROUND(O464+X464+Y464+GK464,2)+GX464</f>
        <v>922292.93</v>
      </c>
      <c r="GN464">
        <f>IF(OR(BI464=0,BI464=1),ROUND(O464+X464+Y464+GK464,2),0)</f>
        <v>0</v>
      </c>
      <c r="GO464">
        <f>IF(BI464=2,ROUND(O464+X464+Y464+GK464,2),0)</f>
        <v>0</v>
      </c>
      <c r="GP464">
        <f>IF(BI464=4,ROUND(O464+X464+Y464+GK464,2)+GX464,0)</f>
        <v>922292.93</v>
      </c>
      <c r="GR464">
        <v>0</v>
      </c>
      <c r="GS464">
        <v>3</v>
      </c>
      <c r="GT464">
        <v>0</v>
      </c>
      <c r="GU464" t="s">
        <v>3</v>
      </c>
      <c r="GV464">
        <f>ROUND((GT464),2)</f>
        <v>0</v>
      </c>
      <c r="GW464">
        <v>1</v>
      </c>
      <c r="GX464">
        <f>ROUND(HC464*I464,2)</f>
        <v>0</v>
      </c>
      <c r="HA464">
        <v>0</v>
      </c>
      <c r="HB464">
        <v>0</v>
      </c>
      <c r="HC464">
        <f>GV464*GW464</f>
        <v>0</v>
      </c>
      <c r="HE464" t="s">
        <v>3</v>
      </c>
      <c r="HF464" t="s">
        <v>3</v>
      </c>
      <c r="IK464">
        <v>0</v>
      </c>
    </row>
    <row r="465" spans="1:245" x14ac:dyDescent="0.2">
      <c r="A465">
        <v>18</v>
      </c>
      <c r="B465">
        <v>1</v>
      </c>
      <c r="C465">
        <v>223</v>
      </c>
      <c r="E465" t="s">
        <v>329</v>
      </c>
      <c r="F465" t="s">
        <v>198</v>
      </c>
      <c r="G465" t="s">
        <v>199</v>
      </c>
      <c r="H465" t="s">
        <v>44</v>
      </c>
      <c r="I465">
        <f>I464*J465</f>
        <v>-0.43469999999999998</v>
      </c>
      <c r="J465">
        <v>-5.2499999999999998E-2</v>
      </c>
      <c r="O465">
        <f>ROUND(CP465,2)</f>
        <v>-325280.96999999997</v>
      </c>
      <c r="P465">
        <f>ROUND(CQ465*I465,2)</f>
        <v>-325280.96999999997</v>
      </c>
      <c r="Q465">
        <f>ROUND(CR465*I465,2)</f>
        <v>0</v>
      </c>
      <c r="R465">
        <f>ROUND(CS465*I465,2)</f>
        <v>0</v>
      </c>
      <c r="S465">
        <f>ROUND(CT465*I465,2)</f>
        <v>0</v>
      </c>
      <c r="T465">
        <f>ROUND(CU465*I465,2)</f>
        <v>0</v>
      </c>
      <c r="U465">
        <f>CV465*I465</f>
        <v>0</v>
      </c>
      <c r="V465">
        <f>CW465*I465</f>
        <v>0</v>
      </c>
      <c r="W465">
        <f>ROUND(CX465*I465,2)</f>
        <v>0</v>
      </c>
      <c r="X465">
        <f t="shared" si="413"/>
        <v>0</v>
      </c>
      <c r="Y465">
        <f t="shared" si="413"/>
        <v>0</v>
      </c>
      <c r="AA465">
        <v>56440881</v>
      </c>
      <c r="AB465">
        <f>ROUND((AC465+AD465+AF465),2)</f>
        <v>748288.41</v>
      </c>
      <c r="AC465">
        <f>ROUND((ES465),2)</f>
        <v>748288.41</v>
      </c>
      <c r="AD465">
        <f>ROUND((((ET465)-(EU465))+AE465),2)</f>
        <v>0</v>
      </c>
      <c r="AE465">
        <f>ROUND((EU465),2)</f>
        <v>0</v>
      </c>
      <c r="AF465">
        <f>ROUND((EV465),2)</f>
        <v>0</v>
      </c>
      <c r="AG465">
        <f>ROUND((AP465),2)</f>
        <v>0</v>
      </c>
      <c r="AH465">
        <f>(EW465)</f>
        <v>0</v>
      </c>
      <c r="AI465">
        <f>(EX465)</f>
        <v>0</v>
      </c>
      <c r="AJ465">
        <f>(AS465)</f>
        <v>0</v>
      </c>
      <c r="AK465">
        <v>748288.41</v>
      </c>
      <c r="AL465">
        <v>748288.41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70</v>
      </c>
      <c r="AU465">
        <v>10</v>
      </c>
      <c r="AV465">
        <v>1</v>
      </c>
      <c r="AW465">
        <v>1</v>
      </c>
      <c r="AZ465">
        <v>1</v>
      </c>
      <c r="BA465">
        <v>1</v>
      </c>
      <c r="BB465">
        <v>1</v>
      </c>
      <c r="BC465">
        <v>1</v>
      </c>
      <c r="BD465" t="s">
        <v>3</v>
      </c>
      <c r="BE465" t="s">
        <v>3</v>
      </c>
      <c r="BF465" t="s">
        <v>3</v>
      </c>
      <c r="BG465" t="s">
        <v>3</v>
      </c>
      <c r="BH465">
        <v>3</v>
      </c>
      <c r="BI465">
        <v>4</v>
      </c>
      <c r="BJ465" t="s">
        <v>200</v>
      </c>
      <c r="BM465">
        <v>0</v>
      </c>
      <c r="BN465">
        <v>0</v>
      </c>
      <c r="BO465" t="s">
        <v>3</v>
      </c>
      <c r="BP465">
        <v>0</v>
      </c>
      <c r="BQ465">
        <v>1</v>
      </c>
      <c r="BR465">
        <v>1</v>
      </c>
      <c r="BS465">
        <v>1</v>
      </c>
      <c r="BT465">
        <v>1</v>
      </c>
      <c r="BU465">
        <v>1</v>
      </c>
      <c r="BV465">
        <v>1</v>
      </c>
      <c r="BW465">
        <v>1</v>
      </c>
      <c r="BX465">
        <v>1</v>
      </c>
      <c r="BY465" t="s">
        <v>3</v>
      </c>
      <c r="BZ465">
        <v>70</v>
      </c>
      <c r="CA465">
        <v>10</v>
      </c>
      <c r="CE465">
        <v>0</v>
      </c>
      <c r="CF465">
        <v>0</v>
      </c>
      <c r="CG465">
        <v>0</v>
      </c>
      <c r="CM465">
        <v>0</v>
      </c>
      <c r="CN465" t="s">
        <v>3</v>
      </c>
      <c r="CO465">
        <v>0</v>
      </c>
      <c r="CP465">
        <f>(P465+Q465+S465)</f>
        <v>-325280.96999999997</v>
      </c>
      <c r="CQ465">
        <f>(AC465*BC465*AW465)</f>
        <v>748288.41</v>
      </c>
      <c r="CR465">
        <f>((((ET465)*BB465-(EU465)*BS465)+AE465*BS465)*AV465)</f>
        <v>0</v>
      </c>
      <c r="CS465">
        <f>(AE465*BS465*AV465)</f>
        <v>0</v>
      </c>
      <c r="CT465">
        <f>(AF465*BA465*AV465)</f>
        <v>0</v>
      </c>
      <c r="CU465">
        <f>AG465</f>
        <v>0</v>
      </c>
      <c r="CV465">
        <f>(AH465*AV465)</f>
        <v>0</v>
      </c>
      <c r="CW465">
        <f t="shared" si="414"/>
        <v>0</v>
      </c>
      <c r="CX465">
        <f t="shared" si="414"/>
        <v>0</v>
      </c>
      <c r="CY465">
        <f>((S465*BZ465)/100)</f>
        <v>0</v>
      </c>
      <c r="CZ465">
        <f>((S465*CA465)/100)</f>
        <v>0</v>
      </c>
      <c r="DC465" t="s">
        <v>3</v>
      </c>
      <c r="DD465" t="s">
        <v>3</v>
      </c>
      <c r="DE465" t="s">
        <v>3</v>
      </c>
      <c r="DF465" t="s">
        <v>3</v>
      </c>
      <c r="DG465" t="s">
        <v>3</v>
      </c>
      <c r="DH465" t="s">
        <v>3</v>
      </c>
      <c r="DI465" t="s">
        <v>3</v>
      </c>
      <c r="DJ465" t="s">
        <v>3</v>
      </c>
      <c r="DK465" t="s">
        <v>3</v>
      </c>
      <c r="DL465" t="s">
        <v>3</v>
      </c>
      <c r="DM465" t="s">
        <v>3</v>
      </c>
      <c r="DN465">
        <v>0</v>
      </c>
      <c r="DO465">
        <v>0</v>
      </c>
      <c r="DP465">
        <v>1</v>
      </c>
      <c r="DQ465">
        <v>1</v>
      </c>
      <c r="DU465">
        <v>1009</v>
      </c>
      <c r="DV465" t="s">
        <v>44</v>
      </c>
      <c r="DW465" t="s">
        <v>44</v>
      </c>
      <c r="DX465">
        <v>1000</v>
      </c>
      <c r="DZ465" t="s">
        <v>3</v>
      </c>
      <c r="EA465" t="s">
        <v>3</v>
      </c>
      <c r="EB465" t="s">
        <v>3</v>
      </c>
      <c r="EC465" t="s">
        <v>3</v>
      </c>
      <c r="EE465">
        <v>54545671</v>
      </c>
      <c r="EF465">
        <v>1</v>
      </c>
      <c r="EG465" t="s">
        <v>20</v>
      </c>
      <c r="EH465">
        <v>0</v>
      </c>
      <c r="EI465" t="s">
        <v>3</v>
      </c>
      <c r="EJ465">
        <v>4</v>
      </c>
      <c r="EK465">
        <v>0</v>
      </c>
      <c r="EL465" t="s">
        <v>21</v>
      </c>
      <c r="EM465" t="s">
        <v>22</v>
      </c>
      <c r="EO465" t="s">
        <v>3</v>
      </c>
      <c r="EQ465">
        <v>0</v>
      </c>
      <c r="ER465">
        <v>748288.41</v>
      </c>
      <c r="ES465">
        <v>748288.41</v>
      </c>
      <c r="ET465">
        <v>0</v>
      </c>
      <c r="EU465">
        <v>0</v>
      </c>
      <c r="EV465">
        <v>0</v>
      </c>
      <c r="EW465">
        <v>0</v>
      </c>
      <c r="EX465">
        <v>0</v>
      </c>
      <c r="FQ465">
        <v>0</v>
      </c>
      <c r="FR465">
        <f>ROUND(IF(AND(BH465=3,BI465=3),P465,0),2)</f>
        <v>0</v>
      </c>
      <c r="FS465">
        <v>0</v>
      </c>
      <c r="FX465">
        <v>70</v>
      </c>
      <c r="FY465">
        <v>10</v>
      </c>
      <c r="GA465" t="s">
        <v>3</v>
      </c>
      <c r="GD465">
        <v>0</v>
      </c>
      <c r="GF465">
        <v>-1486531542</v>
      </c>
      <c r="GG465">
        <v>2</v>
      </c>
      <c r="GH465">
        <v>1</v>
      </c>
      <c r="GI465">
        <v>-2</v>
      </c>
      <c r="GJ465">
        <v>0</v>
      </c>
      <c r="GK465">
        <f>ROUND(R465*(R12)/100,2)</f>
        <v>0</v>
      </c>
      <c r="GL465">
        <f>ROUND(IF(AND(BH465=3,BI465=3,FS465&lt;&gt;0),P465,0),2)</f>
        <v>0</v>
      </c>
      <c r="GM465">
        <f>ROUND(O465+X465+Y465+GK465,2)+GX465</f>
        <v>-325280.96999999997</v>
      </c>
      <c r="GN465">
        <f>IF(OR(BI465=0,BI465=1),ROUND(O465+X465+Y465+GK465,2),0)</f>
        <v>0</v>
      </c>
      <c r="GO465">
        <f>IF(BI465=2,ROUND(O465+X465+Y465+GK465,2),0)</f>
        <v>0</v>
      </c>
      <c r="GP465">
        <f>IF(BI465=4,ROUND(O465+X465+Y465+GK465,2)+GX465,0)</f>
        <v>-325280.96999999997</v>
      </c>
      <c r="GR465">
        <v>0</v>
      </c>
      <c r="GS465">
        <v>3</v>
      </c>
      <c r="GT465">
        <v>0</v>
      </c>
      <c r="GU465" t="s">
        <v>3</v>
      </c>
      <c r="GV465">
        <f>ROUND((GT465),2)</f>
        <v>0</v>
      </c>
      <c r="GW465">
        <v>1</v>
      </c>
      <c r="GX465">
        <f>ROUND(HC465*I465,2)</f>
        <v>0</v>
      </c>
      <c r="HA465">
        <v>0</v>
      </c>
      <c r="HB465">
        <v>0</v>
      </c>
      <c r="HC465">
        <f>GV465*GW465</f>
        <v>0</v>
      </c>
      <c r="HE465" t="s">
        <v>3</v>
      </c>
      <c r="HF465" t="s">
        <v>3</v>
      </c>
      <c r="IK465">
        <v>0</v>
      </c>
    </row>
    <row r="466" spans="1:245" x14ac:dyDescent="0.2">
      <c r="A466">
        <v>17</v>
      </c>
      <c r="B466">
        <v>1</v>
      </c>
      <c r="C466">
        <f>ROW(SmtRes!A230)</f>
        <v>230</v>
      </c>
      <c r="D466">
        <f>ROW(EtalonRes!A214)</f>
        <v>214</v>
      </c>
      <c r="E466" t="s">
        <v>330</v>
      </c>
      <c r="F466" t="s">
        <v>202</v>
      </c>
      <c r="G466" t="s">
        <v>203</v>
      </c>
      <c r="H466" t="s">
        <v>39</v>
      </c>
      <c r="I466">
        <f>ROUND(I464,9)</f>
        <v>8.2799999999999994</v>
      </c>
      <c r="J466">
        <v>0</v>
      </c>
      <c r="O466">
        <f>ROUND(CP466,2)</f>
        <v>810242.3</v>
      </c>
      <c r="P466">
        <f>ROUND(CQ466*I466,2)</f>
        <v>766953.63</v>
      </c>
      <c r="Q466">
        <f>ROUND(CR466*I466,2)</f>
        <v>19527.97</v>
      </c>
      <c r="R466">
        <f>ROUND(CS466*I466,2)</f>
        <v>15350.29</v>
      </c>
      <c r="S466">
        <f>ROUND(CT466*I466,2)</f>
        <v>23760.7</v>
      </c>
      <c r="T466">
        <f>ROUND(CU466*I466,2)</f>
        <v>0</v>
      </c>
      <c r="U466">
        <f>CV466*I466</f>
        <v>109.71</v>
      </c>
      <c r="V466">
        <f>CW466*I466</f>
        <v>0</v>
      </c>
      <c r="W466">
        <f>ROUND(CX466*I466,2)</f>
        <v>0</v>
      </c>
      <c r="X466">
        <f t="shared" si="413"/>
        <v>16632.490000000002</v>
      </c>
      <c r="Y466">
        <f t="shared" si="413"/>
        <v>2376.0700000000002</v>
      </c>
      <c r="AA466">
        <v>56440881</v>
      </c>
      <c r="AB466">
        <f>ROUND((AC466+AD466+AF466),2)</f>
        <v>97855.35</v>
      </c>
      <c r="AC466">
        <f>ROUND(((ES466*5)),2)</f>
        <v>92627.25</v>
      </c>
      <c r="AD466">
        <f>ROUND(((((ET466*5))-((EU466*5)))+AE466),2)</f>
        <v>2358.4499999999998</v>
      </c>
      <c r="AE466">
        <f>ROUND(((EU466*5)),2)</f>
        <v>1853.9</v>
      </c>
      <c r="AF466">
        <f>ROUND(((EV466*5)),2)</f>
        <v>2869.65</v>
      </c>
      <c r="AG466">
        <f>ROUND((AP466),2)</f>
        <v>0</v>
      </c>
      <c r="AH466">
        <f>((EW466*5))</f>
        <v>13.25</v>
      </c>
      <c r="AI466">
        <f>((EX466*5))</f>
        <v>0</v>
      </c>
      <c r="AJ466">
        <f>(AS466)</f>
        <v>0</v>
      </c>
      <c r="AK466">
        <v>19571.07</v>
      </c>
      <c r="AL466">
        <v>18525.45</v>
      </c>
      <c r="AM466">
        <v>471.69</v>
      </c>
      <c r="AN466">
        <v>370.78</v>
      </c>
      <c r="AO466">
        <v>573.92999999999995</v>
      </c>
      <c r="AP466">
        <v>0</v>
      </c>
      <c r="AQ466">
        <v>2.65</v>
      </c>
      <c r="AR466">
        <v>0</v>
      </c>
      <c r="AS466">
        <v>0</v>
      </c>
      <c r="AT466">
        <v>70</v>
      </c>
      <c r="AU466">
        <v>10</v>
      </c>
      <c r="AV466">
        <v>1</v>
      </c>
      <c r="AW466">
        <v>1</v>
      </c>
      <c r="AZ466">
        <v>1</v>
      </c>
      <c r="BA466">
        <v>1</v>
      </c>
      <c r="BB466">
        <v>1</v>
      </c>
      <c r="BC466">
        <v>1</v>
      </c>
      <c r="BD466" t="s">
        <v>3</v>
      </c>
      <c r="BE466" t="s">
        <v>3</v>
      </c>
      <c r="BF466" t="s">
        <v>3</v>
      </c>
      <c r="BG466" t="s">
        <v>3</v>
      </c>
      <c r="BH466">
        <v>0</v>
      </c>
      <c r="BI466">
        <v>4</v>
      </c>
      <c r="BJ466" t="s">
        <v>204</v>
      </c>
      <c r="BM466">
        <v>0</v>
      </c>
      <c r="BN466">
        <v>0</v>
      </c>
      <c r="BO466" t="s">
        <v>3</v>
      </c>
      <c r="BP466">
        <v>0</v>
      </c>
      <c r="BQ466">
        <v>1</v>
      </c>
      <c r="BR466">
        <v>0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 t="s">
        <v>3</v>
      </c>
      <c r="BZ466">
        <v>70</v>
      </c>
      <c r="CA466">
        <v>10</v>
      </c>
      <c r="CE466">
        <v>0</v>
      </c>
      <c r="CF466">
        <v>0</v>
      </c>
      <c r="CG466">
        <v>0</v>
      </c>
      <c r="CM466">
        <v>0</v>
      </c>
      <c r="CN466" t="s">
        <v>3</v>
      </c>
      <c r="CO466">
        <v>0</v>
      </c>
      <c r="CP466">
        <f>(P466+Q466+S466)</f>
        <v>810242.29999999993</v>
      </c>
      <c r="CQ466">
        <f>(AC466*BC466*AW466)</f>
        <v>92627.25</v>
      </c>
      <c r="CR466">
        <f>(((((ET466*5))*BB466-((EU466*5))*BS466)+AE466*BS466)*AV466)</f>
        <v>2358.4499999999998</v>
      </c>
      <c r="CS466">
        <f>(AE466*BS466*AV466)</f>
        <v>1853.9</v>
      </c>
      <c r="CT466">
        <f>(AF466*BA466*AV466)</f>
        <v>2869.65</v>
      </c>
      <c r="CU466">
        <f>AG466</f>
        <v>0</v>
      </c>
      <c r="CV466">
        <f>(AH466*AV466)</f>
        <v>13.25</v>
      </c>
      <c r="CW466">
        <f t="shared" si="414"/>
        <v>0</v>
      </c>
      <c r="CX466">
        <f t="shared" si="414"/>
        <v>0</v>
      </c>
      <c r="CY466">
        <f>((S466*BZ466)/100)</f>
        <v>16632.490000000002</v>
      </c>
      <c r="CZ466">
        <f>((S466*CA466)/100)</f>
        <v>2376.0700000000002</v>
      </c>
      <c r="DC466" t="s">
        <v>3</v>
      </c>
      <c r="DD466" t="s">
        <v>205</v>
      </c>
      <c r="DE466" t="s">
        <v>205</v>
      </c>
      <c r="DF466" t="s">
        <v>205</v>
      </c>
      <c r="DG466" t="s">
        <v>205</v>
      </c>
      <c r="DH466" t="s">
        <v>3</v>
      </c>
      <c r="DI466" t="s">
        <v>205</v>
      </c>
      <c r="DJ466" t="s">
        <v>205</v>
      </c>
      <c r="DK466" t="s">
        <v>3</v>
      </c>
      <c r="DL466" t="s">
        <v>3</v>
      </c>
      <c r="DM466" t="s">
        <v>3</v>
      </c>
      <c r="DN466">
        <v>0</v>
      </c>
      <c r="DO466">
        <v>0</v>
      </c>
      <c r="DP466">
        <v>1</v>
      </c>
      <c r="DQ466">
        <v>1</v>
      </c>
      <c r="DU466">
        <v>1005</v>
      </c>
      <c r="DV466" t="s">
        <v>39</v>
      </c>
      <c r="DW466" t="s">
        <v>39</v>
      </c>
      <c r="DX466">
        <v>100</v>
      </c>
      <c r="DZ466" t="s">
        <v>3</v>
      </c>
      <c r="EA466" t="s">
        <v>3</v>
      </c>
      <c r="EB466" t="s">
        <v>3</v>
      </c>
      <c r="EC466" t="s">
        <v>3</v>
      </c>
      <c r="EE466">
        <v>54545671</v>
      </c>
      <c r="EF466">
        <v>1</v>
      </c>
      <c r="EG466" t="s">
        <v>20</v>
      </c>
      <c r="EH466">
        <v>0</v>
      </c>
      <c r="EI466" t="s">
        <v>3</v>
      </c>
      <c r="EJ466">
        <v>4</v>
      </c>
      <c r="EK466">
        <v>0</v>
      </c>
      <c r="EL466" t="s">
        <v>21</v>
      </c>
      <c r="EM466" t="s">
        <v>22</v>
      </c>
      <c r="EO466" t="s">
        <v>3</v>
      </c>
      <c r="EQ466">
        <v>0</v>
      </c>
      <c r="ER466">
        <v>19571.07</v>
      </c>
      <c r="ES466">
        <v>18525.45</v>
      </c>
      <c r="ET466">
        <v>471.69</v>
      </c>
      <c r="EU466">
        <v>370.78</v>
      </c>
      <c r="EV466">
        <v>573.92999999999995</v>
      </c>
      <c r="EW466">
        <v>2.65</v>
      </c>
      <c r="EX466">
        <v>0</v>
      </c>
      <c r="EY466">
        <v>0</v>
      </c>
      <c r="FQ466">
        <v>0</v>
      </c>
      <c r="FR466">
        <f>ROUND(IF(AND(BH466=3,BI466=3),P466,0),2)</f>
        <v>0</v>
      </c>
      <c r="FS466">
        <v>0</v>
      </c>
      <c r="FX466">
        <v>70</v>
      </c>
      <c r="FY466">
        <v>10</v>
      </c>
      <c r="GA466" t="s">
        <v>3</v>
      </c>
      <c r="GD466">
        <v>0</v>
      </c>
      <c r="GF466">
        <v>1403047607</v>
      </c>
      <c r="GG466">
        <v>2</v>
      </c>
      <c r="GH466">
        <v>1</v>
      </c>
      <c r="GI466">
        <v>-2</v>
      </c>
      <c r="GJ466">
        <v>0</v>
      </c>
      <c r="GK466">
        <f>ROUND(R466*(R12)/100,2)</f>
        <v>16578.310000000001</v>
      </c>
      <c r="GL466">
        <f>ROUND(IF(AND(BH466=3,BI466=3,FS466&lt;&gt;0),P466,0),2)</f>
        <v>0</v>
      </c>
      <c r="GM466">
        <f>ROUND(O466+X466+Y466+GK466,2)+GX466</f>
        <v>845829.17</v>
      </c>
      <c r="GN466">
        <f>IF(OR(BI466=0,BI466=1),ROUND(O466+X466+Y466+GK466,2),0)</f>
        <v>0</v>
      </c>
      <c r="GO466">
        <f>IF(BI466=2,ROUND(O466+X466+Y466+GK466,2),0)</f>
        <v>0</v>
      </c>
      <c r="GP466">
        <f>IF(BI466=4,ROUND(O466+X466+Y466+GK466,2)+GX466,0)</f>
        <v>845829.17</v>
      </c>
      <c r="GR466">
        <v>0</v>
      </c>
      <c r="GS466">
        <v>3</v>
      </c>
      <c r="GT466">
        <v>0</v>
      </c>
      <c r="GU466" t="s">
        <v>3</v>
      </c>
      <c r="GV466">
        <f>ROUND((GT466),2)</f>
        <v>0</v>
      </c>
      <c r="GW466">
        <v>1</v>
      </c>
      <c r="GX466">
        <f>ROUND(HC466*I466,2)</f>
        <v>0</v>
      </c>
      <c r="HA466">
        <v>0</v>
      </c>
      <c r="HB466">
        <v>0</v>
      </c>
      <c r="HC466">
        <f>GV466*GW466</f>
        <v>0</v>
      </c>
      <c r="HE466" t="s">
        <v>3</v>
      </c>
      <c r="HF466" t="s">
        <v>3</v>
      </c>
      <c r="IK466">
        <v>0</v>
      </c>
    </row>
    <row r="467" spans="1:245" x14ac:dyDescent="0.2">
      <c r="A467">
        <v>18</v>
      </c>
      <c r="B467">
        <v>1</v>
      </c>
      <c r="C467">
        <v>229</v>
      </c>
      <c r="E467" t="s">
        <v>331</v>
      </c>
      <c r="F467" t="s">
        <v>198</v>
      </c>
      <c r="G467" t="s">
        <v>199</v>
      </c>
      <c r="H467" t="s">
        <v>44</v>
      </c>
      <c r="I467">
        <f>I466*J467</f>
        <v>-0.43469999999999998</v>
      </c>
      <c r="J467">
        <v>-5.2499999999999998E-2</v>
      </c>
      <c r="O467">
        <f>ROUND(CP467,2)</f>
        <v>-325280.96999999997</v>
      </c>
      <c r="P467">
        <f>ROUND(CQ467*I467,2)</f>
        <v>-325280.96999999997</v>
      </c>
      <c r="Q467">
        <f>ROUND(CR467*I467,2)</f>
        <v>0</v>
      </c>
      <c r="R467">
        <f>ROUND(CS467*I467,2)</f>
        <v>0</v>
      </c>
      <c r="S467">
        <f>ROUND(CT467*I467,2)</f>
        <v>0</v>
      </c>
      <c r="T467">
        <f>ROUND(CU467*I467,2)</f>
        <v>0</v>
      </c>
      <c r="U467">
        <f>CV467*I467</f>
        <v>0</v>
      </c>
      <c r="V467">
        <f>CW467*I467</f>
        <v>0</v>
      </c>
      <c r="W467">
        <f>ROUND(CX467*I467,2)</f>
        <v>0</v>
      </c>
      <c r="X467">
        <f t="shared" si="413"/>
        <v>0</v>
      </c>
      <c r="Y467">
        <f t="shared" si="413"/>
        <v>0</v>
      </c>
      <c r="AA467">
        <v>56440881</v>
      </c>
      <c r="AB467">
        <f>ROUND((AC467+AD467+AF467),2)</f>
        <v>748288.41</v>
      </c>
      <c r="AC467">
        <f>ROUND((ES467),2)</f>
        <v>748288.41</v>
      </c>
      <c r="AD467">
        <f>ROUND((((ET467)-(EU467))+AE467),2)</f>
        <v>0</v>
      </c>
      <c r="AE467">
        <f>ROUND((EU467),2)</f>
        <v>0</v>
      </c>
      <c r="AF467">
        <f>ROUND((EV467),2)</f>
        <v>0</v>
      </c>
      <c r="AG467">
        <f>ROUND((AP467),2)</f>
        <v>0</v>
      </c>
      <c r="AH467">
        <f>(EW467)</f>
        <v>0</v>
      </c>
      <c r="AI467">
        <f>(EX467)</f>
        <v>0</v>
      </c>
      <c r="AJ467">
        <f>(AS467)</f>
        <v>0</v>
      </c>
      <c r="AK467">
        <v>748288.41</v>
      </c>
      <c r="AL467">
        <v>748288.41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70</v>
      </c>
      <c r="AU467">
        <v>10</v>
      </c>
      <c r="AV467">
        <v>1</v>
      </c>
      <c r="AW467">
        <v>1</v>
      </c>
      <c r="AZ467">
        <v>1</v>
      </c>
      <c r="BA467">
        <v>1</v>
      </c>
      <c r="BB467">
        <v>1</v>
      </c>
      <c r="BC467">
        <v>1</v>
      </c>
      <c r="BD467" t="s">
        <v>3</v>
      </c>
      <c r="BE467" t="s">
        <v>3</v>
      </c>
      <c r="BF467" t="s">
        <v>3</v>
      </c>
      <c r="BG467" t="s">
        <v>3</v>
      </c>
      <c r="BH467">
        <v>3</v>
      </c>
      <c r="BI467">
        <v>4</v>
      </c>
      <c r="BJ467" t="s">
        <v>200</v>
      </c>
      <c r="BM467">
        <v>0</v>
      </c>
      <c r="BN467">
        <v>0</v>
      </c>
      <c r="BO467" t="s">
        <v>3</v>
      </c>
      <c r="BP467">
        <v>0</v>
      </c>
      <c r="BQ467">
        <v>1</v>
      </c>
      <c r="BR467">
        <v>1</v>
      </c>
      <c r="BS467">
        <v>1</v>
      </c>
      <c r="BT467">
        <v>1</v>
      </c>
      <c r="BU467">
        <v>1</v>
      </c>
      <c r="BV467">
        <v>1</v>
      </c>
      <c r="BW467">
        <v>1</v>
      </c>
      <c r="BX467">
        <v>1</v>
      </c>
      <c r="BY467" t="s">
        <v>3</v>
      </c>
      <c r="BZ467">
        <v>70</v>
      </c>
      <c r="CA467">
        <v>10</v>
      </c>
      <c r="CE467">
        <v>0</v>
      </c>
      <c r="CF467">
        <v>0</v>
      </c>
      <c r="CG467">
        <v>0</v>
      </c>
      <c r="CM467">
        <v>0</v>
      </c>
      <c r="CN467" t="s">
        <v>3</v>
      </c>
      <c r="CO467">
        <v>0</v>
      </c>
      <c r="CP467">
        <f>(P467+Q467+S467)</f>
        <v>-325280.96999999997</v>
      </c>
      <c r="CQ467">
        <f>(AC467*BC467*AW467)</f>
        <v>748288.41</v>
      </c>
      <c r="CR467">
        <f>((((ET467)*BB467-(EU467)*BS467)+AE467*BS467)*AV467)</f>
        <v>0</v>
      </c>
      <c r="CS467">
        <f>(AE467*BS467*AV467)</f>
        <v>0</v>
      </c>
      <c r="CT467">
        <f>(AF467*BA467*AV467)</f>
        <v>0</v>
      </c>
      <c r="CU467">
        <f>AG467</f>
        <v>0</v>
      </c>
      <c r="CV467">
        <f>(AH467*AV467)</f>
        <v>0</v>
      </c>
      <c r="CW467">
        <f t="shared" si="414"/>
        <v>0</v>
      </c>
      <c r="CX467">
        <f t="shared" si="414"/>
        <v>0</v>
      </c>
      <c r="CY467">
        <f>((S467*BZ467)/100)</f>
        <v>0</v>
      </c>
      <c r="CZ467">
        <f>((S467*CA467)/100)</f>
        <v>0</v>
      </c>
      <c r="DC467" t="s">
        <v>3</v>
      </c>
      <c r="DD467" t="s">
        <v>3</v>
      </c>
      <c r="DE467" t="s">
        <v>3</v>
      </c>
      <c r="DF467" t="s">
        <v>3</v>
      </c>
      <c r="DG467" t="s">
        <v>3</v>
      </c>
      <c r="DH467" t="s">
        <v>3</v>
      </c>
      <c r="DI467" t="s">
        <v>3</v>
      </c>
      <c r="DJ467" t="s">
        <v>3</v>
      </c>
      <c r="DK467" t="s">
        <v>3</v>
      </c>
      <c r="DL467" t="s">
        <v>3</v>
      </c>
      <c r="DM467" t="s">
        <v>3</v>
      </c>
      <c r="DN467">
        <v>0</v>
      </c>
      <c r="DO467">
        <v>0</v>
      </c>
      <c r="DP467">
        <v>1</v>
      </c>
      <c r="DQ467">
        <v>1</v>
      </c>
      <c r="DU467">
        <v>1009</v>
      </c>
      <c r="DV467" t="s">
        <v>44</v>
      </c>
      <c r="DW467" t="s">
        <v>44</v>
      </c>
      <c r="DX467">
        <v>1000</v>
      </c>
      <c r="DZ467" t="s">
        <v>3</v>
      </c>
      <c r="EA467" t="s">
        <v>3</v>
      </c>
      <c r="EB467" t="s">
        <v>3</v>
      </c>
      <c r="EC467" t="s">
        <v>3</v>
      </c>
      <c r="EE467">
        <v>54545671</v>
      </c>
      <c r="EF467">
        <v>1</v>
      </c>
      <c r="EG467" t="s">
        <v>20</v>
      </c>
      <c r="EH467">
        <v>0</v>
      </c>
      <c r="EI467" t="s">
        <v>3</v>
      </c>
      <c r="EJ467">
        <v>4</v>
      </c>
      <c r="EK467">
        <v>0</v>
      </c>
      <c r="EL467" t="s">
        <v>21</v>
      </c>
      <c r="EM467" t="s">
        <v>22</v>
      </c>
      <c r="EO467" t="s">
        <v>3</v>
      </c>
      <c r="EQ467">
        <v>0</v>
      </c>
      <c r="ER467">
        <v>748288.41</v>
      </c>
      <c r="ES467">
        <v>748288.41</v>
      </c>
      <c r="ET467">
        <v>0</v>
      </c>
      <c r="EU467">
        <v>0</v>
      </c>
      <c r="EV467">
        <v>0</v>
      </c>
      <c r="EW467">
        <v>0</v>
      </c>
      <c r="EX467">
        <v>0</v>
      </c>
      <c r="FQ467">
        <v>0</v>
      </c>
      <c r="FR467">
        <f>ROUND(IF(AND(BH467=3,BI467=3),P467,0),2)</f>
        <v>0</v>
      </c>
      <c r="FS467">
        <v>0</v>
      </c>
      <c r="FX467">
        <v>70</v>
      </c>
      <c r="FY467">
        <v>10</v>
      </c>
      <c r="GA467" t="s">
        <v>3</v>
      </c>
      <c r="GD467">
        <v>0</v>
      </c>
      <c r="GF467">
        <v>-1486531542</v>
      </c>
      <c r="GG467">
        <v>2</v>
      </c>
      <c r="GH467">
        <v>1</v>
      </c>
      <c r="GI467">
        <v>-2</v>
      </c>
      <c r="GJ467">
        <v>0</v>
      </c>
      <c r="GK467">
        <f>ROUND(R467*(R12)/100,2)</f>
        <v>0</v>
      </c>
      <c r="GL467">
        <f>ROUND(IF(AND(BH467=3,BI467=3,FS467&lt;&gt;0),P467,0),2)</f>
        <v>0</v>
      </c>
      <c r="GM467">
        <f>ROUND(O467+X467+Y467+GK467,2)+GX467</f>
        <v>-325280.96999999997</v>
      </c>
      <c r="GN467">
        <f>IF(OR(BI467=0,BI467=1),ROUND(O467+X467+Y467+GK467,2),0)</f>
        <v>0</v>
      </c>
      <c r="GO467">
        <f>IF(BI467=2,ROUND(O467+X467+Y467+GK467,2),0)</f>
        <v>0</v>
      </c>
      <c r="GP467">
        <f>IF(BI467=4,ROUND(O467+X467+Y467+GK467,2)+GX467,0)</f>
        <v>-325280.96999999997</v>
      </c>
      <c r="GR467">
        <v>0</v>
      </c>
      <c r="GS467">
        <v>3</v>
      </c>
      <c r="GT467">
        <v>0</v>
      </c>
      <c r="GU467" t="s">
        <v>3</v>
      </c>
      <c r="GV467">
        <f>ROUND((GT467),2)</f>
        <v>0</v>
      </c>
      <c r="GW467">
        <v>1</v>
      </c>
      <c r="GX467">
        <f>ROUND(HC467*I467,2)</f>
        <v>0</v>
      </c>
      <c r="HA467">
        <v>0</v>
      </c>
      <c r="HB467">
        <v>0</v>
      </c>
      <c r="HC467">
        <f>GV467*GW467</f>
        <v>0</v>
      </c>
      <c r="HE467" t="s">
        <v>3</v>
      </c>
      <c r="HF467" t="s">
        <v>3</v>
      </c>
      <c r="IK467">
        <v>0</v>
      </c>
    </row>
    <row r="468" spans="1:245" x14ac:dyDescent="0.2">
      <c r="A468">
        <v>18</v>
      </c>
      <c r="B468">
        <v>1</v>
      </c>
      <c r="C468">
        <v>230</v>
      </c>
      <c r="E468" t="s">
        <v>332</v>
      </c>
      <c r="F468" t="s">
        <v>208</v>
      </c>
      <c r="G468" t="s">
        <v>209</v>
      </c>
      <c r="H468" t="s">
        <v>210</v>
      </c>
      <c r="I468">
        <f>I466*J468</f>
        <v>434.7</v>
      </c>
      <c r="J468">
        <v>52.5</v>
      </c>
      <c r="O468">
        <f>ROUND(CP468,2)</f>
        <v>54111.46</v>
      </c>
      <c r="P468">
        <f>ROUND(CQ468*I468,2)</f>
        <v>54111.46</v>
      </c>
      <c r="Q468">
        <f>ROUND(CR468*I468,2)</f>
        <v>0</v>
      </c>
      <c r="R468">
        <f>ROUND(CS468*I468,2)</f>
        <v>0</v>
      </c>
      <c r="S468">
        <f>ROUND(CT468*I468,2)</f>
        <v>0</v>
      </c>
      <c r="T468">
        <f>ROUND(CU468*I468,2)</f>
        <v>0</v>
      </c>
      <c r="U468">
        <f>CV468*I468</f>
        <v>0</v>
      </c>
      <c r="V468">
        <f>CW468*I468</f>
        <v>0</v>
      </c>
      <c r="W468">
        <f>ROUND(CX468*I468,2)</f>
        <v>0</v>
      </c>
      <c r="X468">
        <f t="shared" si="413"/>
        <v>0</v>
      </c>
      <c r="Y468">
        <f t="shared" si="413"/>
        <v>0</v>
      </c>
      <c r="AA468">
        <v>56440881</v>
      </c>
      <c r="AB468">
        <f>ROUND((AC468+AD468+AF468),2)</f>
        <v>124.48</v>
      </c>
      <c r="AC468">
        <f>ROUND((ES468),2)</f>
        <v>124.48</v>
      </c>
      <c r="AD468">
        <f>ROUND((((ET468)-(EU468))+AE468),2)</f>
        <v>0</v>
      </c>
      <c r="AE468">
        <f>ROUND((EU468),2)</f>
        <v>0</v>
      </c>
      <c r="AF468">
        <f>ROUND((EV468),2)</f>
        <v>0</v>
      </c>
      <c r="AG468">
        <f>ROUND((AP468),2)</f>
        <v>0</v>
      </c>
      <c r="AH468">
        <f>(EW468)</f>
        <v>0</v>
      </c>
      <c r="AI468">
        <f>(EX468)</f>
        <v>0</v>
      </c>
      <c r="AJ468">
        <f>(AS468)</f>
        <v>0</v>
      </c>
      <c r="AK468">
        <v>124.48</v>
      </c>
      <c r="AL468">
        <v>124.48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70</v>
      </c>
      <c r="AU468">
        <v>10</v>
      </c>
      <c r="AV468">
        <v>1</v>
      </c>
      <c r="AW468">
        <v>1</v>
      </c>
      <c r="AZ468">
        <v>1</v>
      </c>
      <c r="BA468">
        <v>1</v>
      </c>
      <c r="BB468">
        <v>1</v>
      </c>
      <c r="BC468">
        <v>1</v>
      </c>
      <c r="BD468" t="s">
        <v>3</v>
      </c>
      <c r="BE468" t="s">
        <v>3</v>
      </c>
      <c r="BF468" t="s">
        <v>3</v>
      </c>
      <c r="BG468" t="s">
        <v>3</v>
      </c>
      <c r="BH468">
        <v>3</v>
      </c>
      <c r="BI468">
        <v>4</v>
      </c>
      <c r="BJ468" t="s">
        <v>211</v>
      </c>
      <c r="BM468">
        <v>0</v>
      </c>
      <c r="BN468">
        <v>0</v>
      </c>
      <c r="BO468" t="s">
        <v>3</v>
      </c>
      <c r="BP468">
        <v>0</v>
      </c>
      <c r="BQ468">
        <v>1</v>
      </c>
      <c r="BR468">
        <v>0</v>
      </c>
      <c r="BS468">
        <v>1</v>
      </c>
      <c r="BT468">
        <v>1</v>
      </c>
      <c r="BU468">
        <v>1</v>
      </c>
      <c r="BV468">
        <v>1</v>
      </c>
      <c r="BW468">
        <v>1</v>
      </c>
      <c r="BX468">
        <v>1</v>
      </c>
      <c r="BY468" t="s">
        <v>3</v>
      </c>
      <c r="BZ468">
        <v>70</v>
      </c>
      <c r="CA468">
        <v>10</v>
      </c>
      <c r="CE468">
        <v>0</v>
      </c>
      <c r="CF468">
        <v>0</v>
      </c>
      <c r="CG468">
        <v>0</v>
      </c>
      <c r="CM468">
        <v>0</v>
      </c>
      <c r="CN468" t="s">
        <v>3</v>
      </c>
      <c r="CO468">
        <v>0</v>
      </c>
      <c r="CP468">
        <f>(P468+Q468+S468)</f>
        <v>54111.46</v>
      </c>
      <c r="CQ468">
        <f>(AC468*BC468*AW468)</f>
        <v>124.48</v>
      </c>
      <c r="CR468">
        <f>((((ET468)*BB468-(EU468)*BS468)+AE468*BS468)*AV468)</f>
        <v>0</v>
      </c>
      <c r="CS468">
        <f>(AE468*BS468*AV468)</f>
        <v>0</v>
      </c>
      <c r="CT468">
        <f>(AF468*BA468*AV468)</f>
        <v>0</v>
      </c>
      <c r="CU468">
        <f>AG468</f>
        <v>0</v>
      </c>
      <c r="CV468">
        <f>(AH468*AV468)</f>
        <v>0</v>
      </c>
      <c r="CW468">
        <f t="shared" si="414"/>
        <v>0</v>
      </c>
      <c r="CX468">
        <f t="shared" si="414"/>
        <v>0</v>
      </c>
      <c r="CY468">
        <f>((S468*BZ468)/100)</f>
        <v>0</v>
      </c>
      <c r="CZ468">
        <f>((S468*CA468)/100)</f>
        <v>0</v>
      </c>
      <c r="DC468" t="s">
        <v>3</v>
      </c>
      <c r="DD468" t="s">
        <v>3</v>
      </c>
      <c r="DE468" t="s">
        <v>3</v>
      </c>
      <c r="DF468" t="s">
        <v>3</v>
      </c>
      <c r="DG468" t="s">
        <v>3</v>
      </c>
      <c r="DH468" t="s">
        <v>3</v>
      </c>
      <c r="DI468" t="s">
        <v>3</v>
      </c>
      <c r="DJ468" t="s">
        <v>3</v>
      </c>
      <c r="DK468" t="s">
        <v>3</v>
      </c>
      <c r="DL468" t="s">
        <v>3</v>
      </c>
      <c r="DM468" t="s">
        <v>3</v>
      </c>
      <c r="DN468">
        <v>0</v>
      </c>
      <c r="DO468">
        <v>0</v>
      </c>
      <c r="DP468">
        <v>1</v>
      </c>
      <c r="DQ468">
        <v>1</v>
      </c>
      <c r="DU468">
        <v>1009</v>
      </c>
      <c r="DV468" t="s">
        <v>210</v>
      </c>
      <c r="DW468" t="s">
        <v>210</v>
      </c>
      <c r="DX468">
        <v>1</v>
      </c>
      <c r="DZ468" t="s">
        <v>3</v>
      </c>
      <c r="EA468" t="s">
        <v>3</v>
      </c>
      <c r="EB468" t="s">
        <v>3</v>
      </c>
      <c r="EC468" t="s">
        <v>3</v>
      </c>
      <c r="EE468">
        <v>54545671</v>
      </c>
      <c r="EF468">
        <v>1</v>
      </c>
      <c r="EG468" t="s">
        <v>20</v>
      </c>
      <c r="EH468">
        <v>0</v>
      </c>
      <c r="EI468" t="s">
        <v>3</v>
      </c>
      <c r="EJ468">
        <v>4</v>
      </c>
      <c r="EK468">
        <v>0</v>
      </c>
      <c r="EL468" t="s">
        <v>21</v>
      </c>
      <c r="EM468" t="s">
        <v>22</v>
      </c>
      <c r="EO468" t="s">
        <v>3</v>
      </c>
      <c r="EQ468">
        <v>0</v>
      </c>
      <c r="ER468">
        <v>124.48</v>
      </c>
      <c r="ES468">
        <v>124.48</v>
      </c>
      <c r="ET468">
        <v>0</v>
      </c>
      <c r="EU468">
        <v>0</v>
      </c>
      <c r="EV468">
        <v>0</v>
      </c>
      <c r="EW468">
        <v>0</v>
      </c>
      <c r="EX468">
        <v>0</v>
      </c>
      <c r="FQ468">
        <v>0</v>
      </c>
      <c r="FR468">
        <f>ROUND(IF(AND(BH468=3,BI468=3),P468,0),2)</f>
        <v>0</v>
      </c>
      <c r="FS468">
        <v>0</v>
      </c>
      <c r="FX468">
        <v>70</v>
      </c>
      <c r="FY468">
        <v>10</v>
      </c>
      <c r="GA468" t="s">
        <v>3</v>
      </c>
      <c r="GD468">
        <v>0</v>
      </c>
      <c r="GF468">
        <v>-1858947663</v>
      </c>
      <c r="GG468">
        <v>2</v>
      </c>
      <c r="GH468">
        <v>1</v>
      </c>
      <c r="GI468">
        <v>-2</v>
      </c>
      <c r="GJ468">
        <v>0</v>
      </c>
      <c r="GK468">
        <f>ROUND(R468*(R12)/100,2)</f>
        <v>0</v>
      </c>
      <c r="GL468">
        <f>ROUND(IF(AND(BH468=3,BI468=3,FS468&lt;&gt;0),P468,0),2)</f>
        <v>0</v>
      </c>
      <c r="GM468">
        <f>ROUND(O468+X468+Y468+GK468,2)+GX468</f>
        <v>54111.46</v>
      </c>
      <c r="GN468">
        <f>IF(OR(BI468=0,BI468=1),ROUND(O468+X468+Y468+GK468,2),0)</f>
        <v>0</v>
      </c>
      <c r="GO468">
        <f>IF(BI468=2,ROUND(O468+X468+Y468+GK468,2),0)</f>
        <v>0</v>
      </c>
      <c r="GP468">
        <f>IF(BI468=4,ROUND(O468+X468+Y468+GK468,2)+GX468,0)</f>
        <v>54111.46</v>
      </c>
      <c r="GR468">
        <v>0</v>
      </c>
      <c r="GS468">
        <v>3</v>
      </c>
      <c r="GT468">
        <v>0</v>
      </c>
      <c r="GU468" t="s">
        <v>3</v>
      </c>
      <c r="GV468">
        <f>ROUND((GT468),2)</f>
        <v>0</v>
      </c>
      <c r="GW468">
        <v>1</v>
      </c>
      <c r="GX468">
        <f>ROUND(HC468*I468,2)</f>
        <v>0</v>
      </c>
      <c r="HA468">
        <v>0</v>
      </c>
      <c r="HB468">
        <v>0</v>
      </c>
      <c r="HC468">
        <f>GV468*GW468</f>
        <v>0</v>
      </c>
      <c r="HE468" t="s">
        <v>3</v>
      </c>
      <c r="HF468" t="s">
        <v>3</v>
      </c>
      <c r="IK468">
        <v>0</v>
      </c>
    </row>
    <row r="470" spans="1:245" x14ac:dyDescent="0.2">
      <c r="A470" s="2">
        <v>51</v>
      </c>
      <c r="B470" s="2">
        <f>B460</f>
        <v>1</v>
      </c>
      <c r="C470" s="2">
        <f>A460</f>
        <v>4</v>
      </c>
      <c r="D470" s="2">
        <f>ROW(A460)</f>
        <v>460</v>
      </c>
      <c r="E470" s="2"/>
      <c r="F470" s="2" t="str">
        <f>IF(F460&lt;&gt;"",F460,"")</f>
        <v>Новый раздел</v>
      </c>
      <c r="G470" s="2" t="str">
        <f>IF(G460&lt;&gt;"",G460,"")</f>
        <v>Устройство покрытия из резиновой крошки (828 м2)</v>
      </c>
      <c r="H470" s="2">
        <v>0</v>
      </c>
      <c r="I470" s="2"/>
      <c r="J470" s="2"/>
      <c r="K470" s="2"/>
      <c r="L470" s="2"/>
      <c r="M470" s="2"/>
      <c r="N470" s="2"/>
      <c r="O470" s="2">
        <f t="shared" ref="O470:T470" si="415">ROUND(AB470,2)</f>
        <v>1092806.72</v>
      </c>
      <c r="P470" s="2">
        <f t="shared" si="415"/>
        <v>996625.08</v>
      </c>
      <c r="Q470" s="2">
        <f t="shared" si="415"/>
        <v>40273.760000000002</v>
      </c>
      <c r="R470" s="2">
        <f t="shared" si="415"/>
        <v>31609.81</v>
      </c>
      <c r="S470" s="2">
        <f t="shared" si="415"/>
        <v>55907.88</v>
      </c>
      <c r="T470" s="2">
        <f t="shared" si="415"/>
        <v>0</v>
      </c>
      <c r="U470" s="2">
        <f>AH470</f>
        <v>262.39319999999998</v>
      </c>
      <c r="V470" s="2">
        <f>AI470</f>
        <v>0</v>
      </c>
      <c r="W470" s="2">
        <f>ROUND(AJ470,2)</f>
        <v>0</v>
      </c>
      <c r="X470" s="2">
        <f>ROUND(AK470,2)</f>
        <v>39135.519999999997</v>
      </c>
      <c r="Y470" s="2">
        <f>ROUND(AL470,2)</f>
        <v>5590.79</v>
      </c>
      <c r="Z470" s="2"/>
      <c r="AA470" s="2"/>
      <c r="AB470" s="2">
        <f>ROUND(SUMIF(AA464:AA468,"=56440881",O464:O468),2)</f>
        <v>1092806.72</v>
      </c>
      <c r="AC470" s="2">
        <f>ROUND(SUMIF(AA464:AA468,"=56440881",P464:P468),2)</f>
        <v>996625.08</v>
      </c>
      <c r="AD470" s="2">
        <f>ROUND(SUMIF(AA464:AA468,"=56440881",Q464:Q468),2)</f>
        <v>40273.760000000002</v>
      </c>
      <c r="AE470" s="2">
        <f>ROUND(SUMIF(AA464:AA468,"=56440881",R464:R468),2)</f>
        <v>31609.81</v>
      </c>
      <c r="AF470" s="2">
        <f>ROUND(SUMIF(AA464:AA468,"=56440881",S464:S468),2)</f>
        <v>55907.88</v>
      </c>
      <c r="AG470" s="2">
        <f>ROUND(SUMIF(AA464:AA468,"=56440881",T464:T468),2)</f>
        <v>0</v>
      </c>
      <c r="AH470" s="2">
        <f>SUMIF(AA464:AA468,"=56440881",U464:U468)</f>
        <v>262.39319999999998</v>
      </c>
      <c r="AI470" s="2">
        <f>SUMIF(AA464:AA468,"=56440881",V464:V468)</f>
        <v>0</v>
      </c>
      <c r="AJ470" s="2">
        <f>ROUND(SUMIF(AA464:AA468,"=56440881",W464:W468),2)</f>
        <v>0</v>
      </c>
      <c r="AK470" s="2">
        <f>ROUND(SUMIF(AA464:AA468,"=56440881",X464:X468),2)</f>
        <v>39135.519999999997</v>
      </c>
      <c r="AL470" s="2">
        <f>ROUND(SUMIF(AA464:AA468,"=56440881",Y464:Y468),2)</f>
        <v>5590.79</v>
      </c>
      <c r="AM470" s="2"/>
      <c r="AN470" s="2"/>
      <c r="AO470" s="2">
        <f t="shared" ref="AO470:BD470" si="416">ROUND(BX470,2)</f>
        <v>0</v>
      </c>
      <c r="AP470" s="2">
        <f t="shared" si="416"/>
        <v>0</v>
      </c>
      <c r="AQ470" s="2">
        <f t="shared" si="416"/>
        <v>0</v>
      </c>
      <c r="AR470" s="2">
        <f t="shared" si="416"/>
        <v>1171671.6200000001</v>
      </c>
      <c r="AS470" s="2">
        <f t="shared" si="416"/>
        <v>0</v>
      </c>
      <c r="AT470" s="2">
        <f t="shared" si="416"/>
        <v>0</v>
      </c>
      <c r="AU470" s="2">
        <f t="shared" si="416"/>
        <v>1171671.6200000001</v>
      </c>
      <c r="AV470" s="2">
        <f t="shared" si="416"/>
        <v>996625.08</v>
      </c>
      <c r="AW470" s="2">
        <f t="shared" si="416"/>
        <v>996625.08</v>
      </c>
      <c r="AX470" s="2">
        <f t="shared" si="416"/>
        <v>0</v>
      </c>
      <c r="AY470" s="2">
        <f t="shared" si="416"/>
        <v>996625.08</v>
      </c>
      <c r="AZ470" s="2">
        <f t="shared" si="416"/>
        <v>0</v>
      </c>
      <c r="BA470" s="2">
        <f t="shared" si="416"/>
        <v>0</v>
      </c>
      <c r="BB470" s="2">
        <f t="shared" si="416"/>
        <v>0</v>
      </c>
      <c r="BC470" s="2">
        <f t="shared" si="416"/>
        <v>0</v>
      </c>
      <c r="BD470" s="2">
        <f t="shared" si="416"/>
        <v>0</v>
      </c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>
        <f>ROUND(SUMIF(AA464:AA468,"=56440881",FQ464:FQ468),2)</f>
        <v>0</v>
      </c>
      <c r="BY470" s="2">
        <f>ROUND(SUMIF(AA464:AA468,"=56440881",FR464:FR468),2)</f>
        <v>0</v>
      </c>
      <c r="BZ470" s="2">
        <f>ROUND(SUMIF(AA464:AA468,"=56440881",GL464:GL468),2)</f>
        <v>0</v>
      </c>
      <c r="CA470" s="2">
        <f>ROUND(SUMIF(AA464:AA468,"=56440881",GM464:GM468),2)</f>
        <v>1171671.6200000001</v>
      </c>
      <c r="CB470" s="2">
        <f>ROUND(SUMIF(AA464:AA468,"=56440881",GN464:GN468),2)</f>
        <v>0</v>
      </c>
      <c r="CC470" s="2">
        <f>ROUND(SUMIF(AA464:AA468,"=56440881",GO464:GO468),2)</f>
        <v>0</v>
      </c>
      <c r="CD470" s="2">
        <f>ROUND(SUMIF(AA464:AA468,"=56440881",GP464:GP468),2)</f>
        <v>1171671.6200000001</v>
      </c>
      <c r="CE470" s="2">
        <f>AC470-BX470</f>
        <v>996625.08</v>
      </c>
      <c r="CF470" s="2">
        <f>AC470-BY470</f>
        <v>996625.08</v>
      </c>
      <c r="CG470" s="2">
        <f>BX470-BZ470</f>
        <v>0</v>
      </c>
      <c r="CH470" s="2">
        <f>AC470-BX470-BY470+BZ470</f>
        <v>996625.08</v>
      </c>
      <c r="CI470" s="2">
        <f>BY470-BZ470</f>
        <v>0</v>
      </c>
      <c r="CJ470" s="2">
        <f>ROUND(SUMIF(AA464:AA468,"=56440881",GX464:GX468),2)</f>
        <v>0</v>
      </c>
      <c r="CK470" s="2">
        <f>ROUND(SUMIF(AA464:AA468,"=56440881",GY464:GY468),2)</f>
        <v>0</v>
      </c>
      <c r="CL470" s="2">
        <f>ROUND(SUMIF(AA464:AA468,"=56440881",GZ464:GZ468),2)</f>
        <v>0</v>
      </c>
      <c r="CM470" s="2">
        <f>ROUND(SUMIF(AA464:AA468,"=56440881",HD464:HD468),2)</f>
        <v>0</v>
      </c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>
        <v>0</v>
      </c>
    </row>
    <row r="472" spans="1:245" x14ac:dyDescent="0.2">
      <c r="A472" s="4">
        <v>50</v>
      </c>
      <c r="B472" s="4">
        <v>0</v>
      </c>
      <c r="C472" s="4">
        <v>0</v>
      </c>
      <c r="D472" s="4">
        <v>1</v>
      </c>
      <c r="E472" s="4">
        <v>201</v>
      </c>
      <c r="F472" s="4">
        <f>ROUND(Source!O470,O472)</f>
        <v>1092806.72</v>
      </c>
      <c r="G472" s="4" t="s">
        <v>50</v>
      </c>
      <c r="H472" s="4" t="s">
        <v>51</v>
      </c>
      <c r="I472" s="4"/>
      <c r="J472" s="4"/>
      <c r="K472" s="4">
        <v>-201</v>
      </c>
      <c r="L472" s="4">
        <v>1</v>
      </c>
      <c r="M472" s="4">
        <v>3</v>
      </c>
      <c r="N472" s="4" t="s">
        <v>3</v>
      </c>
      <c r="O472" s="4">
        <v>2</v>
      </c>
      <c r="P472" s="4"/>
      <c r="Q472" s="4"/>
      <c r="R472" s="4"/>
      <c r="S472" s="4"/>
      <c r="T472" s="4"/>
      <c r="U472" s="4"/>
      <c r="V472" s="4"/>
      <c r="W472" s="4"/>
    </row>
    <row r="473" spans="1:245" x14ac:dyDescent="0.2">
      <c r="A473" s="4">
        <v>50</v>
      </c>
      <c r="B473" s="4">
        <v>0</v>
      </c>
      <c r="C473" s="4">
        <v>0</v>
      </c>
      <c r="D473" s="4">
        <v>1</v>
      </c>
      <c r="E473" s="4">
        <v>202</v>
      </c>
      <c r="F473" s="4">
        <f>ROUND(Source!P470,O473)</f>
        <v>996625.08</v>
      </c>
      <c r="G473" s="4" t="s">
        <v>52</v>
      </c>
      <c r="H473" s="4" t="s">
        <v>53</v>
      </c>
      <c r="I473" s="4"/>
      <c r="J473" s="4"/>
      <c r="K473" s="4">
        <v>-202</v>
      </c>
      <c r="L473" s="4">
        <v>2</v>
      </c>
      <c r="M473" s="4">
        <v>3</v>
      </c>
      <c r="N473" s="4" t="s">
        <v>3</v>
      </c>
      <c r="O473" s="4">
        <v>2</v>
      </c>
      <c r="P473" s="4"/>
      <c r="Q473" s="4"/>
      <c r="R473" s="4"/>
      <c r="S473" s="4"/>
      <c r="T473" s="4"/>
      <c r="U473" s="4"/>
      <c r="V473" s="4"/>
      <c r="W473" s="4"/>
    </row>
    <row r="474" spans="1:245" x14ac:dyDescent="0.2">
      <c r="A474" s="4">
        <v>50</v>
      </c>
      <c r="B474" s="4">
        <v>0</v>
      </c>
      <c r="C474" s="4">
        <v>0</v>
      </c>
      <c r="D474" s="4">
        <v>1</v>
      </c>
      <c r="E474" s="4">
        <v>222</v>
      </c>
      <c r="F474" s="4">
        <f>ROUND(Source!AO470,O474)</f>
        <v>0</v>
      </c>
      <c r="G474" s="4" t="s">
        <v>54</v>
      </c>
      <c r="H474" s="4" t="s">
        <v>55</v>
      </c>
      <c r="I474" s="4"/>
      <c r="J474" s="4"/>
      <c r="K474" s="4">
        <v>-222</v>
      </c>
      <c r="L474" s="4">
        <v>3</v>
      </c>
      <c r="M474" s="4">
        <v>3</v>
      </c>
      <c r="N474" s="4" t="s">
        <v>3</v>
      </c>
      <c r="O474" s="4">
        <v>2</v>
      </c>
      <c r="P474" s="4"/>
      <c r="Q474" s="4"/>
      <c r="R474" s="4"/>
      <c r="S474" s="4"/>
      <c r="T474" s="4"/>
      <c r="U474" s="4"/>
      <c r="V474" s="4"/>
      <c r="W474" s="4"/>
    </row>
    <row r="475" spans="1:245" x14ac:dyDescent="0.2">
      <c r="A475" s="4">
        <v>50</v>
      </c>
      <c r="B475" s="4">
        <v>0</v>
      </c>
      <c r="C475" s="4">
        <v>0</v>
      </c>
      <c r="D475" s="4">
        <v>1</v>
      </c>
      <c r="E475" s="4">
        <v>225</v>
      </c>
      <c r="F475" s="4">
        <f>ROUND(Source!AV470,O475)</f>
        <v>996625.08</v>
      </c>
      <c r="G475" s="4" t="s">
        <v>56</v>
      </c>
      <c r="H475" s="4" t="s">
        <v>57</v>
      </c>
      <c r="I475" s="4"/>
      <c r="J475" s="4"/>
      <c r="K475" s="4">
        <v>-225</v>
      </c>
      <c r="L475" s="4">
        <v>4</v>
      </c>
      <c r="M475" s="4">
        <v>3</v>
      </c>
      <c r="N475" s="4" t="s">
        <v>3</v>
      </c>
      <c r="O475" s="4">
        <v>2</v>
      </c>
      <c r="P475" s="4"/>
      <c r="Q475" s="4"/>
      <c r="R475" s="4"/>
      <c r="S475" s="4"/>
      <c r="T475" s="4"/>
      <c r="U475" s="4"/>
      <c r="V475" s="4"/>
      <c r="W475" s="4"/>
    </row>
    <row r="476" spans="1:245" x14ac:dyDescent="0.2">
      <c r="A476" s="4">
        <v>50</v>
      </c>
      <c r="B476" s="4">
        <v>0</v>
      </c>
      <c r="C476" s="4">
        <v>0</v>
      </c>
      <c r="D476" s="4">
        <v>1</v>
      </c>
      <c r="E476" s="4">
        <v>226</v>
      </c>
      <c r="F476" s="4">
        <f>ROUND(Source!AW470,O476)</f>
        <v>996625.08</v>
      </c>
      <c r="G476" s="4" t="s">
        <v>58</v>
      </c>
      <c r="H476" s="4" t="s">
        <v>59</v>
      </c>
      <c r="I476" s="4"/>
      <c r="J476" s="4"/>
      <c r="K476" s="4">
        <v>-226</v>
      </c>
      <c r="L476" s="4">
        <v>5</v>
      </c>
      <c r="M476" s="4">
        <v>3</v>
      </c>
      <c r="N476" s="4" t="s">
        <v>3</v>
      </c>
      <c r="O476" s="4">
        <v>2</v>
      </c>
      <c r="P476" s="4"/>
      <c r="Q476" s="4"/>
      <c r="R476" s="4"/>
      <c r="S476" s="4"/>
      <c r="T476" s="4"/>
      <c r="U476" s="4"/>
      <c r="V476" s="4"/>
      <c r="W476" s="4"/>
    </row>
    <row r="477" spans="1:245" x14ac:dyDescent="0.2">
      <c r="A477" s="4">
        <v>50</v>
      </c>
      <c r="B477" s="4">
        <v>0</v>
      </c>
      <c r="C477" s="4">
        <v>0</v>
      </c>
      <c r="D477" s="4">
        <v>1</v>
      </c>
      <c r="E477" s="4">
        <v>227</v>
      </c>
      <c r="F477" s="4">
        <f>ROUND(Source!AX470,O477)</f>
        <v>0</v>
      </c>
      <c r="G477" s="4" t="s">
        <v>60</v>
      </c>
      <c r="H477" s="4" t="s">
        <v>61</v>
      </c>
      <c r="I477" s="4"/>
      <c r="J477" s="4"/>
      <c r="K477" s="4">
        <v>-227</v>
      </c>
      <c r="L477" s="4">
        <v>6</v>
      </c>
      <c r="M477" s="4">
        <v>3</v>
      </c>
      <c r="N477" s="4" t="s">
        <v>3</v>
      </c>
      <c r="O477" s="4">
        <v>2</v>
      </c>
      <c r="P477" s="4"/>
      <c r="Q477" s="4"/>
      <c r="R477" s="4"/>
      <c r="S477" s="4"/>
      <c r="T477" s="4"/>
      <c r="U477" s="4"/>
      <c r="V477" s="4"/>
      <c r="W477" s="4"/>
    </row>
    <row r="478" spans="1:245" x14ac:dyDescent="0.2">
      <c r="A478" s="4">
        <v>50</v>
      </c>
      <c r="B478" s="4">
        <v>0</v>
      </c>
      <c r="C478" s="4">
        <v>0</v>
      </c>
      <c r="D478" s="4">
        <v>1</v>
      </c>
      <c r="E478" s="4">
        <v>228</v>
      </c>
      <c r="F478" s="4">
        <f>ROUND(Source!AY470,O478)</f>
        <v>996625.08</v>
      </c>
      <c r="G478" s="4" t="s">
        <v>62</v>
      </c>
      <c r="H478" s="4" t="s">
        <v>63</v>
      </c>
      <c r="I478" s="4"/>
      <c r="J478" s="4"/>
      <c r="K478" s="4">
        <v>-228</v>
      </c>
      <c r="L478" s="4">
        <v>7</v>
      </c>
      <c r="M478" s="4">
        <v>3</v>
      </c>
      <c r="N478" s="4" t="s">
        <v>3</v>
      </c>
      <c r="O478" s="4">
        <v>2</v>
      </c>
      <c r="P478" s="4"/>
      <c r="Q478" s="4"/>
      <c r="R478" s="4"/>
      <c r="S478" s="4"/>
      <c r="T478" s="4"/>
      <c r="U478" s="4"/>
      <c r="V478" s="4"/>
      <c r="W478" s="4"/>
    </row>
    <row r="479" spans="1:245" x14ac:dyDescent="0.2">
      <c r="A479" s="4">
        <v>50</v>
      </c>
      <c r="B479" s="4">
        <v>0</v>
      </c>
      <c r="C479" s="4">
        <v>0</v>
      </c>
      <c r="D479" s="4">
        <v>1</v>
      </c>
      <c r="E479" s="4">
        <v>216</v>
      </c>
      <c r="F479" s="4">
        <f>ROUND(Source!AP470,O479)</f>
        <v>0</v>
      </c>
      <c r="G479" s="4" t="s">
        <v>64</v>
      </c>
      <c r="H479" s="4" t="s">
        <v>65</v>
      </c>
      <c r="I479" s="4"/>
      <c r="J479" s="4"/>
      <c r="K479" s="4">
        <v>-216</v>
      </c>
      <c r="L479" s="4">
        <v>8</v>
      </c>
      <c r="M479" s="4">
        <v>3</v>
      </c>
      <c r="N479" s="4" t="s">
        <v>3</v>
      </c>
      <c r="O479" s="4">
        <v>2</v>
      </c>
      <c r="P479" s="4"/>
      <c r="Q479" s="4"/>
      <c r="R479" s="4"/>
      <c r="S479" s="4"/>
      <c r="T479" s="4"/>
      <c r="U479" s="4"/>
      <c r="V479" s="4"/>
      <c r="W479" s="4"/>
    </row>
    <row r="480" spans="1:245" x14ac:dyDescent="0.2">
      <c r="A480" s="4">
        <v>50</v>
      </c>
      <c r="B480" s="4">
        <v>0</v>
      </c>
      <c r="C480" s="4">
        <v>0</v>
      </c>
      <c r="D480" s="4">
        <v>1</v>
      </c>
      <c r="E480" s="4">
        <v>223</v>
      </c>
      <c r="F480" s="4">
        <f>ROUND(Source!AQ470,O480)</f>
        <v>0</v>
      </c>
      <c r="G480" s="4" t="s">
        <v>66</v>
      </c>
      <c r="H480" s="4" t="s">
        <v>67</v>
      </c>
      <c r="I480" s="4"/>
      <c r="J480" s="4"/>
      <c r="K480" s="4">
        <v>-223</v>
      </c>
      <c r="L480" s="4">
        <v>9</v>
      </c>
      <c r="M480" s="4">
        <v>3</v>
      </c>
      <c r="N480" s="4" t="s">
        <v>3</v>
      </c>
      <c r="O480" s="4">
        <v>2</v>
      </c>
      <c r="P480" s="4"/>
      <c r="Q480" s="4"/>
      <c r="R480" s="4"/>
      <c r="S480" s="4"/>
      <c r="T480" s="4"/>
      <c r="U480" s="4"/>
      <c r="V480" s="4"/>
      <c r="W480" s="4"/>
    </row>
    <row r="481" spans="1:23" x14ac:dyDescent="0.2">
      <c r="A481" s="4">
        <v>50</v>
      </c>
      <c r="B481" s="4">
        <v>0</v>
      </c>
      <c r="C481" s="4">
        <v>0</v>
      </c>
      <c r="D481" s="4">
        <v>1</v>
      </c>
      <c r="E481" s="4">
        <v>229</v>
      </c>
      <c r="F481" s="4">
        <f>ROUND(Source!AZ470,O481)</f>
        <v>0</v>
      </c>
      <c r="G481" s="4" t="s">
        <v>68</v>
      </c>
      <c r="H481" s="4" t="s">
        <v>69</v>
      </c>
      <c r="I481" s="4"/>
      <c r="J481" s="4"/>
      <c r="K481" s="4">
        <v>-229</v>
      </c>
      <c r="L481" s="4">
        <v>10</v>
      </c>
      <c r="M481" s="4">
        <v>3</v>
      </c>
      <c r="N481" s="4" t="s">
        <v>3</v>
      </c>
      <c r="O481" s="4">
        <v>2</v>
      </c>
      <c r="P481" s="4"/>
      <c r="Q481" s="4"/>
      <c r="R481" s="4"/>
      <c r="S481" s="4"/>
      <c r="T481" s="4"/>
      <c r="U481" s="4"/>
      <c r="V481" s="4"/>
      <c r="W481" s="4"/>
    </row>
    <row r="482" spans="1:23" x14ac:dyDescent="0.2">
      <c r="A482" s="4">
        <v>50</v>
      </c>
      <c r="B482" s="4">
        <v>0</v>
      </c>
      <c r="C482" s="4">
        <v>0</v>
      </c>
      <c r="D482" s="4">
        <v>1</v>
      </c>
      <c r="E482" s="4">
        <v>203</v>
      </c>
      <c r="F482" s="4">
        <f>ROUND(Source!Q470,O482)</f>
        <v>40273.760000000002</v>
      </c>
      <c r="G482" s="4" t="s">
        <v>70</v>
      </c>
      <c r="H482" s="4" t="s">
        <v>71</v>
      </c>
      <c r="I482" s="4"/>
      <c r="J482" s="4"/>
      <c r="K482" s="4">
        <v>-203</v>
      </c>
      <c r="L482" s="4">
        <v>11</v>
      </c>
      <c r="M482" s="4">
        <v>3</v>
      </c>
      <c r="N482" s="4" t="s">
        <v>3</v>
      </c>
      <c r="O482" s="4">
        <v>2</v>
      </c>
      <c r="P482" s="4"/>
      <c r="Q482" s="4"/>
      <c r="R482" s="4"/>
      <c r="S482" s="4"/>
      <c r="T482" s="4"/>
      <c r="U482" s="4"/>
      <c r="V482" s="4"/>
      <c r="W482" s="4"/>
    </row>
    <row r="483" spans="1:23" x14ac:dyDescent="0.2">
      <c r="A483" s="4">
        <v>50</v>
      </c>
      <c r="B483" s="4">
        <v>0</v>
      </c>
      <c r="C483" s="4">
        <v>0</v>
      </c>
      <c r="D483" s="4">
        <v>1</v>
      </c>
      <c r="E483" s="4">
        <v>231</v>
      </c>
      <c r="F483" s="4">
        <f>ROUND(Source!BB470,O483)</f>
        <v>0</v>
      </c>
      <c r="G483" s="4" t="s">
        <v>72</v>
      </c>
      <c r="H483" s="4" t="s">
        <v>73</v>
      </c>
      <c r="I483" s="4"/>
      <c r="J483" s="4"/>
      <c r="K483" s="4">
        <v>-231</v>
      </c>
      <c r="L483" s="4">
        <v>12</v>
      </c>
      <c r="M483" s="4">
        <v>3</v>
      </c>
      <c r="N483" s="4" t="s">
        <v>3</v>
      </c>
      <c r="O483" s="4">
        <v>2</v>
      </c>
      <c r="P483" s="4"/>
      <c r="Q483" s="4"/>
      <c r="R483" s="4"/>
      <c r="S483" s="4"/>
      <c r="T483" s="4"/>
      <c r="U483" s="4"/>
      <c r="V483" s="4"/>
      <c r="W483" s="4"/>
    </row>
    <row r="484" spans="1:23" x14ac:dyDescent="0.2">
      <c r="A484" s="4">
        <v>50</v>
      </c>
      <c r="B484" s="4">
        <v>0</v>
      </c>
      <c r="C484" s="4">
        <v>0</v>
      </c>
      <c r="D484" s="4">
        <v>1</v>
      </c>
      <c r="E484" s="4">
        <v>204</v>
      </c>
      <c r="F484" s="4">
        <f>ROUND(Source!R470,O484)</f>
        <v>31609.81</v>
      </c>
      <c r="G484" s="4" t="s">
        <v>74</v>
      </c>
      <c r="H484" s="4" t="s">
        <v>75</v>
      </c>
      <c r="I484" s="4"/>
      <c r="J484" s="4"/>
      <c r="K484" s="4">
        <v>-204</v>
      </c>
      <c r="L484" s="4">
        <v>13</v>
      </c>
      <c r="M484" s="4">
        <v>3</v>
      </c>
      <c r="N484" s="4" t="s">
        <v>3</v>
      </c>
      <c r="O484" s="4">
        <v>2</v>
      </c>
      <c r="P484" s="4"/>
      <c r="Q484" s="4"/>
      <c r="R484" s="4"/>
      <c r="S484" s="4"/>
      <c r="T484" s="4"/>
      <c r="U484" s="4"/>
      <c r="V484" s="4"/>
      <c r="W484" s="4"/>
    </row>
    <row r="485" spans="1:23" x14ac:dyDescent="0.2">
      <c r="A485" s="4">
        <v>50</v>
      </c>
      <c r="B485" s="4">
        <v>0</v>
      </c>
      <c r="C485" s="4">
        <v>0</v>
      </c>
      <c r="D485" s="4">
        <v>1</v>
      </c>
      <c r="E485" s="4">
        <v>205</v>
      </c>
      <c r="F485" s="4">
        <f>ROUND(Source!S470,O485)</f>
        <v>55907.88</v>
      </c>
      <c r="G485" s="4" t="s">
        <v>76</v>
      </c>
      <c r="H485" s="4" t="s">
        <v>77</v>
      </c>
      <c r="I485" s="4"/>
      <c r="J485" s="4"/>
      <c r="K485" s="4">
        <v>-205</v>
      </c>
      <c r="L485" s="4">
        <v>14</v>
      </c>
      <c r="M485" s="4">
        <v>3</v>
      </c>
      <c r="N485" s="4" t="s">
        <v>3</v>
      </c>
      <c r="O485" s="4">
        <v>2</v>
      </c>
      <c r="P485" s="4"/>
      <c r="Q485" s="4"/>
      <c r="R485" s="4"/>
      <c r="S485" s="4"/>
      <c r="T485" s="4"/>
      <c r="U485" s="4"/>
      <c r="V485" s="4"/>
      <c r="W485" s="4"/>
    </row>
    <row r="486" spans="1:23" x14ac:dyDescent="0.2">
      <c r="A486" s="4">
        <v>50</v>
      </c>
      <c r="B486" s="4">
        <v>0</v>
      </c>
      <c r="C486" s="4">
        <v>0</v>
      </c>
      <c r="D486" s="4">
        <v>1</v>
      </c>
      <c r="E486" s="4">
        <v>232</v>
      </c>
      <c r="F486" s="4">
        <f>ROUND(Source!BC470,O486)</f>
        <v>0</v>
      </c>
      <c r="G486" s="4" t="s">
        <v>78</v>
      </c>
      <c r="H486" s="4" t="s">
        <v>79</v>
      </c>
      <c r="I486" s="4"/>
      <c r="J486" s="4"/>
      <c r="K486" s="4">
        <v>-232</v>
      </c>
      <c r="L486" s="4">
        <v>15</v>
      </c>
      <c r="M486" s="4">
        <v>3</v>
      </c>
      <c r="N486" s="4" t="s">
        <v>3</v>
      </c>
      <c r="O486" s="4">
        <v>2</v>
      </c>
      <c r="P486" s="4"/>
      <c r="Q486" s="4"/>
      <c r="R486" s="4"/>
      <c r="S486" s="4"/>
      <c r="T486" s="4"/>
      <c r="U486" s="4"/>
      <c r="V486" s="4"/>
      <c r="W486" s="4"/>
    </row>
    <row r="487" spans="1:23" x14ac:dyDescent="0.2">
      <c r="A487" s="4">
        <v>50</v>
      </c>
      <c r="B487" s="4">
        <v>0</v>
      </c>
      <c r="C487" s="4">
        <v>0</v>
      </c>
      <c r="D487" s="4">
        <v>1</v>
      </c>
      <c r="E487" s="4">
        <v>214</v>
      </c>
      <c r="F487" s="4">
        <f>ROUND(Source!AS470,O487)</f>
        <v>0</v>
      </c>
      <c r="G487" s="4" t="s">
        <v>80</v>
      </c>
      <c r="H487" s="4" t="s">
        <v>81</v>
      </c>
      <c r="I487" s="4"/>
      <c r="J487" s="4"/>
      <c r="K487" s="4">
        <v>-214</v>
      </c>
      <c r="L487" s="4">
        <v>16</v>
      </c>
      <c r="M487" s="4">
        <v>3</v>
      </c>
      <c r="N487" s="4" t="s">
        <v>3</v>
      </c>
      <c r="O487" s="4">
        <v>2</v>
      </c>
      <c r="P487" s="4"/>
      <c r="Q487" s="4"/>
      <c r="R487" s="4"/>
      <c r="S487" s="4"/>
      <c r="T487" s="4"/>
      <c r="U487" s="4"/>
      <c r="V487" s="4"/>
      <c r="W487" s="4"/>
    </row>
    <row r="488" spans="1:23" x14ac:dyDescent="0.2">
      <c r="A488" s="4">
        <v>50</v>
      </c>
      <c r="B488" s="4">
        <v>0</v>
      </c>
      <c r="C488" s="4">
        <v>0</v>
      </c>
      <c r="D488" s="4">
        <v>1</v>
      </c>
      <c r="E488" s="4">
        <v>215</v>
      </c>
      <c r="F488" s="4">
        <f>ROUND(Source!AT470,O488)</f>
        <v>0</v>
      </c>
      <c r="G488" s="4" t="s">
        <v>82</v>
      </c>
      <c r="H488" s="4" t="s">
        <v>83</v>
      </c>
      <c r="I488" s="4"/>
      <c r="J488" s="4"/>
      <c r="K488" s="4">
        <v>-215</v>
      </c>
      <c r="L488" s="4">
        <v>17</v>
      </c>
      <c r="M488" s="4">
        <v>3</v>
      </c>
      <c r="N488" s="4" t="s">
        <v>3</v>
      </c>
      <c r="O488" s="4">
        <v>2</v>
      </c>
      <c r="P488" s="4"/>
      <c r="Q488" s="4"/>
      <c r="R488" s="4"/>
      <c r="S488" s="4"/>
      <c r="T488" s="4"/>
      <c r="U488" s="4"/>
      <c r="V488" s="4"/>
      <c r="W488" s="4"/>
    </row>
    <row r="489" spans="1:23" x14ac:dyDescent="0.2">
      <c r="A489" s="4">
        <v>50</v>
      </c>
      <c r="B489" s="4">
        <v>0</v>
      </c>
      <c r="C489" s="4">
        <v>0</v>
      </c>
      <c r="D489" s="4">
        <v>1</v>
      </c>
      <c r="E489" s="4">
        <v>217</v>
      </c>
      <c r="F489" s="4">
        <f>ROUND(Source!AU470,O489)</f>
        <v>1171671.6200000001</v>
      </c>
      <c r="G489" s="4" t="s">
        <v>84</v>
      </c>
      <c r="H489" s="4" t="s">
        <v>85</v>
      </c>
      <c r="I489" s="4"/>
      <c r="J489" s="4"/>
      <c r="K489" s="4">
        <v>-217</v>
      </c>
      <c r="L489" s="4">
        <v>18</v>
      </c>
      <c r="M489" s="4">
        <v>3</v>
      </c>
      <c r="N489" s="4" t="s">
        <v>3</v>
      </c>
      <c r="O489" s="4">
        <v>2</v>
      </c>
      <c r="P489" s="4"/>
      <c r="Q489" s="4"/>
      <c r="R489" s="4"/>
      <c r="S489" s="4"/>
      <c r="T489" s="4"/>
      <c r="U489" s="4"/>
      <c r="V489" s="4"/>
      <c r="W489" s="4"/>
    </row>
    <row r="490" spans="1:23" x14ac:dyDescent="0.2">
      <c r="A490" s="4">
        <v>50</v>
      </c>
      <c r="B490" s="4">
        <v>0</v>
      </c>
      <c r="C490" s="4">
        <v>0</v>
      </c>
      <c r="D490" s="4">
        <v>1</v>
      </c>
      <c r="E490" s="4">
        <v>230</v>
      </c>
      <c r="F490" s="4">
        <f>ROUND(Source!BA470,O490)</f>
        <v>0</v>
      </c>
      <c r="G490" s="4" t="s">
        <v>86</v>
      </c>
      <c r="H490" s="4" t="s">
        <v>87</v>
      </c>
      <c r="I490" s="4"/>
      <c r="J490" s="4"/>
      <c r="K490" s="4">
        <v>-230</v>
      </c>
      <c r="L490" s="4">
        <v>19</v>
      </c>
      <c r="M490" s="4">
        <v>3</v>
      </c>
      <c r="N490" s="4" t="s">
        <v>3</v>
      </c>
      <c r="O490" s="4">
        <v>2</v>
      </c>
      <c r="P490" s="4"/>
      <c r="Q490" s="4"/>
      <c r="R490" s="4"/>
      <c r="S490" s="4"/>
      <c r="T490" s="4"/>
      <c r="U490" s="4"/>
      <c r="V490" s="4"/>
      <c r="W490" s="4"/>
    </row>
    <row r="491" spans="1:23" x14ac:dyDescent="0.2">
      <c r="A491" s="4">
        <v>50</v>
      </c>
      <c r="B491" s="4">
        <v>0</v>
      </c>
      <c r="C491" s="4">
        <v>0</v>
      </c>
      <c r="D491" s="4">
        <v>1</v>
      </c>
      <c r="E491" s="4">
        <v>206</v>
      </c>
      <c r="F491" s="4">
        <f>ROUND(Source!T470,O491)</f>
        <v>0</v>
      </c>
      <c r="G491" s="4" t="s">
        <v>88</v>
      </c>
      <c r="H491" s="4" t="s">
        <v>89</v>
      </c>
      <c r="I491" s="4"/>
      <c r="J491" s="4"/>
      <c r="K491" s="4">
        <v>-206</v>
      </c>
      <c r="L491" s="4">
        <v>20</v>
      </c>
      <c r="M491" s="4">
        <v>3</v>
      </c>
      <c r="N491" s="4" t="s">
        <v>3</v>
      </c>
      <c r="O491" s="4">
        <v>2</v>
      </c>
      <c r="P491" s="4"/>
      <c r="Q491" s="4"/>
      <c r="R491" s="4"/>
      <c r="S491" s="4"/>
      <c r="T491" s="4"/>
      <c r="U491" s="4"/>
      <c r="V491" s="4"/>
      <c r="W491" s="4"/>
    </row>
    <row r="492" spans="1:23" x14ac:dyDescent="0.2">
      <c r="A492" s="4">
        <v>50</v>
      </c>
      <c r="B492" s="4">
        <v>0</v>
      </c>
      <c r="C492" s="4">
        <v>0</v>
      </c>
      <c r="D492" s="4">
        <v>1</v>
      </c>
      <c r="E492" s="4">
        <v>207</v>
      </c>
      <c r="F492" s="4">
        <f>Source!U470</f>
        <v>262.39319999999998</v>
      </c>
      <c r="G492" s="4" t="s">
        <v>90</v>
      </c>
      <c r="H492" s="4" t="s">
        <v>91</v>
      </c>
      <c r="I492" s="4"/>
      <c r="J492" s="4"/>
      <c r="K492" s="4">
        <v>-207</v>
      </c>
      <c r="L492" s="4">
        <v>21</v>
      </c>
      <c r="M492" s="4">
        <v>3</v>
      </c>
      <c r="N492" s="4" t="s">
        <v>3</v>
      </c>
      <c r="O492" s="4">
        <v>-1</v>
      </c>
      <c r="P492" s="4"/>
      <c r="Q492" s="4"/>
      <c r="R492" s="4"/>
      <c r="S492" s="4"/>
      <c r="T492" s="4"/>
      <c r="U492" s="4"/>
      <c r="V492" s="4"/>
      <c r="W492" s="4"/>
    </row>
    <row r="493" spans="1:23" x14ac:dyDescent="0.2">
      <c r="A493" s="4">
        <v>50</v>
      </c>
      <c r="B493" s="4">
        <v>0</v>
      </c>
      <c r="C493" s="4">
        <v>0</v>
      </c>
      <c r="D493" s="4">
        <v>1</v>
      </c>
      <c r="E493" s="4">
        <v>208</v>
      </c>
      <c r="F493" s="4">
        <f>Source!V470</f>
        <v>0</v>
      </c>
      <c r="G493" s="4" t="s">
        <v>92</v>
      </c>
      <c r="H493" s="4" t="s">
        <v>93</v>
      </c>
      <c r="I493" s="4"/>
      <c r="J493" s="4"/>
      <c r="K493" s="4">
        <v>-208</v>
      </c>
      <c r="L493" s="4">
        <v>22</v>
      </c>
      <c r="M493" s="4">
        <v>3</v>
      </c>
      <c r="N493" s="4" t="s">
        <v>3</v>
      </c>
      <c r="O493" s="4">
        <v>-1</v>
      </c>
      <c r="P493" s="4"/>
      <c r="Q493" s="4"/>
      <c r="R493" s="4"/>
      <c r="S493" s="4"/>
      <c r="T493" s="4"/>
      <c r="U493" s="4"/>
      <c r="V493" s="4"/>
      <c r="W493" s="4"/>
    </row>
    <row r="494" spans="1:23" x14ac:dyDescent="0.2">
      <c r="A494" s="4">
        <v>50</v>
      </c>
      <c r="B494" s="4">
        <v>0</v>
      </c>
      <c r="C494" s="4">
        <v>0</v>
      </c>
      <c r="D494" s="4">
        <v>1</v>
      </c>
      <c r="E494" s="4">
        <v>209</v>
      </c>
      <c r="F494" s="4">
        <f>ROUND(Source!W470,O494)</f>
        <v>0</v>
      </c>
      <c r="G494" s="4" t="s">
        <v>94</v>
      </c>
      <c r="H494" s="4" t="s">
        <v>95</v>
      </c>
      <c r="I494" s="4"/>
      <c r="J494" s="4"/>
      <c r="K494" s="4">
        <v>-209</v>
      </c>
      <c r="L494" s="4">
        <v>23</v>
      </c>
      <c r="M494" s="4">
        <v>3</v>
      </c>
      <c r="N494" s="4" t="s">
        <v>3</v>
      </c>
      <c r="O494" s="4">
        <v>2</v>
      </c>
      <c r="P494" s="4"/>
      <c r="Q494" s="4"/>
      <c r="R494" s="4"/>
      <c r="S494" s="4"/>
      <c r="T494" s="4"/>
      <c r="U494" s="4"/>
      <c r="V494" s="4"/>
      <c r="W494" s="4"/>
    </row>
    <row r="495" spans="1:23" x14ac:dyDescent="0.2">
      <c r="A495" s="4">
        <v>50</v>
      </c>
      <c r="B495" s="4">
        <v>0</v>
      </c>
      <c r="C495" s="4">
        <v>0</v>
      </c>
      <c r="D495" s="4">
        <v>1</v>
      </c>
      <c r="E495" s="4">
        <v>233</v>
      </c>
      <c r="F495" s="4">
        <f>ROUND(Source!BD470,O495)</f>
        <v>0</v>
      </c>
      <c r="G495" s="4" t="s">
        <v>96</v>
      </c>
      <c r="H495" s="4" t="s">
        <v>97</v>
      </c>
      <c r="I495" s="4"/>
      <c r="J495" s="4"/>
      <c r="K495" s="4">
        <v>-233</v>
      </c>
      <c r="L495" s="4">
        <v>24</v>
      </c>
      <c r="M495" s="4">
        <v>3</v>
      </c>
      <c r="N495" s="4" t="s">
        <v>3</v>
      </c>
      <c r="O495" s="4">
        <v>2</v>
      </c>
      <c r="P495" s="4"/>
      <c r="Q495" s="4"/>
      <c r="R495" s="4"/>
      <c r="S495" s="4"/>
      <c r="T495" s="4"/>
      <c r="U495" s="4"/>
      <c r="V495" s="4"/>
      <c r="W495" s="4"/>
    </row>
    <row r="496" spans="1:23" x14ac:dyDescent="0.2">
      <c r="A496" s="4">
        <v>50</v>
      </c>
      <c r="B496" s="4">
        <v>0</v>
      </c>
      <c r="C496" s="4">
        <v>0</v>
      </c>
      <c r="D496" s="4">
        <v>1</v>
      </c>
      <c r="E496" s="4">
        <v>210</v>
      </c>
      <c r="F496" s="4">
        <f>ROUND(Source!X470,O496)</f>
        <v>39135.519999999997</v>
      </c>
      <c r="G496" s="4" t="s">
        <v>98</v>
      </c>
      <c r="H496" s="4" t="s">
        <v>99</v>
      </c>
      <c r="I496" s="4"/>
      <c r="J496" s="4"/>
      <c r="K496" s="4">
        <v>-210</v>
      </c>
      <c r="L496" s="4">
        <v>25</v>
      </c>
      <c r="M496" s="4">
        <v>3</v>
      </c>
      <c r="N496" s="4" t="s">
        <v>3</v>
      </c>
      <c r="O496" s="4">
        <v>2</v>
      </c>
      <c r="P496" s="4"/>
      <c r="Q496" s="4"/>
      <c r="R496" s="4"/>
      <c r="S496" s="4"/>
      <c r="T496" s="4"/>
      <c r="U496" s="4"/>
      <c r="V496" s="4"/>
      <c r="W496" s="4"/>
    </row>
    <row r="497" spans="1:206" x14ac:dyDescent="0.2">
      <c r="A497" s="4">
        <v>50</v>
      </c>
      <c r="B497" s="4">
        <v>0</v>
      </c>
      <c r="C497" s="4">
        <v>0</v>
      </c>
      <c r="D497" s="4">
        <v>1</v>
      </c>
      <c r="E497" s="4">
        <v>211</v>
      </c>
      <c r="F497" s="4">
        <f>ROUND(Source!Y470,O497)</f>
        <v>5590.79</v>
      </c>
      <c r="G497" s="4" t="s">
        <v>100</v>
      </c>
      <c r="H497" s="4" t="s">
        <v>101</v>
      </c>
      <c r="I497" s="4"/>
      <c r="J497" s="4"/>
      <c r="K497" s="4">
        <v>-211</v>
      </c>
      <c r="L497" s="4">
        <v>26</v>
      </c>
      <c r="M497" s="4">
        <v>3</v>
      </c>
      <c r="N497" s="4" t="s">
        <v>3</v>
      </c>
      <c r="O497" s="4">
        <v>2</v>
      </c>
      <c r="P497" s="4"/>
      <c r="Q497" s="4"/>
      <c r="R497" s="4"/>
      <c r="S497" s="4"/>
      <c r="T497" s="4"/>
      <c r="U497" s="4"/>
      <c r="V497" s="4"/>
      <c r="W497" s="4"/>
    </row>
    <row r="498" spans="1:206" x14ac:dyDescent="0.2">
      <c r="A498" s="4">
        <v>50</v>
      </c>
      <c r="B498" s="4">
        <v>0</v>
      </c>
      <c r="C498" s="4">
        <v>0</v>
      </c>
      <c r="D498" s="4">
        <v>1</v>
      </c>
      <c r="E498" s="4">
        <v>224</v>
      </c>
      <c r="F498" s="4">
        <f>ROUND(Source!AR470,O498)</f>
        <v>1171671.6200000001</v>
      </c>
      <c r="G498" s="4" t="s">
        <v>102</v>
      </c>
      <c r="H498" s="4" t="s">
        <v>103</v>
      </c>
      <c r="I498" s="4"/>
      <c r="J498" s="4"/>
      <c r="K498" s="4">
        <v>-224</v>
      </c>
      <c r="L498" s="4">
        <v>27</v>
      </c>
      <c r="M498" s="4">
        <v>3</v>
      </c>
      <c r="N498" s="4" t="s">
        <v>3</v>
      </c>
      <c r="O498" s="4">
        <v>2</v>
      </c>
      <c r="P498" s="4"/>
      <c r="Q498" s="4"/>
      <c r="R498" s="4"/>
      <c r="S498" s="4"/>
      <c r="T498" s="4"/>
      <c r="U498" s="4"/>
      <c r="V498" s="4"/>
      <c r="W498" s="4"/>
    </row>
    <row r="500" spans="1:206" x14ac:dyDescent="0.2">
      <c r="A500" s="2">
        <v>51</v>
      </c>
      <c r="B500" s="2">
        <f>B20</f>
        <v>1</v>
      </c>
      <c r="C500" s="2">
        <f>A20</f>
        <v>3</v>
      </c>
      <c r="D500" s="2">
        <f>ROW(A20)</f>
        <v>20</v>
      </c>
      <c r="E500" s="2"/>
      <c r="F500" s="2" t="str">
        <f>IF(F20&lt;&gt;"",F20,"")</f>
        <v>Новая локальная смета</v>
      </c>
      <c r="G500" s="2" t="str">
        <f>IF(G20&lt;&gt;"",G20,"")</f>
        <v>Благоустройство территории, прилегающей к ГБОУ Школа № 1788 по адресу: г. Москва, пос. Внуковское, ул. Летчика Грицевца, д. 5, к. 1</v>
      </c>
      <c r="H500" s="2">
        <v>0</v>
      </c>
      <c r="I500" s="2"/>
      <c r="J500" s="2"/>
      <c r="K500" s="2"/>
      <c r="L500" s="2"/>
      <c r="M500" s="2"/>
      <c r="N500" s="2"/>
      <c r="O500" s="2">
        <f t="shared" ref="O500:T500" si="417">ROUND(O36+O78+O127+O164+O205+O245+O291+O337+O383+O430+O470+AB500,2)</f>
        <v>6435953.29</v>
      </c>
      <c r="P500" s="2">
        <f t="shared" si="417"/>
        <v>4861585.33</v>
      </c>
      <c r="Q500" s="2">
        <f t="shared" si="417"/>
        <v>584319.49</v>
      </c>
      <c r="R500" s="2">
        <f t="shared" si="417"/>
        <v>327732.03999999998</v>
      </c>
      <c r="S500" s="2">
        <f t="shared" si="417"/>
        <v>990048.47</v>
      </c>
      <c r="T500" s="2">
        <f t="shared" si="417"/>
        <v>0</v>
      </c>
      <c r="U500" s="2">
        <f>U36+U78+U127+U164+U205+U245+U291+U337+U383+U430+U470+AH500</f>
        <v>5115.7461165000004</v>
      </c>
      <c r="V500" s="2">
        <f>V36+V78+V127+V164+V205+V245+V291+V337+V383+V430+V470+AI500</f>
        <v>0</v>
      </c>
      <c r="W500" s="2">
        <f>ROUND(W36+W78+W127+W164+W205+W245+W291+W337+W383+W430+W470+AJ500,2)</f>
        <v>0</v>
      </c>
      <c r="X500" s="2">
        <f>ROUND(X36+X78+X127+X164+X205+X245+X291+X337+X383+X430+X470+AK500,2)</f>
        <v>693033.96</v>
      </c>
      <c r="Y500" s="2">
        <f>ROUND(Y36+Y78+Y127+Y164+Y205+Y245+Y291+Y337+Y383+Y430+Y470+AL500,2)</f>
        <v>99004.87</v>
      </c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>
        <f t="shared" ref="AO500:BD500" si="418">ROUND(AO36+AO78+AO127+AO164+AO205+AO245+AO291+AO337+AO383+AO430+AO470+BX500,2)</f>
        <v>0</v>
      </c>
      <c r="AP500" s="2">
        <f t="shared" si="418"/>
        <v>0</v>
      </c>
      <c r="AQ500" s="2">
        <f t="shared" si="418"/>
        <v>0</v>
      </c>
      <c r="AR500" s="2">
        <f t="shared" si="418"/>
        <v>7376978.5899999999</v>
      </c>
      <c r="AS500" s="2">
        <f t="shared" si="418"/>
        <v>245000</v>
      </c>
      <c r="AT500" s="2">
        <f t="shared" si="418"/>
        <v>0</v>
      </c>
      <c r="AU500" s="2">
        <f t="shared" si="418"/>
        <v>7131978.5899999999</v>
      </c>
      <c r="AV500" s="2">
        <f t="shared" si="418"/>
        <v>4861585.33</v>
      </c>
      <c r="AW500" s="2">
        <f t="shared" si="418"/>
        <v>4861585.33</v>
      </c>
      <c r="AX500" s="2">
        <f t="shared" si="418"/>
        <v>0</v>
      </c>
      <c r="AY500" s="2">
        <f t="shared" si="418"/>
        <v>4861585.33</v>
      </c>
      <c r="AZ500" s="2">
        <f t="shared" si="418"/>
        <v>0</v>
      </c>
      <c r="BA500" s="2">
        <f t="shared" si="418"/>
        <v>0</v>
      </c>
      <c r="BB500" s="2">
        <f t="shared" si="418"/>
        <v>0</v>
      </c>
      <c r="BC500" s="2">
        <f t="shared" si="418"/>
        <v>0</v>
      </c>
      <c r="BD500" s="2">
        <f t="shared" si="418"/>
        <v>0</v>
      </c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>
        <v>0</v>
      </c>
    </row>
    <row r="502" spans="1:206" x14ac:dyDescent="0.2">
      <c r="A502" s="4">
        <v>50</v>
      </c>
      <c r="B502" s="4">
        <v>0</v>
      </c>
      <c r="C502" s="4">
        <v>0</v>
      </c>
      <c r="D502" s="4">
        <v>1</v>
      </c>
      <c r="E502" s="4">
        <v>201</v>
      </c>
      <c r="F502" s="4">
        <f>ROUND(Source!O500,O502)</f>
        <v>6435953.29</v>
      </c>
      <c r="G502" s="4" t="s">
        <v>50</v>
      </c>
      <c r="H502" s="4" t="s">
        <v>51</v>
      </c>
      <c r="I502" s="4"/>
      <c r="J502" s="4"/>
      <c r="K502" s="4">
        <v>-201</v>
      </c>
      <c r="L502" s="4">
        <v>1</v>
      </c>
      <c r="M502" s="4">
        <v>3</v>
      </c>
      <c r="N502" s="4" t="s">
        <v>3</v>
      </c>
      <c r="O502" s="4">
        <v>2</v>
      </c>
      <c r="P502" s="4"/>
      <c r="Q502" s="4"/>
      <c r="R502" s="4"/>
      <c r="S502" s="4"/>
      <c r="T502" s="4"/>
      <c r="U502" s="4"/>
      <c r="V502" s="4"/>
      <c r="W502" s="4"/>
    </row>
    <row r="503" spans="1:206" x14ac:dyDescent="0.2">
      <c r="A503" s="4">
        <v>50</v>
      </c>
      <c r="B503" s="4">
        <v>0</v>
      </c>
      <c r="C503" s="4">
        <v>0</v>
      </c>
      <c r="D503" s="4">
        <v>1</v>
      </c>
      <c r="E503" s="4">
        <v>202</v>
      </c>
      <c r="F503" s="4">
        <f>ROUND(Source!P500,O503)</f>
        <v>4861585.33</v>
      </c>
      <c r="G503" s="4" t="s">
        <v>52</v>
      </c>
      <c r="H503" s="4" t="s">
        <v>53</v>
      </c>
      <c r="I503" s="4"/>
      <c r="J503" s="4"/>
      <c r="K503" s="4">
        <v>-202</v>
      </c>
      <c r="L503" s="4">
        <v>2</v>
      </c>
      <c r="M503" s="4">
        <v>3</v>
      </c>
      <c r="N503" s="4" t="s">
        <v>3</v>
      </c>
      <c r="O503" s="4">
        <v>2</v>
      </c>
      <c r="P503" s="4"/>
      <c r="Q503" s="4"/>
      <c r="R503" s="4"/>
      <c r="S503" s="4"/>
      <c r="T503" s="4"/>
      <c r="U503" s="4"/>
      <c r="V503" s="4"/>
      <c r="W503" s="4"/>
    </row>
    <row r="504" spans="1:206" x14ac:dyDescent="0.2">
      <c r="A504" s="4">
        <v>50</v>
      </c>
      <c r="B504" s="4">
        <v>0</v>
      </c>
      <c r="C504" s="4">
        <v>0</v>
      </c>
      <c r="D504" s="4">
        <v>1</v>
      </c>
      <c r="E504" s="4">
        <v>222</v>
      </c>
      <c r="F504" s="4">
        <f>ROUND(Source!AO500,O504)</f>
        <v>0</v>
      </c>
      <c r="G504" s="4" t="s">
        <v>54</v>
      </c>
      <c r="H504" s="4" t="s">
        <v>55</v>
      </c>
      <c r="I504" s="4"/>
      <c r="J504" s="4"/>
      <c r="K504" s="4">
        <v>-222</v>
      </c>
      <c r="L504" s="4">
        <v>3</v>
      </c>
      <c r="M504" s="4">
        <v>3</v>
      </c>
      <c r="N504" s="4" t="s">
        <v>3</v>
      </c>
      <c r="O504" s="4">
        <v>2</v>
      </c>
      <c r="P504" s="4"/>
      <c r="Q504" s="4"/>
      <c r="R504" s="4"/>
      <c r="S504" s="4"/>
      <c r="T504" s="4"/>
      <c r="U504" s="4"/>
      <c r="V504" s="4"/>
      <c r="W504" s="4"/>
    </row>
    <row r="505" spans="1:206" x14ac:dyDescent="0.2">
      <c r="A505" s="4">
        <v>50</v>
      </c>
      <c r="B505" s="4">
        <v>0</v>
      </c>
      <c r="C505" s="4">
        <v>0</v>
      </c>
      <c r="D505" s="4">
        <v>1</v>
      </c>
      <c r="E505" s="4">
        <v>225</v>
      </c>
      <c r="F505" s="4">
        <f>ROUND(Source!AV500,O505)</f>
        <v>4861585.33</v>
      </c>
      <c r="G505" s="4" t="s">
        <v>56</v>
      </c>
      <c r="H505" s="4" t="s">
        <v>57</v>
      </c>
      <c r="I505" s="4"/>
      <c r="J505" s="4"/>
      <c r="K505" s="4">
        <v>-225</v>
      </c>
      <c r="L505" s="4">
        <v>4</v>
      </c>
      <c r="M505" s="4">
        <v>3</v>
      </c>
      <c r="N505" s="4" t="s">
        <v>3</v>
      </c>
      <c r="O505" s="4">
        <v>2</v>
      </c>
      <c r="P505" s="4"/>
      <c r="Q505" s="4"/>
      <c r="R505" s="4"/>
      <c r="S505" s="4"/>
      <c r="T505" s="4"/>
      <c r="U505" s="4"/>
      <c r="V505" s="4"/>
      <c r="W505" s="4"/>
    </row>
    <row r="506" spans="1:206" x14ac:dyDescent="0.2">
      <c r="A506" s="4">
        <v>50</v>
      </c>
      <c r="B506" s="4">
        <v>0</v>
      </c>
      <c r="C506" s="4">
        <v>0</v>
      </c>
      <c r="D506" s="4">
        <v>1</v>
      </c>
      <c r="E506" s="4">
        <v>226</v>
      </c>
      <c r="F506" s="4">
        <f>ROUND(Source!AW500,O506)</f>
        <v>4861585.33</v>
      </c>
      <c r="G506" s="4" t="s">
        <v>58</v>
      </c>
      <c r="H506" s="4" t="s">
        <v>59</v>
      </c>
      <c r="I506" s="4"/>
      <c r="J506" s="4"/>
      <c r="K506" s="4">
        <v>-226</v>
      </c>
      <c r="L506" s="4">
        <v>5</v>
      </c>
      <c r="M506" s="4">
        <v>3</v>
      </c>
      <c r="N506" s="4" t="s">
        <v>3</v>
      </c>
      <c r="O506" s="4">
        <v>2</v>
      </c>
      <c r="P506" s="4"/>
      <c r="Q506" s="4"/>
      <c r="R506" s="4"/>
      <c r="S506" s="4"/>
      <c r="T506" s="4"/>
      <c r="U506" s="4"/>
      <c r="V506" s="4"/>
      <c r="W506" s="4"/>
    </row>
    <row r="507" spans="1:206" x14ac:dyDescent="0.2">
      <c r="A507" s="4">
        <v>50</v>
      </c>
      <c r="B507" s="4">
        <v>0</v>
      </c>
      <c r="C507" s="4">
        <v>0</v>
      </c>
      <c r="D507" s="4">
        <v>1</v>
      </c>
      <c r="E507" s="4">
        <v>227</v>
      </c>
      <c r="F507" s="4">
        <f>ROUND(Source!AX500,O507)</f>
        <v>0</v>
      </c>
      <c r="G507" s="4" t="s">
        <v>60</v>
      </c>
      <c r="H507" s="4" t="s">
        <v>61</v>
      </c>
      <c r="I507" s="4"/>
      <c r="J507" s="4"/>
      <c r="K507" s="4">
        <v>-227</v>
      </c>
      <c r="L507" s="4">
        <v>6</v>
      </c>
      <c r="M507" s="4">
        <v>3</v>
      </c>
      <c r="N507" s="4" t="s">
        <v>3</v>
      </c>
      <c r="O507" s="4">
        <v>2</v>
      </c>
      <c r="P507" s="4"/>
      <c r="Q507" s="4"/>
      <c r="R507" s="4"/>
      <c r="S507" s="4"/>
      <c r="T507" s="4"/>
      <c r="U507" s="4"/>
      <c r="V507" s="4"/>
      <c r="W507" s="4"/>
    </row>
    <row r="508" spans="1:206" x14ac:dyDescent="0.2">
      <c r="A508" s="4">
        <v>50</v>
      </c>
      <c r="B508" s="4">
        <v>0</v>
      </c>
      <c r="C508" s="4">
        <v>0</v>
      </c>
      <c r="D508" s="4">
        <v>1</v>
      </c>
      <c r="E508" s="4">
        <v>228</v>
      </c>
      <c r="F508" s="4">
        <f>ROUND(Source!AY500,O508)</f>
        <v>4861585.33</v>
      </c>
      <c r="G508" s="4" t="s">
        <v>62</v>
      </c>
      <c r="H508" s="4" t="s">
        <v>63</v>
      </c>
      <c r="I508" s="4"/>
      <c r="J508" s="4"/>
      <c r="K508" s="4">
        <v>-228</v>
      </c>
      <c r="L508" s="4">
        <v>7</v>
      </c>
      <c r="M508" s="4">
        <v>3</v>
      </c>
      <c r="N508" s="4" t="s">
        <v>3</v>
      </c>
      <c r="O508" s="4">
        <v>2</v>
      </c>
      <c r="P508" s="4"/>
      <c r="Q508" s="4"/>
      <c r="R508" s="4"/>
      <c r="S508" s="4"/>
      <c r="T508" s="4"/>
      <c r="U508" s="4"/>
      <c r="V508" s="4"/>
      <c r="W508" s="4"/>
    </row>
    <row r="509" spans="1:206" x14ac:dyDescent="0.2">
      <c r="A509" s="4">
        <v>50</v>
      </c>
      <c r="B509" s="4">
        <v>0</v>
      </c>
      <c r="C509" s="4">
        <v>0</v>
      </c>
      <c r="D509" s="4">
        <v>1</v>
      </c>
      <c r="E509" s="4">
        <v>216</v>
      </c>
      <c r="F509" s="4">
        <f>ROUND(Source!AP500,O509)</f>
        <v>0</v>
      </c>
      <c r="G509" s="4" t="s">
        <v>64</v>
      </c>
      <c r="H509" s="4" t="s">
        <v>65</v>
      </c>
      <c r="I509" s="4"/>
      <c r="J509" s="4"/>
      <c r="K509" s="4">
        <v>-216</v>
      </c>
      <c r="L509" s="4">
        <v>8</v>
      </c>
      <c r="M509" s="4">
        <v>3</v>
      </c>
      <c r="N509" s="4" t="s">
        <v>3</v>
      </c>
      <c r="O509" s="4">
        <v>2</v>
      </c>
      <c r="P509" s="4"/>
      <c r="Q509" s="4"/>
      <c r="R509" s="4"/>
      <c r="S509" s="4"/>
      <c r="T509" s="4"/>
      <c r="U509" s="4"/>
      <c r="V509" s="4"/>
      <c r="W509" s="4"/>
    </row>
    <row r="510" spans="1:206" x14ac:dyDescent="0.2">
      <c r="A510" s="4">
        <v>50</v>
      </c>
      <c r="B510" s="4">
        <v>0</v>
      </c>
      <c r="C510" s="4">
        <v>0</v>
      </c>
      <c r="D510" s="4">
        <v>1</v>
      </c>
      <c r="E510" s="4">
        <v>223</v>
      </c>
      <c r="F510" s="4">
        <f>ROUND(Source!AQ500,O510)</f>
        <v>0</v>
      </c>
      <c r="G510" s="4" t="s">
        <v>66</v>
      </c>
      <c r="H510" s="4" t="s">
        <v>67</v>
      </c>
      <c r="I510" s="4"/>
      <c r="J510" s="4"/>
      <c r="K510" s="4">
        <v>-223</v>
      </c>
      <c r="L510" s="4">
        <v>9</v>
      </c>
      <c r="M510" s="4">
        <v>3</v>
      </c>
      <c r="N510" s="4" t="s">
        <v>3</v>
      </c>
      <c r="O510" s="4">
        <v>2</v>
      </c>
      <c r="P510" s="4"/>
      <c r="Q510" s="4"/>
      <c r="R510" s="4"/>
      <c r="S510" s="4"/>
      <c r="T510" s="4"/>
      <c r="U510" s="4"/>
      <c r="V510" s="4"/>
      <c r="W510" s="4"/>
    </row>
    <row r="511" spans="1:206" x14ac:dyDescent="0.2">
      <c r="A511" s="4">
        <v>50</v>
      </c>
      <c r="B511" s="4">
        <v>0</v>
      </c>
      <c r="C511" s="4">
        <v>0</v>
      </c>
      <c r="D511" s="4">
        <v>1</v>
      </c>
      <c r="E511" s="4">
        <v>229</v>
      </c>
      <c r="F511" s="4">
        <f>ROUND(Source!AZ500,O511)</f>
        <v>0</v>
      </c>
      <c r="G511" s="4" t="s">
        <v>68</v>
      </c>
      <c r="H511" s="4" t="s">
        <v>69</v>
      </c>
      <c r="I511" s="4"/>
      <c r="J511" s="4"/>
      <c r="K511" s="4">
        <v>-229</v>
      </c>
      <c r="L511" s="4">
        <v>10</v>
      </c>
      <c r="M511" s="4">
        <v>3</v>
      </c>
      <c r="N511" s="4" t="s">
        <v>3</v>
      </c>
      <c r="O511" s="4">
        <v>2</v>
      </c>
      <c r="P511" s="4"/>
      <c r="Q511" s="4"/>
      <c r="R511" s="4"/>
      <c r="S511" s="4"/>
      <c r="T511" s="4"/>
      <c r="U511" s="4"/>
      <c r="V511" s="4"/>
      <c r="W511" s="4"/>
    </row>
    <row r="512" spans="1:206" x14ac:dyDescent="0.2">
      <c r="A512" s="4">
        <v>50</v>
      </c>
      <c r="B512" s="4">
        <v>0</v>
      </c>
      <c r="C512" s="4">
        <v>0</v>
      </c>
      <c r="D512" s="4">
        <v>1</v>
      </c>
      <c r="E512" s="4">
        <v>203</v>
      </c>
      <c r="F512" s="4">
        <f>ROUND(Source!Q500,O512)</f>
        <v>584319.49</v>
      </c>
      <c r="G512" s="4" t="s">
        <v>70</v>
      </c>
      <c r="H512" s="4" t="s">
        <v>71</v>
      </c>
      <c r="I512" s="4"/>
      <c r="J512" s="4"/>
      <c r="K512" s="4">
        <v>-203</v>
      </c>
      <c r="L512" s="4">
        <v>11</v>
      </c>
      <c r="M512" s="4">
        <v>3</v>
      </c>
      <c r="N512" s="4" t="s">
        <v>3</v>
      </c>
      <c r="O512" s="4">
        <v>2</v>
      </c>
      <c r="P512" s="4"/>
      <c r="Q512" s="4"/>
      <c r="R512" s="4"/>
      <c r="S512" s="4"/>
      <c r="T512" s="4"/>
      <c r="U512" s="4"/>
      <c r="V512" s="4"/>
      <c r="W512" s="4"/>
    </row>
    <row r="513" spans="1:23" x14ac:dyDescent="0.2">
      <c r="A513" s="4">
        <v>50</v>
      </c>
      <c r="B513" s="4">
        <v>0</v>
      </c>
      <c r="C513" s="4">
        <v>0</v>
      </c>
      <c r="D513" s="4">
        <v>1</v>
      </c>
      <c r="E513" s="4">
        <v>231</v>
      </c>
      <c r="F513" s="4">
        <f>ROUND(Source!BB500,O513)</f>
        <v>0</v>
      </c>
      <c r="G513" s="4" t="s">
        <v>72</v>
      </c>
      <c r="H513" s="4" t="s">
        <v>73</v>
      </c>
      <c r="I513" s="4"/>
      <c r="J513" s="4"/>
      <c r="K513" s="4">
        <v>-231</v>
      </c>
      <c r="L513" s="4">
        <v>12</v>
      </c>
      <c r="M513" s="4">
        <v>3</v>
      </c>
      <c r="N513" s="4" t="s">
        <v>3</v>
      </c>
      <c r="O513" s="4">
        <v>2</v>
      </c>
      <c r="P513" s="4"/>
      <c r="Q513" s="4"/>
      <c r="R513" s="4"/>
      <c r="S513" s="4"/>
      <c r="T513" s="4"/>
      <c r="U513" s="4"/>
      <c r="V513" s="4"/>
      <c r="W513" s="4"/>
    </row>
    <row r="514" spans="1:23" x14ac:dyDescent="0.2">
      <c r="A514" s="4">
        <v>50</v>
      </c>
      <c r="B514" s="4">
        <v>0</v>
      </c>
      <c r="C514" s="4">
        <v>0</v>
      </c>
      <c r="D514" s="4">
        <v>1</v>
      </c>
      <c r="E514" s="4">
        <v>204</v>
      </c>
      <c r="F514" s="4">
        <f>ROUND(Source!R500,O514)</f>
        <v>327732.03999999998</v>
      </c>
      <c r="G514" s="4" t="s">
        <v>74</v>
      </c>
      <c r="H514" s="4" t="s">
        <v>75</v>
      </c>
      <c r="I514" s="4"/>
      <c r="J514" s="4"/>
      <c r="K514" s="4">
        <v>-204</v>
      </c>
      <c r="L514" s="4">
        <v>13</v>
      </c>
      <c r="M514" s="4">
        <v>3</v>
      </c>
      <c r="N514" s="4" t="s">
        <v>3</v>
      </c>
      <c r="O514" s="4">
        <v>2</v>
      </c>
      <c r="P514" s="4"/>
      <c r="Q514" s="4"/>
      <c r="R514" s="4"/>
      <c r="S514" s="4"/>
      <c r="T514" s="4"/>
      <c r="U514" s="4"/>
      <c r="V514" s="4"/>
      <c r="W514" s="4"/>
    </row>
    <row r="515" spans="1:23" x14ac:dyDescent="0.2">
      <c r="A515" s="4">
        <v>50</v>
      </c>
      <c r="B515" s="4">
        <v>0</v>
      </c>
      <c r="C515" s="4">
        <v>0</v>
      </c>
      <c r="D515" s="4">
        <v>1</v>
      </c>
      <c r="E515" s="4">
        <v>205</v>
      </c>
      <c r="F515" s="4">
        <f>ROUND(Source!S500,O515)</f>
        <v>990048.47</v>
      </c>
      <c r="G515" s="4" t="s">
        <v>76</v>
      </c>
      <c r="H515" s="4" t="s">
        <v>77</v>
      </c>
      <c r="I515" s="4"/>
      <c r="J515" s="4"/>
      <c r="K515" s="4">
        <v>-205</v>
      </c>
      <c r="L515" s="4">
        <v>14</v>
      </c>
      <c r="M515" s="4">
        <v>3</v>
      </c>
      <c r="N515" s="4" t="s">
        <v>3</v>
      </c>
      <c r="O515" s="4">
        <v>2</v>
      </c>
      <c r="P515" s="4"/>
      <c r="Q515" s="4"/>
      <c r="R515" s="4"/>
      <c r="S515" s="4"/>
      <c r="T515" s="4"/>
      <c r="U515" s="4"/>
      <c r="V515" s="4"/>
      <c r="W515" s="4"/>
    </row>
    <row r="516" spans="1:23" x14ac:dyDescent="0.2">
      <c r="A516" s="4">
        <v>50</v>
      </c>
      <c r="B516" s="4">
        <v>0</v>
      </c>
      <c r="C516" s="4">
        <v>0</v>
      </c>
      <c r="D516" s="4">
        <v>1</v>
      </c>
      <c r="E516" s="4">
        <v>232</v>
      </c>
      <c r="F516" s="4">
        <f>ROUND(Source!BC500,O516)</f>
        <v>0</v>
      </c>
      <c r="G516" s="4" t="s">
        <v>78</v>
      </c>
      <c r="H516" s="4" t="s">
        <v>79</v>
      </c>
      <c r="I516" s="4"/>
      <c r="J516" s="4"/>
      <c r="K516" s="4">
        <v>-232</v>
      </c>
      <c r="L516" s="4">
        <v>15</v>
      </c>
      <c r="M516" s="4">
        <v>3</v>
      </c>
      <c r="N516" s="4" t="s">
        <v>3</v>
      </c>
      <c r="O516" s="4">
        <v>2</v>
      </c>
      <c r="P516" s="4"/>
      <c r="Q516" s="4"/>
      <c r="R516" s="4"/>
      <c r="S516" s="4"/>
      <c r="T516" s="4"/>
      <c r="U516" s="4"/>
      <c r="V516" s="4"/>
      <c r="W516" s="4"/>
    </row>
    <row r="517" spans="1:23" x14ac:dyDescent="0.2">
      <c r="A517" s="4">
        <v>50</v>
      </c>
      <c r="B517" s="4">
        <v>0</v>
      </c>
      <c r="C517" s="4">
        <v>0</v>
      </c>
      <c r="D517" s="4">
        <v>1</v>
      </c>
      <c r="E517" s="4">
        <v>214</v>
      </c>
      <c r="F517" s="4">
        <f>ROUND(Source!AS500,O517)</f>
        <v>245000</v>
      </c>
      <c r="G517" s="4" t="s">
        <v>80</v>
      </c>
      <c r="H517" s="4" t="s">
        <v>81</v>
      </c>
      <c r="I517" s="4"/>
      <c r="J517" s="4"/>
      <c r="K517" s="4">
        <v>-214</v>
      </c>
      <c r="L517" s="4">
        <v>16</v>
      </c>
      <c r="M517" s="4">
        <v>3</v>
      </c>
      <c r="N517" s="4" t="s">
        <v>3</v>
      </c>
      <c r="O517" s="4">
        <v>2</v>
      </c>
      <c r="P517" s="4"/>
      <c r="Q517" s="4"/>
      <c r="R517" s="4"/>
      <c r="S517" s="4"/>
      <c r="T517" s="4"/>
      <c r="U517" s="4"/>
      <c r="V517" s="4"/>
      <c r="W517" s="4"/>
    </row>
    <row r="518" spans="1:23" x14ac:dyDescent="0.2">
      <c r="A518" s="4">
        <v>50</v>
      </c>
      <c r="B518" s="4">
        <v>0</v>
      </c>
      <c r="C518" s="4">
        <v>0</v>
      </c>
      <c r="D518" s="4">
        <v>1</v>
      </c>
      <c r="E518" s="4">
        <v>215</v>
      </c>
      <c r="F518" s="4">
        <f>ROUND(Source!AT500,O518)</f>
        <v>0</v>
      </c>
      <c r="G518" s="4" t="s">
        <v>82</v>
      </c>
      <c r="H518" s="4" t="s">
        <v>83</v>
      </c>
      <c r="I518" s="4"/>
      <c r="J518" s="4"/>
      <c r="K518" s="4">
        <v>-215</v>
      </c>
      <c r="L518" s="4">
        <v>17</v>
      </c>
      <c r="M518" s="4">
        <v>3</v>
      </c>
      <c r="N518" s="4" t="s">
        <v>3</v>
      </c>
      <c r="O518" s="4">
        <v>2</v>
      </c>
      <c r="P518" s="4"/>
      <c r="Q518" s="4"/>
      <c r="R518" s="4"/>
      <c r="S518" s="4"/>
      <c r="T518" s="4"/>
      <c r="U518" s="4"/>
      <c r="V518" s="4"/>
      <c r="W518" s="4"/>
    </row>
    <row r="519" spans="1:23" x14ac:dyDescent="0.2">
      <c r="A519" s="4">
        <v>50</v>
      </c>
      <c r="B519" s="4">
        <v>0</v>
      </c>
      <c r="C519" s="4">
        <v>0</v>
      </c>
      <c r="D519" s="4">
        <v>1</v>
      </c>
      <c r="E519" s="4">
        <v>217</v>
      </c>
      <c r="F519" s="4">
        <f>ROUND(Source!AU500,O519)</f>
        <v>7131978.5899999999</v>
      </c>
      <c r="G519" s="4" t="s">
        <v>84</v>
      </c>
      <c r="H519" s="4" t="s">
        <v>85</v>
      </c>
      <c r="I519" s="4"/>
      <c r="J519" s="4"/>
      <c r="K519" s="4">
        <v>-217</v>
      </c>
      <c r="L519" s="4">
        <v>18</v>
      </c>
      <c r="M519" s="4">
        <v>3</v>
      </c>
      <c r="N519" s="4" t="s">
        <v>3</v>
      </c>
      <c r="O519" s="4">
        <v>2</v>
      </c>
      <c r="P519" s="4"/>
      <c r="Q519" s="4"/>
      <c r="R519" s="4"/>
      <c r="S519" s="4"/>
      <c r="T519" s="4"/>
      <c r="U519" s="4"/>
      <c r="V519" s="4"/>
      <c r="W519" s="4"/>
    </row>
    <row r="520" spans="1:23" x14ac:dyDescent="0.2">
      <c r="A520" s="4">
        <v>50</v>
      </c>
      <c r="B520" s="4">
        <v>0</v>
      </c>
      <c r="C520" s="4">
        <v>0</v>
      </c>
      <c r="D520" s="4">
        <v>1</v>
      </c>
      <c r="E520" s="4">
        <v>230</v>
      </c>
      <c r="F520" s="4">
        <f>ROUND(Source!BA500,O520)</f>
        <v>0</v>
      </c>
      <c r="G520" s="4" t="s">
        <v>86</v>
      </c>
      <c r="H520" s="4" t="s">
        <v>87</v>
      </c>
      <c r="I520" s="4"/>
      <c r="J520" s="4"/>
      <c r="K520" s="4">
        <v>-230</v>
      </c>
      <c r="L520" s="4">
        <v>19</v>
      </c>
      <c r="M520" s="4">
        <v>3</v>
      </c>
      <c r="N520" s="4" t="s">
        <v>3</v>
      </c>
      <c r="O520" s="4">
        <v>2</v>
      </c>
      <c r="P520" s="4"/>
      <c r="Q520" s="4"/>
      <c r="R520" s="4"/>
      <c r="S520" s="4"/>
      <c r="T520" s="4"/>
      <c r="U520" s="4"/>
      <c r="V520" s="4"/>
      <c r="W520" s="4"/>
    </row>
    <row r="521" spans="1:23" x14ac:dyDescent="0.2">
      <c r="A521" s="4">
        <v>50</v>
      </c>
      <c r="B521" s="4">
        <v>0</v>
      </c>
      <c r="C521" s="4">
        <v>0</v>
      </c>
      <c r="D521" s="4">
        <v>1</v>
      </c>
      <c r="E521" s="4">
        <v>206</v>
      </c>
      <c r="F521" s="4">
        <f>ROUND(Source!T500,O521)</f>
        <v>0</v>
      </c>
      <c r="G521" s="4" t="s">
        <v>88</v>
      </c>
      <c r="H521" s="4" t="s">
        <v>89</v>
      </c>
      <c r="I521" s="4"/>
      <c r="J521" s="4"/>
      <c r="K521" s="4">
        <v>-206</v>
      </c>
      <c r="L521" s="4">
        <v>20</v>
      </c>
      <c r="M521" s="4">
        <v>3</v>
      </c>
      <c r="N521" s="4" t="s">
        <v>3</v>
      </c>
      <c r="O521" s="4">
        <v>2</v>
      </c>
      <c r="P521" s="4"/>
      <c r="Q521" s="4"/>
      <c r="R521" s="4"/>
      <c r="S521" s="4"/>
      <c r="T521" s="4"/>
      <c r="U521" s="4"/>
      <c r="V521" s="4"/>
      <c r="W521" s="4"/>
    </row>
    <row r="522" spans="1:23" x14ac:dyDescent="0.2">
      <c r="A522" s="4">
        <v>50</v>
      </c>
      <c r="B522" s="4">
        <v>0</v>
      </c>
      <c r="C522" s="4">
        <v>0</v>
      </c>
      <c r="D522" s="4">
        <v>1</v>
      </c>
      <c r="E522" s="4">
        <v>207</v>
      </c>
      <c r="F522" s="4">
        <f>Source!U500</f>
        <v>5115.7461165000004</v>
      </c>
      <c r="G522" s="4" t="s">
        <v>90</v>
      </c>
      <c r="H522" s="4" t="s">
        <v>91</v>
      </c>
      <c r="I522" s="4"/>
      <c r="J522" s="4"/>
      <c r="K522" s="4">
        <v>-207</v>
      </c>
      <c r="L522" s="4">
        <v>21</v>
      </c>
      <c r="M522" s="4">
        <v>3</v>
      </c>
      <c r="N522" s="4" t="s">
        <v>3</v>
      </c>
      <c r="O522" s="4">
        <v>-1</v>
      </c>
      <c r="P522" s="4"/>
      <c r="Q522" s="4"/>
      <c r="R522" s="4"/>
      <c r="S522" s="4"/>
      <c r="T522" s="4"/>
      <c r="U522" s="4"/>
      <c r="V522" s="4"/>
      <c r="W522" s="4"/>
    </row>
    <row r="523" spans="1:23" x14ac:dyDescent="0.2">
      <c r="A523" s="4">
        <v>50</v>
      </c>
      <c r="B523" s="4">
        <v>0</v>
      </c>
      <c r="C523" s="4">
        <v>0</v>
      </c>
      <c r="D523" s="4">
        <v>1</v>
      </c>
      <c r="E523" s="4">
        <v>208</v>
      </c>
      <c r="F523" s="4">
        <f>Source!V500</f>
        <v>0</v>
      </c>
      <c r="G523" s="4" t="s">
        <v>92</v>
      </c>
      <c r="H523" s="4" t="s">
        <v>93</v>
      </c>
      <c r="I523" s="4"/>
      <c r="J523" s="4"/>
      <c r="K523" s="4">
        <v>-208</v>
      </c>
      <c r="L523" s="4">
        <v>22</v>
      </c>
      <c r="M523" s="4">
        <v>3</v>
      </c>
      <c r="N523" s="4" t="s">
        <v>3</v>
      </c>
      <c r="O523" s="4">
        <v>-1</v>
      </c>
      <c r="P523" s="4"/>
      <c r="Q523" s="4"/>
      <c r="R523" s="4"/>
      <c r="S523" s="4"/>
      <c r="T523" s="4"/>
      <c r="U523" s="4"/>
      <c r="V523" s="4"/>
      <c r="W523" s="4"/>
    </row>
    <row r="524" spans="1:23" x14ac:dyDescent="0.2">
      <c r="A524" s="4">
        <v>50</v>
      </c>
      <c r="B524" s="4">
        <v>0</v>
      </c>
      <c r="C524" s="4">
        <v>0</v>
      </c>
      <c r="D524" s="4">
        <v>1</v>
      </c>
      <c r="E524" s="4">
        <v>209</v>
      </c>
      <c r="F524" s="4">
        <f>ROUND(Source!W500,O524)</f>
        <v>0</v>
      </c>
      <c r="G524" s="4" t="s">
        <v>94</v>
      </c>
      <c r="H524" s="4" t="s">
        <v>95</v>
      </c>
      <c r="I524" s="4"/>
      <c r="J524" s="4"/>
      <c r="K524" s="4">
        <v>-209</v>
      </c>
      <c r="L524" s="4">
        <v>23</v>
      </c>
      <c r="M524" s="4">
        <v>3</v>
      </c>
      <c r="N524" s="4" t="s">
        <v>3</v>
      </c>
      <c r="O524" s="4">
        <v>2</v>
      </c>
      <c r="P524" s="4"/>
      <c r="Q524" s="4"/>
      <c r="R524" s="4"/>
      <c r="S524" s="4"/>
      <c r="T524" s="4"/>
      <c r="U524" s="4"/>
      <c r="V524" s="4"/>
      <c r="W524" s="4"/>
    </row>
    <row r="525" spans="1:23" x14ac:dyDescent="0.2">
      <c r="A525" s="4">
        <v>50</v>
      </c>
      <c r="B525" s="4">
        <v>0</v>
      </c>
      <c r="C525" s="4">
        <v>0</v>
      </c>
      <c r="D525" s="4">
        <v>1</v>
      </c>
      <c r="E525" s="4">
        <v>233</v>
      </c>
      <c r="F525" s="4">
        <f>ROUND(Source!BD500,O525)</f>
        <v>0</v>
      </c>
      <c r="G525" s="4" t="s">
        <v>96</v>
      </c>
      <c r="H525" s="4" t="s">
        <v>97</v>
      </c>
      <c r="I525" s="4"/>
      <c r="J525" s="4"/>
      <c r="K525" s="4">
        <v>-233</v>
      </c>
      <c r="L525" s="4">
        <v>24</v>
      </c>
      <c r="M525" s="4">
        <v>3</v>
      </c>
      <c r="N525" s="4" t="s">
        <v>3</v>
      </c>
      <c r="O525" s="4">
        <v>2</v>
      </c>
      <c r="P525" s="4"/>
      <c r="Q525" s="4"/>
      <c r="R525" s="4"/>
      <c r="S525" s="4"/>
      <c r="T525" s="4"/>
      <c r="U525" s="4"/>
      <c r="V525" s="4"/>
      <c r="W525" s="4"/>
    </row>
    <row r="526" spans="1:23" x14ac:dyDescent="0.2">
      <c r="A526" s="4">
        <v>50</v>
      </c>
      <c r="B526" s="4">
        <v>0</v>
      </c>
      <c r="C526" s="4">
        <v>0</v>
      </c>
      <c r="D526" s="4">
        <v>1</v>
      </c>
      <c r="E526" s="4">
        <v>210</v>
      </c>
      <c r="F526" s="4">
        <f>ROUND(Source!X500,O526)</f>
        <v>693033.96</v>
      </c>
      <c r="G526" s="4" t="s">
        <v>98</v>
      </c>
      <c r="H526" s="4" t="s">
        <v>99</v>
      </c>
      <c r="I526" s="4"/>
      <c r="J526" s="4"/>
      <c r="K526" s="4">
        <v>-210</v>
      </c>
      <c r="L526" s="4">
        <v>25</v>
      </c>
      <c r="M526" s="4">
        <v>3</v>
      </c>
      <c r="N526" s="4" t="s">
        <v>3</v>
      </c>
      <c r="O526" s="4">
        <v>2</v>
      </c>
      <c r="P526" s="4"/>
      <c r="Q526" s="4"/>
      <c r="R526" s="4"/>
      <c r="S526" s="4"/>
      <c r="T526" s="4"/>
      <c r="U526" s="4"/>
      <c r="V526" s="4"/>
      <c r="W526" s="4"/>
    </row>
    <row r="527" spans="1:23" x14ac:dyDescent="0.2">
      <c r="A527" s="4">
        <v>50</v>
      </c>
      <c r="B527" s="4">
        <v>0</v>
      </c>
      <c r="C527" s="4">
        <v>0</v>
      </c>
      <c r="D527" s="4">
        <v>1</v>
      </c>
      <c r="E527" s="4">
        <v>211</v>
      </c>
      <c r="F527" s="4">
        <f>ROUND(Source!Y500,O527)</f>
        <v>99004.87</v>
      </c>
      <c r="G527" s="4" t="s">
        <v>100</v>
      </c>
      <c r="H527" s="4" t="s">
        <v>101</v>
      </c>
      <c r="I527" s="4"/>
      <c r="J527" s="4"/>
      <c r="K527" s="4">
        <v>-211</v>
      </c>
      <c r="L527" s="4">
        <v>26</v>
      </c>
      <c r="M527" s="4">
        <v>3</v>
      </c>
      <c r="N527" s="4" t="s">
        <v>3</v>
      </c>
      <c r="O527" s="4">
        <v>2</v>
      </c>
      <c r="P527" s="4"/>
      <c r="Q527" s="4"/>
      <c r="R527" s="4"/>
      <c r="S527" s="4"/>
      <c r="T527" s="4"/>
      <c r="U527" s="4"/>
      <c r="V527" s="4"/>
      <c r="W527" s="4"/>
    </row>
    <row r="528" spans="1:23" x14ac:dyDescent="0.2">
      <c r="A528" s="4">
        <v>50</v>
      </c>
      <c r="B528" s="4">
        <v>0</v>
      </c>
      <c r="C528" s="4">
        <v>0</v>
      </c>
      <c r="D528" s="4">
        <v>1</v>
      </c>
      <c r="E528" s="4">
        <v>224</v>
      </c>
      <c r="F528" s="4">
        <f>ROUND(Source!AR500,O528)</f>
        <v>7376978.5899999999</v>
      </c>
      <c r="G528" s="4" t="s">
        <v>102</v>
      </c>
      <c r="H528" s="4" t="s">
        <v>103</v>
      </c>
      <c r="I528" s="4"/>
      <c r="J528" s="4"/>
      <c r="K528" s="4">
        <v>-224</v>
      </c>
      <c r="L528" s="4">
        <v>27</v>
      </c>
      <c r="M528" s="4">
        <v>3</v>
      </c>
      <c r="N528" s="4" t="s">
        <v>3</v>
      </c>
      <c r="O528" s="4">
        <v>2</v>
      </c>
      <c r="P528" s="4"/>
      <c r="Q528" s="4"/>
      <c r="R528" s="4"/>
      <c r="S528" s="4"/>
      <c r="T528" s="4"/>
      <c r="U528" s="4"/>
      <c r="V528" s="4"/>
      <c r="W528" s="4"/>
    </row>
    <row r="530" spans="1:206" x14ac:dyDescent="0.2">
      <c r="A530" s="2">
        <v>51</v>
      </c>
      <c r="B530" s="2">
        <f>B12</f>
        <v>572</v>
      </c>
      <c r="C530" s="2">
        <f>A12</f>
        <v>1</v>
      </c>
      <c r="D530" s="2">
        <f>ROW(A12)</f>
        <v>12</v>
      </c>
      <c r="E530" s="2"/>
      <c r="F530" s="2" t="str">
        <f>IF(F12&lt;&gt;"",F12,"")</f>
        <v/>
      </c>
      <c r="G530" s="2" t="str">
        <f>IF(G12&lt;&gt;"",G12,"")</f>
        <v>ГБОУ Школа № 1788 г. Москва, пос. Внуковское, ул. Летчика Грицевца, д. 5, к. 1_(Рем)</v>
      </c>
      <c r="H530" s="2">
        <v>0</v>
      </c>
      <c r="I530" s="2"/>
      <c r="J530" s="2"/>
      <c r="K530" s="2"/>
      <c r="L530" s="2"/>
      <c r="M530" s="2"/>
      <c r="N530" s="2"/>
      <c r="O530" s="2">
        <f t="shared" ref="O530:T530" si="419">ROUND(O500,2)</f>
        <v>6435953.29</v>
      </c>
      <c r="P530" s="2">
        <f t="shared" si="419"/>
        <v>4861585.33</v>
      </c>
      <c r="Q530" s="2">
        <f t="shared" si="419"/>
        <v>584319.49</v>
      </c>
      <c r="R530" s="2">
        <f t="shared" si="419"/>
        <v>327732.03999999998</v>
      </c>
      <c r="S530" s="2">
        <f t="shared" si="419"/>
        <v>990048.47</v>
      </c>
      <c r="T530" s="2">
        <f t="shared" si="419"/>
        <v>0</v>
      </c>
      <c r="U530" s="2">
        <f>U500</f>
        <v>5115.7461165000004</v>
      </c>
      <c r="V530" s="2">
        <f>V500</f>
        <v>0</v>
      </c>
      <c r="W530" s="2">
        <f>ROUND(W500,2)</f>
        <v>0</v>
      </c>
      <c r="X530" s="2">
        <f>ROUND(X500,2)</f>
        <v>693033.96</v>
      </c>
      <c r="Y530" s="2">
        <f>ROUND(Y500,2)</f>
        <v>99004.87</v>
      </c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>
        <f t="shared" ref="AO530:BD530" si="420">ROUND(AO500,2)</f>
        <v>0</v>
      </c>
      <c r="AP530" s="2">
        <f t="shared" si="420"/>
        <v>0</v>
      </c>
      <c r="AQ530" s="2">
        <f t="shared" si="420"/>
        <v>0</v>
      </c>
      <c r="AR530" s="2">
        <f t="shared" si="420"/>
        <v>7376978.5899999999</v>
      </c>
      <c r="AS530" s="2">
        <f t="shared" si="420"/>
        <v>245000</v>
      </c>
      <c r="AT530" s="2">
        <f t="shared" si="420"/>
        <v>0</v>
      </c>
      <c r="AU530" s="2">
        <f t="shared" si="420"/>
        <v>7131978.5899999999</v>
      </c>
      <c r="AV530" s="2">
        <f t="shared" si="420"/>
        <v>4861585.33</v>
      </c>
      <c r="AW530" s="2">
        <f t="shared" si="420"/>
        <v>4861585.33</v>
      </c>
      <c r="AX530" s="2">
        <f t="shared" si="420"/>
        <v>0</v>
      </c>
      <c r="AY530" s="2">
        <f t="shared" si="420"/>
        <v>4861585.33</v>
      </c>
      <c r="AZ530" s="2">
        <f t="shared" si="420"/>
        <v>0</v>
      </c>
      <c r="BA530" s="2">
        <f t="shared" si="420"/>
        <v>0</v>
      </c>
      <c r="BB530" s="2">
        <f t="shared" si="420"/>
        <v>0</v>
      </c>
      <c r="BC530" s="2">
        <f t="shared" si="420"/>
        <v>0</v>
      </c>
      <c r="BD530" s="2">
        <f t="shared" si="420"/>
        <v>0</v>
      </c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>
        <v>0</v>
      </c>
    </row>
    <row r="532" spans="1:206" x14ac:dyDescent="0.2">
      <c r="A532" s="4">
        <v>50</v>
      </c>
      <c r="B532" s="4">
        <v>0</v>
      </c>
      <c r="C532" s="4">
        <v>0</v>
      </c>
      <c r="D532" s="4">
        <v>1</v>
      </c>
      <c r="E532" s="4">
        <v>201</v>
      </c>
      <c r="F532" s="4">
        <f>ROUND(Source!O530,O532)</f>
        <v>6435953.29</v>
      </c>
      <c r="G532" s="4" t="s">
        <v>50</v>
      </c>
      <c r="H532" s="4" t="s">
        <v>51</v>
      </c>
      <c r="I532" s="4"/>
      <c r="J532" s="4"/>
      <c r="K532" s="4">
        <v>201</v>
      </c>
      <c r="L532" s="4">
        <v>1</v>
      </c>
      <c r="M532" s="4">
        <v>3</v>
      </c>
      <c r="N532" s="4" t="s">
        <v>3</v>
      </c>
      <c r="O532" s="4">
        <v>2</v>
      </c>
      <c r="P532" s="4"/>
      <c r="Q532" s="4"/>
      <c r="R532" s="4"/>
      <c r="S532" s="4"/>
      <c r="T532" s="4"/>
      <c r="U532" s="4"/>
      <c r="V532" s="4"/>
      <c r="W532" s="4"/>
    </row>
    <row r="533" spans="1:206" x14ac:dyDescent="0.2">
      <c r="A533" s="4">
        <v>50</v>
      </c>
      <c r="B533" s="4">
        <v>0</v>
      </c>
      <c r="C533" s="4">
        <v>0</v>
      </c>
      <c r="D533" s="4">
        <v>1</v>
      </c>
      <c r="E533" s="4">
        <v>202</v>
      </c>
      <c r="F533" s="4">
        <f>ROUND(Source!P530,O533)</f>
        <v>4861585.33</v>
      </c>
      <c r="G533" s="4" t="s">
        <v>52</v>
      </c>
      <c r="H533" s="4" t="s">
        <v>53</v>
      </c>
      <c r="I533" s="4"/>
      <c r="J533" s="4"/>
      <c r="K533" s="4">
        <v>202</v>
      </c>
      <c r="L533" s="4">
        <v>2</v>
      </c>
      <c r="M533" s="4">
        <v>3</v>
      </c>
      <c r="N533" s="4" t="s">
        <v>3</v>
      </c>
      <c r="O533" s="4">
        <v>2</v>
      </c>
      <c r="P533" s="4"/>
      <c r="Q533" s="4"/>
      <c r="R533" s="4"/>
      <c r="S533" s="4"/>
      <c r="T533" s="4"/>
      <c r="U533" s="4"/>
      <c r="V533" s="4"/>
      <c r="W533" s="4"/>
    </row>
    <row r="534" spans="1:206" x14ac:dyDescent="0.2">
      <c r="A534" s="4">
        <v>50</v>
      </c>
      <c r="B534" s="4">
        <v>0</v>
      </c>
      <c r="C534" s="4">
        <v>0</v>
      </c>
      <c r="D534" s="4">
        <v>1</v>
      </c>
      <c r="E534" s="4">
        <v>222</v>
      </c>
      <c r="F534" s="4">
        <f>ROUND(Source!AO530,O534)</f>
        <v>0</v>
      </c>
      <c r="G534" s="4" t="s">
        <v>54</v>
      </c>
      <c r="H534" s="4" t="s">
        <v>55</v>
      </c>
      <c r="I534" s="4"/>
      <c r="J534" s="4"/>
      <c r="K534" s="4">
        <v>222</v>
      </c>
      <c r="L534" s="4">
        <v>3</v>
      </c>
      <c r="M534" s="4">
        <v>3</v>
      </c>
      <c r="N534" s="4" t="s">
        <v>3</v>
      </c>
      <c r="O534" s="4">
        <v>2</v>
      </c>
      <c r="P534" s="4"/>
      <c r="Q534" s="4"/>
      <c r="R534" s="4"/>
      <c r="S534" s="4"/>
      <c r="T534" s="4"/>
      <c r="U534" s="4"/>
      <c r="V534" s="4"/>
      <c r="W534" s="4"/>
    </row>
    <row r="535" spans="1:206" x14ac:dyDescent="0.2">
      <c r="A535" s="4">
        <v>50</v>
      </c>
      <c r="B535" s="4">
        <v>0</v>
      </c>
      <c r="C535" s="4">
        <v>0</v>
      </c>
      <c r="D535" s="4">
        <v>1</v>
      </c>
      <c r="E535" s="4">
        <v>225</v>
      </c>
      <c r="F535" s="4">
        <f>ROUND(Source!AV530,O535)</f>
        <v>4861585.33</v>
      </c>
      <c r="G535" s="4" t="s">
        <v>56</v>
      </c>
      <c r="H535" s="4" t="s">
        <v>57</v>
      </c>
      <c r="I535" s="4"/>
      <c r="J535" s="4"/>
      <c r="K535" s="4">
        <v>225</v>
      </c>
      <c r="L535" s="4">
        <v>4</v>
      </c>
      <c r="M535" s="4">
        <v>3</v>
      </c>
      <c r="N535" s="4" t="s">
        <v>3</v>
      </c>
      <c r="O535" s="4">
        <v>2</v>
      </c>
      <c r="P535" s="4"/>
      <c r="Q535" s="4"/>
      <c r="R535" s="4"/>
      <c r="S535" s="4"/>
      <c r="T535" s="4"/>
      <c r="U535" s="4"/>
      <c r="V535" s="4"/>
      <c r="W535" s="4"/>
    </row>
    <row r="536" spans="1:206" x14ac:dyDescent="0.2">
      <c r="A536" s="4">
        <v>50</v>
      </c>
      <c r="B536" s="4">
        <v>0</v>
      </c>
      <c r="C536" s="4">
        <v>0</v>
      </c>
      <c r="D536" s="4">
        <v>1</v>
      </c>
      <c r="E536" s="4">
        <v>226</v>
      </c>
      <c r="F536" s="4">
        <f>ROUND(Source!AW530,O536)</f>
        <v>4861585.33</v>
      </c>
      <c r="G536" s="4" t="s">
        <v>58</v>
      </c>
      <c r="H536" s="4" t="s">
        <v>59</v>
      </c>
      <c r="I536" s="4"/>
      <c r="J536" s="4"/>
      <c r="K536" s="4">
        <v>226</v>
      </c>
      <c r="L536" s="4">
        <v>5</v>
      </c>
      <c r="M536" s="4">
        <v>3</v>
      </c>
      <c r="N536" s="4" t="s">
        <v>3</v>
      </c>
      <c r="O536" s="4">
        <v>2</v>
      </c>
      <c r="P536" s="4"/>
      <c r="Q536" s="4"/>
      <c r="R536" s="4"/>
      <c r="S536" s="4"/>
      <c r="T536" s="4"/>
      <c r="U536" s="4"/>
      <c r="V536" s="4"/>
      <c r="W536" s="4"/>
    </row>
    <row r="537" spans="1:206" x14ac:dyDescent="0.2">
      <c r="A537" s="4">
        <v>50</v>
      </c>
      <c r="B537" s="4">
        <v>0</v>
      </c>
      <c r="C537" s="4">
        <v>0</v>
      </c>
      <c r="D537" s="4">
        <v>1</v>
      </c>
      <c r="E537" s="4">
        <v>227</v>
      </c>
      <c r="F537" s="4">
        <f>ROUND(Source!AX530,O537)</f>
        <v>0</v>
      </c>
      <c r="G537" s="4" t="s">
        <v>60</v>
      </c>
      <c r="H537" s="4" t="s">
        <v>61</v>
      </c>
      <c r="I537" s="4"/>
      <c r="J537" s="4"/>
      <c r="K537" s="4">
        <v>227</v>
      </c>
      <c r="L537" s="4">
        <v>6</v>
      </c>
      <c r="M537" s="4">
        <v>3</v>
      </c>
      <c r="N537" s="4" t="s">
        <v>3</v>
      </c>
      <c r="O537" s="4">
        <v>2</v>
      </c>
      <c r="P537" s="4"/>
      <c r="Q537" s="4"/>
      <c r="R537" s="4"/>
      <c r="S537" s="4"/>
      <c r="T537" s="4"/>
      <c r="U537" s="4"/>
      <c r="V537" s="4"/>
      <c r="W537" s="4"/>
    </row>
    <row r="538" spans="1:206" x14ac:dyDescent="0.2">
      <c r="A538" s="4">
        <v>50</v>
      </c>
      <c r="B538" s="4">
        <v>0</v>
      </c>
      <c r="C538" s="4">
        <v>0</v>
      </c>
      <c r="D538" s="4">
        <v>1</v>
      </c>
      <c r="E538" s="4">
        <v>228</v>
      </c>
      <c r="F538" s="4">
        <f>ROUND(Source!AY530,O538)</f>
        <v>4861585.33</v>
      </c>
      <c r="G538" s="4" t="s">
        <v>62</v>
      </c>
      <c r="H538" s="4" t="s">
        <v>63</v>
      </c>
      <c r="I538" s="4"/>
      <c r="J538" s="4"/>
      <c r="K538" s="4">
        <v>228</v>
      </c>
      <c r="L538" s="4">
        <v>7</v>
      </c>
      <c r="M538" s="4">
        <v>3</v>
      </c>
      <c r="N538" s="4" t="s">
        <v>3</v>
      </c>
      <c r="O538" s="4">
        <v>2</v>
      </c>
      <c r="P538" s="4"/>
      <c r="Q538" s="4"/>
      <c r="R538" s="4"/>
      <c r="S538" s="4"/>
      <c r="T538" s="4"/>
      <c r="U538" s="4"/>
      <c r="V538" s="4"/>
      <c r="W538" s="4"/>
    </row>
    <row r="539" spans="1:206" x14ac:dyDescent="0.2">
      <c r="A539" s="4">
        <v>50</v>
      </c>
      <c r="B539" s="4">
        <v>0</v>
      </c>
      <c r="C539" s="4">
        <v>0</v>
      </c>
      <c r="D539" s="4">
        <v>1</v>
      </c>
      <c r="E539" s="4">
        <v>216</v>
      </c>
      <c r="F539" s="4">
        <f>ROUND(Source!AP530,O539)</f>
        <v>0</v>
      </c>
      <c r="G539" s="4" t="s">
        <v>64</v>
      </c>
      <c r="H539" s="4" t="s">
        <v>65</v>
      </c>
      <c r="I539" s="4"/>
      <c r="J539" s="4"/>
      <c r="K539" s="4">
        <v>216</v>
      </c>
      <c r="L539" s="4">
        <v>8</v>
      </c>
      <c r="M539" s="4">
        <v>3</v>
      </c>
      <c r="N539" s="4" t="s">
        <v>3</v>
      </c>
      <c r="O539" s="4">
        <v>2</v>
      </c>
      <c r="P539" s="4"/>
      <c r="Q539" s="4"/>
      <c r="R539" s="4"/>
      <c r="S539" s="4"/>
      <c r="T539" s="4"/>
      <c r="U539" s="4"/>
      <c r="V539" s="4"/>
      <c r="W539" s="4"/>
    </row>
    <row r="540" spans="1:206" x14ac:dyDescent="0.2">
      <c r="A540" s="4">
        <v>50</v>
      </c>
      <c r="B540" s="4">
        <v>0</v>
      </c>
      <c r="C540" s="4">
        <v>0</v>
      </c>
      <c r="D540" s="4">
        <v>1</v>
      </c>
      <c r="E540" s="4">
        <v>223</v>
      </c>
      <c r="F540" s="4">
        <f>ROUND(Source!AQ530,O540)</f>
        <v>0</v>
      </c>
      <c r="G540" s="4" t="s">
        <v>66</v>
      </c>
      <c r="H540" s="4" t="s">
        <v>67</v>
      </c>
      <c r="I540" s="4"/>
      <c r="J540" s="4"/>
      <c r="K540" s="4">
        <v>223</v>
      </c>
      <c r="L540" s="4">
        <v>9</v>
      </c>
      <c r="M540" s="4">
        <v>3</v>
      </c>
      <c r="N540" s="4" t="s">
        <v>3</v>
      </c>
      <c r="O540" s="4">
        <v>2</v>
      </c>
      <c r="P540" s="4"/>
      <c r="Q540" s="4"/>
      <c r="R540" s="4"/>
      <c r="S540" s="4"/>
      <c r="T540" s="4"/>
      <c r="U540" s="4"/>
      <c r="V540" s="4"/>
      <c r="W540" s="4"/>
    </row>
    <row r="541" spans="1:206" x14ac:dyDescent="0.2">
      <c r="A541" s="4">
        <v>50</v>
      </c>
      <c r="B541" s="4">
        <v>0</v>
      </c>
      <c r="C541" s="4">
        <v>0</v>
      </c>
      <c r="D541" s="4">
        <v>1</v>
      </c>
      <c r="E541" s="4">
        <v>229</v>
      </c>
      <c r="F541" s="4">
        <f>ROUND(Source!AZ530,O541)</f>
        <v>0</v>
      </c>
      <c r="G541" s="4" t="s">
        <v>68</v>
      </c>
      <c r="H541" s="4" t="s">
        <v>69</v>
      </c>
      <c r="I541" s="4"/>
      <c r="J541" s="4"/>
      <c r="K541" s="4">
        <v>229</v>
      </c>
      <c r="L541" s="4">
        <v>10</v>
      </c>
      <c r="M541" s="4">
        <v>3</v>
      </c>
      <c r="N541" s="4" t="s">
        <v>3</v>
      </c>
      <c r="O541" s="4">
        <v>2</v>
      </c>
      <c r="P541" s="4"/>
      <c r="Q541" s="4"/>
      <c r="R541" s="4"/>
      <c r="S541" s="4"/>
      <c r="T541" s="4"/>
      <c r="U541" s="4"/>
      <c r="V541" s="4"/>
      <c r="W541" s="4"/>
    </row>
    <row r="542" spans="1:206" x14ac:dyDescent="0.2">
      <c r="A542" s="4">
        <v>50</v>
      </c>
      <c r="B542" s="4">
        <v>0</v>
      </c>
      <c r="C542" s="4">
        <v>0</v>
      </c>
      <c r="D542" s="4">
        <v>1</v>
      </c>
      <c r="E542" s="4">
        <v>203</v>
      </c>
      <c r="F542" s="4">
        <f>ROUND(Source!Q530,O542)</f>
        <v>584319.49</v>
      </c>
      <c r="G542" s="4" t="s">
        <v>70</v>
      </c>
      <c r="H542" s="4" t="s">
        <v>71</v>
      </c>
      <c r="I542" s="4"/>
      <c r="J542" s="4"/>
      <c r="K542" s="4">
        <v>203</v>
      </c>
      <c r="L542" s="4">
        <v>11</v>
      </c>
      <c r="M542" s="4">
        <v>3</v>
      </c>
      <c r="N542" s="4" t="s">
        <v>3</v>
      </c>
      <c r="O542" s="4">
        <v>2</v>
      </c>
      <c r="P542" s="4"/>
      <c r="Q542" s="4"/>
      <c r="R542" s="4"/>
      <c r="S542" s="4"/>
      <c r="T542" s="4"/>
      <c r="U542" s="4"/>
      <c r="V542" s="4"/>
      <c r="W542" s="4"/>
    </row>
    <row r="543" spans="1:206" x14ac:dyDescent="0.2">
      <c r="A543" s="4">
        <v>50</v>
      </c>
      <c r="B543" s="4">
        <v>0</v>
      </c>
      <c r="C543" s="4">
        <v>0</v>
      </c>
      <c r="D543" s="4">
        <v>1</v>
      </c>
      <c r="E543" s="4">
        <v>231</v>
      </c>
      <c r="F543" s="4">
        <f>ROUND(Source!BB530,O543)</f>
        <v>0</v>
      </c>
      <c r="G543" s="4" t="s">
        <v>72</v>
      </c>
      <c r="H543" s="4" t="s">
        <v>73</v>
      </c>
      <c r="I543" s="4"/>
      <c r="J543" s="4"/>
      <c r="K543" s="4">
        <v>231</v>
      </c>
      <c r="L543" s="4">
        <v>12</v>
      </c>
      <c r="M543" s="4">
        <v>3</v>
      </c>
      <c r="N543" s="4" t="s">
        <v>3</v>
      </c>
      <c r="O543" s="4">
        <v>2</v>
      </c>
      <c r="P543" s="4"/>
      <c r="Q543" s="4"/>
      <c r="R543" s="4"/>
      <c r="S543" s="4"/>
      <c r="T543" s="4"/>
      <c r="U543" s="4"/>
      <c r="V543" s="4"/>
      <c r="W543" s="4"/>
    </row>
    <row r="544" spans="1:206" x14ac:dyDescent="0.2">
      <c r="A544" s="4">
        <v>50</v>
      </c>
      <c r="B544" s="4">
        <v>0</v>
      </c>
      <c r="C544" s="4">
        <v>0</v>
      </c>
      <c r="D544" s="4">
        <v>1</v>
      </c>
      <c r="E544" s="4">
        <v>204</v>
      </c>
      <c r="F544" s="4">
        <f>ROUND(Source!R530,O544)</f>
        <v>327732.03999999998</v>
      </c>
      <c r="G544" s="4" t="s">
        <v>74</v>
      </c>
      <c r="H544" s="4" t="s">
        <v>75</v>
      </c>
      <c r="I544" s="4"/>
      <c r="J544" s="4"/>
      <c r="K544" s="4">
        <v>204</v>
      </c>
      <c r="L544" s="4">
        <v>13</v>
      </c>
      <c r="M544" s="4">
        <v>3</v>
      </c>
      <c r="N544" s="4" t="s">
        <v>3</v>
      </c>
      <c r="O544" s="4">
        <v>2</v>
      </c>
      <c r="P544" s="4"/>
      <c r="Q544" s="4"/>
      <c r="R544" s="4"/>
      <c r="S544" s="4"/>
      <c r="T544" s="4"/>
      <c r="U544" s="4"/>
      <c r="V544" s="4"/>
      <c r="W544" s="4"/>
    </row>
    <row r="545" spans="1:23" x14ac:dyDescent="0.2">
      <c r="A545" s="4">
        <v>50</v>
      </c>
      <c r="B545" s="4">
        <v>0</v>
      </c>
      <c r="C545" s="4">
        <v>0</v>
      </c>
      <c r="D545" s="4">
        <v>1</v>
      </c>
      <c r="E545" s="4">
        <v>205</v>
      </c>
      <c r="F545" s="4">
        <f>ROUND(Source!S530,O545)</f>
        <v>990048.47</v>
      </c>
      <c r="G545" s="4" t="s">
        <v>76</v>
      </c>
      <c r="H545" s="4" t="s">
        <v>77</v>
      </c>
      <c r="I545" s="4"/>
      <c r="J545" s="4"/>
      <c r="K545" s="4">
        <v>205</v>
      </c>
      <c r="L545" s="4">
        <v>14</v>
      </c>
      <c r="M545" s="4">
        <v>3</v>
      </c>
      <c r="N545" s="4" t="s">
        <v>3</v>
      </c>
      <c r="O545" s="4">
        <v>2</v>
      </c>
      <c r="P545" s="4"/>
      <c r="Q545" s="4"/>
      <c r="R545" s="4"/>
      <c r="S545" s="4"/>
      <c r="T545" s="4"/>
      <c r="U545" s="4"/>
      <c r="V545" s="4"/>
      <c r="W545" s="4"/>
    </row>
    <row r="546" spans="1:23" x14ac:dyDescent="0.2">
      <c r="A546" s="4">
        <v>50</v>
      </c>
      <c r="B546" s="4">
        <v>0</v>
      </c>
      <c r="C546" s="4">
        <v>0</v>
      </c>
      <c r="D546" s="4">
        <v>1</v>
      </c>
      <c r="E546" s="4">
        <v>232</v>
      </c>
      <c r="F546" s="4">
        <f>ROUND(Source!BC530,O546)</f>
        <v>0</v>
      </c>
      <c r="G546" s="4" t="s">
        <v>78</v>
      </c>
      <c r="H546" s="4" t="s">
        <v>79</v>
      </c>
      <c r="I546" s="4"/>
      <c r="J546" s="4"/>
      <c r="K546" s="4">
        <v>232</v>
      </c>
      <c r="L546" s="4">
        <v>15</v>
      </c>
      <c r="M546" s="4">
        <v>3</v>
      </c>
      <c r="N546" s="4" t="s">
        <v>3</v>
      </c>
      <c r="O546" s="4">
        <v>2</v>
      </c>
      <c r="P546" s="4"/>
      <c r="Q546" s="4"/>
      <c r="R546" s="4"/>
      <c r="S546" s="4"/>
      <c r="T546" s="4"/>
      <c r="U546" s="4"/>
      <c r="V546" s="4"/>
      <c r="W546" s="4"/>
    </row>
    <row r="547" spans="1:23" x14ac:dyDescent="0.2">
      <c r="A547" s="4">
        <v>50</v>
      </c>
      <c r="B547" s="4">
        <v>0</v>
      </c>
      <c r="C547" s="4">
        <v>0</v>
      </c>
      <c r="D547" s="4">
        <v>1</v>
      </c>
      <c r="E547" s="4">
        <v>214</v>
      </c>
      <c r="F547" s="4">
        <f>ROUND(Source!AS530,O547)</f>
        <v>245000</v>
      </c>
      <c r="G547" s="4" t="s">
        <v>80</v>
      </c>
      <c r="H547" s="4" t="s">
        <v>81</v>
      </c>
      <c r="I547" s="4"/>
      <c r="J547" s="4"/>
      <c r="K547" s="4">
        <v>214</v>
      </c>
      <c r="L547" s="4">
        <v>16</v>
      </c>
      <c r="M547" s="4">
        <v>3</v>
      </c>
      <c r="N547" s="4" t="s">
        <v>3</v>
      </c>
      <c r="O547" s="4">
        <v>2</v>
      </c>
      <c r="P547" s="4"/>
      <c r="Q547" s="4"/>
      <c r="R547" s="4"/>
      <c r="S547" s="4"/>
      <c r="T547" s="4"/>
      <c r="U547" s="4"/>
      <c r="V547" s="4"/>
      <c r="W547" s="4"/>
    </row>
    <row r="548" spans="1:23" x14ac:dyDescent="0.2">
      <c r="A548" s="4">
        <v>50</v>
      </c>
      <c r="B548" s="4">
        <v>0</v>
      </c>
      <c r="C548" s="4">
        <v>0</v>
      </c>
      <c r="D548" s="4">
        <v>1</v>
      </c>
      <c r="E548" s="4">
        <v>215</v>
      </c>
      <c r="F548" s="4">
        <f>ROUND(Source!AT530,O548)</f>
        <v>0</v>
      </c>
      <c r="G548" s="4" t="s">
        <v>82</v>
      </c>
      <c r="H548" s="4" t="s">
        <v>83</v>
      </c>
      <c r="I548" s="4"/>
      <c r="J548" s="4"/>
      <c r="K548" s="4">
        <v>215</v>
      </c>
      <c r="L548" s="4">
        <v>17</v>
      </c>
      <c r="M548" s="4">
        <v>3</v>
      </c>
      <c r="N548" s="4" t="s">
        <v>3</v>
      </c>
      <c r="O548" s="4">
        <v>2</v>
      </c>
      <c r="P548" s="4"/>
      <c r="Q548" s="4"/>
      <c r="R548" s="4"/>
      <c r="S548" s="4"/>
      <c r="T548" s="4"/>
      <c r="U548" s="4"/>
      <c r="V548" s="4"/>
      <c r="W548" s="4"/>
    </row>
    <row r="549" spans="1:23" x14ac:dyDescent="0.2">
      <c r="A549" s="4">
        <v>50</v>
      </c>
      <c r="B549" s="4">
        <v>0</v>
      </c>
      <c r="C549" s="4">
        <v>0</v>
      </c>
      <c r="D549" s="4">
        <v>1</v>
      </c>
      <c r="E549" s="4">
        <v>217</v>
      </c>
      <c r="F549" s="4">
        <f>ROUND(Source!AU530,O549)</f>
        <v>7131978.5899999999</v>
      </c>
      <c r="G549" s="4" t="s">
        <v>84</v>
      </c>
      <c r="H549" s="4" t="s">
        <v>85</v>
      </c>
      <c r="I549" s="4"/>
      <c r="J549" s="4"/>
      <c r="K549" s="4">
        <v>217</v>
      </c>
      <c r="L549" s="4">
        <v>18</v>
      </c>
      <c r="M549" s="4">
        <v>3</v>
      </c>
      <c r="N549" s="4" t="s">
        <v>3</v>
      </c>
      <c r="O549" s="4">
        <v>2</v>
      </c>
      <c r="P549" s="4"/>
      <c r="Q549" s="4"/>
      <c r="R549" s="4"/>
      <c r="S549" s="4"/>
      <c r="T549" s="4"/>
      <c r="U549" s="4"/>
      <c r="V549" s="4"/>
      <c r="W549" s="4"/>
    </row>
    <row r="550" spans="1:23" x14ac:dyDescent="0.2">
      <c r="A550" s="4">
        <v>50</v>
      </c>
      <c r="B550" s="4">
        <v>0</v>
      </c>
      <c r="C550" s="4">
        <v>0</v>
      </c>
      <c r="D550" s="4">
        <v>1</v>
      </c>
      <c r="E550" s="4">
        <v>230</v>
      </c>
      <c r="F550" s="4">
        <f>ROUND(Source!BA530,O550)</f>
        <v>0</v>
      </c>
      <c r="G550" s="4" t="s">
        <v>86</v>
      </c>
      <c r="H550" s="4" t="s">
        <v>87</v>
      </c>
      <c r="I550" s="4"/>
      <c r="J550" s="4"/>
      <c r="K550" s="4">
        <v>230</v>
      </c>
      <c r="L550" s="4">
        <v>19</v>
      </c>
      <c r="M550" s="4">
        <v>3</v>
      </c>
      <c r="N550" s="4" t="s">
        <v>3</v>
      </c>
      <c r="O550" s="4">
        <v>2</v>
      </c>
      <c r="P550" s="4"/>
      <c r="Q550" s="4"/>
      <c r="R550" s="4"/>
      <c r="S550" s="4"/>
      <c r="T550" s="4"/>
      <c r="U550" s="4"/>
      <c r="V550" s="4"/>
      <c r="W550" s="4"/>
    </row>
    <row r="551" spans="1:23" x14ac:dyDescent="0.2">
      <c r="A551" s="4">
        <v>50</v>
      </c>
      <c r="B551" s="4">
        <v>0</v>
      </c>
      <c r="C551" s="4">
        <v>0</v>
      </c>
      <c r="D551" s="4">
        <v>1</v>
      </c>
      <c r="E551" s="4">
        <v>206</v>
      </c>
      <c r="F551" s="4">
        <f>ROUND(Source!T530,O551)</f>
        <v>0</v>
      </c>
      <c r="G551" s="4" t="s">
        <v>88</v>
      </c>
      <c r="H551" s="4" t="s">
        <v>89</v>
      </c>
      <c r="I551" s="4"/>
      <c r="J551" s="4"/>
      <c r="K551" s="4">
        <v>206</v>
      </c>
      <c r="L551" s="4">
        <v>20</v>
      </c>
      <c r="M551" s="4">
        <v>3</v>
      </c>
      <c r="N551" s="4" t="s">
        <v>3</v>
      </c>
      <c r="O551" s="4">
        <v>2</v>
      </c>
      <c r="P551" s="4"/>
      <c r="Q551" s="4"/>
      <c r="R551" s="4"/>
      <c r="S551" s="4"/>
      <c r="T551" s="4"/>
      <c r="U551" s="4"/>
      <c r="V551" s="4"/>
      <c r="W551" s="4"/>
    </row>
    <row r="552" spans="1:23" x14ac:dyDescent="0.2">
      <c r="A552" s="4">
        <v>50</v>
      </c>
      <c r="B552" s="4">
        <v>0</v>
      </c>
      <c r="C552" s="4">
        <v>0</v>
      </c>
      <c r="D552" s="4">
        <v>1</v>
      </c>
      <c r="E552" s="4">
        <v>207</v>
      </c>
      <c r="F552" s="4">
        <f>Source!U530</f>
        <v>5115.7461165000004</v>
      </c>
      <c r="G552" s="4" t="s">
        <v>90</v>
      </c>
      <c r="H552" s="4" t="s">
        <v>91</v>
      </c>
      <c r="I552" s="4"/>
      <c r="J552" s="4"/>
      <c r="K552" s="4">
        <v>207</v>
      </c>
      <c r="L552" s="4">
        <v>21</v>
      </c>
      <c r="M552" s="4">
        <v>3</v>
      </c>
      <c r="N552" s="4" t="s">
        <v>3</v>
      </c>
      <c r="O552" s="4">
        <v>-1</v>
      </c>
      <c r="P552" s="4"/>
      <c r="Q552" s="4"/>
      <c r="R552" s="4"/>
      <c r="S552" s="4"/>
      <c r="T552" s="4"/>
      <c r="U552" s="4"/>
      <c r="V552" s="4"/>
      <c r="W552" s="4"/>
    </row>
    <row r="553" spans="1:23" x14ac:dyDescent="0.2">
      <c r="A553" s="4">
        <v>50</v>
      </c>
      <c r="B553" s="4">
        <v>0</v>
      </c>
      <c r="C553" s="4">
        <v>0</v>
      </c>
      <c r="D553" s="4">
        <v>1</v>
      </c>
      <c r="E553" s="4">
        <v>208</v>
      </c>
      <c r="F553" s="4">
        <f>Source!V530</f>
        <v>0</v>
      </c>
      <c r="G553" s="4" t="s">
        <v>92</v>
      </c>
      <c r="H553" s="4" t="s">
        <v>93</v>
      </c>
      <c r="I553" s="4"/>
      <c r="J553" s="4"/>
      <c r="K553" s="4">
        <v>208</v>
      </c>
      <c r="L553" s="4">
        <v>22</v>
      </c>
      <c r="M553" s="4">
        <v>3</v>
      </c>
      <c r="N553" s="4" t="s">
        <v>3</v>
      </c>
      <c r="O553" s="4">
        <v>-1</v>
      </c>
      <c r="P553" s="4"/>
      <c r="Q553" s="4"/>
      <c r="R553" s="4"/>
      <c r="S553" s="4"/>
      <c r="T553" s="4"/>
      <c r="U553" s="4"/>
      <c r="V553" s="4"/>
      <c r="W553" s="4"/>
    </row>
    <row r="554" spans="1:23" x14ac:dyDescent="0.2">
      <c r="A554" s="4">
        <v>50</v>
      </c>
      <c r="B554" s="4">
        <v>0</v>
      </c>
      <c r="C554" s="4">
        <v>0</v>
      </c>
      <c r="D554" s="4">
        <v>1</v>
      </c>
      <c r="E554" s="4">
        <v>209</v>
      </c>
      <c r="F554" s="4">
        <f>ROUND(Source!W530,O554)</f>
        <v>0</v>
      </c>
      <c r="G554" s="4" t="s">
        <v>94</v>
      </c>
      <c r="H554" s="4" t="s">
        <v>95</v>
      </c>
      <c r="I554" s="4"/>
      <c r="J554" s="4"/>
      <c r="K554" s="4">
        <v>209</v>
      </c>
      <c r="L554" s="4">
        <v>23</v>
      </c>
      <c r="M554" s="4">
        <v>3</v>
      </c>
      <c r="N554" s="4" t="s">
        <v>3</v>
      </c>
      <c r="O554" s="4">
        <v>2</v>
      </c>
      <c r="P554" s="4"/>
      <c r="Q554" s="4"/>
      <c r="R554" s="4"/>
      <c r="S554" s="4"/>
      <c r="T554" s="4"/>
      <c r="U554" s="4"/>
      <c r="V554" s="4"/>
      <c r="W554" s="4"/>
    </row>
    <row r="555" spans="1:23" x14ac:dyDescent="0.2">
      <c r="A555" s="4">
        <v>50</v>
      </c>
      <c r="B555" s="4">
        <v>0</v>
      </c>
      <c r="C555" s="4">
        <v>0</v>
      </c>
      <c r="D555" s="4">
        <v>1</v>
      </c>
      <c r="E555" s="4">
        <v>233</v>
      </c>
      <c r="F555" s="4">
        <f>ROUND(Source!BD530,O555)</f>
        <v>0</v>
      </c>
      <c r="G555" s="4" t="s">
        <v>96</v>
      </c>
      <c r="H555" s="4" t="s">
        <v>97</v>
      </c>
      <c r="I555" s="4"/>
      <c r="J555" s="4"/>
      <c r="K555" s="4">
        <v>233</v>
      </c>
      <c r="L555" s="4">
        <v>24</v>
      </c>
      <c r="M555" s="4">
        <v>3</v>
      </c>
      <c r="N555" s="4" t="s">
        <v>3</v>
      </c>
      <c r="O555" s="4">
        <v>2</v>
      </c>
      <c r="P555" s="4"/>
      <c r="Q555" s="4"/>
      <c r="R555" s="4"/>
      <c r="S555" s="4"/>
      <c r="T555" s="4"/>
      <c r="U555" s="4"/>
      <c r="V555" s="4"/>
      <c r="W555" s="4"/>
    </row>
    <row r="556" spans="1:23" x14ac:dyDescent="0.2">
      <c r="A556" s="4">
        <v>50</v>
      </c>
      <c r="B556" s="4">
        <v>0</v>
      </c>
      <c r="C556" s="4">
        <v>0</v>
      </c>
      <c r="D556" s="4">
        <v>1</v>
      </c>
      <c r="E556" s="4">
        <v>210</v>
      </c>
      <c r="F556" s="4">
        <f>ROUND(Source!X530,O556)</f>
        <v>693033.96</v>
      </c>
      <c r="G556" s="4" t="s">
        <v>98</v>
      </c>
      <c r="H556" s="4" t="s">
        <v>99</v>
      </c>
      <c r="I556" s="4"/>
      <c r="J556" s="4"/>
      <c r="K556" s="4">
        <v>210</v>
      </c>
      <c r="L556" s="4">
        <v>25</v>
      </c>
      <c r="M556" s="4">
        <v>3</v>
      </c>
      <c r="N556" s="4" t="s">
        <v>3</v>
      </c>
      <c r="O556" s="4">
        <v>2</v>
      </c>
      <c r="P556" s="4"/>
      <c r="Q556" s="4"/>
      <c r="R556" s="4"/>
      <c r="S556" s="4"/>
      <c r="T556" s="4"/>
      <c r="U556" s="4"/>
      <c r="V556" s="4"/>
      <c r="W556" s="4"/>
    </row>
    <row r="557" spans="1:23" x14ac:dyDescent="0.2">
      <c r="A557" s="4">
        <v>50</v>
      </c>
      <c r="B557" s="4">
        <v>0</v>
      </c>
      <c r="C557" s="4">
        <v>0</v>
      </c>
      <c r="D557" s="4">
        <v>1</v>
      </c>
      <c r="E557" s="4">
        <v>211</v>
      </c>
      <c r="F557" s="4">
        <f>ROUND(Source!Y530,O557)</f>
        <v>99004.87</v>
      </c>
      <c r="G557" s="4" t="s">
        <v>100</v>
      </c>
      <c r="H557" s="4" t="s">
        <v>101</v>
      </c>
      <c r="I557" s="4"/>
      <c r="J557" s="4"/>
      <c r="K557" s="4">
        <v>211</v>
      </c>
      <c r="L557" s="4">
        <v>26</v>
      </c>
      <c r="M557" s="4">
        <v>3</v>
      </c>
      <c r="N557" s="4" t="s">
        <v>3</v>
      </c>
      <c r="O557" s="4">
        <v>2</v>
      </c>
      <c r="P557" s="4"/>
      <c r="Q557" s="4"/>
      <c r="R557" s="4"/>
      <c r="S557" s="4"/>
      <c r="T557" s="4"/>
      <c r="U557" s="4"/>
      <c r="V557" s="4"/>
      <c r="W557" s="4"/>
    </row>
    <row r="558" spans="1:23" x14ac:dyDescent="0.2">
      <c r="A558" s="4">
        <v>50</v>
      </c>
      <c r="B558" s="4">
        <v>0</v>
      </c>
      <c r="C558" s="4">
        <v>0</v>
      </c>
      <c r="D558" s="4">
        <v>1</v>
      </c>
      <c r="E558" s="4">
        <v>224</v>
      </c>
      <c r="F558" s="4">
        <f>ROUND(Source!AR530,O558)</f>
        <v>7376978.5899999999</v>
      </c>
      <c r="G558" s="4" t="s">
        <v>102</v>
      </c>
      <c r="H558" s="4" t="s">
        <v>103</v>
      </c>
      <c r="I558" s="4"/>
      <c r="J558" s="4"/>
      <c r="K558" s="4">
        <v>224</v>
      </c>
      <c r="L558" s="4">
        <v>27</v>
      </c>
      <c r="M558" s="4">
        <v>3</v>
      </c>
      <c r="N558" s="4" t="s">
        <v>3</v>
      </c>
      <c r="O558" s="4">
        <v>2</v>
      </c>
      <c r="P558" s="4"/>
      <c r="Q558" s="4"/>
      <c r="R558" s="4"/>
      <c r="S558" s="4"/>
      <c r="T558" s="4"/>
      <c r="U558" s="4"/>
      <c r="V558" s="4"/>
      <c r="W558" s="4"/>
    </row>
    <row r="559" spans="1:23" x14ac:dyDescent="0.2">
      <c r="A559" s="4">
        <v>50</v>
      </c>
      <c r="B559" s="4">
        <v>1</v>
      </c>
      <c r="C559" s="4">
        <v>0</v>
      </c>
      <c r="D559" s="4">
        <v>2</v>
      </c>
      <c r="E559" s="4">
        <v>0</v>
      </c>
      <c r="F559" s="4">
        <f>ROUND(F558,O559)</f>
        <v>7376978.5899999999</v>
      </c>
      <c r="G559" s="4" t="s">
        <v>333</v>
      </c>
      <c r="H559" s="4" t="s">
        <v>102</v>
      </c>
      <c r="I559" s="4"/>
      <c r="J559" s="4"/>
      <c r="K559" s="4">
        <v>212</v>
      </c>
      <c r="L559" s="4">
        <v>28</v>
      </c>
      <c r="M559" s="4">
        <v>0</v>
      </c>
      <c r="N559" s="4" t="s">
        <v>3</v>
      </c>
      <c r="O559" s="4">
        <v>2</v>
      </c>
      <c r="P559" s="4"/>
      <c r="Q559" s="4"/>
      <c r="R559" s="4"/>
      <c r="S559" s="4"/>
      <c r="T559" s="4"/>
      <c r="U559" s="4"/>
      <c r="V559" s="4"/>
      <c r="W559" s="4"/>
    </row>
    <row r="560" spans="1:23" x14ac:dyDescent="0.2">
      <c r="A560" s="4">
        <v>50</v>
      </c>
      <c r="B560" s="4">
        <v>1</v>
      </c>
      <c r="C560" s="4">
        <v>0</v>
      </c>
      <c r="D560" s="4">
        <v>2</v>
      </c>
      <c r="E560" s="4">
        <v>0</v>
      </c>
      <c r="F560" s="4">
        <f>ROUND(F559*0.2,O560)</f>
        <v>1475395.72</v>
      </c>
      <c r="G560" s="4" t="s">
        <v>334</v>
      </c>
      <c r="H560" s="4" t="s">
        <v>335</v>
      </c>
      <c r="I560" s="4"/>
      <c r="J560" s="4"/>
      <c r="K560" s="4">
        <v>212</v>
      </c>
      <c r="L560" s="4">
        <v>29</v>
      </c>
      <c r="M560" s="4">
        <v>0</v>
      </c>
      <c r="N560" s="4" t="s">
        <v>3</v>
      </c>
      <c r="O560" s="4">
        <v>2</v>
      </c>
      <c r="P560" s="4"/>
      <c r="Q560" s="4"/>
      <c r="R560" s="4"/>
      <c r="S560" s="4"/>
      <c r="T560" s="4"/>
      <c r="U560" s="4"/>
      <c r="V560" s="4"/>
      <c r="W560" s="4"/>
    </row>
    <row r="561" spans="1:23" x14ac:dyDescent="0.2">
      <c r="A561" s="4">
        <v>50</v>
      </c>
      <c r="B561" s="4">
        <v>1</v>
      </c>
      <c r="C561" s="4">
        <v>0</v>
      </c>
      <c r="D561" s="4">
        <v>2</v>
      </c>
      <c r="E561" s="4">
        <v>0</v>
      </c>
      <c r="F561" s="4">
        <f>ROUND(F559+F560,O561)</f>
        <v>8852374.3100000005</v>
      </c>
      <c r="G561" s="4" t="s">
        <v>336</v>
      </c>
      <c r="H561" s="4" t="s">
        <v>337</v>
      </c>
      <c r="I561" s="4"/>
      <c r="J561" s="4"/>
      <c r="K561" s="4">
        <v>212</v>
      </c>
      <c r="L561" s="4">
        <v>30</v>
      </c>
      <c r="M561" s="4">
        <v>0</v>
      </c>
      <c r="N561" s="4" t="s">
        <v>3</v>
      </c>
      <c r="O561" s="4">
        <v>2</v>
      </c>
      <c r="P561" s="4"/>
      <c r="Q561" s="4"/>
      <c r="R561" s="4"/>
      <c r="S561" s="4"/>
      <c r="T561" s="4"/>
      <c r="U561" s="4"/>
      <c r="V561" s="4"/>
      <c r="W561" s="4"/>
    </row>
    <row r="562" spans="1:23" x14ac:dyDescent="0.2">
      <c r="A562" s="4">
        <v>50</v>
      </c>
      <c r="B562" s="4">
        <v>0</v>
      </c>
      <c r="C562" s="4">
        <v>0</v>
      </c>
      <c r="D562" s="4">
        <v>2</v>
      </c>
      <c r="E562" s="4">
        <v>0</v>
      </c>
      <c r="F562" s="4">
        <f>ROUND(F538*0.2,O562)</f>
        <v>972317.07</v>
      </c>
      <c r="G562" s="4" t="s">
        <v>338</v>
      </c>
      <c r="H562" s="4" t="s">
        <v>339</v>
      </c>
      <c r="I562" s="4"/>
      <c r="J562" s="4"/>
      <c r="K562" s="4">
        <v>212</v>
      </c>
      <c r="L562" s="4">
        <v>31</v>
      </c>
      <c r="M562" s="4">
        <v>3</v>
      </c>
      <c r="N562" s="4" t="s">
        <v>3</v>
      </c>
      <c r="O562" s="4">
        <v>2</v>
      </c>
      <c r="P562" s="4"/>
      <c r="Q562" s="4"/>
      <c r="R562" s="4"/>
      <c r="S562" s="4"/>
      <c r="T562" s="4"/>
      <c r="U562" s="4"/>
      <c r="V562" s="4"/>
      <c r="W562" s="4"/>
    </row>
    <row r="563" spans="1:23" x14ac:dyDescent="0.2">
      <c r="A563" s="4">
        <v>50</v>
      </c>
      <c r="B563" s="4">
        <v>1</v>
      </c>
      <c r="C563" s="4">
        <v>0</v>
      </c>
      <c r="D563" s="4">
        <v>2</v>
      </c>
      <c r="E563" s="4">
        <v>0</v>
      </c>
      <c r="F563" s="4">
        <v>8609380.1999999993</v>
      </c>
      <c r="G563" s="4" t="s">
        <v>340</v>
      </c>
      <c r="H563" s="4" t="s">
        <v>341</v>
      </c>
      <c r="I563" s="4"/>
      <c r="J563" s="4"/>
      <c r="K563" s="4">
        <v>212</v>
      </c>
      <c r="L563" s="4">
        <v>32</v>
      </c>
      <c r="M563" s="4">
        <v>0</v>
      </c>
      <c r="N563" s="4" t="s">
        <v>3</v>
      </c>
      <c r="O563" s="4">
        <v>2</v>
      </c>
      <c r="P563" s="4"/>
      <c r="Q563" s="4"/>
      <c r="R563" s="4"/>
      <c r="S563" s="4"/>
      <c r="T563" s="4"/>
      <c r="U563" s="4"/>
      <c r="V563" s="4"/>
      <c r="W563" s="4"/>
    </row>
    <row r="565" spans="1:23" x14ac:dyDescent="0.2">
      <c r="A565" s="5">
        <v>61</v>
      </c>
      <c r="B565" s="5"/>
      <c r="C565" s="5"/>
      <c r="D565" s="5"/>
      <c r="E565" s="5"/>
      <c r="F565" s="5">
        <v>3</v>
      </c>
      <c r="G565" s="5" t="s">
        <v>342</v>
      </c>
      <c r="H565" s="5" t="s">
        <v>343</v>
      </c>
    </row>
    <row r="566" spans="1:23" x14ac:dyDescent="0.2">
      <c r="A566" s="5">
        <v>61</v>
      </c>
      <c r="B566" s="5"/>
      <c r="C566" s="5"/>
      <c r="D566" s="5"/>
      <c r="E566" s="5"/>
      <c r="F566" s="5">
        <v>2</v>
      </c>
      <c r="G566" s="5" t="s">
        <v>344</v>
      </c>
      <c r="H566" s="5" t="s">
        <v>343</v>
      </c>
    </row>
    <row r="567" spans="1:23" x14ac:dyDescent="0.2">
      <c r="A567" s="5">
        <v>61</v>
      </c>
      <c r="B567" s="5"/>
      <c r="C567" s="5"/>
      <c r="D567" s="5"/>
      <c r="E567" s="5"/>
      <c r="F567" s="5">
        <v>1</v>
      </c>
      <c r="G567" s="5" t="s">
        <v>345</v>
      </c>
      <c r="H567" s="5" t="s">
        <v>343</v>
      </c>
    </row>
    <row r="570" spans="1:23" x14ac:dyDescent="0.2">
      <c r="A570">
        <v>-1</v>
      </c>
    </row>
    <row r="572" spans="1:23" x14ac:dyDescent="0.2">
      <c r="A572" s="3">
        <v>75</v>
      </c>
      <c r="B572" s="3" t="s">
        <v>346</v>
      </c>
      <c r="C572" s="3">
        <v>2019</v>
      </c>
      <c r="D572" s="3">
        <v>0</v>
      </c>
      <c r="E572" s="3">
        <v>10</v>
      </c>
      <c r="F572" s="3">
        <v>0</v>
      </c>
      <c r="G572" s="3">
        <v>0</v>
      </c>
      <c r="H572" s="3">
        <v>1</v>
      </c>
      <c r="I572" s="3">
        <v>0</v>
      </c>
      <c r="J572" s="3">
        <v>1</v>
      </c>
      <c r="K572" s="3">
        <v>78</v>
      </c>
      <c r="L572" s="3">
        <v>30</v>
      </c>
      <c r="M572" s="3">
        <v>0</v>
      </c>
      <c r="N572" s="3">
        <v>56440881</v>
      </c>
      <c r="O572" s="3">
        <v>1</v>
      </c>
    </row>
    <row r="576" spans="1:23" x14ac:dyDescent="0.2">
      <c r="A576">
        <v>65</v>
      </c>
      <c r="C576">
        <v>1</v>
      </c>
      <c r="D576">
        <v>0</v>
      </c>
      <c r="E576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56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347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62074</v>
      </c>
      <c r="M1">
        <v>10</v>
      </c>
      <c r="N1">
        <v>11</v>
      </c>
      <c r="O1">
        <v>2</v>
      </c>
      <c r="P1">
        <v>0</v>
      </c>
      <c r="Q1">
        <v>3</v>
      </c>
    </row>
    <row r="12" spans="1:133" x14ac:dyDescent="0.2">
      <c r="A12" s="1">
        <v>1</v>
      </c>
      <c r="B12" s="1">
        <v>56</v>
      </c>
      <c r="C12" s="1">
        <v>0</v>
      </c>
      <c r="D12" s="1"/>
      <c r="E12" s="1">
        <v>0</v>
      </c>
      <c r="F12" s="1" t="s">
        <v>3</v>
      </c>
      <c r="G12" s="1" t="s">
        <v>4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5</v>
      </c>
      <c r="BI12" s="1" t="s">
        <v>6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2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7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16777224</v>
      </c>
      <c r="CI12" s="1" t="s">
        <v>3</v>
      </c>
      <c r="CJ12" s="1" t="s">
        <v>3</v>
      </c>
      <c r="CK12" s="1">
        <v>3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56440881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6">
        <v>3</v>
      </c>
      <c r="B16" s="6">
        <v>1</v>
      </c>
      <c r="C16" s="6" t="s">
        <v>11</v>
      </c>
      <c r="D16" s="6" t="s">
        <v>12</v>
      </c>
      <c r="E16" s="7">
        <f>(Source!F517)/1000</f>
        <v>245</v>
      </c>
      <c r="F16" s="7">
        <f>(Source!F518)/1000</f>
        <v>0</v>
      </c>
      <c r="G16" s="7">
        <f>(Source!F509)/1000</f>
        <v>0</v>
      </c>
      <c r="H16" s="7">
        <f>(Source!F519)/1000+(Source!F520)/1000</f>
        <v>7131.9785899999997</v>
      </c>
      <c r="I16" s="7">
        <f>E16+F16+G16+H16</f>
        <v>7376.9785899999997</v>
      </c>
      <c r="J16" s="7">
        <f>(Source!F515)/1000</f>
        <v>990.04846999999995</v>
      </c>
      <c r="AI16" s="6">
        <v>7</v>
      </c>
      <c r="AJ16" s="6">
        <v>-1</v>
      </c>
      <c r="AK16" s="6" t="s">
        <v>3</v>
      </c>
      <c r="AL16" s="6" t="s">
        <v>3</v>
      </c>
      <c r="AM16" s="6" t="s">
        <v>3</v>
      </c>
      <c r="AN16" s="6">
        <v>0</v>
      </c>
      <c r="AO16" s="6" t="s">
        <v>3</v>
      </c>
      <c r="AP16" s="6" t="s">
        <v>3</v>
      </c>
      <c r="AT16" s="7">
        <v>6435953.29</v>
      </c>
      <c r="AU16" s="7">
        <v>4861585.33</v>
      </c>
      <c r="AV16" s="7">
        <v>0</v>
      </c>
      <c r="AW16" s="7">
        <v>0</v>
      </c>
      <c r="AX16" s="7">
        <v>0</v>
      </c>
      <c r="AY16" s="7">
        <v>584319.49</v>
      </c>
      <c r="AZ16" s="7">
        <v>327732.03999999998</v>
      </c>
      <c r="BA16" s="7">
        <v>990048.47</v>
      </c>
      <c r="BB16" s="7">
        <v>245000</v>
      </c>
      <c r="BC16" s="7">
        <v>0</v>
      </c>
      <c r="BD16" s="7">
        <v>7131978.5899999999</v>
      </c>
      <c r="BE16" s="7">
        <v>0</v>
      </c>
      <c r="BF16" s="7">
        <v>5115.7461164999995</v>
      </c>
      <c r="BG16" s="7">
        <v>0</v>
      </c>
      <c r="BH16" s="7">
        <v>0</v>
      </c>
      <c r="BI16" s="7">
        <v>693033.96</v>
      </c>
      <c r="BJ16" s="7">
        <v>99004.87</v>
      </c>
      <c r="BK16" s="7">
        <v>7376978.5899999999</v>
      </c>
    </row>
    <row r="18" spans="1:19" x14ac:dyDescent="0.2">
      <c r="A18">
        <v>51</v>
      </c>
      <c r="E18" s="5">
        <f>SUMIF(A16:A17,3,E16:E17)</f>
        <v>245</v>
      </c>
      <c r="F18" s="5">
        <f>SUMIF(A16:A17,3,F16:F17)</f>
        <v>0</v>
      </c>
      <c r="G18" s="5">
        <f>SUMIF(A16:A17,3,G16:G17)</f>
        <v>0</v>
      </c>
      <c r="H18" s="5">
        <f>SUMIF(A16:A17,3,H16:H17)</f>
        <v>7131.9785899999997</v>
      </c>
      <c r="I18" s="5">
        <f>SUMIF(A16:A17,3,I16:I17)</f>
        <v>7376.9785899999997</v>
      </c>
      <c r="J18" s="5">
        <f>SUMIF(A16:A17,3,J16:J17)</f>
        <v>990.04846999999995</v>
      </c>
      <c r="K18" s="5"/>
      <c r="L18" s="5"/>
      <c r="M18" s="5"/>
      <c r="N18" s="5"/>
      <c r="O18" s="5"/>
      <c r="P18" s="5"/>
      <c r="Q18" s="5"/>
      <c r="R18" s="5"/>
      <c r="S18" s="5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6435953.29</v>
      </c>
      <c r="G20" s="4" t="s">
        <v>50</v>
      </c>
      <c r="H20" s="4" t="s">
        <v>51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4861585.33</v>
      </c>
      <c r="G21" s="4" t="s">
        <v>52</v>
      </c>
      <c r="H21" s="4" t="s">
        <v>53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54</v>
      </c>
      <c r="H22" s="4" t="s">
        <v>55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4861585.33</v>
      </c>
      <c r="G23" s="4" t="s">
        <v>56</v>
      </c>
      <c r="H23" s="4" t="s">
        <v>57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4861585.33</v>
      </c>
      <c r="G24" s="4" t="s">
        <v>58</v>
      </c>
      <c r="H24" s="4" t="s">
        <v>59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60</v>
      </c>
      <c r="H25" s="4" t="s">
        <v>61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4861585.33</v>
      </c>
      <c r="G26" s="4" t="s">
        <v>62</v>
      </c>
      <c r="H26" s="4" t="s">
        <v>63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64</v>
      </c>
      <c r="H27" s="4" t="s">
        <v>65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66</v>
      </c>
      <c r="H28" s="4" t="s">
        <v>67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68</v>
      </c>
      <c r="H29" s="4" t="s">
        <v>69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584319.49</v>
      </c>
      <c r="G30" s="4" t="s">
        <v>70</v>
      </c>
      <c r="H30" s="4" t="s">
        <v>71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72</v>
      </c>
      <c r="H31" s="4" t="s">
        <v>73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327732.03999999998</v>
      </c>
      <c r="G32" s="4" t="s">
        <v>74</v>
      </c>
      <c r="H32" s="4" t="s">
        <v>75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990048.47</v>
      </c>
      <c r="G33" s="4" t="s">
        <v>76</v>
      </c>
      <c r="H33" s="4" t="s">
        <v>77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78</v>
      </c>
      <c r="H34" s="4" t="s">
        <v>79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245000</v>
      </c>
      <c r="G35" s="4" t="s">
        <v>80</v>
      </c>
      <c r="H35" s="4" t="s">
        <v>81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82</v>
      </c>
      <c r="H36" s="4" t="s">
        <v>83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7131978.5899999999</v>
      </c>
      <c r="G37" s="4" t="s">
        <v>84</v>
      </c>
      <c r="H37" s="4" t="s">
        <v>85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86</v>
      </c>
      <c r="H38" s="4" t="s">
        <v>87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88</v>
      </c>
      <c r="H39" s="4" t="s">
        <v>89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5115.7461164999995</v>
      </c>
      <c r="G40" s="4" t="s">
        <v>90</v>
      </c>
      <c r="H40" s="4" t="s">
        <v>91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92</v>
      </c>
      <c r="H41" s="4" t="s">
        <v>93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94</v>
      </c>
      <c r="H42" s="4" t="s">
        <v>95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96</v>
      </c>
      <c r="H43" s="4" t="s">
        <v>97</v>
      </c>
      <c r="I43" s="4"/>
      <c r="J43" s="4"/>
      <c r="K43" s="4">
        <v>233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693033.96</v>
      </c>
      <c r="G44" s="4" t="s">
        <v>98</v>
      </c>
      <c r="H44" s="4" t="s">
        <v>99</v>
      </c>
      <c r="I44" s="4"/>
      <c r="J44" s="4"/>
      <c r="K44" s="4">
        <v>210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99004.87</v>
      </c>
      <c r="G45" s="4" t="s">
        <v>100</v>
      </c>
      <c r="H45" s="4" t="s">
        <v>101</v>
      </c>
      <c r="I45" s="4"/>
      <c r="J45" s="4"/>
      <c r="K45" s="4">
        <v>211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7376978.5899999999</v>
      </c>
      <c r="G46" s="4" t="s">
        <v>102</v>
      </c>
      <c r="H46" s="4" t="s">
        <v>103</v>
      </c>
      <c r="I46" s="4"/>
      <c r="J46" s="4"/>
      <c r="K46" s="4">
        <v>224</v>
      </c>
      <c r="L46" s="4">
        <v>27</v>
      </c>
      <c r="M46" s="4">
        <v>3</v>
      </c>
      <c r="N46" s="4" t="s">
        <v>3</v>
      </c>
      <c r="O46" s="4">
        <v>2</v>
      </c>
      <c r="P46" s="4"/>
    </row>
    <row r="47" spans="1:16" x14ac:dyDescent="0.2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7376978.5899999999</v>
      </c>
      <c r="G47" s="4" t="s">
        <v>333</v>
      </c>
      <c r="H47" s="4" t="s">
        <v>102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 x14ac:dyDescent="0.2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1475395.72</v>
      </c>
      <c r="G48" s="4" t="s">
        <v>334</v>
      </c>
      <c r="H48" s="4" t="s">
        <v>335</v>
      </c>
      <c r="I48" s="4"/>
      <c r="J48" s="4"/>
      <c r="K48" s="4">
        <v>212</v>
      </c>
      <c r="L48" s="4">
        <v>29</v>
      </c>
      <c r="M48" s="4">
        <v>0</v>
      </c>
      <c r="N48" s="4" t="s">
        <v>3</v>
      </c>
      <c r="O48" s="4">
        <v>2</v>
      </c>
      <c r="P48" s="4"/>
    </row>
    <row r="49" spans="1:16" x14ac:dyDescent="0.2">
      <c r="A49" s="4">
        <v>50</v>
      </c>
      <c r="B49" s="4">
        <v>1</v>
      </c>
      <c r="C49" s="4">
        <v>0</v>
      </c>
      <c r="D49" s="4">
        <v>2</v>
      </c>
      <c r="E49" s="4">
        <v>0</v>
      </c>
      <c r="F49" s="4">
        <v>8852374.3100000005</v>
      </c>
      <c r="G49" s="4" t="s">
        <v>336</v>
      </c>
      <c r="H49" s="4" t="s">
        <v>337</v>
      </c>
      <c r="I49" s="4"/>
      <c r="J49" s="4"/>
      <c r="K49" s="4">
        <v>212</v>
      </c>
      <c r="L49" s="4">
        <v>30</v>
      </c>
      <c r="M49" s="4">
        <v>0</v>
      </c>
      <c r="N49" s="4" t="s">
        <v>3</v>
      </c>
      <c r="O49" s="4">
        <v>2</v>
      </c>
      <c r="P49" s="4"/>
    </row>
    <row r="50" spans="1:16" x14ac:dyDescent="0.2">
      <c r="A50" s="4">
        <v>50</v>
      </c>
      <c r="B50" s="4">
        <v>0</v>
      </c>
      <c r="C50" s="4">
        <v>0</v>
      </c>
      <c r="D50" s="4">
        <v>2</v>
      </c>
      <c r="E50" s="4">
        <v>0</v>
      </c>
      <c r="F50" s="4">
        <v>972317.07</v>
      </c>
      <c r="G50" s="4" t="s">
        <v>338</v>
      </c>
      <c r="H50" s="4" t="s">
        <v>339</v>
      </c>
      <c r="I50" s="4"/>
      <c r="J50" s="4"/>
      <c r="K50" s="4">
        <v>212</v>
      </c>
      <c r="L50" s="4">
        <v>31</v>
      </c>
      <c r="M50" s="4">
        <v>3</v>
      </c>
      <c r="N50" s="4" t="s">
        <v>3</v>
      </c>
      <c r="O50" s="4">
        <v>2</v>
      </c>
      <c r="P50" s="4"/>
    </row>
    <row r="51" spans="1:16" x14ac:dyDescent="0.2">
      <c r="A51" s="4">
        <v>50</v>
      </c>
      <c r="B51" s="4">
        <v>1</v>
      </c>
      <c r="C51" s="4">
        <v>0</v>
      </c>
      <c r="D51" s="4">
        <v>2</v>
      </c>
      <c r="E51" s="4">
        <v>0</v>
      </c>
      <c r="F51" s="4">
        <v>8609380.1999999993</v>
      </c>
      <c r="G51" s="4" t="s">
        <v>340</v>
      </c>
      <c r="H51" s="4" t="s">
        <v>341</v>
      </c>
      <c r="I51" s="4"/>
      <c r="J51" s="4"/>
      <c r="K51" s="4">
        <v>212</v>
      </c>
      <c r="L51" s="4">
        <v>32</v>
      </c>
      <c r="M51" s="4">
        <v>0</v>
      </c>
      <c r="N51" s="4" t="s">
        <v>3</v>
      </c>
      <c r="O51" s="4">
        <v>2</v>
      </c>
      <c r="P51" s="4"/>
    </row>
    <row r="53" spans="1:16" x14ac:dyDescent="0.2">
      <c r="A53">
        <v>-1</v>
      </c>
    </row>
    <row r="56" spans="1:16" x14ac:dyDescent="0.2">
      <c r="A56" s="3">
        <v>75</v>
      </c>
      <c r="B56" s="3" t="s">
        <v>346</v>
      </c>
      <c r="C56" s="3">
        <v>2019</v>
      </c>
      <c r="D56" s="3">
        <v>0</v>
      </c>
      <c r="E56" s="3">
        <v>10</v>
      </c>
      <c r="F56" s="3">
        <v>0</v>
      </c>
      <c r="G56" s="3">
        <v>0</v>
      </c>
      <c r="H56" s="3">
        <v>1</v>
      </c>
      <c r="I56" s="3">
        <v>0</v>
      </c>
      <c r="J56" s="3">
        <v>1</v>
      </c>
      <c r="K56" s="3">
        <v>78</v>
      </c>
      <c r="L56" s="3">
        <v>30</v>
      </c>
      <c r="M56" s="3">
        <v>0</v>
      </c>
      <c r="N56" s="3">
        <v>56440881</v>
      </c>
      <c r="O56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230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56440881</v>
      </c>
      <c r="C1">
        <v>56450822</v>
      </c>
      <c r="D1">
        <v>52956643</v>
      </c>
      <c r="E1">
        <v>25</v>
      </c>
      <c r="F1">
        <v>1</v>
      </c>
      <c r="G1">
        <v>25</v>
      </c>
      <c r="H1">
        <v>1</v>
      </c>
      <c r="I1" t="s">
        <v>348</v>
      </c>
      <c r="J1" t="s">
        <v>3</v>
      </c>
      <c r="K1" t="s">
        <v>349</v>
      </c>
      <c r="L1">
        <v>1191</v>
      </c>
      <c r="N1">
        <v>1013</v>
      </c>
      <c r="O1" t="s">
        <v>350</v>
      </c>
      <c r="P1" t="s">
        <v>350</v>
      </c>
      <c r="Q1">
        <v>1</v>
      </c>
      <c r="W1">
        <v>0</v>
      </c>
      <c r="X1">
        <v>476480486</v>
      </c>
      <c r="Y1">
        <v>87.29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87.29</v>
      </c>
      <c r="AU1" t="s">
        <v>3</v>
      </c>
      <c r="AV1">
        <v>1</v>
      </c>
      <c r="AW1">
        <v>2</v>
      </c>
      <c r="AX1">
        <v>56474709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4.0720784999999999</v>
      </c>
      <c r="CY1">
        <f>AD1</f>
        <v>0</v>
      </c>
      <c r="CZ1">
        <f>AH1</f>
        <v>0</v>
      </c>
      <c r="DA1">
        <f>AL1</f>
        <v>1</v>
      </c>
      <c r="DB1">
        <f t="shared" ref="DB1:DB39" si="0">ROUND(ROUND(AT1*CZ1,2),2)</f>
        <v>0</v>
      </c>
      <c r="DC1">
        <f t="shared" ref="DC1:DC39" si="1">ROUND(ROUND(AT1*AG1,2),2)</f>
        <v>0</v>
      </c>
    </row>
    <row r="2" spans="1:107" x14ac:dyDescent="0.2">
      <c r="A2">
        <f>ROW(Source!A28)</f>
        <v>28</v>
      </c>
      <c r="B2">
        <v>56440881</v>
      </c>
      <c r="C2">
        <v>56450822</v>
      </c>
      <c r="D2">
        <v>52968814</v>
      </c>
      <c r="E2">
        <v>1</v>
      </c>
      <c r="F2">
        <v>1</v>
      </c>
      <c r="G2">
        <v>25</v>
      </c>
      <c r="H2">
        <v>2</v>
      </c>
      <c r="I2" t="s">
        <v>351</v>
      </c>
      <c r="J2" t="s">
        <v>352</v>
      </c>
      <c r="K2" t="s">
        <v>353</v>
      </c>
      <c r="L2">
        <v>1368</v>
      </c>
      <c r="N2">
        <v>1011</v>
      </c>
      <c r="O2" t="s">
        <v>354</v>
      </c>
      <c r="P2" t="s">
        <v>354</v>
      </c>
      <c r="Q2">
        <v>1</v>
      </c>
      <c r="W2">
        <v>0</v>
      </c>
      <c r="X2">
        <v>1062203425</v>
      </c>
      <c r="Y2">
        <v>1.59</v>
      </c>
      <c r="AA2">
        <v>0</v>
      </c>
      <c r="AB2">
        <v>1159.46</v>
      </c>
      <c r="AC2">
        <v>525.74</v>
      </c>
      <c r="AD2">
        <v>0</v>
      </c>
      <c r="AE2">
        <v>0</v>
      </c>
      <c r="AF2">
        <v>1159.46</v>
      </c>
      <c r="AG2">
        <v>525.74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1.59</v>
      </c>
      <c r="AU2" t="s">
        <v>3</v>
      </c>
      <c r="AV2">
        <v>0</v>
      </c>
      <c r="AW2">
        <v>2</v>
      </c>
      <c r="AX2">
        <v>56474710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Y2*Source!I28</f>
        <v>7.4173500000000003E-2</v>
      </c>
      <c r="CY2">
        <f>AB2</f>
        <v>1159.46</v>
      </c>
      <c r="CZ2">
        <f>AF2</f>
        <v>1159.46</v>
      </c>
      <c r="DA2">
        <f>AJ2</f>
        <v>1</v>
      </c>
      <c r="DB2">
        <f t="shared" si="0"/>
        <v>1843.54</v>
      </c>
      <c r="DC2">
        <f t="shared" si="1"/>
        <v>835.93</v>
      </c>
    </row>
    <row r="3" spans="1:107" x14ac:dyDescent="0.2">
      <c r="A3">
        <f>ROW(Source!A28)</f>
        <v>28</v>
      </c>
      <c r="B3">
        <v>56440881</v>
      </c>
      <c r="C3">
        <v>56450822</v>
      </c>
      <c r="D3">
        <v>52968971</v>
      </c>
      <c r="E3">
        <v>1</v>
      </c>
      <c r="F3">
        <v>1</v>
      </c>
      <c r="G3">
        <v>25</v>
      </c>
      <c r="H3">
        <v>2</v>
      </c>
      <c r="I3" t="s">
        <v>355</v>
      </c>
      <c r="J3" t="s">
        <v>356</v>
      </c>
      <c r="K3" t="s">
        <v>357</v>
      </c>
      <c r="L3">
        <v>1368</v>
      </c>
      <c r="N3">
        <v>1011</v>
      </c>
      <c r="O3" t="s">
        <v>354</v>
      </c>
      <c r="P3" t="s">
        <v>354</v>
      </c>
      <c r="Q3">
        <v>1</v>
      </c>
      <c r="W3">
        <v>0</v>
      </c>
      <c r="X3">
        <v>829773688</v>
      </c>
      <c r="Y3">
        <v>5.15</v>
      </c>
      <c r="AA3">
        <v>0</v>
      </c>
      <c r="AB3">
        <v>1236.3</v>
      </c>
      <c r="AC3">
        <v>469.98</v>
      </c>
      <c r="AD3">
        <v>0</v>
      </c>
      <c r="AE3">
        <v>0</v>
      </c>
      <c r="AF3">
        <v>1236.3</v>
      </c>
      <c r="AG3">
        <v>469.98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5.15</v>
      </c>
      <c r="AU3" t="s">
        <v>3</v>
      </c>
      <c r="AV3">
        <v>0</v>
      </c>
      <c r="AW3">
        <v>2</v>
      </c>
      <c r="AX3">
        <v>56474711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Y3*Source!I28</f>
        <v>0.2402475</v>
      </c>
      <c r="CY3">
        <f>AB3</f>
        <v>1236.3</v>
      </c>
      <c r="CZ3">
        <f>AF3</f>
        <v>1236.3</v>
      </c>
      <c r="DA3">
        <f>AJ3</f>
        <v>1</v>
      </c>
      <c r="DB3">
        <f t="shared" si="0"/>
        <v>6366.95</v>
      </c>
      <c r="DC3">
        <f t="shared" si="1"/>
        <v>2420.4</v>
      </c>
    </row>
    <row r="4" spans="1:107" x14ac:dyDescent="0.2">
      <c r="A4">
        <f>ROW(Source!A28)</f>
        <v>28</v>
      </c>
      <c r="B4">
        <v>56440881</v>
      </c>
      <c r="C4">
        <v>56450822</v>
      </c>
      <c r="D4">
        <v>52968957</v>
      </c>
      <c r="E4">
        <v>1</v>
      </c>
      <c r="F4">
        <v>1</v>
      </c>
      <c r="G4">
        <v>25</v>
      </c>
      <c r="H4">
        <v>2</v>
      </c>
      <c r="I4" t="s">
        <v>358</v>
      </c>
      <c r="J4" t="s">
        <v>359</v>
      </c>
      <c r="K4" t="s">
        <v>360</v>
      </c>
      <c r="L4">
        <v>1368</v>
      </c>
      <c r="N4">
        <v>1011</v>
      </c>
      <c r="O4" t="s">
        <v>354</v>
      </c>
      <c r="P4" t="s">
        <v>354</v>
      </c>
      <c r="Q4">
        <v>1</v>
      </c>
      <c r="W4">
        <v>0</v>
      </c>
      <c r="X4">
        <v>-2094009474</v>
      </c>
      <c r="Y4">
        <v>11.26</v>
      </c>
      <c r="AA4">
        <v>0</v>
      </c>
      <c r="AB4">
        <v>1207.81</v>
      </c>
      <c r="AC4">
        <v>504.4</v>
      </c>
      <c r="AD4">
        <v>0</v>
      </c>
      <c r="AE4">
        <v>0</v>
      </c>
      <c r="AF4">
        <v>1207.81</v>
      </c>
      <c r="AG4">
        <v>504.4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11.26</v>
      </c>
      <c r="AU4" t="s">
        <v>3</v>
      </c>
      <c r="AV4">
        <v>0</v>
      </c>
      <c r="AW4">
        <v>2</v>
      </c>
      <c r="AX4">
        <v>56474712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Y4*Source!I28</f>
        <v>0.52527899999999994</v>
      </c>
      <c r="CY4">
        <f>AB4</f>
        <v>1207.81</v>
      </c>
      <c r="CZ4">
        <f>AF4</f>
        <v>1207.81</v>
      </c>
      <c r="DA4">
        <f>AJ4</f>
        <v>1</v>
      </c>
      <c r="DB4">
        <f t="shared" si="0"/>
        <v>13599.94</v>
      </c>
      <c r="DC4">
        <f t="shared" si="1"/>
        <v>5679.54</v>
      </c>
    </row>
    <row r="5" spans="1:107" x14ac:dyDescent="0.2">
      <c r="A5">
        <f>ROW(Source!A28)</f>
        <v>28</v>
      </c>
      <c r="B5">
        <v>56440881</v>
      </c>
      <c r="C5">
        <v>56450822</v>
      </c>
      <c r="D5">
        <v>52968958</v>
      </c>
      <c r="E5">
        <v>1</v>
      </c>
      <c r="F5">
        <v>1</v>
      </c>
      <c r="G5">
        <v>25</v>
      </c>
      <c r="H5">
        <v>2</v>
      </c>
      <c r="I5" t="s">
        <v>361</v>
      </c>
      <c r="J5" t="s">
        <v>362</v>
      </c>
      <c r="K5" t="s">
        <v>363</v>
      </c>
      <c r="L5">
        <v>1368</v>
      </c>
      <c r="N5">
        <v>1011</v>
      </c>
      <c r="O5" t="s">
        <v>354</v>
      </c>
      <c r="P5" t="s">
        <v>354</v>
      </c>
      <c r="Q5">
        <v>1</v>
      </c>
      <c r="W5">
        <v>0</v>
      </c>
      <c r="X5">
        <v>-1845376792</v>
      </c>
      <c r="Y5">
        <v>32.19</v>
      </c>
      <c r="AA5">
        <v>0</v>
      </c>
      <c r="AB5">
        <v>1741.23</v>
      </c>
      <c r="AC5">
        <v>685.71</v>
      </c>
      <c r="AD5">
        <v>0</v>
      </c>
      <c r="AE5">
        <v>0</v>
      </c>
      <c r="AF5">
        <v>1741.23</v>
      </c>
      <c r="AG5">
        <v>685.71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32.19</v>
      </c>
      <c r="AU5" t="s">
        <v>3</v>
      </c>
      <c r="AV5">
        <v>0</v>
      </c>
      <c r="AW5">
        <v>2</v>
      </c>
      <c r="AX5">
        <v>56474713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Y5*Source!I28</f>
        <v>1.5016634999999998</v>
      </c>
      <c r="CY5">
        <f>AB5</f>
        <v>1741.23</v>
      </c>
      <c r="CZ5">
        <f>AF5</f>
        <v>1741.23</v>
      </c>
      <c r="DA5">
        <f>AJ5</f>
        <v>1</v>
      </c>
      <c r="DB5">
        <f t="shared" si="0"/>
        <v>56050.19</v>
      </c>
      <c r="DC5">
        <f t="shared" si="1"/>
        <v>22073</v>
      </c>
    </row>
    <row r="6" spans="1:107" x14ac:dyDescent="0.2">
      <c r="A6">
        <f>ROW(Source!A28)</f>
        <v>28</v>
      </c>
      <c r="B6">
        <v>56440881</v>
      </c>
      <c r="C6">
        <v>56450822</v>
      </c>
      <c r="D6">
        <v>52968995</v>
      </c>
      <c r="E6">
        <v>1</v>
      </c>
      <c r="F6">
        <v>1</v>
      </c>
      <c r="G6">
        <v>25</v>
      </c>
      <c r="H6">
        <v>2</v>
      </c>
      <c r="I6" t="s">
        <v>364</v>
      </c>
      <c r="J6" t="s">
        <v>365</v>
      </c>
      <c r="K6" t="s">
        <v>366</v>
      </c>
      <c r="L6">
        <v>1368</v>
      </c>
      <c r="N6">
        <v>1011</v>
      </c>
      <c r="O6" t="s">
        <v>354</v>
      </c>
      <c r="P6" t="s">
        <v>354</v>
      </c>
      <c r="Q6">
        <v>1</v>
      </c>
      <c r="W6">
        <v>0</v>
      </c>
      <c r="X6">
        <v>-1613012731</v>
      </c>
      <c r="Y6">
        <v>5.81</v>
      </c>
      <c r="AA6">
        <v>0</v>
      </c>
      <c r="AB6">
        <v>1467.62</v>
      </c>
      <c r="AC6">
        <v>682.01</v>
      </c>
      <c r="AD6">
        <v>0</v>
      </c>
      <c r="AE6">
        <v>0</v>
      </c>
      <c r="AF6">
        <v>1467.62</v>
      </c>
      <c r="AG6">
        <v>682.01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5.81</v>
      </c>
      <c r="AU6" t="s">
        <v>3</v>
      </c>
      <c r="AV6">
        <v>0</v>
      </c>
      <c r="AW6">
        <v>2</v>
      </c>
      <c r="AX6">
        <v>56474714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Y6*Source!I28</f>
        <v>0.27103649999999996</v>
      </c>
      <c r="CY6">
        <f>AB6</f>
        <v>1467.62</v>
      </c>
      <c r="CZ6">
        <f>AF6</f>
        <v>1467.62</v>
      </c>
      <c r="DA6">
        <f>AJ6</f>
        <v>1</v>
      </c>
      <c r="DB6">
        <f t="shared" si="0"/>
        <v>8526.8700000000008</v>
      </c>
      <c r="DC6">
        <f t="shared" si="1"/>
        <v>3962.48</v>
      </c>
    </row>
    <row r="7" spans="1:107" x14ac:dyDescent="0.2">
      <c r="A7">
        <f>ROW(Source!A28)</f>
        <v>28</v>
      </c>
      <c r="B7">
        <v>56440881</v>
      </c>
      <c r="C7">
        <v>56450822</v>
      </c>
      <c r="D7">
        <v>52970930</v>
      </c>
      <c r="E7">
        <v>1</v>
      </c>
      <c r="F7">
        <v>1</v>
      </c>
      <c r="G7">
        <v>25</v>
      </c>
      <c r="H7">
        <v>3</v>
      </c>
      <c r="I7" t="s">
        <v>33</v>
      </c>
      <c r="J7" t="s">
        <v>35</v>
      </c>
      <c r="K7" t="s">
        <v>34</v>
      </c>
      <c r="L7">
        <v>1339</v>
      </c>
      <c r="N7">
        <v>1007</v>
      </c>
      <c r="O7" t="s">
        <v>26</v>
      </c>
      <c r="P7" t="s">
        <v>26</v>
      </c>
      <c r="Q7">
        <v>1</v>
      </c>
      <c r="W7">
        <v>0</v>
      </c>
      <c r="X7">
        <v>2025333854</v>
      </c>
      <c r="Y7">
        <v>66.5</v>
      </c>
      <c r="AA7">
        <v>1487.52</v>
      </c>
      <c r="AB7">
        <v>0</v>
      </c>
      <c r="AC7">
        <v>0</v>
      </c>
      <c r="AD7">
        <v>0</v>
      </c>
      <c r="AE7">
        <v>1487.52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0</v>
      </c>
      <c r="AP7">
        <v>0</v>
      </c>
      <c r="AQ7">
        <v>0</v>
      </c>
      <c r="AR7">
        <v>0</v>
      </c>
      <c r="AS7" t="s">
        <v>3</v>
      </c>
      <c r="AT7">
        <v>66.5</v>
      </c>
      <c r="AU7" t="s">
        <v>3</v>
      </c>
      <c r="AV7">
        <v>0</v>
      </c>
      <c r="AW7">
        <v>1</v>
      </c>
      <c r="AX7">
        <v>-1</v>
      </c>
      <c r="AY7">
        <v>0</v>
      </c>
      <c r="AZ7">
        <v>0</v>
      </c>
      <c r="BA7" t="s">
        <v>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Y7*Source!I28</f>
        <v>3.1022249999999998</v>
      </c>
      <c r="CY7">
        <f>AA7</f>
        <v>1487.52</v>
      </c>
      <c r="CZ7">
        <f>AE7</f>
        <v>1487.52</v>
      </c>
      <c r="DA7">
        <f>AI7</f>
        <v>1</v>
      </c>
      <c r="DB7">
        <f t="shared" si="0"/>
        <v>98920.08</v>
      </c>
      <c r="DC7">
        <f t="shared" si="1"/>
        <v>0</v>
      </c>
    </row>
    <row r="8" spans="1:107" x14ac:dyDescent="0.2">
      <c r="A8">
        <f>ROW(Source!A28)</f>
        <v>28</v>
      </c>
      <c r="B8">
        <v>56440881</v>
      </c>
      <c r="C8">
        <v>56450822</v>
      </c>
      <c r="D8">
        <v>52970936</v>
      </c>
      <c r="E8">
        <v>1</v>
      </c>
      <c r="F8">
        <v>1</v>
      </c>
      <c r="G8">
        <v>25</v>
      </c>
      <c r="H8">
        <v>3</v>
      </c>
      <c r="I8" t="s">
        <v>24</v>
      </c>
      <c r="J8" t="s">
        <v>27</v>
      </c>
      <c r="K8" t="s">
        <v>25</v>
      </c>
      <c r="L8">
        <v>1339</v>
      </c>
      <c r="N8">
        <v>1007</v>
      </c>
      <c r="O8" t="s">
        <v>26</v>
      </c>
      <c r="P8" t="s">
        <v>26</v>
      </c>
      <c r="Q8">
        <v>1</v>
      </c>
      <c r="W8">
        <v>1</v>
      </c>
      <c r="X8">
        <v>-1830627637</v>
      </c>
      <c r="Y8">
        <v>-11.5</v>
      </c>
      <c r="AA8">
        <v>1908.27</v>
      </c>
      <c r="AB8">
        <v>0</v>
      </c>
      <c r="AC8">
        <v>0</v>
      </c>
      <c r="AD8">
        <v>0</v>
      </c>
      <c r="AE8">
        <v>1908.27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-11.5</v>
      </c>
      <c r="AU8" t="s">
        <v>3</v>
      </c>
      <c r="AV8">
        <v>0</v>
      </c>
      <c r="AW8">
        <v>2</v>
      </c>
      <c r="AX8">
        <v>56474715</v>
      </c>
      <c r="AY8">
        <v>1</v>
      </c>
      <c r="AZ8">
        <v>6144</v>
      </c>
      <c r="BA8">
        <v>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Y8*Source!I28</f>
        <v>-0.53647499999999992</v>
      </c>
      <c r="CY8">
        <f>AA8</f>
        <v>1908.27</v>
      </c>
      <c r="CZ8">
        <f>AE8</f>
        <v>1908.27</v>
      </c>
      <c r="DA8">
        <f>AI8</f>
        <v>1</v>
      </c>
      <c r="DB8">
        <f t="shared" si="0"/>
        <v>-21945.11</v>
      </c>
      <c r="DC8">
        <f t="shared" si="1"/>
        <v>0</v>
      </c>
    </row>
    <row r="9" spans="1:107" x14ac:dyDescent="0.2">
      <c r="A9">
        <f>ROW(Source!A28)</f>
        <v>28</v>
      </c>
      <c r="B9">
        <v>56440881</v>
      </c>
      <c r="C9">
        <v>56450822</v>
      </c>
      <c r="D9">
        <v>52970937</v>
      </c>
      <c r="E9">
        <v>1</v>
      </c>
      <c r="F9">
        <v>1</v>
      </c>
      <c r="G9">
        <v>25</v>
      </c>
      <c r="H9">
        <v>3</v>
      </c>
      <c r="I9" t="s">
        <v>29</v>
      </c>
      <c r="J9" t="s">
        <v>31</v>
      </c>
      <c r="K9" t="s">
        <v>30</v>
      </c>
      <c r="L9">
        <v>1339</v>
      </c>
      <c r="N9">
        <v>1007</v>
      </c>
      <c r="O9" t="s">
        <v>26</v>
      </c>
      <c r="P9" t="s">
        <v>26</v>
      </c>
      <c r="Q9">
        <v>1</v>
      </c>
      <c r="W9">
        <v>1</v>
      </c>
      <c r="X9">
        <v>407286016</v>
      </c>
      <c r="Y9">
        <v>-55</v>
      </c>
      <c r="AA9">
        <v>1806.27</v>
      </c>
      <c r="AB9">
        <v>0</v>
      </c>
      <c r="AC9">
        <v>0</v>
      </c>
      <c r="AD9">
        <v>0</v>
      </c>
      <c r="AE9">
        <v>1806.27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-55</v>
      </c>
      <c r="AU9" t="s">
        <v>3</v>
      </c>
      <c r="AV9">
        <v>0</v>
      </c>
      <c r="AW9">
        <v>2</v>
      </c>
      <c r="AX9">
        <v>56474716</v>
      </c>
      <c r="AY9">
        <v>1</v>
      </c>
      <c r="AZ9">
        <v>6144</v>
      </c>
      <c r="BA9">
        <v>8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Y9*Source!I28</f>
        <v>-2.56575</v>
      </c>
      <c r="CY9">
        <f>AA9</f>
        <v>1806.27</v>
      </c>
      <c r="CZ9">
        <f>AE9</f>
        <v>1806.27</v>
      </c>
      <c r="DA9">
        <f>AI9</f>
        <v>1</v>
      </c>
      <c r="DB9">
        <f t="shared" si="0"/>
        <v>-99344.85</v>
      </c>
      <c r="DC9">
        <f t="shared" si="1"/>
        <v>0</v>
      </c>
    </row>
    <row r="10" spans="1:107" x14ac:dyDescent="0.2">
      <c r="A10">
        <f>ROW(Source!A28)</f>
        <v>28</v>
      </c>
      <c r="B10">
        <v>56440881</v>
      </c>
      <c r="C10">
        <v>56450822</v>
      </c>
      <c r="D10">
        <v>52971654</v>
      </c>
      <c r="E10">
        <v>1</v>
      </c>
      <c r="F10">
        <v>1</v>
      </c>
      <c r="G10">
        <v>25</v>
      </c>
      <c r="H10">
        <v>3</v>
      </c>
      <c r="I10" t="s">
        <v>367</v>
      </c>
      <c r="J10" t="s">
        <v>368</v>
      </c>
      <c r="K10" t="s">
        <v>369</v>
      </c>
      <c r="L10">
        <v>1339</v>
      </c>
      <c r="N10">
        <v>1007</v>
      </c>
      <c r="O10" t="s">
        <v>26</v>
      </c>
      <c r="P10" t="s">
        <v>26</v>
      </c>
      <c r="Q10">
        <v>1</v>
      </c>
      <c r="W10">
        <v>0</v>
      </c>
      <c r="X10">
        <v>1964795396</v>
      </c>
      <c r="Y10">
        <v>25</v>
      </c>
      <c r="AA10">
        <v>33.729999999999997</v>
      </c>
      <c r="AB10">
        <v>0</v>
      </c>
      <c r="AC10">
        <v>0</v>
      </c>
      <c r="AD10">
        <v>0</v>
      </c>
      <c r="AE10">
        <v>33.729999999999997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25</v>
      </c>
      <c r="AU10" t="s">
        <v>3</v>
      </c>
      <c r="AV10">
        <v>0</v>
      </c>
      <c r="AW10">
        <v>2</v>
      </c>
      <c r="AX10">
        <v>56474717</v>
      </c>
      <c r="AY10">
        <v>1</v>
      </c>
      <c r="AZ10">
        <v>0</v>
      </c>
      <c r="BA10">
        <v>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Y10*Source!I28</f>
        <v>1.16625</v>
      </c>
      <c r="CY10">
        <f>AA10</f>
        <v>33.729999999999997</v>
      </c>
      <c r="CZ10">
        <f>AE10</f>
        <v>33.729999999999997</v>
      </c>
      <c r="DA10">
        <f>AI10</f>
        <v>1</v>
      </c>
      <c r="DB10">
        <f t="shared" si="0"/>
        <v>843.25</v>
      </c>
      <c r="DC10">
        <f t="shared" si="1"/>
        <v>0</v>
      </c>
    </row>
    <row r="11" spans="1:107" x14ac:dyDescent="0.2">
      <c r="A11">
        <f>ROW(Source!A32)</f>
        <v>32</v>
      </c>
      <c r="B11">
        <v>56440881</v>
      </c>
      <c r="C11">
        <v>56441605</v>
      </c>
      <c r="D11">
        <v>52956643</v>
      </c>
      <c r="E11">
        <v>25</v>
      </c>
      <c r="F11">
        <v>1</v>
      </c>
      <c r="G11">
        <v>25</v>
      </c>
      <c r="H11">
        <v>1</v>
      </c>
      <c r="I11" t="s">
        <v>348</v>
      </c>
      <c r="J11" t="s">
        <v>3</v>
      </c>
      <c r="K11" t="s">
        <v>349</v>
      </c>
      <c r="L11">
        <v>1191</v>
      </c>
      <c r="N11">
        <v>1013</v>
      </c>
      <c r="O11" t="s">
        <v>350</v>
      </c>
      <c r="P11" t="s">
        <v>350</v>
      </c>
      <c r="Q11">
        <v>1</v>
      </c>
      <c r="W11">
        <v>0</v>
      </c>
      <c r="X11">
        <v>476480486</v>
      </c>
      <c r="Y11">
        <v>13.57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13.57</v>
      </c>
      <c r="AU11" t="s">
        <v>3</v>
      </c>
      <c r="AV11">
        <v>1</v>
      </c>
      <c r="AW11">
        <v>2</v>
      </c>
      <c r="AX11">
        <v>56441611</v>
      </c>
      <c r="AY11">
        <v>1</v>
      </c>
      <c r="AZ11">
        <v>0</v>
      </c>
      <c r="BA11">
        <v>10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Y11*Source!I32</f>
        <v>21.10135</v>
      </c>
      <c r="CY11">
        <f>AD11</f>
        <v>0</v>
      </c>
      <c r="CZ11">
        <f>AH11</f>
        <v>0</v>
      </c>
      <c r="DA11">
        <f>AL11</f>
        <v>1</v>
      </c>
      <c r="DB11">
        <f t="shared" si="0"/>
        <v>0</v>
      </c>
      <c r="DC11">
        <f t="shared" si="1"/>
        <v>0</v>
      </c>
    </row>
    <row r="12" spans="1:107" x14ac:dyDescent="0.2">
      <c r="A12">
        <f>ROW(Source!A32)</f>
        <v>32</v>
      </c>
      <c r="B12">
        <v>56440881</v>
      </c>
      <c r="C12">
        <v>56441605</v>
      </c>
      <c r="D12">
        <v>52968959</v>
      </c>
      <c r="E12">
        <v>1</v>
      </c>
      <c r="F12">
        <v>1</v>
      </c>
      <c r="G12">
        <v>25</v>
      </c>
      <c r="H12">
        <v>2</v>
      </c>
      <c r="I12" t="s">
        <v>370</v>
      </c>
      <c r="J12" t="s">
        <v>371</v>
      </c>
      <c r="K12" t="s">
        <v>372</v>
      </c>
      <c r="L12">
        <v>1368</v>
      </c>
      <c r="N12">
        <v>1011</v>
      </c>
      <c r="O12" t="s">
        <v>354</v>
      </c>
      <c r="P12" t="s">
        <v>354</v>
      </c>
      <c r="Q12">
        <v>1</v>
      </c>
      <c r="W12">
        <v>0</v>
      </c>
      <c r="X12">
        <v>-444400480</v>
      </c>
      <c r="Y12">
        <v>0.46</v>
      </c>
      <c r="AA12">
        <v>0</v>
      </c>
      <c r="AB12">
        <v>790.63</v>
      </c>
      <c r="AC12">
        <v>491.94</v>
      </c>
      <c r="AD12">
        <v>0</v>
      </c>
      <c r="AE12">
        <v>0</v>
      </c>
      <c r="AF12">
        <v>790.63</v>
      </c>
      <c r="AG12">
        <v>491.94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0.46</v>
      </c>
      <c r="AU12" t="s">
        <v>3</v>
      </c>
      <c r="AV12">
        <v>0</v>
      </c>
      <c r="AW12">
        <v>2</v>
      </c>
      <c r="AX12">
        <v>56441612</v>
      </c>
      <c r="AY12">
        <v>1</v>
      </c>
      <c r="AZ12">
        <v>0</v>
      </c>
      <c r="BA12">
        <v>11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Y12*Source!I32</f>
        <v>0.71530000000000005</v>
      </c>
      <c r="CY12">
        <f>AB12</f>
        <v>790.63</v>
      </c>
      <c r="CZ12">
        <f>AF12</f>
        <v>790.63</v>
      </c>
      <c r="DA12">
        <f>AJ12</f>
        <v>1</v>
      </c>
      <c r="DB12">
        <f t="shared" si="0"/>
        <v>363.69</v>
      </c>
      <c r="DC12">
        <f t="shared" si="1"/>
        <v>226.29</v>
      </c>
    </row>
    <row r="13" spans="1:107" x14ac:dyDescent="0.2">
      <c r="A13">
        <f>ROW(Source!A32)</f>
        <v>32</v>
      </c>
      <c r="B13">
        <v>56440881</v>
      </c>
      <c r="C13">
        <v>56441605</v>
      </c>
      <c r="D13">
        <v>52968960</v>
      </c>
      <c r="E13">
        <v>1</v>
      </c>
      <c r="F13">
        <v>1</v>
      </c>
      <c r="G13">
        <v>25</v>
      </c>
      <c r="H13">
        <v>2</v>
      </c>
      <c r="I13" t="s">
        <v>373</v>
      </c>
      <c r="J13" t="s">
        <v>374</v>
      </c>
      <c r="K13" t="s">
        <v>375</v>
      </c>
      <c r="L13">
        <v>1368</v>
      </c>
      <c r="N13">
        <v>1011</v>
      </c>
      <c r="O13" t="s">
        <v>354</v>
      </c>
      <c r="P13" t="s">
        <v>354</v>
      </c>
      <c r="Q13">
        <v>1</v>
      </c>
      <c r="W13">
        <v>0</v>
      </c>
      <c r="X13">
        <v>-984364401</v>
      </c>
      <c r="Y13">
        <v>1.39</v>
      </c>
      <c r="AA13">
        <v>0</v>
      </c>
      <c r="AB13">
        <v>845.77</v>
      </c>
      <c r="AC13">
        <v>508.2</v>
      </c>
      <c r="AD13">
        <v>0</v>
      </c>
      <c r="AE13">
        <v>0</v>
      </c>
      <c r="AF13">
        <v>845.77</v>
      </c>
      <c r="AG13">
        <v>508.2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1.39</v>
      </c>
      <c r="AU13" t="s">
        <v>3</v>
      </c>
      <c r="AV13">
        <v>0</v>
      </c>
      <c r="AW13">
        <v>2</v>
      </c>
      <c r="AX13">
        <v>56441613</v>
      </c>
      <c r="AY13">
        <v>1</v>
      </c>
      <c r="AZ13">
        <v>0</v>
      </c>
      <c r="BA13">
        <v>12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Y13*Source!I32</f>
        <v>2.1614499999999999</v>
      </c>
      <c r="CY13">
        <f>AB13</f>
        <v>845.77</v>
      </c>
      <c r="CZ13">
        <f>AF13</f>
        <v>845.77</v>
      </c>
      <c r="DA13">
        <f>AJ13</f>
        <v>1</v>
      </c>
      <c r="DB13">
        <f t="shared" si="0"/>
        <v>1175.6199999999999</v>
      </c>
      <c r="DC13">
        <f t="shared" si="1"/>
        <v>706.4</v>
      </c>
    </row>
    <row r="14" spans="1:107" x14ac:dyDescent="0.2">
      <c r="A14">
        <f>ROW(Source!A32)</f>
        <v>32</v>
      </c>
      <c r="B14">
        <v>56440881</v>
      </c>
      <c r="C14">
        <v>56441605</v>
      </c>
      <c r="D14">
        <v>52972806</v>
      </c>
      <c r="E14">
        <v>1</v>
      </c>
      <c r="F14">
        <v>1</v>
      </c>
      <c r="G14">
        <v>25</v>
      </c>
      <c r="H14">
        <v>3</v>
      </c>
      <c r="I14" t="s">
        <v>42</v>
      </c>
      <c r="J14" t="s">
        <v>45</v>
      </c>
      <c r="K14" t="s">
        <v>43</v>
      </c>
      <c r="L14">
        <v>1348</v>
      </c>
      <c r="N14">
        <v>1009</v>
      </c>
      <c r="O14" t="s">
        <v>44</v>
      </c>
      <c r="P14" t="s">
        <v>44</v>
      </c>
      <c r="Q14">
        <v>1000</v>
      </c>
      <c r="W14">
        <v>1</v>
      </c>
      <c r="X14">
        <v>-652642392</v>
      </c>
      <c r="Y14">
        <v>-9.58</v>
      </c>
      <c r="AA14">
        <v>2727.65</v>
      </c>
      <c r="AB14">
        <v>0</v>
      </c>
      <c r="AC14">
        <v>0</v>
      </c>
      <c r="AD14">
        <v>0</v>
      </c>
      <c r="AE14">
        <v>2727.65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-9.58</v>
      </c>
      <c r="AU14" t="s">
        <v>3</v>
      </c>
      <c r="AV14">
        <v>0</v>
      </c>
      <c r="AW14">
        <v>2</v>
      </c>
      <c r="AX14">
        <v>56441614</v>
      </c>
      <c r="AY14">
        <v>1</v>
      </c>
      <c r="AZ14">
        <v>6144</v>
      </c>
      <c r="BA14">
        <v>13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Y14*Source!I32</f>
        <v>-14.896899999999999</v>
      </c>
      <c r="CY14">
        <f>AA14</f>
        <v>2727.65</v>
      </c>
      <c r="CZ14">
        <f>AE14</f>
        <v>2727.65</v>
      </c>
      <c r="DA14">
        <f>AI14</f>
        <v>1</v>
      </c>
      <c r="DB14">
        <f t="shared" si="0"/>
        <v>-26130.89</v>
      </c>
      <c r="DC14">
        <f t="shared" si="1"/>
        <v>0</v>
      </c>
    </row>
    <row r="15" spans="1:107" x14ac:dyDescent="0.2">
      <c r="A15">
        <f>ROW(Source!A32)</f>
        <v>32</v>
      </c>
      <c r="B15">
        <v>56440881</v>
      </c>
      <c r="C15">
        <v>56441605</v>
      </c>
      <c r="D15">
        <v>52972822</v>
      </c>
      <c r="E15">
        <v>1</v>
      </c>
      <c r="F15">
        <v>1</v>
      </c>
      <c r="G15">
        <v>25</v>
      </c>
      <c r="H15">
        <v>3</v>
      </c>
      <c r="I15" t="s">
        <v>47</v>
      </c>
      <c r="J15" t="s">
        <v>49</v>
      </c>
      <c r="K15" t="s">
        <v>48</v>
      </c>
      <c r="L15">
        <v>1348</v>
      </c>
      <c r="N15">
        <v>1009</v>
      </c>
      <c r="O15" t="s">
        <v>44</v>
      </c>
      <c r="P15" t="s">
        <v>44</v>
      </c>
      <c r="Q15">
        <v>1000</v>
      </c>
      <c r="W15">
        <v>0</v>
      </c>
      <c r="X15">
        <v>2011161814</v>
      </c>
      <c r="Y15">
        <v>11.67</v>
      </c>
      <c r="AA15">
        <v>2628.2</v>
      </c>
      <c r="AB15">
        <v>0</v>
      </c>
      <c r="AC15">
        <v>0</v>
      </c>
      <c r="AD15">
        <v>0</v>
      </c>
      <c r="AE15">
        <v>2628.2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3</v>
      </c>
      <c r="AT15">
        <v>11.67</v>
      </c>
      <c r="AU15" t="s">
        <v>3</v>
      </c>
      <c r="AV15">
        <v>0</v>
      </c>
      <c r="AW15">
        <v>1</v>
      </c>
      <c r="AX15">
        <v>-1</v>
      </c>
      <c r="AY15">
        <v>0</v>
      </c>
      <c r="AZ15">
        <v>0</v>
      </c>
      <c r="BA15" t="s">
        <v>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Y15*Source!I32</f>
        <v>18.146850000000001</v>
      </c>
      <c r="CY15">
        <f>AA15</f>
        <v>2628.2</v>
      </c>
      <c r="CZ15">
        <f>AE15</f>
        <v>2628.2</v>
      </c>
      <c r="DA15">
        <f>AI15</f>
        <v>1</v>
      </c>
      <c r="DB15">
        <f t="shared" si="0"/>
        <v>30671.09</v>
      </c>
      <c r="DC15">
        <f t="shared" si="1"/>
        <v>0</v>
      </c>
    </row>
    <row r="16" spans="1:107" x14ac:dyDescent="0.2">
      <c r="A16">
        <f>ROW(Source!A70)</f>
        <v>70</v>
      </c>
      <c r="B16">
        <v>56440881</v>
      </c>
      <c r="C16">
        <v>56474722</v>
      </c>
      <c r="D16">
        <v>52956643</v>
      </c>
      <c r="E16">
        <v>25</v>
      </c>
      <c r="F16">
        <v>1</v>
      </c>
      <c r="G16">
        <v>25</v>
      </c>
      <c r="H16">
        <v>1</v>
      </c>
      <c r="I16" t="s">
        <v>348</v>
      </c>
      <c r="J16" t="s">
        <v>3</v>
      </c>
      <c r="K16" t="s">
        <v>349</v>
      </c>
      <c r="L16">
        <v>1191</v>
      </c>
      <c r="N16">
        <v>1013</v>
      </c>
      <c r="O16" t="s">
        <v>350</v>
      </c>
      <c r="P16" t="s">
        <v>350</v>
      </c>
      <c r="Q16">
        <v>1</v>
      </c>
      <c r="W16">
        <v>0</v>
      </c>
      <c r="X16">
        <v>476480486</v>
      </c>
      <c r="Y16">
        <v>87.29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87.29</v>
      </c>
      <c r="AU16" t="s">
        <v>3</v>
      </c>
      <c r="AV16">
        <v>1</v>
      </c>
      <c r="AW16">
        <v>2</v>
      </c>
      <c r="AX16">
        <v>56474733</v>
      </c>
      <c r="AY16">
        <v>1</v>
      </c>
      <c r="AZ16">
        <v>0</v>
      </c>
      <c r="BA16">
        <v>14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Y16*Source!I70</f>
        <v>10.265304</v>
      </c>
      <c r="CY16">
        <f>AD16</f>
        <v>0</v>
      </c>
      <c r="CZ16">
        <f>AH16</f>
        <v>0</v>
      </c>
      <c r="DA16">
        <f>AL16</f>
        <v>1</v>
      </c>
      <c r="DB16">
        <f t="shared" si="0"/>
        <v>0</v>
      </c>
      <c r="DC16">
        <f t="shared" si="1"/>
        <v>0</v>
      </c>
    </row>
    <row r="17" spans="1:107" x14ac:dyDescent="0.2">
      <c r="A17">
        <f>ROW(Source!A70)</f>
        <v>70</v>
      </c>
      <c r="B17">
        <v>56440881</v>
      </c>
      <c r="C17">
        <v>56474722</v>
      </c>
      <c r="D17">
        <v>52968814</v>
      </c>
      <c r="E17">
        <v>1</v>
      </c>
      <c r="F17">
        <v>1</v>
      </c>
      <c r="G17">
        <v>25</v>
      </c>
      <c r="H17">
        <v>2</v>
      </c>
      <c r="I17" t="s">
        <v>351</v>
      </c>
      <c r="J17" t="s">
        <v>352</v>
      </c>
      <c r="K17" t="s">
        <v>353</v>
      </c>
      <c r="L17">
        <v>1368</v>
      </c>
      <c r="N17">
        <v>1011</v>
      </c>
      <c r="O17" t="s">
        <v>354</v>
      </c>
      <c r="P17" t="s">
        <v>354</v>
      </c>
      <c r="Q17">
        <v>1</v>
      </c>
      <c r="W17">
        <v>0</v>
      </c>
      <c r="X17">
        <v>1062203425</v>
      </c>
      <c r="Y17">
        <v>1.59</v>
      </c>
      <c r="AA17">
        <v>0</v>
      </c>
      <c r="AB17">
        <v>1159.46</v>
      </c>
      <c r="AC17">
        <v>525.74</v>
      </c>
      <c r="AD17">
        <v>0</v>
      </c>
      <c r="AE17">
        <v>0</v>
      </c>
      <c r="AF17">
        <v>1159.46</v>
      </c>
      <c r="AG17">
        <v>525.74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1.59</v>
      </c>
      <c r="AU17" t="s">
        <v>3</v>
      </c>
      <c r="AV17">
        <v>0</v>
      </c>
      <c r="AW17">
        <v>2</v>
      </c>
      <c r="AX17">
        <v>56474734</v>
      </c>
      <c r="AY17">
        <v>1</v>
      </c>
      <c r="AZ17">
        <v>0</v>
      </c>
      <c r="BA17">
        <v>15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Y17*Source!I70</f>
        <v>0.18698400000000001</v>
      </c>
      <c r="CY17">
        <f>AB17</f>
        <v>1159.46</v>
      </c>
      <c r="CZ17">
        <f>AF17</f>
        <v>1159.46</v>
      </c>
      <c r="DA17">
        <f>AJ17</f>
        <v>1</v>
      </c>
      <c r="DB17">
        <f t="shared" si="0"/>
        <v>1843.54</v>
      </c>
      <c r="DC17">
        <f t="shared" si="1"/>
        <v>835.93</v>
      </c>
    </row>
    <row r="18" spans="1:107" x14ac:dyDescent="0.2">
      <c r="A18">
        <f>ROW(Source!A70)</f>
        <v>70</v>
      </c>
      <c r="B18">
        <v>56440881</v>
      </c>
      <c r="C18">
        <v>56474722</v>
      </c>
      <c r="D18">
        <v>52968971</v>
      </c>
      <c r="E18">
        <v>1</v>
      </c>
      <c r="F18">
        <v>1</v>
      </c>
      <c r="G18">
        <v>25</v>
      </c>
      <c r="H18">
        <v>2</v>
      </c>
      <c r="I18" t="s">
        <v>355</v>
      </c>
      <c r="J18" t="s">
        <v>356</v>
      </c>
      <c r="K18" t="s">
        <v>357</v>
      </c>
      <c r="L18">
        <v>1368</v>
      </c>
      <c r="N18">
        <v>1011</v>
      </c>
      <c r="O18" t="s">
        <v>354</v>
      </c>
      <c r="P18" t="s">
        <v>354</v>
      </c>
      <c r="Q18">
        <v>1</v>
      </c>
      <c r="W18">
        <v>0</v>
      </c>
      <c r="X18">
        <v>829773688</v>
      </c>
      <c r="Y18">
        <v>5.15</v>
      </c>
      <c r="AA18">
        <v>0</v>
      </c>
      <c r="AB18">
        <v>1236.3</v>
      </c>
      <c r="AC18">
        <v>469.98</v>
      </c>
      <c r="AD18">
        <v>0</v>
      </c>
      <c r="AE18">
        <v>0</v>
      </c>
      <c r="AF18">
        <v>1236.3</v>
      </c>
      <c r="AG18">
        <v>469.98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5.15</v>
      </c>
      <c r="AU18" t="s">
        <v>3</v>
      </c>
      <c r="AV18">
        <v>0</v>
      </c>
      <c r="AW18">
        <v>2</v>
      </c>
      <c r="AX18">
        <v>56474735</v>
      </c>
      <c r="AY18">
        <v>1</v>
      </c>
      <c r="AZ18">
        <v>0</v>
      </c>
      <c r="BA18">
        <v>16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Y18*Source!I70</f>
        <v>0.60564000000000007</v>
      </c>
      <c r="CY18">
        <f>AB18</f>
        <v>1236.3</v>
      </c>
      <c r="CZ18">
        <f>AF18</f>
        <v>1236.3</v>
      </c>
      <c r="DA18">
        <f>AJ18</f>
        <v>1</v>
      </c>
      <c r="DB18">
        <f t="shared" si="0"/>
        <v>6366.95</v>
      </c>
      <c r="DC18">
        <f t="shared" si="1"/>
        <v>2420.4</v>
      </c>
    </row>
    <row r="19" spans="1:107" x14ac:dyDescent="0.2">
      <c r="A19">
        <f>ROW(Source!A70)</f>
        <v>70</v>
      </c>
      <c r="B19">
        <v>56440881</v>
      </c>
      <c r="C19">
        <v>56474722</v>
      </c>
      <c r="D19">
        <v>52968957</v>
      </c>
      <c r="E19">
        <v>1</v>
      </c>
      <c r="F19">
        <v>1</v>
      </c>
      <c r="G19">
        <v>25</v>
      </c>
      <c r="H19">
        <v>2</v>
      </c>
      <c r="I19" t="s">
        <v>358</v>
      </c>
      <c r="J19" t="s">
        <v>359</v>
      </c>
      <c r="K19" t="s">
        <v>360</v>
      </c>
      <c r="L19">
        <v>1368</v>
      </c>
      <c r="N19">
        <v>1011</v>
      </c>
      <c r="O19" t="s">
        <v>354</v>
      </c>
      <c r="P19" t="s">
        <v>354</v>
      </c>
      <c r="Q19">
        <v>1</v>
      </c>
      <c r="W19">
        <v>0</v>
      </c>
      <c r="X19">
        <v>-2094009474</v>
      </c>
      <c r="Y19">
        <v>11.26</v>
      </c>
      <c r="AA19">
        <v>0</v>
      </c>
      <c r="AB19">
        <v>1207.81</v>
      </c>
      <c r="AC19">
        <v>504.4</v>
      </c>
      <c r="AD19">
        <v>0</v>
      </c>
      <c r="AE19">
        <v>0</v>
      </c>
      <c r="AF19">
        <v>1207.81</v>
      </c>
      <c r="AG19">
        <v>504.4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11.26</v>
      </c>
      <c r="AU19" t="s">
        <v>3</v>
      </c>
      <c r="AV19">
        <v>0</v>
      </c>
      <c r="AW19">
        <v>2</v>
      </c>
      <c r="AX19">
        <v>56474736</v>
      </c>
      <c r="AY19">
        <v>1</v>
      </c>
      <c r="AZ19">
        <v>0</v>
      </c>
      <c r="BA19">
        <v>17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Y19*Source!I70</f>
        <v>1.324176</v>
      </c>
      <c r="CY19">
        <f>AB19</f>
        <v>1207.81</v>
      </c>
      <c r="CZ19">
        <f>AF19</f>
        <v>1207.81</v>
      </c>
      <c r="DA19">
        <f>AJ19</f>
        <v>1</v>
      </c>
      <c r="DB19">
        <f t="shared" si="0"/>
        <v>13599.94</v>
      </c>
      <c r="DC19">
        <f t="shared" si="1"/>
        <v>5679.54</v>
      </c>
    </row>
    <row r="20" spans="1:107" x14ac:dyDescent="0.2">
      <c r="A20">
        <f>ROW(Source!A70)</f>
        <v>70</v>
      </c>
      <c r="B20">
        <v>56440881</v>
      </c>
      <c r="C20">
        <v>56474722</v>
      </c>
      <c r="D20">
        <v>52968958</v>
      </c>
      <c r="E20">
        <v>1</v>
      </c>
      <c r="F20">
        <v>1</v>
      </c>
      <c r="G20">
        <v>25</v>
      </c>
      <c r="H20">
        <v>2</v>
      </c>
      <c r="I20" t="s">
        <v>361</v>
      </c>
      <c r="J20" t="s">
        <v>362</v>
      </c>
      <c r="K20" t="s">
        <v>363</v>
      </c>
      <c r="L20">
        <v>1368</v>
      </c>
      <c r="N20">
        <v>1011</v>
      </c>
      <c r="O20" t="s">
        <v>354</v>
      </c>
      <c r="P20" t="s">
        <v>354</v>
      </c>
      <c r="Q20">
        <v>1</v>
      </c>
      <c r="W20">
        <v>0</v>
      </c>
      <c r="X20">
        <v>-1845376792</v>
      </c>
      <c r="Y20">
        <v>32.19</v>
      </c>
      <c r="AA20">
        <v>0</v>
      </c>
      <c r="AB20">
        <v>1741.23</v>
      </c>
      <c r="AC20">
        <v>685.71</v>
      </c>
      <c r="AD20">
        <v>0</v>
      </c>
      <c r="AE20">
        <v>0</v>
      </c>
      <c r="AF20">
        <v>1741.23</v>
      </c>
      <c r="AG20">
        <v>685.71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32.19</v>
      </c>
      <c r="AU20" t="s">
        <v>3</v>
      </c>
      <c r="AV20">
        <v>0</v>
      </c>
      <c r="AW20">
        <v>2</v>
      </c>
      <c r="AX20">
        <v>56474737</v>
      </c>
      <c r="AY20">
        <v>1</v>
      </c>
      <c r="AZ20">
        <v>0</v>
      </c>
      <c r="BA20">
        <v>18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Y20*Source!I70</f>
        <v>3.7855439999999998</v>
      </c>
      <c r="CY20">
        <f>AB20</f>
        <v>1741.23</v>
      </c>
      <c r="CZ20">
        <f>AF20</f>
        <v>1741.23</v>
      </c>
      <c r="DA20">
        <f>AJ20</f>
        <v>1</v>
      </c>
      <c r="DB20">
        <f t="shared" si="0"/>
        <v>56050.19</v>
      </c>
      <c r="DC20">
        <f t="shared" si="1"/>
        <v>22073</v>
      </c>
    </row>
    <row r="21" spans="1:107" x14ac:dyDescent="0.2">
      <c r="A21">
        <f>ROW(Source!A70)</f>
        <v>70</v>
      </c>
      <c r="B21">
        <v>56440881</v>
      </c>
      <c r="C21">
        <v>56474722</v>
      </c>
      <c r="D21">
        <v>52968995</v>
      </c>
      <c r="E21">
        <v>1</v>
      </c>
      <c r="F21">
        <v>1</v>
      </c>
      <c r="G21">
        <v>25</v>
      </c>
      <c r="H21">
        <v>2</v>
      </c>
      <c r="I21" t="s">
        <v>364</v>
      </c>
      <c r="J21" t="s">
        <v>365</v>
      </c>
      <c r="K21" t="s">
        <v>366</v>
      </c>
      <c r="L21">
        <v>1368</v>
      </c>
      <c r="N21">
        <v>1011</v>
      </c>
      <c r="O21" t="s">
        <v>354</v>
      </c>
      <c r="P21" t="s">
        <v>354</v>
      </c>
      <c r="Q21">
        <v>1</v>
      </c>
      <c r="W21">
        <v>0</v>
      </c>
      <c r="X21">
        <v>-1613012731</v>
      </c>
      <c r="Y21">
        <v>5.81</v>
      </c>
      <c r="AA21">
        <v>0</v>
      </c>
      <c r="AB21">
        <v>1467.62</v>
      </c>
      <c r="AC21">
        <v>682.01</v>
      </c>
      <c r="AD21">
        <v>0</v>
      </c>
      <c r="AE21">
        <v>0</v>
      </c>
      <c r="AF21">
        <v>1467.62</v>
      </c>
      <c r="AG21">
        <v>682.01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5.81</v>
      </c>
      <c r="AU21" t="s">
        <v>3</v>
      </c>
      <c r="AV21">
        <v>0</v>
      </c>
      <c r="AW21">
        <v>2</v>
      </c>
      <c r="AX21">
        <v>56474738</v>
      </c>
      <c r="AY21">
        <v>1</v>
      </c>
      <c r="AZ21">
        <v>0</v>
      </c>
      <c r="BA21">
        <v>19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Y21*Source!I70</f>
        <v>0.68325599999999997</v>
      </c>
      <c r="CY21">
        <f>AB21</f>
        <v>1467.62</v>
      </c>
      <c r="CZ21">
        <f>AF21</f>
        <v>1467.62</v>
      </c>
      <c r="DA21">
        <f>AJ21</f>
        <v>1</v>
      </c>
      <c r="DB21">
        <f t="shared" si="0"/>
        <v>8526.8700000000008</v>
      </c>
      <c r="DC21">
        <f t="shared" si="1"/>
        <v>3962.48</v>
      </c>
    </row>
    <row r="22" spans="1:107" x14ac:dyDescent="0.2">
      <c r="A22">
        <f>ROW(Source!A70)</f>
        <v>70</v>
      </c>
      <c r="B22">
        <v>56440881</v>
      </c>
      <c r="C22">
        <v>56474722</v>
      </c>
      <c r="D22">
        <v>52970930</v>
      </c>
      <c r="E22">
        <v>1</v>
      </c>
      <c r="F22">
        <v>1</v>
      </c>
      <c r="G22">
        <v>25</v>
      </c>
      <c r="H22">
        <v>3</v>
      </c>
      <c r="I22" t="s">
        <v>33</v>
      </c>
      <c r="J22" t="s">
        <v>35</v>
      </c>
      <c r="K22" t="s">
        <v>34</v>
      </c>
      <c r="L22">
        <v>1339</v>
      </c>
      <c r="N22">
        <v>1007</v>
      </c>
      <c r="O22" t="s">
        <v>26</v>
      </c>
      <c r="P22" t="s">
        <v>26</v>
      </c>
      <c r="Q22">
        <v>1</v>
      </c>
      <c r="W22">
        <v>0</v>
      </c>
      <c r="X22">
        <v>2025333854</v>
      </c>
      <c r="Y22">
        <v>66.5</v>
      </c>
      <c r="AA22">
        <v>1487.52</v>
      </c>
      <c r="AB22">
        <v>0</v>
      </c>
      <c r="AC22">
        <v>0</v>
      </c>
      <c r="AD22">
        <v>0</v>
      </c>
      <c r="AE22">
        <v>1487.52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 t="s">
        <v>3</v>
      </c>
      <c r="AT22">
        <v>66.5</v>
      </c>
      <c r="AU22" t="s">
        <v>3</v>
      </c>
      <c r="AV22">
        <v>0</v>
      </c>
      <c r="AW22">
        <v>1</v>
      </c>
      <c r="AX22">
        <v>-1</v>
      </c>
      <c r="AY22">
        <v>0</v>
      </c>
      <c r="AZ22">
        <v>0</v>
      </c>
      <c r="BA22" t="s">
        <v>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Y22*Source!I70</f>
        <v>7.8203999999999994</v>
      </c>
      <c r="CY22">
        <f>AA22</f>
        <v>1487.52</v>
      </c>
      <c r="CZ22">
        <f>AE22</f>
        <v>1487.52</v>
      </c>
      <c r="DA22">
        <f>AI22</f>
        <v>1</v>
      </c>
      <c r="DB22">
        <f t="shared" si="0"/>
        <v>98920.08</v>
      </c>
      <c r="DC22">
        <f t="shared" si="1"/>
        <v>0</v>
      </c>
    </row>
    <row r="23" spans="1:107" x14ac:dyDescent="0.2">
      <c r="A23">
        <f>ROW(Source!A70)</f>
        <v>70</v>
      </c>
      <c r="B23">
        <v>56440881</v>
      </c>
      <c r="C23">
        <v>56474722</v>
      </c>
      <c r="D23">
        <v>52970936</v>
      </c>
      <c r="E23">
        <v>1</v>
      </c>
      <c r="F23">
        <v>1</v>
      </c>
      <c r="G23">
        <v>25</v>
      </c>
      <c r="H23">
        <v>3</v>
      </c>
      <c r="I23" t="s">
        <v>24</v>
      </c>
      <c r="J23" t="s">
        <v>27</v>
      </c>
      <c r="K23" t="s">
        <v>25</v>
      </c>
      <c r="L23">
        <v>1339</v>
      </c>
      <c r="N23">
        <v>1007</v>
      </c>
      <c r="O23" t="s">
        <v>26</v>
      </c>
      <c r="P23" t="s">
        <v>26</v>
      </c>
      <c r="Q23">
        <v>1</v>
      </c>
      <c r="W23">
        <v>1</v>
      </c>
      <c r="X23">
        <v>-1830627637</v>
      </c>
      <c r="Y23">
        <v>-11.5</v>
      </c>
      <c r="AA23">
        <v>1908.27</v>
      </c>
      <c r="AB23">
        <v>0</v>
      </c>
      <c r="AC23">
        <v>0</v>
      </c>
      <c r="AD23">
        <v>0</v>
      </c>
      <c r="AE23">
        <v>1908.27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-11.5</v>
      </c>
      <c r="AU23" t="s">
        <v>3</v>
      </c>
      <c r="AV23">
        <v>0</v>
      </c>
      <c r="AW23">
        <v>2</v>
      </c>
      <c r="AX23">
        <v>56474739</v>
      </c>
      <c r="AY23">
        <v>1</v>
      </c>
      <c r="AZ23">
        <v>6144</v>
      </c>
      <c r="BA23">
        <v>20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Y23*Source!I70</f>
        <v>-1.3524</v>
      </c>
      <c r="CY23">
        <f>AA23</f>
        <v>1908.27</v>
      </c>
      <c r="CZ23">
        <f>AE23</f>
        <v>1908.27</v>
      </c>
      <c r="DA23">
        <f>AI23</f>
        <v>1</v>
      </c>
      <c r="DB23">
        <f t="shared" si="0"/>
        <v>-21945.11</v>
      </c>
      <c r="DC23">
        <f t="shared" si="1"/>
        <v>0</v>
      </c>
    </row>
    <row r="24" spans="1:107" x14ac:dyDescent="0.2">
      <c r="A24">
        <f>ROW(Source!A70)</f>
        <v>70</v>
      </c>
      <c r="B24">
        <v>56440881</v>
      </c>
      <c r="C24">
        <v>56474722</v>
      </c>
      <c r="D24">
        <v>52970937</v>
      </c>
      <c r="E24">
        <v>1</v>
      </c>
      <c r="F24">
        <v>1</v>
      </c>
      <c r="G24">
        <v>25</v>
      </c>
      <c r="H24">
        <v>3</v>
      </c>
      <c r="I24" t="s">
        <v>29</v>
      </c>
      <c r="J24" t="s">
        <v>31</v>
      </c>
      <c r="K24" t="s">
        <v>30</v>
      </c>
      <c r="L24">
        <v>1339</v>
      </c>
      <c r="N24">
        <v>1007</v>
      </c>
      <c r="O24" t="s">
        <v>26</v>
      </c>
      <c r="P24" t="s">
        <v>26</v>
      </c>
      <c r="Q24">
        <v>1</v>
      </c>
      <c r="W24">
        <v>1</v>
      </c>
      <c r="X24">
        <v>407286016</v>
      </c>
      <c r="Y24">
        <v>-55</v>
      </c>
      <c r="AA24">
        <v>1806.27</v>
      </c>
      <c r="AB24">
        <v>0</v>
      </c>
      <c r="AC24">
        <v>0</v>
      </c>
      <c r="AD24">
        <v>0</v>
      </c>
      <c r="AE24">
        <v>1806.27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-55</v>
      </c>
      <c r="AU24" t="s">
        <v>3</v>
      </c>
      <c r="AV24">
        <v>0</v>
      </c>
      <c r="AW24">
        <v>2</v>
      </c>
      <c r="AX24">
        <v>56474740</v>
      </c>
      <c r="AY24">
        <v>1</v>
      </c>
      <c r="AZ24">
        <v>6144</v>
      </c>
      <c r="BA24">
        <v>21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Y24*Source!I70</f>
        <v>-6.468</v>
      </c>
      <c r="CY24">
        <f>AA24</f>
        <v>1806.27</v>
      </c>
      <c r="CZ24">
        <f>AE24</f>
        <v>1806.27</v>
      </c>
      <c r="DA24">
        <f>AI24</f>
        <v>1</v>
      </c>
      <c r="DB24">
        <f t="shared" si="0"/>
        <v>-99344.85</v>
      </c>
      <c r="DC24">
        <f t="shared" si="1"/>
        <v>0</v>
      </c>
    </row>
    <row r="25" spans="1:107" x14ac:dyDescent="0.2">
      <c r="A25">
        <f>ROW(Source!A70)</f>
        <v>70</v>
      </c>
      <c r="B25">
        <v>56440881</v>
      </c>
      <c r="C25">
        <v>56474722</v>
      </c>
      <c r="D25">
        <v>52971654</v>
      </c>
      <c r="E25">
        <v>1</v>
      </c>
      <c r="F25">
        <v>1</v>
      </c>
      <c r="G25">
        <v>25</v>
      </c>
      <c r="H25">
        <v>3</v>
      </c>
      <c r="I25" t="s">
        <v>367</v>
      </c>
      <c r="J25" t="s">
        <v>368</v>
      </c>
      <c r="K25" t="s">
        <v>369</v>
      </c>
      <c r="L25">
        <v>1339</v>
      </c>
      <c r="N25">
        <v>1007</v>
      </c>
      <c r="O25" t="s">
        <v>26</v>
      </c>
      <c r="P25" t="s">
        <v>26</v>
      </c>
      <c r="Q25">
        <v>1</v>
      </c>
      <c r="W25">
        <v>0</v>
      </c>
      <c r="X25">
        <v>1964795396</v>
      </c>
      <c r="Y25">
        <v>25</v>
      </c>
      <c r="AA25">
        <v>33.729999999999997</v>
      </c>
      <c r="AB25">
        <v>0</v>
      </c>
      <c r="AC25">
        <v>0</v>
      </c>
      <c r="AD25">
        <v>0</v>
      </c>
      <c r="AE25">
        <v>33.729999999999997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25</v>
      </c>
      <c r="AU25" t="s">
        <v>3</v>
      </c>
      <c r="AV25">
        <v>0</v>
      </c>
      <c r="AW25">
        <v>2</v>
      </c>
      <c r="AX25">
        <v>56474741</v>
      </c>
      <c r="AY25">
        <v>1</v>
      </c>
      <c r="AZ25">
        <v>0</v>
      </c>
      <c r="BA25">
        <v>22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Y25*Source!I70</f>
        <v>2.94</v>
      </c>
      <c r="CY25">
        <f>AA25</f>
        <v>33.729999999999997</v>
      </c>
      <c r="CZ25">
        <f>AE25</f>
        <v>33.729999999999997</v>
      </c>
      <c r="DA25">
        <f>AI25</f>
        <v>1</v>
      </c>
      <c r="DB25">
        <f t="shared" si="0"/>
        <v>843.25</v>
      </c>
      <c r="DC25">
        <f t="shared" si="1"/>
        <v>0</v>
      </c>
    </row>
    <row r="26" spans="1:107" x14ac:dyDescent="0.2">
      <c r="A26">
        <f>ROW(Source!A74)</f>
        <v>74</v>
      </c>
      <c r="B26">
        <v>56440881</v>
      </c>
      <c r="C26">
        <v>56441642</v>
      </c>
      <c r="D26">
        <v>52956643</v>
      </c>
      <c r="E26">
        <v>25</v>
      </c>
      <c r="F26">
        <v>1</v>
      </c>
      <c r="G26">
        <v>25</v>
      </c>
      <c r="H26">
        <v>1</v>
      </c>
      <c r="I26" t="s">
        <v>348</v>
      </c>
      <c r="J26" t="s">
        <v>3</v>
      </c>
      <c r="K26" t="s">
        <v>349</v>
      </c>
      <c r="L26">
        <v>1191</v>
      </c>
      <c r="N26">
        <v>1013</v>
      </c>
      <c r="O26" t="s">
        <v>350</v>
      </c>
      <c r="P26" t="s">
        <v>350</v>
      </c>
      <c r="Q26">
        <v>1</v>
      </c>
      <c r="W26">
        <v>0</v>
      </c>
      <c r="X26">
        <v>476480486</v>
      </c>
      <c r="Y26">
        <v>13.57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13.57</v>
      </c>
      <c r="AU26" t="s">
        <v>3</v>
      </c>
      <c r="AV26">
        <v>1</v>
      </c>
      <c r="AW26">
        <v>2</v>
      </c>
      <c r="AX26">
        <v>56441648</v>
      </c>
      <c r="AY26">
        <v>1</v>
      </c>
      <c r="AZ26">
        <v>0</v>
      </c>
      <c r="BA26">
        <v>23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Y26*Source!I74</f>
        <v>53.194400000000002</v>
      </c>
      <c r="CY26">
        <f>AD26</f>
        <v>0</v>
      </c>
      <c r="CZ26">
        <f>AH26</f>
        <v>0</v>
      </c>
      <c r="DA26">
        <f>AL26</f>
        <v>1</v>
      </c>
      <c r="DB26">
        <f t="shared" si="0"/>
        <v>0</v>
      </c>
      <c r="DC26">
        <f t="shared" si="1"/>
        <v>0</v>
      </c>
    </row>
    <row r="27" spans="1:107" x14ac:dyDescent="0.2">
      <c r="A27">
        <f>ROW(Source!A74)</f>
        <v>74</v>
      </c>
      <c r="B27">
        <v>56440881</v>
      </c>
      <c r="C27">
        <v>56441642</v>
      </c>
      <c r="D27">
        <v>52968959</v>
      </c>
      <c r="E27">
        <v>1</v>
      </c>
      <c r="F27">
        <v>1</v>
      </c>
      <c r="G27">
        <v>25</v>
      </c>
      <c r="H27">
        <v>2</v>
      </c>
      <c r="I27" t="s">
        <v>370</v>
      </c>
      <c r="J27" t="s">
        <v>371</v>
      </c>
      <c r="K27" t="s">
        <v>372</v>
      </c>
      <c r="L27">
        <v>1368</v>
      </c>
      <c r="N27">
        <v>1011</v>
      </c>
      <c r="O27" t="s">
        <v>354</v>
      </c>
      <c r="P27" t="s">
        <v>354</v>
      </c>
      <c r="Q27">
        <v>1</v>
      </c>
      <c r="W27">
        <v>0</v>
      </c>
      <c r="X27">
        <v>-444400480</v>
      </c>
      <c r="Y27">
        <v>0.46</v>
      </c>
      <c r="AA27">
        <v>0</v>
      </c>
      <c r="AB27">
        <v>790.63</v>
      </c>
      <c r="AC27">
        <v>491.94</v>
      </c>
      <c r="AD27">
        <v>0</v>
      </c>
      <c r="AE27">
        <v>0</v>
      </c>
      <c r="AF27">
        <v>790.63</v>
      </c>
      <c r="AG27">
        <v>491.94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0.46</v>
      </c>
      <c r="AU27" t="s">
        <v>3</v>
      </c>
      <c r="AV27">
        <v>0</v>
      </c>
      <c r="AW27">
        <v>2</v>
      </c>
      <c r="AX27">
        <v>56441649</v>
      </c>
      <c r="AY27">
        <v>1</v>
      </c>
      <c r="AZ27">
        <v>0</v>
      </c>
      <c r="BA27">
        <v>24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Y27*Source!I74</f>
        <v>1.8032000000000001</v>
      </c>
      <c r="CY27">
        <f>AB27</f>
        <v>790.63</v>
      </c>
      <c r="CZ27">
        <f>AF27</f>
        <v>790.63</v>
      </c>
      <c r="DA27">
        <f>AJ27</f>
        <v>1</v>
      </c>
      <c r="DB27">
        <f t="shared" si="0"/>
        <v>363.69</v>
      </c>
      <c r="DC27">
        <f t="shared" si="1"/>
        <v>226.29</v>
      </c>
    </row>
    <row r="28" spans="1:107" x14ac:dyDescent="0.2">
      <c r="A28">
        <f>ROW(Source!A74)</f>
        <v>74</v>
      </c>
      <c r="B28">
        <v>56440881</v>
      </c>
      <c r="C28">
        <v>56441642</v>
      </c>
      <c r="D28">
        <v>52968960</v>
      </c>
      <c r="E28">
        <v>1</v>
      </c>
      <c r="F28">
        <v>1</v>
      </c>
      <c r="G28">
        <v>25</v>
      </c>
      <c r="H28">
        <v>2</v>
      </c>
      <c r="I28" t="s">
        <v>373</v>
      </c>
      <c r="J28" t="s">
        <v>374</v>
      </c>
      <c r="K28" t="s">
        <v>375</v>
      </c>
      <c r="L28">
        <v>1368</v>
      </c>
      <c r="N28">
        <v>1011</v>
      </c>
      <c r="O28" t="s">
        <v>354</v>
      </c>
      <c r="P28" t="s">
        <v>354</v>
      </c>
      <c r="Q28">
        <v>1</v>
      </c>
      <c r="W28">
        <v>0</v>
      </c>
      <c r="X28">
        <v>-984364401</v>
      </c>
      <c r="Y28">
        <v>1.39</v>
      </c>
      <c r="AA28">
        <v>0</v>
      </c>
      <c r="AB28">
        <v>845.77</v>
      </c>
      <c r="AC28">
        <v>508.2</v>
      </c>
      <c r="AD28">
        <v>0</v>
      </c>
      <c r="AE28">
        <v>0</v>
      </c>
      <c r="AF28">
        <v>845.77</v>
      </c>
      <c r="AG28">
        <v>508.2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1.39</v>
      </c>
      <c r="AU28" t="s">
        <v>3</v>
      </c>
      <c r="AV28">
        <v>0</v>
      </c>
      <c r="AW28">
        <v>2</v>
      </c>
      <c r="AX28">
        <v>56441650</v>
      </c>
      <c r="AY28">
        <v>1</v>
      </c>
      <c r="AZ28">
        <v>0</v>
      </c>
      <c r="BA28">
        <v>25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Y28*Source!I74</f>
        <v>5.4487999999999994</v>
      </c>
      <c r="CY28">
        <f>AB28</f>
        <v>845.77</v>
      </c>
      <c r="CZ28">
        <f>AF28</f>
        <v>845.77</v>
      </c>
      <c r="DA28">
        <f>AJ28</f>
        <v>1</v>
      </c>
      <c r="DB28">
        <f t="shared" si="0"/>
        <v>1175.6199999999999</v>
      </c>
      <c r="DC28">
        <f t="shared" si="1"/>
        <v>706.4</v>
      </c>
    </row>
    <row r="29" spans="1:107" x14ac:dyDescent="0.2">
      <c r="A29">
        <f>ROW(Source!A74)</f>
        <v>74</v>
      </c>
      <c r="B29">
        <v>56440881</v>
      </c>
      <c r="C29">
        <v>56441642</v>
      </c>
      <c r="D29">
        <v>52972806</v>
      </c>
      <c r="E29">
        <v>1</v>
      </c>
      <c r="F29">
        <v>1</v>
      </c>
      <c r="G29">
        <v>25</v>
      </c>
      <c r="H29">
        <v>3</v>
      </c>
      <c r="I29" t="s">
        <v>42</v>
      </c>
      <c r="J29" t="s">
        <v>45</v>
      </c>
      <c r="K29" t="s">
        <v>43</v>
      </c>
      <c r="L29">
        <v>1348</v>
      </c>
      <c r="N29">
        <v>1009</v>
      </c>
      <c r="O29" t="s">
        <v>44</v>
      </c>
      <c r="P29" t="s">
        <v>44</v>
      </c>
      <c r="Q29">
        <v>1000</v>
      </c>
      <c r="W29">
        <v>1</v>
      </c>
      <c r="X29">
        <v>-652642392</v>
      </c>
      <c r="Y29">
        <v>-9.58</v>
      </c>
      <c r="AA29">
        <v>2727.65</v>
      </c>
      <c r="AB29">
        <v>0</v>
      </c>
      <c r="AC29">
        <v>0</v>
      </c>
      <c r="AD29">
        <v>0</v>
      </c>
      <c r="AE29">
        <v>2727.65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-9.58</v>
      </c>
      <c r="AU29" t="s">
        <v>3</v>
      </c>
      <c r="AV29">
        <v>0</v>
      </c>
      <c r="AW29">
        <v>2</v>
      </c>
      <c r="AX29">
        <v>56441651</v>
      </c>
      <c r="AY29">
        <v>1</v>
      </c>
      <c r="AZ29">
        <v>6144</v>
      </c>
      <c r="BA29">
        <v>26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Y29*Source!I74</f>
        <v>-37.553600000000003</v>
      </c>
      <c r="CY29">
        <f>AA29</f>
        <v>2727.65</v>
      </c>
      <c r="CZ29">
        <f>AE29</f>
        <v>2727.65</v>
      </c>
      <c r="DA29">
        <f>AI29</f>
        <v>1</v>
      </c>
      <c r="DB29">
        <f t="shared" si="0"/>
        <v>-26130.89</v>
      </c>
      <c r="DC29">
        <f t="shared" si="1"/>
        <v>0</v>
      </c>
    </row>
    <row r="30" spans="1:107" x14ac:dyDescent="0.2">
      <c r="A30">
        <f>ROW(Source!A74)</f>
        <v>74</v>
      </c>
      <c r="B30">
        <v>56440881</v>
      </c>
      <c r="C30">
        <v>56441642</v>
      </c>
      <c r="D30">
        <v>52972822</v>
      </c>
      <c r="E30">
        <v>1</v>
      </c>
      <c r="F30">
        <v>1</v>
      </c>
      <c r="G30">
        <v>25</v>
      </c>
      <c r="H30">
        <v>3</v>
      </c>
      <c r="I30" t="s">
        <v>47</v>
      </c>
      <c r="J30" t="s">
        <v>49</v>
      </c>
      <c r="K30" t="s">
        <v>48</v>
      </c>
      <c r="L30">
        <v>1348</v>
      </c>
      <c r="N30">
        <v>1009</v>
      </c>
      <c r="O30" t="s">
        <v>44</v>
      </c>
      <c r="P30" t="s">
        <v>44</v>
      </c>
      <c r="Q30">
        <v>1000</v>
      </c>
      <c r="W30">
        <v>0</v>
      </c>
      <c r="X30">
        <v>2011161814</v>
      </c>
      <c r="Y30">
        <v>11.67</v>
      </c>
      <c r="AA30">
        <v>2628.2</v>
      </c>
      <c r="AB30">
        <v>0</v>
      </c>
      <c r="AC30">
        <v>0</v>
      </c>
      <c r="AD30">
        <v>0</v>
      </c>
      <c r="AE30">
        <v>2628.2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 t="s">
        <v>3</v>
      </c>
      <c r="AT30">
        <v>11.67</v>
      </c>
      <c r="AU30" t="s">
        <v>3</v>
      </c>
      <c r="AV30">
        <v>0</v>
      </c>
      <c r="AW30">
        <v>1</v>
      </c>
      <c r="AX30">
        <v>-1</v>
      </c>
      <c r="AY30">
        <v>0</v>
      </c>
      <c r="AZ30">
        <v>0</v>
      </c>
      <c r="BA30" t="s">
        <v>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Y30*Source!I74</f>
        <v>45.746400000000001</v>
      </c>
      <c r="CY30">
        <f>AA30</f>
        <v>2628.2</v>
      </c>
      <c r="CZ30">
        <f>AE30</f>
        <v>2628.2</v>
      </c>
      <c r="DA30">
        <f>AI30</f>
        <v>1</v>
      </c>
      <c r="DB30">
        <f t="shared" si="0"/>
        <v>30671.09</v>
      </c>
      <c r="DC30">
        <f t="shared" si="1"/>
        <v>0</v>
      </c>
    </row>
    <row r="31" spans="1:107" x14ac:dyDescent="0.2">
      <c r="A31">
        <f>ROW(Source!A112)</f>
        <v>112</v>
      </c>
      <c r="B31">
        <v>56440881</v>
      </c>
      <c r="C31">
        <v>56441654</v>
      </c>
      <c r="D31">
        <v>52956643</v>
      </c>
      <c r="E31">
        <v>25</v>
      </c>
      <c r="F31">
        <v>1</v>
      </c>
      <c r="G31">
        <v>25</v>
      </c>
      <c r="H31">
        <v>1</v>
      </c>
      <c r="I31" t="s">
        <v>348</v>
      </c>
      <c r="J31" t="s">
        <v>3</v>
      </c>
      <c r="K31" t="s">
        <v>349</v>
      </c>
      <c r="L31">
        <v>1191</v>
      </c>
      <c r="N31">
        <v>1013</v>
      </c>
      <c r="O31" t="s">
        <v>350</v>
      </c>
      <c r="P31" t="s">
        <v>350</v>
      </c>
      <c r="Q31">
        <v>1</v>
      </c>
      <c r="W31">
        <v>0</v>
      </c>
      <c r="X31">
        <v>476480486</v>
      </c>
      <c r="Y31">
        <v>33.6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33.6</v>
      </c>
      <c r="AU31" t="s">
        <v>3</v>
      </c>
      <c r="AV31">
        <v>1</v>
      </c>
      <c r="AW31">
        <v>2</v>
      </c>
      <c r="AX31">
        <v>56441657</v>
      </c>
      <c r="AY31">
        <v>1</v>
      </c>
      <c r="AZ31">
        <v>0</v>
      </c>
      <c r="BA31">
        <v>27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Y31*Source!I112</f>
        <v>94.08</v>
      </c>
      <c r="CY31">
        <f>AD31</f>
        <v>0</v>
      </c>
      <c r="CZ31">
        <f>AH31</f>
        <v>0</v>
      </c>
      <c r="DA31">
        <f>AL31</f>
        <v>1</v>
      </c>
      <c r="DB31">
        <f t="shared" si="0"/>
        <v>0</v>
      </c>
      <c r="DC31">
        <f t="shared" si="1"/>
        <v>0</v>
      </c>
    </row>
    <row r="32" spans="1:107" x14ac:dyDescent="0.2">
      <c r="A32">
        <f>ROW(Source!A112)</f>
        <v>112</v>
      </c>
      <c r="B32">
        <v>56440881</v>
      </c>
      <c r="C32">
        <v>56441654</v>
      </c>
      <c r="D32">
        <v>52958455</v>
      </c>
      <c r="E32">
        <v>25</v>
      </c>
      <c r="F32">
        <v>1</v>
      </c>
      <c r="G32">
        <v>25</v>
      </c>
      <c r="H32">
        <v>3</v>
      </c>
      <c r="I32" t="s">
        <v>118</v>
      </c>
      <c r="J32" t="s">
        <v>3</v>
      </c>
      <c r="K32" t="s">
        <v>119</v>
      </c>
      <c r="L32">
        <v>1348</v>
      </c>
      <c r="N32">
        <v>1009</v>
      </c>
      <c r="O32" t="s">
        <v>44</v>
      </c>
      <c r="P32" t="s">
        <v>44</v>
      </c>
      <c r="Q32">
        <v>1000</v>
      </c>
      <c r="W32">
        <v>1</v>
      </c>
      <c r="X32">
        <v>1489638031</v>
      </c>
      <c r="Y32">
        <v>-0.8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-0.8</v>
      </c>
      <c r="AU32" t="s">
        <v>3</v>
      </c>
      <c r="AV32">
        <v>0</v>
      </c>
      <c r="AW32">
        <v>2</v>
      </c>
      <c r="AX32">
        <v>56441658</v>
      </c>
      <c r="AY32">
        <v>1</v>
      </c>
      <c r="AZ32">
        <v>6144</v>
      </c>
      <c r="BA32">
        <v>28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Y32*Source!I112</f>
        <v>-2.2399999999999998</v>
      </c>
      <c r="CY32">
        <f>AA32</f>
        <v>0</v>
      </c>
      <c r="CZ32">
        <f>AE32</f>
        <v>0</v>
      </c>
      <c r="DA32">
        <f>AI32</f>
        <v>1</v>
      </c>
      <c r="DB32">
        <f t="shared" si="0"/>
        <v>0</v>
      </c>
      <c r="DC32">
        <f t="shared" si="1"/>
        <v>0</v>
      </c>
    </row>
    <row r="33" spans="1:107" x14ac:dyDescent="0.2">
      <c r="A33">
        <f>ROW(Source!A114)</f>
        <v>114</v>
      </c>
      <c r="B33">
        <v>56440881</v>
      </c>
      <c r="C33">
        <v>56441660</v>
      </c>
      <c r="D33">
        <v>52968770</v>
      </c>
      <c r="E33">
        <v>1</v>
      </c>
      <c r="F33">
        <v>1</v>
      </c>
      <c r="G33">
        <v>25</v>
      </c>
      <c r="H33">
        <v>2</v>
      </c>
      <c r="I33" t="s">
        <v>376</v>
      </c>
      <c r="J33" t="s">
        <v>377</v>
      </c>
      <c r="K33" t="s">
        <v>378</v>
      </c>
      <c r="L33">
        <v>1368</v>
      </c>
      <c r="N33">
        <v>1011</v>
      </c>
      <c r="O33" t="s">
        <v>354</v>
      </c>
      <c r="P33" t="s">
        <v>354</v>
      </c>
      <c r="Q33">
        <v>1</v>
      </c>
      <c r="W33">
        <v>0</v>
      </c>
      <c r="X33">
        <v>-1214097566</v>
      </c>
      <c r="Y33">
        <v>5.3699999999999998E-2</v>
      </c>
      <c r="AA33">
        <v>0</v>
      </c>
      <c r="AB33">
        <v>1451.71</v>
      </c>
      <c r="AC33">
        <v>457.95</v>
      </c>
      <c r="AD33">
        <v>0</v>
      </c>
      <c r="AE33">
        <v>0</v>
      </c>
      <c r="AF33">
        <v>1451.71</v>
      </c>
      <c r="AG33">
        <v>457.95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5.3699999999999998E-2</v>
      </c>
      <c r="AU33" t="s">
        <v>3</v>
      </c>
      <c r="AV33">
        <v>0</v>
      </c>
      <c r="AW33">
        <v>2</v>
      </c>
      <c r="AX33">
        <v>56441662</v>
      </c>
      <c r="AY33">
        <v>1</v>
      </c>
      <c r="AZ33">
        <v>0</v>
      </c>
      <c r="BA33">
        <v>29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Y33*Source!I114</f>
        <v>0.1082592</v>
      </c>
      <c r="CY33">
        <f>AB33</f>
        <v>1451.71</v>
      </c>
      <c r="CZ33">
        <f>AF33</f>
        <v>1451.71</v>
      </c>
      <c r="DA33">
        <f>AJ33</f>
        <v>1</v>
      </c>
      <c r="DB33">
        <f t="shared" si="0"/>
        <v>77.959999999999994</v>
      </c>
      <c r="DC33">
        <f t="shared" si="1"/>
        <v>24.59</v>
      </c>
    </row>
    <row r="34" spans="1:107" x14ac:dyDescent="0.2">
      <c r="A34">
        <f>ROW(Source!A115)</f>
        <v>115</v>
      </c>
      <c r="B34">
        <v>56440881</v>
      </c>
      <c r="C34">
        <v>56441663</v>
      </c>
      <c r="D34">
        <v>52956643</v>
      </c>
      <c r="E34">
        <v>25</v>
      </c>
      <c r="F34">
        <v>1</v>
      </c>
      <c r="G34">
        <v>25</v>
      </c>
      <c r="H34">
        <v>1</v>
      </c>
      <c r="I34" t="s">
        <v>348</v>
      </c>
      <c r="J34" t="s">
        <v>3</v>
      </c>
      <c r="K34" t="s">
        <v>349</v>
      </c>
      <c r="L34">
        <v>1191</v>
      </c>
      <c r="N34">
        <v>1013</v>
      </c>
      <c r="O34" t="s">
        <v>350</v>
      </c>
      <c r="P34" t="s">
        <v>350</v>
      </c>
      <c r="Q34">
        <v>1</v>
      </c>
      <c r="W34">
        <v>0</v>
      </c>
      <c r="X34">
        <v>476480486</v>
      </c>
      <c r="Y34">
        <v>1.1200000000000001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1.1200000000000001</v>
      </c>
      <c r="AU34" t="s">
        <v>3</v>
      </c>
      <c r="AV34">
        <v>1</v>
      </c>
      <c r="AW34">
        <v>2</v>
      </c>
      <c r="AX34">
        <v>56441666</v>
      </c>
      <c r="AY34">
        <v>1</v>
      </c>
      <c r="AZ34">
        <v>0</v>
      </c>
      <c r="BA34">
        <v>30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Y34*Source!I115</f>
        <v>0.25088000000000005</v>
      </c>
      <c r="CY34">
        <f>AD34</f>
        <v>0</v>
      </c>
      <c r="CZ34">
        <f>AH34</f>
        <v>0</v>
      </c>
      <c r="DA34">
        <f>AL34</f>
        <v>1</v>
      </c>
      <c r="DB34">
        <f t="shared" si="0"/>
        <v>0</v>
      </c>
      <c r="DC34">
        <f t="shared" si="1"/>
        <v>0</v>
      </c>
    </row>
    <row r="35" spans="1:107" x14ac:dyDescent="0.2">
      <c r="A35">
        <f>ROW(Source!A115)</f>
        <v>115</v>
      </c>
      <c r="B35">
        <v>56440881</v>
      </c>
      <c r="C35">
        <v>56441663</v>
      </c>
      <c r="D35">
        <v>52969396</v>
      </c>
      <c r="E35">
        <v>1</v>
      </c>
      <c r="F35">
        <v>1</v>
      </c>
      <c r="G35">
        <v>25</v>
      </c>
      <c r="H35">
        <v>2</v>
      </c>
      <c r="I35" t="s">
        <v>379</v>
      </c>
      <c r="J35" t="s">
        <v>380</v>
      </c>
      <c r="K35" t="s">
        <v>381</v>
      </c>
      <c r="L35">
        <v>1368</v>
      </c>
      <c r="N35">
        <v>1011</v>
      </c>
      <c r="O35" t="s">
        <v>354</v>
      </c>
      <c r="P35" t="s">
        <v>354</v>
      </c>
      <c r="Q35">
        <v>1</v>
      </c>
      <c r="W35">
        <v>0</v>
      </c>
      <c r="X35">
        <v>-1228347216</v>
      </c>
      <c r="Y35">
        <v>0.38</v>
      </c>
      <c r="AA35">
        <v>0</v>
      </c>
      <c r="AB35">
        <v>1350.45</v>
      </c>
      <c r="AC35">
        <v>448.79</v>
      </c>
      <c r="AD35">
        <v>0</v>
      </c>
      <c r="AE35">
        <v>0</v>
      </c>
      <c r="AF35">
        <v>1350.45</v>
      </c>
      <c r="AG35">
        <v>448.79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0.38</v>
      </c>
      <c r="AU35" t="s">
        <v>3</v>
      </c>
      <c r="AV35">
        <v>0</v>
      </c>
      <c r="AW35">
        <v>2</v>
      </c>
      <c r="AX35">
        <v>56441667</v>
      </c>
      <c r="AY35">
        <v>1</v>
      </c>
      <c r="AZ35">
        <v>0</v>
      </c>
      <c r="BA35">
        <v>31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Y35*Source!I115</f>
        <v>8.5120000000000001E-2</v>
      </c>
      <c r="CY35">
        <f t="shared" ref="CY35:CY41" si="2">AB35</f>
        <v>1350.45</v>
      </c>
      <c r="CZ35">
        <f t="shared" ref="CZ35:CZ41" si="3">AF35</f>
        <v>1350.45</v>
      </c>
      <c r="DA35">
        <f t="shared" ref="DA35:DA41" si="4">AJ35</f>
        <v>1</v>
      </c>
      <c r="DB35">
        <f t="shared" si="0"/>
        <v>513.16999999999996</v>
      </c>
      <c r="DC35">
        <f t="shared" si="1"/>
        <v>170.54</v>
      </c>
    </row>
    <row r="36" spans="1:107" x14ac:dyDescent="0.2">
      <c r="A36">
        <f>ROW(Source!A116)</f>
        <v>116</v>
      </c>
      <c r="B36">
        <v>56440881</v>
      </c>
      <c r="C36">
        <v>56441668</v>
      </c>
      <c r="D36">
        <v>52969562</v>
      </c>
      <c r="E36">
        <v>1</v>
      </c>
      <c r="F36">
        <v>1</v>
      </c>
      <c r="G36">
        <v>25</v>
      </c>
      <c r="H36">
        <v>2</v>
      </c>
      <c r="I36" t="s">
        <v>382</v>
      </c>
      <c r="J36" t="s">
        <v>383</v>
      </c>
      <c r="K36" t="s">
        <v>384</v>
      </c>
      <c r="L36">
        <v>1368</v>
      </c>
      <c r="N36">
        <v>1011</v>
      </c>
      <c r="O36" t="s">
        <v>354</v>
      </c>
      <c r="P36" t="s">
        <v>354</v>
      </c>
      <c r="Q36">
        <v>1</v>
      </c>
      <c r="W36">
        <v>0</v>
      </c>
      <c r="X36">
        <v>-1048706440</v>
      </c>
      <c r="Y36">
        <v>0.02</v>
      </c>
      <c r="AA36">
        <v>0</v>
      </c>
      <c r="AB36">
        <v>952.49</v>
      </c>
      <c r="AC36">
        <v>301.5</v>
      </c>
      <c r="AD36">
        <v>0</v>
      </c>
      <c r="AE36">
        <v>0</v>
      </c>
      <c r="AF36">
        <v>952.49</v>
      </c>
      <c r="AG36">
        <v>301.5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0.02</v>
      </c>
      <c r="AU36" t="s">
        <v>3</v>
      </c>
      <c r="AV36">
        <v>0</v>
      </c>
      <c r="AW36">
        <v>2</v>
      </c>
      <c r="AX36">
        <v>56441671</v>
      </c>
      <c r="AY36">
        <v>1</v>
      </c>
      <c r="AZ36">
        <v>0</v>
      </c>
      <c r="BA36">
        <v>32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Y36*Source!I116</f>
        <v>4.0320000000000002E-2</v>
      </c>
      <c r="CY36">
        <f t="shared" si="2"/>
        <v>952.49</v>
      </c>
      <c r="CZ36">
        <f t="shared" si="3"/>
        <v>952.49</v>
      </c>
      <c r="DA36">
        <f t="shared" si="4"/>
        <v>1</v>
      </c>
      <c r="DB36">
        <f t="shared" si="0"/>
        <v>19.05</v>
      </c>
      <c r="DC36">
        <f t="shared" si="1"/>
        <v>6.03</v>
      </c>
    </row>
    <row r="37" spans="1:107" x14ac:dyDescent="0.2">
      <c r="A37">
        <f>ROW(Source!A116)</f>
        <v>116</v>
      </c>
      <c r="B37">
        <v>56440881</v>
      </c>
      <c r="C37">
        <v>56441668</v>
      </c>
      <c r="D37">
        <v>52969563</v>
      </c>
      <c r="E37">
        <v>1</v>
      </c>
      <c r="F37">
        <v>1</v>
      </c>
      <c r="G37">
        <v>25</v>
      </c>
      <c r="H37">
        <v>2</v>
      </c>
      <c r="I37" t="s">
        <v>385</v>
      </c>
      <c r="J37" t="s">
        <v>386</v>
      </c>
      <c r="K37" t="s">
        <v>387</v>
      </c>
      <c r="L37">
        <v>1368</v>
      </c>
      <c r="N37">
        <v>1011</v>
      </c>
      <c r="O37" t="s">
        <v>354</v>
      </c>
      <c r="P37" t="s">
        <v>354</v>
      </c>
      <c r="Q37">
        <v>1</v>
      </c>
      <c r="W37">
        <v>0</v>
      </c>
      <c r="X37">
        <v>2034648272</v>
      </c>
      <c r="Y37">
        <v>1.7999999999999999E-2</v>
      </c>
      <c r="AA37">
        <v>0</v>
      </c>
      <c r="AB37">
        <v>993.6</v>
      </c>
      <c r="AC37">
        <v>301.8</v>
      </c>
      <c r="AD37">
        <v>0</v>
      </c>
      <c r="AE37">
        <v>0</v>
      </c>
      <c r="AF37">
        <v>993.6</v>
      </c>
      <c r="AG37">
        <v>301.8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1.7999999999999999E-2</v>
      </c>
      <c r="AU37" t="s">
        <v>3</v>
      </c>
      <c r="AV37">
        <v>0</v>
      </c>
      <c r="AW37">
        <v>2</v>
      </c>
      <c r="AX37">
        <v>56441672</v>
      </c>
      <c r="AY37">
        <v>1</v>
      </c>
      <c r="AZ37">
        <v>0</v>
      </c>
      <c r="BA37">
        <v>33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Y37*Source!I116</f>
        <v>3.6288000000000001E-2</v>
      </c>
      <c r="CY37">
        <f t="shared" si="2"/>
        <v>993.6</v>
      </c>
      <c r="CZ37">
        <f t="shared" si="3"/>
        <v>993.6</v>
      </c>
      <c r="DA37">
        <f t="shared" si="4"/>
        <v>1</v>
      </c>
      <c r="DB37">
        <f t="shared" si="0"/>
        <v>17.88</v>
      </c>
      <c r="DC37">
        <f t="shared" si="1"/>
        <v>5.43</v>
      </c>
    </row>
    <row r="38" spans="1:107" x14ac:dyDescent="0.2">
      <c r="A38">
        <f>ROW(Source!A117)</f>
        <v>117</v>
      </c>
      <c r="B38">
        <v>56440881</v>
      </c>
      <c r="C38">
        <v>56441673</v>
      </c>
      <c r="D38">
        <v>52969562</v>
      </c>
      <c r="E38">
        <v>1</v>
      </c>
      <c r="F38">
        <v>1</v>
      </c>
      <c r="G38">
        <v>25</v>
      </c>
      <c r="H38">
        <v>2</v>
      </c>
      <c r="I38" t="s">
        <v>382</v>
      </c>
      <c r="J38" t="s">
        <v>383</v>
      </c>
      <c r="K38" t="s">
        <v>384</v>
      </c>
      <c r="L38">
        <v>1368</v>
      </c>
      <c r="N38">
        <v>1011</v>
      </c>
      <c r="O38" t="s">
        <v>354</v>
      </c>
      <c r="P38" t="s">
        <v>354</v>
      </c>
      <c r="Q38">
        <v>1</v>
      </c>
      <c r="W38">
        <v>0</v>
      </c>
      <c r="X38">
        <v>-1048706440</v>
      </c>
      <c r="Y38">
        <v>5.3999999999999999E-2</v>
      </c>
      <c r="AA38">
        <v>0</v>
      </c>
      <c r="AB38">
        <v>952.49</v>
      </c>
      <c r="AC38">
        <v>301.5</v>
      </c>
      <c r="AD38">
        <v>0</v>
      </c>
      <c r="AE38">
        <v>0</v>
      </c>
      <c r="AF38">
        <v>952.49</v>
      </c>
      <c r="AG38">
        <v>301.5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5.3999999999999999E-2</v>
      </c>
      <c r="AU38" t="s">
        <v>3</v>
      </c>
      <c r="AV38">
        <v>0</v>
      </c>
      <c r="AW38">
        <v>2</v>
      </c>
      <c r="AX38">
        <v>56441676</v>
      </c>
      <c r="AY38">
        <v>1</v>
      </c>
      <c r="AZ38">
        <v>0</v>
      </c>
      <c r="BA38">
        <v>34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Y38*Source!I117</f>
        <v>1.2096000000000001E-2</v>
      </c>
      <c r="CY38">
        <f t="shared" si="2"/>
        <v>952.49</v>
      </c>
      <c r="CZ38">
        <f t="shared" si="3"/>
        <v>952.49</v>
      </c>
      <c r="DA38">
        <f t="shared" si="4"/>
        <v>1</v>
      </c>
      <c r="DB38">
        <f t="shared" si="0"/>
        <v>51.43</v>
      </c>
      <c r="DC38">
        <f t="shared" si="1"/>
        <v>16.28</v>
      </c>
    </row>
    <row r="39" spans="1:107" x14ac:dyDescent="0.2">
      <c r="A39">
        <f>ROW(Source!A117)</f>
        <v>117</v>
      </c>
      <c r="B39">
        <v>56440881</v>
      </c>
      <c r="C39">
        <v>56441673</v>
      </c>
      <c r="D39">
        <v>52969563</v>
      </c>
      <c r="E39">
        <v>1</v>
      </c>
      <c r="F39">
        <v>1</v>
      </c>
      <c r="G39">
        <v>25</v>
      </c>
      <c r="H39">
        <v>2</v>
      </c>
      <c r="I39" t="s">
        <v>385</v>
      </c>
      <c r="J39" t="s">
        <v>386</v>
      </c>
      <c r="K39" t="s">
        <v>387</v>
      </c>
      <c r="L39">
        <v>1368</v>
      </c>
      <c r="N39">
        <v>1011</v>
      </c>
      <c r="O39" t="s">
        <v>354</v>
      </c>
      <c r="P39" t="s">
        <v>354</v>
      </c>
      <c r="Q39">
        <v>1</v>
      </c>
      <c r="W39">
        <v>0</v>
      </c>
      <c r="X39">
        <v>2034648272</v>
      </c>
      <c r="Y39">
        <v>5.5E-2</v>
      </c>
      <c r="AA39">
        <v>0</v>
      </c>
      <c r="AB39">
        <v>993.6</v>
      </c>
      <c r="AC39">
        <v>301.8</v>
      </c>
      <c r="AD39">
        <v>0</v>
      </c>
      <c r="AE39">
        <v>0</v>
      </c>
      <c r="AF39">
        <v>993.6</v>
      </c>
      <c r="AG39">
        <v>301.8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5.5E-2</v>
      </c>
      <c r="AU39" t="s">
        <v>3</v>
      </c>
      <c r="AV39">
        <v>0</v>
      </c>
      <c r="AW39">
        <v>2</v>
      </c>
      <c r="AX39">
        <v>56441677</v>
      </c>
      <c r="AY39">
        <v>1</v>
      </c>
      <c r="AZ39">
        <v>0</v>
      </c>
      <c r="BA39">
        <v>35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Y39*Source!I117</f>
        <v>1.2320000000000001E-2</v>
      </c>
      <c r="CY39">
        <f t="shared" si="2"/>
        <v>993.6</v>
      </c>
      <c r="CZ39">
        <f t="shared" si="3"/>
        <v>993.6</v>
      </c>
      <c r="DA39">
        <f t="shared" si="4"/>
        <v>1</v>
      </c>
      <c r="DB39">
        <f t="shared" si="0"/>
        <v>54.65</v>
      </c>
      <c r="DC39">
        <f t="shared" si="1"/>
        <v>16.600000000000001</v>
      </c>
    </row>
    <row r="40" spans="1:107" x14ac:dyDescent="0.2">
      <c r="A40">
        <f>ROW(Source!A118)</f>
        <v>118</v>
      </c>
      <c r="B40">
        <v>56440881</v>
      </c>
      <c r="C40">
        <v>56441678</v>
      </c>
      <c r="D40">
        <v>52969562</v>
      </c>
      <c r="E40">
        <v>1</v>
      </c>
      <c r="F40">
        <v>1</v>
      </c>
      <c r="G40">
        <v>25</v>
      </c>
      <c r="H40">
        <v>2</v>
      </c>
      <c r="I40" t="s">
        <v>382</v>
      </c>
      <c r="J40" t="s">
        <v>383</v>
      </c>
      <c r="K40" t="s">
        <v>384</v>
      </c>
      <c r="L40">
        <v>1368</v>
      </c>
      <c r="N40">
        <v>1011</v>
      </c>
      <c r="O40" t="s">
        <v>354</v>
      </c>
      <c r="P40" t="s">
        <v>354</v>
      </c>
      <c r="Q40">
        <v>1</v>
      </c>
      <c r="W40">
        <v>0</v>
      </c>
      <c r="X40">
        <v>-1048706440</v>
      </c>
      <c r="Y40">
        <v>0.51</v>
      </c>
      <c r="AA40">
        <v>0</v>
      </c>
      <c r="AB40">
        <v>952.49</v>
      </c>
      <c r="AC40">
        <v>301.5</v>
      </c>
      <c r="AD40">
        <v>0</v>
      </c>
      <c r="AE40">
        <v>0</v>
      </c>
      <c r="AF40">
        <v>952.49</v>
      </c>
      <c r="AG40">
        <v>301.5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1</v>
      </c>
      <c r="AQ40">
        <v>0</v>
      </c>
      <c r="AR40">
        <v>0</v>
      </c>
      <c r="AS40" t="s">
        <v>3</v>
      </c>
      <c r="AT40">
        <v>0.01</v>
      </c>
      <c r="AU40" t="s">
        <v>141</v>
      </c>
      <c r="AV40">
        <v>0</v>
      </c>
      <c r="AW40">
        <v>2</v>
      </c>
      <c r="AX40">
        <v>56441681</v>
      </c>
      <c r="AY40">
        <v>1</v>
      </c>
      <c r="AZ40">
        <v>0</v>
      </c>
      <c r="BA40">
        <v>36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Y40*Source!I118</f>
        <v>1.1424000000000001</v>
      </c>
      <c r="CY40">
        <f t="shared" si="2"/>
        <v>952.49</v>
      </c>
      <c r="CZ40">
        <f t="shared" si="3"/>
        <v>952.49</v>
      </c>
      <c r="DA40">
        <f t="shared" si="4"/>
        <v>1</v>
      </c>
      <c r="DB40">
        <f>ROUND((ROUND(AT40*CZ40,2)*51),2)</f>
        <v>485.52</v>
      </c>
      <c r="DC40">
        <f>ROUND((ROUND(AT40*AG40,2)*51),2)</f>
        <v>154.02000000000001</v>
      </c>
    </row>
    <row r="41" spans="1:107" x14ac:dyDescent="0.2">
      <c r="A41">
        <f>ROW(Source!A118)</f>
        <v>118</v>
      </c>
      <c r="B41">
        <v>56440881</v>
      </c>
      <c r="C41">
        <v>56441678</v>
      </c>
      <c r="D41">
        <v>52969563</v>
      </c>
      <c r="E41">
        <v>1</v>
      </c>
      <c r="F41">
        <v>1</v>
      </c>
      <c r="G41">
        <v>25</v>
      </c>
      <c r="H41">
        <v>2</v>
      </c>
      <c r="I41" t="s">
        <v>385</v>
      </c>
      <c r="J41" t="s">
        <v>386</v>
      </c>
      <c r="K41" t="s">
        <v>387</v>
      </c>
      <c r="L41">
        <v>1368</v>
      </c>
      <c r="N41">
        <v>1011</v>
      </c>
      <c r="O41" t="s">
        <v>354</v>
      </c>
      <c r="P41" t="s">
        <v>354</v>
      </c>
      <c r="Q41">
        <v>1</v>
      </c>
      <c r="W41">
        <v>0</v>
      </c>
      <c r="X41">
        <v>2034648272</v>
      </c>
      <c r="Y41">
        <v>0.40800000000000003</v>
      </c>
      <c r="AA41">
        <v>0</v>
      </c>
      <c r="AB41">
        <v>993.6</v>
      </c>
      <c r="AC41">
        <v>301.8</v>
      </c>
      <c r="AD41">
        <v>0</v>
      </c>
      <c r="AE41">
        <v>0</v>
      </c>
      <c r="AF41">
        <v>993.6</v>
      </c>
      <c r="AG41">
        <v>301.8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1</v>
      </c>
      <c r="AQ41">
        <v>0</v>
      </c>
      <c r="AR41">
        <v>0</v>
      </c>
      <c r="AS41" t="s">
        <v>3</v>
      </c>
      <c r="AT41">
        <v>8.0000000000000002E-3</v>
      </c>
      <c r="AU41" t="s">
        <v>141</v>
      </c>
      <c r="AV41">
        <v>0</v>
      </c>
      <c r="AW41">
        <v>2</v>
      </c>
      <c r="AX41">
        <v>56441682</v>
      </c>
      <c r="AY41">
        <v>1</v>
      </c>
      <c r="AZ41">
        <v>0</v>
      </c>
      <c r="BA41">
        <v>37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Y41*Source!I118</f>
        <v>0.91392000000000018</v>
      </c>
      <c r="CY41">
        <f t="shared" si="2"/>
        <v>993.6</v>
      </c>
      <c r="CZ41">
        <f t="shared" si="3"/>
        <v>993.6</v>
      </c>
      <c r="DA41">
        <f t="shared" si="4"/>
        <v>1</v>
      </c>
      <c r="DB41">
        <f>ROUND((ROUND(AT41*CZ41,2)*51),2)</f>
        <v>405.45</v>
      </c>
      <c r="DC41">
        <f>ROUND((ROUND(AT41*AG41,2)*51),2)</f>
        <v>122.91</v>
      </c>
    </row>
    <row r="42" spans="1:107" x14ac:dyDescent="0.2">
      <c r="A42">
        <f>ROW(Source!A120)</f>
        <v>120</v>
      </c>
      <c r="B42">
        <v>56440881</v>
      </c>
      <c r="C42">
        <v>56441684</v>
      </c>
      <c r="D42">
        <v>52956643</v>
      </c>
      <c r="E42">
        <v>25</v>
      </c>
      <c r="F42">
        <v>1</v>
      </c>
      <c r="G42">
        <v>25</v>
      </c>
      <c r="H42">
        <v>1</v>
      </c>
      <c r="I42" t="s">
        <v>348</v>
      </c>
      <c r="J42" t="s">
        <v>3</v>
      </c>
      <c r="K42" t="s">
        <v>349</v>
      </c>
      <c r="L42">
        <v>1191</v>
      </c>
      <c r="N42">
        <v>1013</v>
      </c>
      <c r="O42" t="s">
        <v>350</v>
      </c>
      <c r="P42" t="s">
        <v>350</v>
      </c>
      <c r="Q42">
        <v>1</v>
      </c>
      <c r="W42">
        <v>0</v>
      </c>
      <c r="X42">
        <v>476480486</v>
      </c>
      <c r="Y42">
        <v>62.9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62.9</v>
      </c>
      <c r="AU42" t="s">
        <v>3</v>
      </c>
      <c r="AV42">
        <v>1</v>
      </c>
      <c r="AW42">
        <v>2</v>
      </c>
      <c r="AX42">
        <v>56441692</v>
      </c>
      <c r="AY42">
        <v>1</v>
      </c>
      <c r="AZ42">
        <v>0</v>
      </c>
      <c r="BA42">
        <v>38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Y42*Source!I120</f>
        <v>176.11999999999998</v>
      </c>
      <c r="CY42">
        <f>AD42</f>
        <v>0</v>
      </c>
      <c r="CZ42">
        <f>AH42</f>
        <v>0</v>
      </c>
      <c r="DA42">
        <f>AL42</f>
        <v>1</v>
      </c>
      <c r="DB42">
        <f t="shared" ref="DB42:DB79" si="5">ROUND(ROUND(AT42*CZ42,2),2)</f>
        <v>0</v>
      </c>
      <c r="DC42">
        <f t="shared" ref="DC42:DC79" si="6">ROUND(ROUND(AT42*AG42,2),2)</f>
        <v>0</v>
      </c>
    </row>
    <row r="43" spans="1:107" x14ac:dyDescent="0.2">
      <c r="A43">
        <f>ROW(Source!A120)</f>
        <v>120</v>
      </c>
      <c r="B43">
        <v>56440881</v>
      </c>
      <c r="C43">
        <v>56441684</v>
      </c>
      <c r="D43">
        <v>52969614</v>
      </c>
      <c r="E43">
        <v>1</v>
      </c>
      <c r="F43">
        <v>1</v>
      </c>
      <c r="G43">
        <v>25</v>
      </c>
      <c r="H43">
        <v>2</v>
      </c>
      <c r="I43" t="s">
        <v>388</v>
      </c>
      <c r="J43" t="s">
        <v>389</v>
      </c>
      <c r="K43" t="s">
        <v>390</v>
      </c>
      <c r="L43">
        <v>1368</v>
      </c>
      <c r="N43">
        <v>1011</v>
      </c>
      <c r="O43" t="s">
        <v>354</v>
      </c>
      <c r="P43" t="s">
        <v>354</v>
      </c>
      <c r="Q43">
        <v>1</v>
      </c>
      <c r="W43">
        <v>0</v>
      </c>
      <c r="X43">
        <v>-17333852</v>
      </c>
      <c r="Y43">
        <v>4.3099999999999996</v>
      </c>
      <c r="AA43">
        <v>0</v>
      </c>
      <c r="AB43">
        <v>6.28</v>
      </c>
      <c r="AC43">
        <v>0.01</v>
      </c>
      <c r="AD43">
        <v>0</v>
      </c>
      <c r="AE43">
        <v>0</v>
      </c>
      <c r="AF43">
        <v>6.28</v>
      </c>
      <c r="AG43">
        <v>0.01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4.3099999999999996</v>
      </c>
      <c r="AU43" t="s">
        <v>3</v>
      </c>
      <c r="AV43">
        <v>0</v>
      </c>
      <c r="AW43">
        <v>2</v>
      </c>
      <c r="AX43">
        <v>56441693</v>
      </c>
      <c r="AY43">
        <v>1</v>
      </c>
      <c r="AZ43">
        <v>0</v>
      </c>
      <c r="BA43">
        <v>39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Y43*Source!I120</f>
        <v>12.067999999999998</v>
      </c>
      <c r="CY43">
        <f>AB43</f>
        <v>6.28</v>
      </c>
      <c r="CZ43">
        <f>AF43</f>
        <v>6.28</v>
      </c>
      <c r="DA43">
        <f>AJ43</f>
        <v>1</v>
      </c>
      <c r="DB43">
        <f t="shared" si="5"/>
        <v>27.07</v>
      </c>
      <c r="DC43">
        <f t="shared" si="6"/>
        <v>0.04</v>
      </c>
    </row>
    <row r="44" spans="1:107" x14ac:dyDescent="0.2">
      <c r="A44">
        <f>ROW(Source!A120)</f>
        <v>120</v>
      </c>
      <c r="B44">
        <v>56440881</v>
      </c>
      <c r="C44">
        <v>56441684</v>
      </c>
      <c r="D44">
        <v>52970732</v>
      </c>
      <c r="E44">
        <v>1</v>
      </c>
      <c r="F44">
        <v>1</v>
      </c>
      <c r="G44">
        <v>25</v>
      </c>
      <c r="H44">
        <v>3</v>
      </c>
      <c r="I44" t="s">
        <v>161</v>
      </c>
      <c r="J44" t="s">
        <v>163</v>
      </c>
      <c r="K44" t="s">
        <v>162</v>
      </c>
      <c r="L44">
        <v>1348</v>
      </c>
      <c r="N44">
        <v>1009</v>
      </c>
      <c r="O44" t="s">
        <v>44</v>
      </c>
      <c r="P44" t="s">
        <v>44</v>
      </c>
      <c r="Q44">
        <v>1000</v>
      </c>
      <c r="W44">
        <v>1</v>
      </c>
      <c r="X44">
        <v>-509512801</v>
      </c>
      <c r="Y44">
        <v>-1.23E-2</v>
      </c>
      <c r="AA44">
        <v>52914.53</v>
      </c>
      <c r="AB44">
        <v>0</v>
      </c>
      <c r="AC44">
        <v>0</v>
      </c>
      <c r="AD44">
        <v>0</v>
      </c>
      <c r="AE44">
        <v>52914.53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-1.23E-2</v>
      </c>
      <c r="AU44" t="s">
        <v>3</v>
      </c>
      <c r="AV44">
        <v>0</v>
      </c>
      <c r="AW44">
        <v>2</v>
      </c>
      <c r="AX44">
        <v>56441694</v>
      </c>
      <c r="AY44">
        <v>1</v>
      </c>
      <c r="AZ44">
        <v>6144</v>
      </c>
      <c r="BA44">
        <v>40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Y44*Source!I120</f>
        <v>-3.4439999999999998E-2</v>
      </c>
      <c r="CY44">
        <f>AA44</f>
        <v>52914.53</v>
      </c>
      <c r="CZ44">
        <f>AE44</f>
        <v>52914.53</v>
      </c>
      <c r="DA44">
        <f>AI44</f>
        <v>1</v>
      </c>
      <c r="DB44">
        <f t="shared" si="5"/>
        <v>-650.85</v>
      </c>
      <c r="DC44">
        <f t="shared" si="6"/>
        <v>0</v>
      </c>
    </row>
    <row r="45" spans="1:107" x14ac:dyDescent="0.2">
      <c r="A45">
        <f>ROW(Source!A120)</f>
        <v>120</v>
      </c>
      <c r="B45">
        <v>56440881</v>
      </c>
      <c r="C45">
        <v>56441684</v>
      </c>
      <c r="D45">
        <v>52974778</v>
      </c>
      <c r="E45">
        <v>1</v>
      </c>
      <c r="F45">
        <v>1</v>
      </c>
      <c r="G45">
        <v>25</v>
      </c>
      <c r="H45">
        <v>3</v>
      </c>
      <c r="I45" t="s">
        <v>151</v>
      </c>
      <c r="J45" t="s">
        <v>153</v>
      </c>
      <c r="K45" t="s">
        <v>152</v>
      </c>
      <c r="L45">
        <v>1339</v>
      </c>
      <c r="N45">
        <v>1007</v>
      </c>
      <c r="O45" t="s">
        <v>26</v>
      </c>
      <c r="P45" t="s">
        <v>26</v>
      </c>
      <c r="Q45">
        <v>1</v>
      </c>
      <c r="W45">
        <v>1</v>
      </c>
      <c r="X45">
        <v>548107320</v>
      </c>
      <c r="Y45">
        <v>-2.88</v>
      </c>
      <c r="AA45">
        <v>17674.48</v>
      </c>
      <c r="AB45">
        <v>0</v>
      </c>
      <c r="AC45">
        <v>0</v>
      </c>
      <c r="AD45">
        <v>0</v>
      </c>
      <c r="AE45">
        <v>17674.48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-2.88</v>
      </c>
      <c r="AU45" t="s">
        <v>3</v>
      </c>
      <c r="AV45">
        <v>0</v>
      </c>
      <c r="AW45">
        <v>2</v>
      </c>
      <c r="AX45">
        <v>56441695</v>
      </c>
      <c r="AY45">
        <v>1</v>
      </c>
      <c r="AZ45">
        <v>6144</v>
      </c>
      <c r="BA45">
        <v>41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Y45*Source!I120</f>
        <v>-8.0640000000000001</v>
      </c>
      <c r="CY45">
        <f>AA45</f>
        <v>17674.48</v>
      </c>
      <c r="CZ45">
        <f>AE45</f>
        <v>17674.48</v>
      </c>
      <c r="DA45">
        <f>AI45</f>
        <v>1</v>
      </c>
      <c r="DB45">
        <f t="shared" si="5"/>
        <v>-50902.5</v>
      </c>
      <c r="DC45">
        <f t="shared" si="6"/>
        <v>0</v>
      </c>
    </row>
    <row r="46" spans="1:107" x14ac:dyDescent="0.2">
      <c r="A46">
        <f>ROW(Source!A120)</f>
        <v>120</v>
      </c>
      <c r="B46">
        <v>56440881</v>
      </c>
      <c r="C46">
        <v>56441684</v>
      </c>
      <c r="D46">
        <v>0</v>
      </c>
      <c r="E46">
        <v>25</v>
      </c>
      <c r="F46">
        <v>1</v>
      </c>
      <c r="G46">
        <v>25</v>
      </c>
      <c r="H46">
        <v>3</v>
      </c>
      <c r="I46" t="s">
        <v>155</v>
      </c>
      <c r="J46" t="s">
        <v>3</v>
      </c>
      <c r="K46" t="s">
        <v>156</v>
      </c>
      <c r="L46">
        <v>1327</v>
      </c>
      <c r="N46">
        <v>1005</v>
      </c>
      <c r="O46" t="s">
        <v>157</v>
      </c>
      <c r="P46" t="s">
        <v>157</v>
      </c>
      <c r="Q46">
        <v>1</v>
      </c>
      <c r="W46">
        <v>0</v>
      </c>
      <c r="X46">
        <v>-1422212954</v>
      </c>
      <c r="Y46">
        <v>100</v>
      </c>
      <c r="AA46">
        <v>875</v>
      </c>
      <c r="AB46">
        <v>0</v>
      </c>
      <c r="AC46">
        <v>0</v>
      </c>
      <c r="AD46">
        <v>0</v>
      </c>
      <c r="AE46">
        <v>875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3</v>
      </c>
      <c r="AT46">
        <v>100</v>
      </c>
      <c r="AU46" t="s">
        <v>3</v>
      </c>
      <c r="AV46">
        <v>0</v>
      </c>
      <c r="AW46">
        <v>1</v>
      </c>
      <c r="AX46">
        <v>-1</v>
      </c>
      <c r="AY46">
        <v>0</v>
      </c>
      <c r="AZ46">
        <v>0</v>
      </c>
      <c r="BA46" t="s">
        <v>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Y46*Source!I120</f>
        <v>280</v>
      </c>
      <c r="CY46">
        <f>AA46</f>
        <v>875</v>
      </c>
      <c r="CZ46">
        <f>AE46</f>
        <v>875</v>
      </c>
      <c r="DA46">
        <f>AI46</f>
        <v>1</v>
      </c>
      <c r="DB46">
        <f t="shared" si="5"/>
        <v>87500</v>
      </c>
      <c r="DC46">
        <f t="shared" si="6"/>
        <v>0</v>
      </c>
    </row>
    <row r="47" spans="1:107" x14ac:dyDescent="0.2">
      <c r="A47">
        <f>ROW(Source!A120)</f>
        <v>120</v>
      </c>
      <c r="B47">
        <v>56440881</v>
      </c>
      <c r="C47">
        <v>56441684</v>
      </c>
      <c r="D47">
        <v>0</v>
      </c>
      <c r="E47">
        <v>25</v>
      </c>
      <c r="F47">
        <v>1</v>
      </c>
      <c r="G47">
        <v>25</v>
      </c>
      <c r="H47">
        <v>3</v>
      </c>
      <c r="I47" t="s">
        <v>155</v>
      </c>
      <c r="J47" t="s">
        <v>3</v>
      </c>
      <c r="K47" t="s">
        <v>165</v>
      </c>
      <c r="L47">
        <v>1354</v>
      </c>
      <c r="N47">
        <v>1010</v>
      </c>
      <c r="O47" t="s">
        <v>166</v>
      </c>
      <c r="P47" t="s">
        <v>166</v>
      </c>
      <c r="Q47">
        <v>1</v>
      </c>
      <c r="W47">
        <v>0</v>
      </c>
      <c r="X47">
        <v>-2122191956</v>
      </c>
      <c r="Y47">
        <v>385.71428600000002</v>
      </c>
      <c r="AA47">
        <v>7.5</v>
      </c>
      <c r="AB47">
        <v>0</v>
      </c>
      <c r="AC47">
        <v>0</v>
      </c>
      <c r="AD47">
        <v>0</v>
      </c>
      <c r="AE47">
        <v>7.5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 t="s">
        <v>3</v>
      </c>
      <c r="AT47">
        <v>385.71428600000002</v>
      </c>
      <c r="AU47" t="s">
        <v>3</v>
      </c>
      <c r="AV47">
        <v>0</v>
      </c>
      <c r="AW47">
        <v>1</v>
      </c>
      <c r="AX47">
        <v>-1</v>
      </c>
      <c r="AY47">
        <v>0</v>
      </c>
      <c r="AZ47">
        <v>0</v>
      </c>
      <c r="BA47" t="s">
        <v>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Y47*Source!I120</f>
        <v>1080.0000008</v>
      </c>
      <c r="CY47">
        <f>AA47</f>
        <v>7.5</v>
      </c>
      <c r="CZ47">
        <f>AE47</f>
        <v>7.5</v>
      </c>
      <c r="DA47">
        <f>AI47</f>
        <v>1</v>
      </c>
      <c r="DB47">
        <f t="shared" si="5"/>
        <v>2892.86</v>
      </c>
      <c r="DC47">
        <f t="shared" si="6"/>
        <v>0</v>
      </c>
    </row>
    <row r="48" spans="1:107" x14ac:dyDescent="0.2">
      <c r="A48">
        <f>ROW(Source!A120)</f>
        <v>120</v>
      </c>
      <c r="B48">
        <v>56440881</v>
      </c>
      <c r="C48">
        <v>56441684</v>
      </c>
      <c r="D48">
        <v>0</v>
      </c>
      <c r="E48">
        <v>25</v>
      </c>
      <c r="F48">
        <v>1</v>
      </c>
      <c r="G48">
        <v>25</v>
      </c>
      <c r="H48">
        <v>3</v>
      </c>
      <c r="I48" t="s">
        <v>155</v>
      </c>
      <c r="J48" t="s">
        <v>3</v>
      </c>
      <c r="K48" t="s">
        <v>169</v>
      </c>
      <c r="L48">
        <v>1354</v>
      </c>
      <c r="N48">
        <v>1010</v>
      </c>
      <c r="O48" t="s">
        <v>166</v>
      </c>
      <c r="P48" t="s">
        <v>166</v>
      </c>
      <c r="Q48">
        <v>1</v>
      </c>
      <c r="W48">
        <v>0</v>
      </c>
      <c r="X48">
        <v>-1557709343</v>
      </c>
      <c r="Y48">
        <v>1604.2857140000001</v>
      </c>
      <c r="AA48">
        <v>7.5</v>
      </c>
      <c r="AB48">
        <v>0</v>
      </c>
      <c r="AC48">
        <v>0</v>
      </c>
      <c r="AD48">
        <v>0</v>
      </c>
      <c r="AE48">
        <v>7.5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 t="s">
        <v>3</v>
      </c>
      <c r="AT48">
        <v>1604.2857140000001</v>
      </c>
      <c r="AU48" t="s">
        <v>3</v>
      </c>
      <c r="AV48">
        <v>0</v>
      </c>
      <c r="AW48">
        <v>1</v>
      </c>
      <c r="AX48">
        <v>-1</v>
      </c>
      <c r="AY48">
        <v>0</v>
      </c>
      <c r="AZ48">
        <v>0</v>
      </c>
      <c r="BA48" t="s">
        <v>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Y48*Source!I120</f>
        <v>4491.9999992000003</v>
      </c>
      <c r="CY48">
        <f>AA48</f>
        <v>7.5</v>
      </c>
      <c r="CZ48">
        <f>AE48</f>
        <v>7.5</v>
      </c>
      <c r="DA48">
        <f>AI48</f>
        <v>1</v>
      </c>
      <c r="DB48">
        <f t="shared" si="5"/>
        <v>12032.14</v>
      </c>
      <c r="DC48">
        <f t="shared" si="6"/>
        <v>0</v>
      </c>
    </row>
    <row r="49" spans="1:107" x14ac:dyDescent="0.2">
      <c r="A49">
        <f>ROW(Source!A161)</f>
        <v>161</v>
      </c>
      <c r="B49">
        <v>56440881</v>
      </c>
      <c r="C49">
        <v>56441766</v>
      </c>
      <c r="D49">
        <v>52956643</v>
      </c>
      <c r="E49">
        <v>25</v>
      </c>
      <c r="F49">
        <v>1</v>
      </c>
      <c r="G49">
        <v>25</v>
      </c>
      <c r="H49">
        <v>1</v>
      </c>
      <c r="I49" t="s">
        <v>348</v>
      </c>
      <c r="J49" t="s">
        <v>3</v>
      </c>
      <c r="K49" t="s">
        <v>349</v>
      </c>
      <c r="L49">
        <v>1191</v>
      </c>
      <c r="N49">
        <v>1013</v>
      </c>
      <c r="O49" t="s">
        <v>350</v>
      </c>
      <c r="P49" t="s">
        <v>350</v>
      </c>
      <c r="Q49">
        <v>1</v>
      </c>
      <c r="W49">
        <v>0</v>
      </c>
      <c r="X49">
        <v>476480486</v>
      </c>
      <c r="Y49">
        <v>0.6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0.6</v>
      </c>
      <c r="AU49" t="s">
        <v>3</v>
      </c>
      <c r="AV49">
        <v>1</v>
      </c>
      <c r="AW49">
        <v>2</v>
      </c>
      <c r="AX49">
        <v>56441768</v>
      </c>
      <c r="AY49">
        <v>1</v>
      </c>
      <c r="AZ49">
        <v>0</v>
      </c>
      <c r="BA49">
        <v>42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Y49*Source!I161</f>
        <v>237.6</v>
      </c>
      <c r="CY49">
        <f>AD49</f>
        <v>0</v>
      </c>
      <c r="CZ49">
        <f>AH49</f>
        <v>0</v>
      </c>
      <c r="DA49">
        <f>AL49</f>
        <v>1</v>
      </c>
      <c r="DB49">
        <f t="shared" si="5"/>
        <v>0</v>
      </c>
      <c r="DC49">
        <f t="shared" si="6"/>
        <v>0</v>
      </c>
    </row>
    <row r="50" spans="1:107" x14ac:dyDescent="0.2">
      <c r="A50">
        <f>ROW(Source!A162)</f>
        <v>162</v>
      </c>
      <c r="B50">
        <v>56440881</v>
      </c>
      <c r="C50">
        <v>56441769</v>
      </c>
      <c r="D50">
        <v>52956643</v>
      </c>
      <c r="E50">
        <v>25</v>
      </c>
      <c r="F50">
        <v>1</v>
      </c>
      <c r="G50">
        <v>25</v>
      </c>
      <c r="H50">
        <v>1</v>
      </c>
      <c r="I50" t="s">
        <v>348</v>
      </c>
      <c r="J50" t="s">
        <v>3</v>
      </c>
      <c r="K50" t="s">
        <v>349</v>
      </c>
      <c r="L50">
        <v>1191</v>
      </c>
      <c r="N50">
        <v>1013</v>
      </c>
      <c r="O50" t="s">
        <v>350</v>
      </c>
      <c r="P50" t="s">
        <v>350</v>
      </c>
      <c r="Q50">
        <v>1</v>
      </c>
      <c r="W50">
        <v>0</v>
      </c>
      <c r="X50">
        <v>476480486</v>
      </c>
      <c r="Y50">
        <v>73.8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73.8</v>
      </c>
      <c r="AU50" t="s">
        <v>3</v>
      </c>
      <c r="AV50">
        <v>1</v>
      </c>
      <c r="AW50">
        <v>2</v>
      </c>
      <c r="AX50">
        <v>56441773</v>
      </c>
      <c r="AY50">
        <v>1</v>
      </c>
      <c r="AZ50">
        <v>0</v>
      </c>
      <c r="BA50">
        <v>43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Y50*Source!I162</f>
        <v>487.07999999999993</v>
      </c>
      <c r="CY50">
        <f>AD50</f>
        <v>0</v>
      </c>
      <c r="CZ50">
        <f>AH50</f>
        <v>0</v>
      </c>
      <c r="DA50">
        <f>AL50</f>
        <v>1</v>
      </c>
      <c r="DB50">
        <f t="shared" si="5"/>
        <v>0</v>
      </c>
      <c r="DC50">
        <f t="shared" si="6"/>
        <v>0</v>
      </c>
    </row>
    <row r="51" spans="1:107" x14ac:dyDescent="0.2">
      <c r="A51">
        <f>ROW(Source!A162)</f>
        <v>162</v>
      </c>
      <c r="B51">
        <v>56440881</v>
      </c>
      <c r="C51">
        <v>56441769</v>
      </c>
      <c r="D51">
        <v>52970109</v>
      </c>
      <c r="E51">
        <v>1</v>
      </c>
      <c r="F51">
        <v>1</v>
      </c>
      <c r="G51">
        <v>25</v>
      </c>
      <c r="H51">
        <v>3</v>
      </c>
      <c r="I51" t="s">
        <v>391</v>
      </c>
      <c r="J51" t="s">
        <v>392</v>
      </c>
      <c r="K51" t="s">
        <v>393</v>
      </c>
      <c r="L51">
        <v>1348</v>
      </c>
      <c r="N51">
        <v>1009</v>
      </c>
      <c r="O51" t="s">
        <v>44</v>
      </c>
      <c r="P51" t="s">
        <v>44</v>
      </c>
      <c r="Q51">
        <v>1000</v>
      </c>
      <c r="W51">
        <v>0</v>
      </c>
      <c r="X51">
        <v>-18067997</v>
      </c>
      <c r="Y51">
        <v>1.1299999999999999E-2</v>
      </c>
      <c r="AA51">
        <v>74598.09</v>
      </c>
      <c r="AB51">
        <v>0</v>
      </c>
      <c r="AC51">
        <v>0</v>
      </c>
      <c r="AD51">
        <v>0</v>
      </c>
      <c r="AE51">
        <v>74598.09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1.1299999999999999E-2</v>
      </c>
      <c r="AU51" t="s">
        <v>3</v>
      </c>
      <c r="AV51">
        <v>0</v>
      </c>
      <c r="AW51">
        <v>2</v>
      </c>
      <c r="AX51">
        <v>56441774</v>
      </c>
      <c r="AY51">
        <v>1</v>
      </c>
      <c r="AZ51">
        <v>0</v>
      </c>
      <c r="BA51">
        <v>44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Y51*Source!I162</f>
        <v>7.4579999999999994E-2</v>
      </c>
      <c r="CY51">
        <f>AA51</f>
        <v>74598.09</v>
      </c>
      <c r="CZ51">
        <f>AE51</f>
        <v>74598.09</v>
      </c>
      <c r="DA51">
        <f>AI51</f>
        <v>1</v>
      </c>
      <c r="DB51">
        <f t="shared" si="5"/>
        <v>842.96</v>
      </c>
      <c r="DC51">
        <f t="shared" si="6"/>
        <v>0</v>
      </c>
    </row>
    <row r="52" spans="1:107" x14ac:dyDescent="0.2">
      <c r="A52">
        <f>ROW(Source!A162)</f>
        <v>162</v>
      </c>
      <c r="B52">
        <v>56440881</v>
      </c>
      <c r="C52">
        <v>56441769</v>
      </c>
      <c r="D52">
        <v>52970152</v>
      </c>
      <c r="E52">
        <v>1</v>
      </c>
      <c r="F52">
        <v>1</v>
      </c>
      <c r="G52">
        <v>25</v>
      </c>
      <c r="H52">
        <v>3</v>
      </c>
      <c r="I52" t="s">
        <v>394</v>
      </c>
      <c r="J52" t="s">
        <v>395</v>
      </c>
      <c r="K52" t="s">
        <v>396</v>
      </c>
      <c r="L52">
        <v>1346</v>
      </c>
      <c r="N52">
        <v>1009</v>
      </c>
      <c r="O52" t="s">
        <v>210</v>
      </c>
      <c r="P52" t="s">
        <v>210</v>
      </c>
      <c r="Q52">
        <v>1</v>
      </c>
      <c r="W52">
        <v>0</v>
      </c>
      <c r="X52">
        <v>317910493</v>
      </c>
      <c r="Y52">
        <v>6.8</v>
      </c>
      <c r="AA52">
        <v>80.150000000000006</v>
      </c>
      <c r="AB52">
        <v>0</v>
      </c>
      <c r="AC52">
        <v>0</v>
      </c>
      <c r="AD52">
        <v>0</v>
      </c>
      <c r="AE52">
        <v>80.150000000000006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6.8</v>
      </c>
      <c r="AU52" t="s">
        <v>3</v>
      </c>
      <c r="AV52">
        <v>0</v>
      </c>
      <c r="AW52">
        <v>2</v>
      </c>
      <c r="AX52">
        <v>56441775</v>
      </c>
      <c r="AY52">
        <v>1</v>
      </c>
      <c r="AZ52">
        <v>0</v>
      </c>
      <c r="BA52">
        <v>45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Y52*Source!I162</f>
        <v>44.879999999999995</v>
      </c>
      <c r="CY52">
        <f>AA52</f>
        <v>80.150000000000006</v>
      </c>
      <c r="CZ52">
        <f>AE52</f>
        <v>80.150000000000006</v>
      </c>
      <c r="DA52">
        <f>AI52</f>
        <v>1</v>
      </c>
      <c r="DB52">
        <f t="shared" si="5"/>
        <v>545.02</v>
      </c>
      <c r="DC52">
        <f t="shared" si="6"/>
        <v>0</v>
      </c>
    </row>
    <row r="53" spans="1:107" x14ac:dyDescent="0.2">
      <c r="A53">
        <f>ROW(Source!A198)</f>
        <v>198</v>
      </c>
      <c r="B53">
        <v>56440881</v>
      </c>
      <c r="C53">
        <v>56474745</v>
      </c>
      <c r="D53">
        <v>52956643</v>
      </c>
      <c r="E53">
        <v>25</v>
      </c>
      <c r="F53">
        <v>1</v>
      </c>
      <c r="G53">
        <v>25</v>
      </c>
      <c r="H53">
        <v>1</v>
      </c>
      <c r="I53" t="s">
        <v>348</v>
      </c>
      <c r="J53" t="s">
        <v>3</v>
      </c>
      <c r="K53" t="s">
        <v>349</v>
      </c>
      <c r="L53">
        <v>1191</v>
      </c>
      <c r="N53">
        <v>1013</v>
      </c>
      <c r="O53" t="s">
        <v>350</v>
      </c>
      <c r="P53" t="s">
        <v>350</v>
      </c>
      <c r="Q53">
        <v>1</v>
      </c>
      <c r="W53">
        <v>0</v>
      </c>
      <c r="X53">
        <v>476480486</v>
      </c>
      <c r="Y53">
        <v>87.29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87.29</v>
      </c>
      <c r="AU53" t="s">
        <v>3</v>
      </c>
      <c r="AV53">
        <v>1</v>
      </c>
      <c r="AW53">
        <v>2</v>
      </c>
      <c r="AX53">
        <v>56474756</v>
      </c>
      <c r="AY53">
        <v>1</v>
      </c>
      <c r="AZ53">
        <v>0</v>
      </c>
      <c r="BA53">
        <v>46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Y53*Source!I198</f>
        <v>38.861508000000001</v>
      </c>
      <c r="CY53">
        <f>AD53</f>
        <v>0</v>
      </c>
      <c r="CZ53">
        <f>AH53</f>
        <v>0</v>
      </c>
      <c r="DA53">
        <f>AL53</f>
        <v>1</v>
      </c>
      <c r="DB53">
        <f t="shared" si="5"/>
        <v>0</v>
      </c>
      <c r="DC53">
        <f t="shared" si="6"/>
        <v>0</v>
      </c>
    </row>
    <row r="54" spans="1:107" x14ac:dyDescent="0.2">
      <c r="A54">
        <f>ROW(Source!A198)</f>
        <v>198</v>
      </c>
      <c r="B54">
        <v>56440881</v>
      </c>
      <c r="C54">
        <v>56474745</v>
      </c>
      <c r="D54">
        <v>52968814</v>
      </c>
      <c r="E54">
        <v>1</v>
      </c>
      <c r="F54">
        <v>1</v>
      </c>
      <c r="G54">
        <v>25</v>
      </c>
      <c r="H54">
        <v>2</v>
      </c>
      <c r="I54" t="s">
        <v>351</v>
      </c>
      <c r="J54" t="s">
        <v>352</v>
      </c>
      <c r="K54" t="s">
        <v>353</v>
      </c>
      <c r="L54">
        <v>1368</v>
      </c>
      <c r="N54">
        <v>1011</v>
      </c>
      <c r="O54" t="s">
        <v>354</v>
      </c>
      <c r="P54" t="s">
        <v>354</v>
      </c>
      <c r="Q54">
        <v>1</v>
      </c>
      <c r="W54">
        <v>0</v>
      </c>
      <c r="X54">
        <v>1062203425</v>
      </c>
      <c r="Y54">
        <v>1.59</v>
      </c>
      <c r="AA54">
        <v>0</v>
      </c>
      <c r="AB54">
        <v>1159.46</v>
      </c>
      <c r="AC54">
        <v>525.74</v>
      </c>
      <c r="AD54">
        <v>0</v>
      </c>
      <c r="AE54">
        <v>0</v>
      </c>
      <c r="AF54">
        <v>1159.46</v>
      </c>
      <c r="AG54">
        <v>525.74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1.59</v>
      </c>
      <c r="AU54" t="s">
        <v>3</v>
      </c>
      <c r="AV54">
        <v>0</v>
      </c>
      <c r="AW54">
        <v>2</v>
      </c>
      <c r="AX54">
        <v>56474757</v>
      </c>
      <c r="AY54">
        <v>1</v>
      </c>
      <c r="AZ54">
        <v>0</v>
      </c>
      <c r="BA54">
        <v>47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Y54*Source!I198</f>
        <v>0.70786800000000005</v>
      </c>
      <c r="CY54">
        <f>AB54</f>
        <v>1159.46</v>
      </c>
      <c r="CZ54">
        <f>AF54</f>
        <v>1159.46</v>
      </c>
      <c r="DA54">
        <f>AJ54</f>
        <v>1</v>
      </c>
      <c r="DB54">
        <f t="shared" si="5"/>
        <v>1843.54</v>
      </c>
      <c r="DC54">
        <f t="shared" si="6"/>
        <v>835.93</v>
      </c>
    </row>
    <row r="55" spans="1:107" x14ac:dyDescent="0.2">
      <c r="A55">
        <f>ROW(Source!A198)</f>
        <v>198</v>
      </c>
      <c r="B55">
        <v>56440881</v>
      </c>
      <c r="C55">
        <v>56474745</v>
      </c>
      <c r="D55">
        <v>52968971</v>
      </c>
      <c r="E55">
        <v>1</v>
      </c>
      <c r="F55">
        <v>1</v>
      </c>
      <c r="G55">
        <v>25</v>
      </c>
      <c r="H55">
        <v>2</v>
      </c>
      <c r="I55" t="s">
        <v>355</v>
      </c>
      <c r="J55" t="s">
        <v>356</v>
      </c>
      <c r="K55" t="s">
        <v>357</v>
      </c>
      <c r="L55">
        <v>1368</v>
      </c>
      <c r="N55">
        <v>1011</v>
      </c>
      <c r="O55" t="s">
        <v>354</v>
      </c>
      <c r="P55" t="s">
        <v>354</v>
      </c>
      <c r="Q55">
        <v>1</v>
      </c>
      <c r="W55">
        <v>0</v>
      </c>
      <c r="X55">
        <v>829773688</v>
      </c>
      <c r="Y55">
        <v>5.15</v>
      </c>
      <c r="AA55">
        <v>0</v>
      </c>
      <c r="AB55">
        <v>1236.3</v>
      </c>
      <c r="AC55">
        <v>469.98</v>
      </c>
      <c r="AD55">
        <v>0</v>
      </c>
      <c r="AE55">
        <v>0</v>
      </c>
      <c r="AF55">
        <v>1236.3</v>
      </c>
      <c r="AG55">
        <v>469.98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5.15</v>
      </c>
      <c r="AU55" t="s">
        <v>3</v>
      </c>
      <c r="AV55">
        <v>0</v>
      </c>
      <c r="AW55">
        <v>2</v>
      </c>
      <c r="AX55">
        <v>56474758</v>
      </c>
      <c r="AY55">
        <v>1</v>
      </c>
      <c r="AZ55">
        <v>0</v>
      </c>
      <c r="BA55">
        <v>48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Y55*Source!I198</f>
        <v>2.29278</v>
      </c>
      <c r="CY55">
        <f>AB55</f>
        <v>1236.3</v>
      </c>
      <c r="CZ55">
        <f>AF55</f>
        <v>1236.3</v>
      </c>
      <c r="DA55">
        <f>AJ55</f>
        <v>1</v>
      </c>
      <c r="DB55">
        <f t="shared" si="5"/>
        <v>6366.95</v>
      </c>
      <c r="DC55">
        <f t="shared" si="6"/>
        <v>2420.4</v>
      </c>
    </row>
    <row r="56" spans="1:107" x14ac:dyDescent="0.2">
      <c r="A56">
        <f>ROW(Source!A198)</f>
        <v>198</v>
      </c>
      <c r="B56">
        <v>56440881</v>
      </c>
      <c r="C56">
        <v>56474745</v>
      </c>
      <c r="D56">
        <v>52968957</v>
      </c>
      <c r="E56">
        <v>1</v>
      </c>
      <c r="F56">
        <v>1</v>
      </c>
      <c r="G56">
        <v>25</v>
      </c>
      <c r="H56">
        <v>2</v>
      </c>
      <c r="I56" t="s">
        <v>358</v>
      </c>
      <c r="J56" t="s">
        <v>359</v>
      </c>
      <c r="K56" t="s">
        <v>360</v>
      </c>
      <c r="L56">
        <v>1368</v>
      </c>
      <c r="N56">
        <v>1011</v>
      </c>
      <c r="O56" t="s">
        <v>354</v>
      </c>
      <c r="P56" t="s">
        <v>354</v>
      </c>
      <c r="Q56">
        <v>1</v>
      </c>
      <c r="W56">
        <v>0</v>
      </c>
      <c r="X56">
        <v>-2094009474</v>
      </c>
      <c r="Y56">
        <v>11.26</v>
      </c>
      <c r="AA56">
        <v>0</v>
      </c>
      <c r="AB56">
        <v>1207.81</v>
      </c>
      <c r="AC56">
        <v>504.4</v>
      </c>
      <c r="AD56">
        <v>0</v>
      </c>
      <c r="AE56">
        <v>0</v>
      </c>
      <c r="AF56">
        <v>1207.81</v>
      </c>
      <c r="AG56">
        <v>504.4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11.26</v>
      </c>
      <c r="AU56" t="s">
        <v>3</v>
      </c>
      <c r="AV56">
        <v>0</v>
      </c>
      <c r="AW56">
        <v>2</v>
      </c>
      <c r="AX56">
        <v>56474759</v>
      </c>
      <c r="AY56">
        <v>1</v>
      </c>
      <c r="AZ56">
        <v>0</v>
      </c>
      <c r="BA56">
        <v>49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Y56*Source!I198</f>
        <v>5.0129519999999994</v>
      </c>
      <c r="CY56">
        <f>AB56</f>
        <v>1207.81</v>
      </c>
      <c r="CZ56">
        <f>AF56</f>
        <v>1207.81</v>
      </c>
      <c r="DA56">
        <f>AJ56</f>
        <v>1</v>
      </c>
      <c r="DB56">
        <f t="shared" si="5"/>
        <v>13599.94</v>
      </c>
      <c r="DC56">
        <f t="shared" si="6"/>
        <v>5679.54</v>
      </c>
    </row>
    <row r="57" spans="1:107" x14ac:dyDescent="0.2">
      <c r="A57">
        <f>ROW(Source!A198)</f>
        <v>198</v>
      </c>
      <c r="B57">
        <v>56440881</v>
      </c>
      <c r="C57">
        <v>56474745</v>
      </c>
      <c r="D57">
        <v>52968958</v>
      </c>
      <c r="E57">
        <v>1</v>
      </c>
      <c r="F57">
        <v>1</v>
      </c>
      <c r="G57">
        <v>25</v>
      </c>
      <c r="H57">
        <v>2</v>
      </c>
      <c r="I57" t="s">
        <v>361</v>
      </c>
      <c r="J57" t="s">
        <v>362</v>
      </c>
      <c r="K57" t="s">
        <v>363</v>
      </c>
      <c r="L57">
        <v>1368</v>
      </c>
      <c r="N57">
        <v>1011</v>
      </c>
      <c r="O57" t="s">
        <v>354</v>
      </c>
      <c r="P57" t="s">
        <v>354</v>
      </c>
      <c r="Q57">
        <v>1</v>
      </c>
      <c r="W57">
        <v>0</v>
      </c>
      <c r="X57">
        <v>-1845376792</v>
      </c>
      <c r="Y57">
        <v>32.19</v>
      </c>
      <c r="AA57">
        <v>0</v>
      </c>
      <c r="AB57">
        <v>1741.23</v>
      </c>
      <c r="AC57">
        <v>685.71</v>
      </c>
      <c r="AD57">
        <v>0</v>
      </c>
      <c r="AE57">
        <v>0</v>
      </c>
      <c r="AF57">
        <v>1741.23</v>
      </c>
      <c r="AG57">
        <v>685.71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32.19</v>
      </c>
      <c r="AU57" t="s">
        <v>3</v>
      </c>
      <c r="AV57">
        <v>0</v>
      </c>
      <c r="AW57">
        <v>2</v>
      </c>
      <c r="AX57">
        <v>56474760</v>
      </c>
      <c r="AY57">
        <v>1</v>
      </c>
      <c r="AZ57">
        <v>0</v>
      </c>
      <c r="BA57">
        <v>50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Y57*Source!I198</f>
        <v>14.330987999999998</v>
      </c>
      <c r="CY57">
        <f>AB57</f>
        <v>1741.23</v>
      </c>
      <c r="CZ57">
        <f>AF57</f>
        <v>1741.23</v>
      </c>
      <c r="DA57">
        <f>AJ57</f>
        <v>1</v>
      </c>
      <c r="DB57">
        <f t="shared" si="5"/>
        <v>56050.19</v>
      </c>
      <c r="DC57">
        <f t="shared" si="6"/>
        <v>22073</v>
      </c>
    </row>
    <row r="58" spans="1:107" x14ac:dyDescent="0.2">
      <c r="A58">
        <f>ROW(Source!A198)</f>
        <v>198</v>
      </c>
      <c r="B58">
        <v>56440881</v>
      </c>
      <c r="C58">
        <v>56474745</v>
      </c>
      <c r="D58">
        <v>52968995</v>
      </c>
      <c r="E58">
        <v>1</v>
      </c>
      <c r="F58">
        <v>1</v>
      </c>
      <c r="G58">
        <v>25</v>
      </c>
      <c r="H58">
        <v>2</v>
      </c>
      <c r="I58" t="s">
        <v>364</v>
      </c>
      <c r="J58" t="s">
        <v>365</v>
      </c>
      <c r="K58" t="s">
        <v>366</v>
      </c>
      <c r="L58">
        <v>1368</v>
      </c>
      <c r="N58">
        <v>1011</v>
      </c>
      <c r="O58" t="s">
        <v>354</v>
      </c>
      <c r="P58" t="s">
        <v>354</v>
      </c>
      <c r="Q58">
        <v>1</v>
      </c>
      <c r="W58">
        <v>0</v>
      </c>
      <c r="X58">
        <v>-1613012731</v>
      </c>
      <c r="Y58">
        <v>5.81</v>
      </c>
      <c r="AA58">
        <v>0</v>
      </c>
      <c r="AB58">
        <v>1467.62</v>
      </c>
      <c r="AC58">
        <v>682.01</v>
      </c>
      <c r="AD58">
        <v>0</v>
      </c>
      <c r="AE58">
        <v>0</v>
      </c>
      <c r="AF58">
        <v>1467.62</v>
      </c>
      <c r="AG58">
        <v>682.01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5.81</v>
      </c>
      <c r="AU58" t="s">
        <v>3</v>
      </c>
      <c r="AV58">
        <v>0</v>
      </c>
      <c r="AW58">
        <v>2</v>
      </c>
      <c r="AX58">
        <v>56474761</v>
      </c>
      <c r="AY58">
        <v>1</v>
      </c>
      <c r="AZ58">
        <v>0</v>
      </c>
      <c r="BA58">
        <v>51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Y58*Source!I198</f>
        <v>2.5866119999999997</v>
      </c>
      <c r="CY58">
        <f>AB58</f>
        <v>1467.62</v>
      </c>
      <c r="CZ58">
        <f>AF58</f>
        <v>1467.62</v>
      </c>
      <c r="DA58">
        <f>AJ58</f>
        <v>1</v>
      </c>
      <c r="DB58">
        <f t="shared" si="5"/>
        <v>8526.8700000000008</v>
      </c>
      <c r="DC58">
        <f t="shared" si="6"/>
        <v>3962.48</v>
      </c>
    </row>
    <row r="59" spans="1:107" x14ac:dyDescent="0.2">
      <c r="A59">
        <f>ROW(Source!A198)</f>
        <v>198</v>
      </c>
      <c r="B59">
        <v>56440881</v>
      </c>
      <c r="C59">
        <v>56474745</v>
      </c>
      <c r="D59">
        <v>52970930</v>
      </c>
      <c r="E59">
        <v>1</v>
      </c>
      <c r="F59">
        <v>1</v>
      </c>
      <c r="G59">
        <v>25</v>
      </c>
      <c r="H59">
        <v>3</v>
      </c>
      <c r="I59" t="s">
        <v>33</v>
      </c>
      <c r="J59" t="s">
        <v>35</v>
      </c>
      <c r="K59" t="s">
        <v>34</v>
      </c>
      <c r="L59">
        <v>1339</v>
      </c>
      <c r="N59">
        <v>1007</v>
      </c>
      <c r="O59" t="s">
        <v>26</v>
      </c>
      <c r="P59" t="s">
        <v>26</v>
      </c>
      <c r="Q59">
        <v>1</v>
      </c>
      <c r="W59">
        <v>0</v>
      </c>
      <c r="X59">
        <v>2025333854</v>
      </c>
      <c r="Y59">
        <v>66.5</v>
      </c>
      <c r="AA59">
        <v>1487.52</v>
      </c>
      <c r="AB59">
        <v>0</v>
      </c>
      <c r="AC59">
        <v>0</v>
      </c>
      <c r="AD59">
        <v>0</v>
      </c>
      <c r="AE59">
        <v>1487.52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 t="s">
        <v>3</v>
      </c>
      <c r="AT59">
        <v>66.5</v>
      </c>
      <c r="AU59" t="s">
        <v>3</v>
      </c>
      <c r="AV59">
        <v>0</v>
      </c>
      <c r="AW59">
        <v>1</v>
      </c>
      <c r="AX59">
        <v>-1</v>
      </c>
      <c r="AY59">
        <v>0</v>
      </c>
      <c r="AZ59">
        <v>0</v>
      </c>
      <c r="BA59" t="s">
        <v>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Y59*Source!I198</f>
        <v>29.605799999999999</v>
      </c>
      <c r="CY59">
        <f>AA59</f>
        <v>1487.52</v>
      </c>
      <c r="CZ59">
        <f>AE59</f>
        <v>1487.52</v>
      </c>
      <c r="DA59">
        <f>AI59</f>
        <v>1</v>
      </c>
      <c r="DB59">
        <f t="shared" si="5"/>
        <v>98920.08</v>
      </c>
      <c r="DC59">
        <f t="shared" si="6"/>
        <v>0</v>
      </c>
    </row>
    <row r="60" spans="1:107" x14ac:dyDescent="0.2">
      <c r="A60">
        <f>ROW(Source!A198)</f>
        <v>198</v>
      </c>
      <c r="B60">
        <v>56440881</v>
      </c>
      <c r="C60">
        <v>56474745</v>
      </c>
      <c r="D60">
        <v>52970936</v>
      </c>
      <c r="E60">
        <v>1</v>
      </c>
      <c r="F60">
        <v>1</v>
      </c>
      <c r="G60">
        <v>25</v>
      </c>
      <c r="H60">
        <v>3</v>
      </c>
      <c r="I60" t="s">
        <v>24</v>
      </c>
      <c r="J60" t="s">
        <v>27</v>
      </c>
      <c r="K60" t="s">
        <v>25</v>
      </c>
      <c r="L60">
        <v>1339</v>
      </c>
      <c r="N60">
        <v>1007</v>
      </c>
      <c r="O60" t="s">
        <v>26</v>
      </c>
      <c r="P60" t="s">
        <v>26</v>
      </c>
      <c r="Q60">
        <v>1</v>
      </c>
      <c r="W60">
        <v>1</v>
      </c>
      <c r="X60">
        <v>-1830627637</v>
      </c>
      <c r="Y60">
        <v>-11.5</v>
      </c>
      <c r="AA60">
        <v>1908.27</v>
      </c>
      <c r="AB60">
        <v>0</v>
      </c>
      <c r="AC60">
        <v>0</v>
      </c>
      <c r="AD60">
        <v>0</v>
      </c>
      <c r="AE60">
        <v>1908.27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-11.5</v>
      </c>
      <c r="AU60" t="s">
        <v>3</v>
      </c>
      <c r="AV60">
        <v>0</v>
      </c>
      <c r="AW60">
        <v>2</v>
      </c>
      <c r="AX60">
        <v>56474762</v>
      </c>
      <c r="AY60">
        <v>1</v>
      </c>
      <c r="AZ60">
        <v>6144</v>
      </c>
      <c r="BA60">
        <v>52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Y60*Source!I198</f>
        <v>-5.1197999999999997</v>
      </c>
      <c r="CY60">
        <f>AA60</f>
        <v>1908.27</v>
      </c>
      <c r="CZ60">
        <f>AE60</f>
        <v>1908.27</v>
      </c>
      <c r="DA60">
        <f>AI60</f>
        <v>1</v>
      </c>
      <c r="DB60">
        <f t="shared" si="5"/>
        <v>-21945.11</v>
      </c>
      <c r="DC60">
        <f t="shared" si="6"/>
        <v>0</v>
      </c>
    </row>
    <row r="61" spans="1:107" x14ac:dyDescent="0.2">
      <c r="A61">
        <f>ROW(Source!A198)</f>
        <v>198</v>
      </c>
      <c r="B61">
        <v>56440881</v>
      </c>
      <c r="C61">
        <v>56474745</v>
      </c>
      <c r="D61">
        <v>52970937</v>
      </c>
      <c r="E61">
        <v>1</v>
      </c>
      <c r="F61">
        <v>1</v>
      </c>
      <c r="G61">
        <v>25</v>
      </c>
      <c r="H61">
        <v>3</v>
      </c>
      <c r="I61" t="s">
        <v>29</v>
      </c>
      <c r="J61" t="s">
        <v>31</v>
      </c>
      <c r="K61" t="s">
        <v>30</v>
      </c>
      <c r="L61">
        <v>1339</v>
      </c>
      <c r="N61">
        <v>1007</v>
      </c>
      <c r="O61" t="s">
        <v>26</v>
      </c>
      <c r="P61" t="s">
        <v>26</v>
      </c>
      <c r="Q61">
        <v>1</v>
      </c>
      <c r="W61">
        <v>1</v>
      </c>
      <c r="X61">
        <v>407286016</v>
      </c>
      <c r="Y61">
        <v>-55</v>
      </c>
      <c r="AA61">
        <v>1806.27</v>
      </c>
      <c r="AB61">
        <v>0</v>
      </c>
      <c r="AC61">
        <v>0</v>
      </c>
      <c r="AD61">
        <v>0</v>
      </c>
      <c r="AE61">
        <v>1806.27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-55</v>
      </c>
      <c r="AU61" t="s">
        <v>3</v>
      </c>
      <c r="AV61">
        <v>0</v>
      </c>
      <c r="AW61">
        <v>2</v>
      </c>
      <c r="AX61">
        <v>56474763</v>
      </c>
      <c r="AY61">
        <v>1</v>
      </c>
      <c r="AZ61">
        <v>6144</v>
      </c>
      <c r="BA61">
        <v>53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Y61*Source!I198</f>
        <v>-24.486000000000001</v>
      </c>
      <c r="CY61">
        <f>AA61</f>
        <v>1806.27</v>
      </c>
      <c r="CZ61">
        <f>AE61</f>
        <v>1806.27</v>
      </c>
      <c r="DA61">
        <f>AI61</f>
        <v>1</v>
      </c>
      <c r="DB61">
        <f t="shared" si="5"/>
        <v>-99344.85</v>
      </c>
      <c r="DC61">
        <f t="shared" si="6"/>
        <v>0</v>
      </c>
    </row>
    <row r="62" spans="1:107" x14ac:dyDescent="0.2">
      <c r="A62">
        <f>ROW(Source!A198)</f>
        <v>198</v>
      </c>
      <c r="B62">
        <v>56440881</v>
      </c>
      <c r="C62">
        <v>56474745</v>
      </c>
      <c r="D62">
        <v>52971654</v>
      </c>
      <c r="E62">
        <v>1</v>
      </c>
      <c r="F62">
        <v>1</v>
      </c>
      <c r="G62">
        <v>25</v>
      </c>
      <c r="H62">
        <v>3</v>
      </c>
      <c r="I62" t="s">
        <v>367</v>
      </c>
      <c r="J62" t="s">
        <v>368</v>
      </c>
      <c r="K62" t="s">
        <v>369</v>
      </c>
      <c r="L62">
        <v>1339</v>
      </c>
      <c r="N62">
        <v>1007</v>
      </c>
      <c r="O62" t="s">
        <v>26</v>
      </c>
      <c r="P62" t="s">
        <v>26</v>
      </c>
      <c r="Q62">
        <v>1</v>
      </c>
      <c r="W62">
        <v>0</v>
      </c>
      <c r="X62">
        <v>1964795396</v>
      </c>
      <c r="Y62">
        <v>25</v>
      </c>
      <c r="AA62">
        <v>33.729999999999997</v>
      </c>
      <c r="AB62">
        <v>0</v>
      </c>
      <c r="AC62">
        <v>0</v>
      </c>
      <c r="AD62">
        <v>0</v>
      </c>
      <c r="AE62">
        <v>33.729999999999997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 t="s">
        <v>3</v>
      </c>
      <c r="AT62">
        <v>25</v>
      </c>
      <c r="AU62" t="s">
        <v>3</v>
      </c>
      <c r="AV62">
        <v>0</v>
      </c>
      <c r="AW62">
        <v>2</v>
      </c>
      <c r="AX62">
        <v>56474764</v>
      </c>
      <c r="AY62">
        <v>1</v>
      </c>
      <c r="AZ62">
        <v>0</v>
      </c>
      <c r="BA62">
        <v>54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Y62*Source!I198</f>
        <v>11.129999999999999</v>
      </c>
      <c r="CY62">
        <f>AA62</f>
        <v>33.729999999999997</v>
      </c>
      <c r="CZ62">
        <f>AE62</f>
        <v>33.729999999999997</v>
      </c>
      <c r="DA62">
        <f>AI62</f>
        <v>1</v>
      </c>
      <c r="DB62">
        <f t="shared" si="5"/>
        <v>843.25</v>
      </c>
      <c r="DC62">
        <f t="shared" si="6"/>
        <v>0</v>
      </c>
    </row>
    <row r="63" spans="1:107" x14ac:dyDescent="0.2">
      <c r="A63">
        <f>ROW(Source!A202)</f>
        <v>202</v>
      </c>
      <c r="B63">
        <v>56440881</v>
      </c>
      <c r="C63">
        <v>56441799</v>
      </c>
      <c r="D63">
        <v>52956643</v>
      </c>
      <c r="E63">
        <v>25</v>
      </c>
      <c r="F63">
        <v>1</v>
      </c>
      <c r="G63">
        <v>25</v>
      </c>
      <c r="H63">
        <v>1</v>
      </c>
      <c r="I63" t="s">
        <v>348</v>
      </c>
      <c r="J63" t="s">
        <v>3</v>
      </c>
      <c r="K63" t="s">
        <v>349</v>
      </c>
      <c r="L63">
        <v>1191</v>
      </c>
      <c r="N63">
        <v>1013</v>
      </c>
      <c r="O63" t="s">
        <v>350</v>
      </c>
      <c r="P63" t="s">
        <v>350</v>
      </c>
      <c r="Q63">
        <v>1</v>
      </c>
      <c r="W63">
        <v>0</v>
      </c>
      <c r="X63">
        <v>476480486</v>
      </c>
      <c r="Y63">
        <v>134.08000000000001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134.08000000000001</v>
      </c>
      <c r="AU63" t="s">
        <v>3</v>
      </c>
      <c r="AV63">
        <v>1</v>
      </c>
      <c r="AW63">
        <v>2</v>
      </c>
      <c r="AX63">
        <v>56441807</v>
      </c>
      <c r="AY63">
        <v>1</v>
      </c>
      <c r="AZ63">
        <v>0</v>
      </c>
      <c r="BA63">
        <v>55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Y63*Source!I202</f>
        <v>1989.7472000000002</v>
      </c>
      <c r="CY63">
        <f>AD63</f>
        <v>0</v>
      </c>
      <c r="CZ63">
        <f>AH63</f>
        <v>0</v>
      </c>
      <c r="DA63">
        <f>AL63</f>
        <v>1</v>
      </c>
      <c r="DB63">
        <f t="shared" si="5"/>
        <v>0</v>
      </c>
      <c r="DC63">
        <f t="shared" si="6"/>
        <v>0</v>
      </c>
    </row>
    <row r="64" spans="1:107" x14ac:dyDescent="0.2">
      <c r="A64">
        <f>ROW(Source!A202)</f>
        <v>202</v>
      </c>
      <c r="B64">
        <v>56440881</v>
      </c>
      <c r="C64">
        <v>56441799</v>
      </c>
      <c r="D64">
        <v>52969401</v>
      </c>
      <c r="E64">
        <v>1</v>
      </c>
      <c r="F64">
        <v>1</v>
      </c>
      <c r="G64">
        <v>25</v>
      </c>
      <c r="H64">
        <v>2</v>
      </c>
      <c r="I64" t="s">
        <v>397</v>
      </c>
      <c r="J64" t="s">
        <v>398</v>
      </c>
      <c r="K64" t="s">
        <v>399</v>
      </c>
      <c r="L64">
        <v>1368</v>
      </c>
      <c r="N64">
        <v>1011</v>
      </c>
      <c r="O64" t="s">
        <v>354</v>
      </c>
      <c r="P64" t="s">
        <v>354</v>
      </c>
      <c r="Q64">
        <v>1</v>
      </c>
      <c r="W64">
        <v>0</v>
      </c>
      <c r="X64">
        <v>1138224411</v>
      </c>
      <c r="Y64">
        <v>4.0999999999999996</v>
      </c>
      <c r="AA64">
        <v>0</v>
      </c>
      <c r="AB64">
        <v>88.33</v>
      </c>
      <c r="AC64">
        <v>4.1399999999999997</v>
      </c>
      <c r="AD64">
        <v>0</v>
      </c>
      <c r="AE64">
        <v>0</v>
      </c>
      <c r="AF64">
        <v>88.33</v>
      </c>
      <c r="AG64">
        <v>4.1399999999999997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4.0999999999999996</v>
      </c>
      <c r="AU64" t="s">
        <v>3</v>
      </c>
      <c r="AV64">
        <v>0</v>
      </c>
      <c r="AW64">
        <v>2</v>
      </c>
      <c r="AX64">
        <v>56441808</v>
      </c>
      <c r="AY64">
        <v>1</v>
      </c>
      <c r="AZ64">
        <v>0</v>
      </c>
      <c r="BA64">
        <v>56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Y64*Source!I202</f>
        <v>60.843999999999994</v>
      </c>
      <c r="CY64">
        <f>AB64</f>
        <v>88.33</v>
      </c>
      <c r="CZ64">
        <f>AF64</f>
        <v>88.33</v>
      </c>
      <c r="DA64">
        <f>AJ64</f>
        <v>1</v>
      </c>
      <c r="DB64">
        <f t="shared" si="5"/>
        <v>362.15</v>
      </c>
      <c r="DC64">
        <f t="shared" si="6"/>
        <v>16.97</v>
      </c>
    </row>
    <row r="65" spans="1:107" x14ac:dyDescent="0.2">
      <c r="A65">
        <f>ROW(Source!A202)</f>
        <v>202</v>
      </c>
      <c r="B65">
        <v>56440881</v>
      </c>
      <c r="C65">
        <v>56441799</v>
      </c>
      <c r="D65">
        <v>52969611</v>
      </c>
      <c r="E65">
        <v>1</v>
      </c>
      <c r="F65">
        <v>1</v>
      </c>
      <c r="G65">
        <v>25</v>
      </c>
      <c r="H65">
        <v>2</v>
      </c>
      <c r="I65" t="s">
        <v>400</v>
      </c>
      <c r="J65" t="s">
        <v>401</v>
      </c>
      <c r="K65" t="s">
        <v>402</v>
      </c>
      <c r="L65">
        <v>1368</v>
      </c>
      <c r="N65">
        <v>1011</v>
      </c>
      <c r="O65" t="s">
        <v>354</v>
      </c>
      <c r="P65" t="s">
        <v>354</v>
      </c>
      <c r="Q65">
        <v>1</v>
      </c>
      <c r="W65">
        <v>0</v>
      </c>
      <c r="X65">
        <v>-114073091</v>
      </c>
      <c r="Y65">
        <v>2.1800000000000002</v>
      </c>
      <c r="AA65">
        <v>0</v>
      </c>
      <c r="AB65">
        <v>3.96</v>
      </c>
      <c r="AC65">
        <v>0.01</v>
      </c>
      <c r="AD65">
        <v>0</v>
      </c>
      <c r="AE65">
        <v>0</v>
      </c>
      <c r="AF65">
        <v>3.96</v>
      </c>
      <c r="AG65">
        <v>0.01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2.1800000000000002</v>
      </c>
      <c r="AU65" t="s">
        <v>3</v>
      </c>
      <c r="AV65">
        <v>0</v>
      </c>
      <c r="AW65">
        <v>2</v>
      </c>
      <c r="AX65">
        <v>56441809</v>
      </c>
      <c r="AY65">
        <v>1</v>
      </c>
      <c r="AZ65">
        <v>0</v>
      </c>
      <c r="BA65">
        <v>57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Y65*Source!I202</f>
        <v>32.351199999999999</v>
      </c>
      <c r="CY65">
        <f>AB65</f>
        <v>3.96</v>
      </c>
      <c r="CZ65">
        <f>AF65</f>
        <v>3.96</v>
      </c>
      <c r="DA65">
        <f>AJ65</f>
        <v>1</v>
      </c>
      <c r="DB65">
        <f t="shared" si="5"/>
        <v>8.6300000000000008</v>
      </c>
      <c r="DC65">
        <f t="shared" si="6"/>
        <v>0.02</v>
      </c>
    </row>
    <row r="66" spans="1:107" x14ac:dyDescent="0.2">
      <c r="A66">
        <f>ROW(Source!A202)</f>
        <v>202</v>
      </c>
      <c r="B66">
        <v>56440881</v>
      </c>
      <c r="C66">
        <v>56441799</v>
      </c>
      <c r="D66">
        <v>52970912</v>
      </c>
      <c r="E66">
        <v>1</v>
      </c>
      <c r="F66">
        <v>1</v>
      </c>
      <c r="G66">
        <v>25</v>
      </c>
      <c r="H66">
        <v>3</v>
      </c>
      <c r="I66" t="s">
        <v>403</v>
      </c>
      <c r="J66" t="s">
        <v>404</v>
      </c>
      <c r="K66" t="s">
        <v>405</v>
      </c>
      <c r="L66">
        <v>1339</v>
      </c>
      <c r="N66">
        <v>1007</v>
      </c>
      <c r="O66" t="s">
        <v>26</v>
      </c>
      <c r="P66" t="s">
        <v>26</v>
      </c>
      <c r="Q66">
        <v>1</v>
      </c>
      <c r="W66">
        <v>0</v>
      </c>
      <c r="X66">
        <v>-1554032928</v>
      </c>
      <c r="Y66">
        <v>0.21</v>
      </c>
      <c r="AA66">
        <v>590.78</v>
      </c>
      <c r="AB66">
        <v>0</v>
      </c>
      <c r="AC66">
        <v>0</v>
      </c>
      <c r="AD66">
        <v>0</v>
      </c>
      <c r="AE66">
        <v>590.78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0.21</v>
      </c>
      <c r="AU66" t="s">
        <v>3</v>
      </c>
      <c r="AV66">
        <v>0</v>
      </c>
      <c r="AW66">
        <v>2</v>
      </c>
      <c r="AX66">
        <v>56441810</v>
      </c>
      <c r="AY66">
        <v>1</v>
      </c>
      <c r="AZ66">
        <v>0</v>
      </c>
      <c r="BA66">
        <v>58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Y66*Source!I202</f>
        <v>3.1164000000000001</v>
      </c>
      <c r="CY66">
        <f>AA66</f>
        <v>590.78</v>
      </c>
      <c r="CZ66">
        <f>AE66</f>
        <v>590.78</v>
      </c>
      <c r="DA66">
        <f>AI66</f>
        <v>1</v>
      </c>
      <c r="DB66">
        <f t="shared" si="5"/>
        <v>124.06</v>
      </c>
      <c r="DC66">
        <f t="shared" si="6"/>
        <v>0</v>
      </c>
    </row>
    <row r="67" spans="1:107" x14ac:dyDescent="0.2">
      <c r="A67">
        <f>ROW(Source!A202)</f>
        <v>202</v>
      </c>
      <c r="B67">
        <v>56440881</v>
      </c>
      <c r="C67">
        <v>56441799</v>
      </c>
      <c r="D67">
        <v>52972701</v>
      </c>
      <c r="E67">
        <v>1</v>
      </c>
      <c r="F67">
        <v>1</v>
      </c>
      <c r="G67">
        <v>25</v>
      </c>
      <c r="H67">
        <v>3</v>
      </c>
      <c r="I67" t="s">
        <v>406</v>
      </c>
      <c r="J67" t="s">
        <v>407</v>
      </c>
      <c r="K67" t="s">
        <v>408</v>
      </c>
      <c r="L67">
        <v>1348</v>
      </c>
      <c r="N67">
        <v>1009</v>
      </c>
      <c r="O67" t="s">
        <v>44</v>
      </c>
      <c r="P67" t="s">
        <v>44</v>
      </c>
      <c r="Q67">
        <v>1000</v>
      </c>
      <c r="W67">
        <v>0</v>
      </c>
      <c r="X67">
        <v>1327936400</v>
      </c>
      <c r="Y67">
        <v>8.5299999999999994</v>
      </c>
      <c r="AA67">
        <v>3130.47</v>
      </c>
      <c r="AB67">
        <v>0</v>
      </c>
      <c r="AC67">
        <v>0</v>
      </c>
      <c r="AD67">
        <v>0</v>
      </c>
      <c r="AE67">
        <v>3130.47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8.5299999999999994</v>
      </c>
      <c r="AU67" t="s">
        <v>3</v>
      </c>
      <c r="AV67">
        <v>0</v>
      </c>
      <c r="AW67">
        <v>2</v>
      </c>
      <c r="AX67">
        <v>56441811</v>
      </c>
      <c r="AY67">
        <v>1</v>
      </c>
      <c r="AZ67">
        <v>0</v>
      </c>
      <c r="BA67">
        <v>59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Y67*Source!I202</f>
        <v>126.58519999999999</v>
      </c>
      <c r="CY67">
        <f>AA67</f>
        <v>3130.47</v>
      </c>
      <c r="CZ67">
        <f>AE67</f>
        <v>3130.47</v>
      </c>
      <c r="DA67">
        <f>AI67</f>
        <v>1</v>
      </c>
      <c r="DB67">
        <f t="shared" si="5"/>
        <v>26702.91</v>
      </c>
      <c r="DC67">
        <f t="shared" si="6"/>
        <v>0</v>
      </c>
    </row>
    <row r="68" spans="1:107" x14ac:dyDescent="0.2">
      <c r="A68">
        <f>ROW(Source!A202)</f>
        <v>202</v>
      </c>
      <c r="B68">
        <v>56440881</v>
      </c>
      <c r="C68">
        <v>56441799</v>
      </c>
      <c r="D68">
        <v>52973470</v>
      </c>
      <c r="E68">
        <v>1</v>
      </c>
      <c r="F68">
        <v>1</v>
      </c>
      <c r="G68">
        <v>25</v>
      </c>
      <c r="H68">
        <v>3</v>
      </c>
      <c r="I68" t="s">
        <v>189</v>
      </c>
      <c r="J68" t="s">
        <v>191</v>
      </c>
      <c r="K68" t="s">
        <v>190</v>
      </c>
      <c r="L68">
        <v>1327</v>
      </c>
      <c r="N68">
        <v>1005</v>
      </c>
      <c r="O68" t="s">
        <v>157</v>
      </c>
      <c r="P68" t="s">
        <v>157</v>
      </c>
      <c r="Q68">
        <v>1</v>
      </c>
      <c r="W68">
        <v>0</v>
      </c>
      <c r="X68">
        <v>1563995597</v>
      </c>
      <c r="Y68">
        <v>105</v>
      </c>
      <c r="AA68">
        <v>820.08</v>
      </c>
      <c r="AB68">
        <v>0</v>
      </c>
      <c r="AC68">
        <v>0</v>
      </c>
      <c r="AD68">
        <v>0</v>
      </c>
      <c r="AE68">
        <v>820.08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 t="s">
        <v>3</v>
      </c>
      <c r="AT68">
        <v>105</v>
      </c>
      <c r="AU68" t="s">
        <v>3</v>
      </c>
      <c r="AV68">
        <v>0</v>
      </c>
      <c r="AW68">
        <v>1</v>
      </c>
      <c r="AX68">
        <v>-1</v>
      </c>
      <c r="AY68">
        <v>0</v>
      </c>
      <c r="AZ68">
        <v>0</v>
      </c>
      <c r="BA68" t="s">
        <v>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Y68*Source!I202</f>
        <v>1558.2</v>
      </c>
      <c r="CY68">
        <f>AA68</f>
        <v>820.08</v>
      </c>
      <c r="CZ68">
        <f>AE68</f>
        <v>820.08</v>
      </c>
      <c r="DA68">
        <f>AI68</f>
        <v>1</v>
      </c>
      <c r="DB68">
        <f t="shared" si="5"/>
        <v>86108.4</v>
      </c>
      <c r="DC68">
        <f t="shared" si="6"/>
        <v>0</v>
      </c>
    </row>
    <row r="69" spans="1:107" x14ac:dyDescent="0.2">
      <c r="A69">
        <f>ROW(Source!A202)</f>
        <v>202</v>
      </c>
      <c r="B69">
        <v>56440881</v>
      </c>
      <c r="C69">
        <v>56441799</v>
      </c>
      <c r="D69">
        <v>52973861</v>
      </c>
      <c r="E69">
        <v>1</v>
      </c>
      <c r="F69">
        <v>1</v>
      </c>
      <c r="G69">
        <v>25</v>
      </c>
      <c r="H69">
        <v>3</v>
      </c>
      <c r="I69" t="s">
        <v>409</v>
      </c>
      <c r="J69" t="s">
        <v>410</v>
      </c>
      <c r="K69" t="s">
        <v>411</v>
      </c>
      <c r="L69">
        <v>1354</v>
      </c>
      <c r="N69">
        <v>1010</v>
      </c>
      <c r="O69" t="s">
        <v>166</v>
      </c>
      <c r="P69" t="s">
        <v>166</v>
      </c>
      <c r="Q69">
        <v>1</v>
      </c>
      <c r="W69">
        <v>0</v>
      </c>
      <c r="X69">
        <v>365582997</v>
      </c>
      <c r="Y69">
        <v>1.5</v>
      </c>
      <c r="AA69">
        <v>4170.97</v>
      </c>
      <c r="AB69">
        <v>0</v>
      </c>
      <c r="AC69">
        <v>0</v>
      </c>
      <c r="AD69">
        <v>0</v>
      </c>
      <c r="AE69">
        <v>4170.97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1.5</v>
      </c>
      <c r="AU69" t="s">
        <v>3</v>
      </c>
      <c r="AV69">
        <v>0</v>
      </c>
      <c r="AW69">
        <v>2</v>
      </c>
      <c r="AX69">
        <v>56441812</v>
      </c>
      <c r="AY69">
        <v>1</v>
      </c>
      <c r="AZ69">
        <v>0</v>
      </c>
      <c r="BA69">
        <v>60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Y69*Source!I202</f>
        <v>22.259999999999998</v>
      </c>
      <c r="CY69">
        <f>AA69</f>
        <v>4170.97</v>
      </c>
      <c r="CZ69">
        <f>AE69</f>
        <v>4170.97</v>
      </c>
      <c r="DA69">
        <f>AI69</f>
        <v>1</v>
      </c>
      <c r="DB69">
        <f t="shared" si="5"/>
        <v>6256.46</v>
      </c>
      <c r="DC69">
        <f t="shared" si="6"/>
        <v>0</v>
      </c>
    </row>
    <row r="70" spans="1:107" x14ac:dyDescent="0.2">
      <c r="A70">
        <f>ROW(Source!A239)</f>
        <v>239</v>
      </c>
      <c r="B70">
        <v>56440881</v>
      </c>
      <c r="C70">
        <v>56441815</v>
      </c>
      <c r="D70">
        <v>52956643</v>
      </c>
      <c r="E70">
        <v>25</v>
      </c>
      <c r="F70">
        <v>1</v>
      </c>
      <c r="G70">
        <v>25</v>
      </c>
      <c r="H70">
        <v>1</v>
      </c>
      <c r="I70" t="s">
        <v>348</v>
      </c>
      <c r="J70" t="s">
        <v>3</v>
      </c>
      <c r="K70" t="s">
        <v>349</v>
      </c>
      <c r="L70">
        <v>1191</v>
      </c>
      <c r="N70">
        <v>1013</v>
      </c>
      <c r="O70" t="s">
        <v>350</v>
      </c>
      <c r="P70" t="s">
        <v>350</v>
      </c>
      <c r="Q70">
        <v>1</v>
      </c>
      <c r="W70">
        <v>0</v>
      </c>
      <c r="X70">
        <v>476480486</v>
      </c>
      <c r="Y70">
        <v>18.440000000000001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18.440000000000001</v>
      </c>
      <c r="AU70" t="s">
        <v>3</v>
      </c>
      <c r="AV70">
        <v>1</v>
      </c>
      <c r="AW70">
        <v>2</v>
      </c>
      <c r="AX70">
        <v>56441826</v>
      </c>
      <c r="AY70">
        <v>1</v>
      </c>
      <c r="AZ70">
        <v>0</v>
      </c>
      <c r="BA70">
        <v>62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Y70*Source!I239</f>
        <v>72.284800000000004</v>
      </c>
      <c r="CY70">
        <f>AD70</f>
        <v>0</v>
      </c>
      <c r="CZ70">
        <f>AH70</f>
        <v>0</v>
      </c>
      <c r="DA70">
        <f>AL70</f>
        <v>1</v>
      </c>
      <c r="DB70">
        <f t="shared" si="5"/>
        <v>0</v>
      </c>
      <c r="DC70">
        <f t="shared" si="6"/>
        <v>0</v>
      </c>
    </row>
    <row r="71" spans="1:107" x14ac:dyDescent="0.2">
      <c r="A71">
        <f>ROW(Source!A239)</f>
        <v>239</v>
      </c>
      <c r="B71">
        <v>56440881</v>
      </c>
      <c r="C71">
        <v>56441815</v>
      </c>
      <c r="D71">
        <v>52969457</v>
      </c>
      <c r="E71">
        <v>1</v>
      </c>
      <c r="F71">
        <v>1</v>
      </c>
      <c r="G71">
        <v>25</v>
      </c>
      <c r="H71">
        <v>2</v>
      </c>
      <c r="I71" t="s">
        <v>412</v>
      </c>
      <c r="J71" t="s">
        <v>413</v>
      </c>
      <c r="K71" t="s">
        <v>414</v>
      </c>
      <c r="L71">
        <v>1368</v>
      </c>
      <c r="N71">
        <v>1011</v>
      </c>
      <c r="O71" t="s">
        <v>354</v>
      </c>
      <c r="P71" t="s">
        <v>354</v>
      </c>
      <c r="Q71">
        <v>1</v>
      </c>
      <c r="W71">
        <v>0</v>
      </c>
      <c r="X71">
        <v>1717121030</v>
      </c>
      <c r="Y71">
        <v>2.64</v>
      </c>
      <c r="AA71">
        <v>0</v>
      </c>
      <c r="AB71">
        <v>508.57</v>
      </c>
      <c r="AC71">
        <v>355.5</v>
      </c>
      <c r="AD71">
        <v>0</v>
      </c>
      <c r="AE71">
        <v>0</v>
      </c>
      <c r="AF71">
        <v>508.57</v>
      </c>
      <c r="AG71">
        <v>355.5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2.64</v>
      </c>
      <c r="AU71" t="s">
        <v>3</v>
      </c>
      <c r="AV71">
        <v>0</v>
      </c>
      <c r="AW71">
        <v>2</v>
      </c>
      <c r="AX71">
        <v>56441827</v>
      </c>
      <c r="AY71">
        <v>1</v>
      </c>
      <c r="AZ71">
        <v>0</v>
      </c>
      <c r="BA71">
        <v>63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Y71*Source!I239</f>
        <v>10.348800000000001</v>
      </c>
      <c r="CY71">
        <f>AB71</f>
        <v>508.57</v>
      </c>
      <c r="CZ71">
        <f>AF71</f>
        <v>508.57</v>
      </c>
      <c r="DA71">
        <f>AJ71</f>
        <v>1</v>
      </c>
      <c r="DB71">
        <f t="shared" si="5"/>
        <v>1342.62</v>
      </c>
      <c r="DC71">
        <f t="shared" si="6"/>
        <v>938.52</v>
      </c>
    </row>
    <row r="72" spans="1:107" x14ac:dyDescent="0.2">
      <c r="A72">
        <f>ROW(Source!A239)</f>
        <v>239</v>
      </c>
      <c r="B72">
        <v>56440881</v>
      </c>
      <c r="C72">
        <v>56441815</v>
      </c>
      <c r="D72">
        <v>52969675</v>
      </c>
      <c r="E72">
        <v>1</v>
      </c>
      <c r="F72">
        <v>1</v>
      </c>
      <c r="G72">
        <v>25</v>
      </c>
      <c r="H72">
        <v>2</v>
      </c>
      <c r="I72" t="s">
        <v>415</v>
      </c>
      <c r="J72" t="s">
        <v>416</v>
      </c>
      <c r="K72" t="s">
        <v>417</v>
      </c>
      <c r="L72">
        <v>1368</v>
      </c>
      <c r="N72">
        <v>1011</v>
      </c>
      <c r="O72" t="s">
        <v>354</v>
      </c>
      <c r="P72" t="s">
        <v>354</v>
      </c>
      <c r="Q72">
        <v>1</v>
      </c>
      <c r="W72">
        <v>0</v>
      </c>
      <c r="X72">
        <v>1096362259</v>
      </c>
      <c r="Y72">
        <v>1.18</v>
      </c>
      <c r="AA72">
        <v>0</v>
      </c>
      <c r="AB72">
        <v>7.67</v>
      </c>
      <c r="AC72">
        <v>0.93</v>
      </c>
      <c r="AD72">
        <v>0</v>
      </c>
      <c r="AE72">
        <v>0</v>
      </c>
      <c r="AF72">
        <v>7.67</v>
      </c>
      <c r="AG72">
        <v>0.93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1.18</v>
      </c>
      <c r="AU72" t="s">
        <v>3</v>
      </c>
      <c r="AV72">
        <v>0</v>
      </c>
      <c r="AW72">
        <v>2</v>
      </c>
      <c r="AX72">
        <v>56441828</v>
      </c>
      <c r="AY72">
        <v>1</v>
      </c>
      <c r="AZ72">
        <v>0</v>
      </c>
      <c r="BA72">
        <v>64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Y72*Source!I239</f>
        <v>4.6255999999999995</v>
      </c>
      <c r="CY72">
        <f>AB72</f>
        <v>7.67</v>
      </c>
      <c r="CZ72">
        <f>AF72</f>
        <v>7.67</v>
      </c>
      <c r="DA72">
        <f>AJ72</f>
        <v>1</v>
      </c>
      <c r="DB72">
        <f t="shared" si="5"/>
        <v>9.0500000000000007</v>
      </c>
      <c r="DC72">
        <f t="shared" si="6"/>
        <v>1.1000000000000001</v>
      </c>
    </row>
    <row r="73" spans="1:107" x14ac:dyDescent="0.2">
      <c r="A73">
        <f>ROW(Source!A239)</f>
        <v>239</v>
      </c>
      <c r="B73">
        <v>56440881</v>
      </c>
      <c r="C73">
        <v>56441815</v>
      </c>
      <c r="D73">
        <v>52968883</v>
      </c>
      <c r="E73">
        <v>1</v>
      </c>
      <c r="F73">
        <v>1</v>
      </c>
      <c r="G73">
        <v>25</v>
      </c>
      <c r="H73">
        <v>2</v>
      </c>
      <c r="I73" t="s">
        <v>418</v>
      </c>
      <c r="J73" t="s">
        <v>419</v>
      </c>
      <c r="K73" t="s">
        <v>420</v>
      </c>
      <c r="L73">
        <v>1368</v>
      </c>
      <c r="N73">
        <v>1011</v>
      </c>
      <c r="O73" t="s">
        <v>354</v>
      </c>
      <c r="P73" t="s">
        <v>354</v>
      </c>
      <c r="Q73">
        <v>1</v>
      </c>
      <c r="W73">
        <v>0</v>
      </c>
      <c r="X73">
        <v>-951517440</v>
      </c>
      <c r="Y73">
        <v>0.01</v>
      </c>
      <c r="AA73">
        <v>0</v>
      </c>
      <c r="AB73">
        <v>593.01</v>
      </c>
      <c r="AC73">
        <v>486.57</v>
      </c>
      <c r="AD73">
        <v>0</v>
      </c>
      <c r="AE73">
        <v>0</v>
      </c>
      <c r="AF73">
        <v>593.01</v>
      </c>
      <c r="AG73">
        <v>486.57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0.01</v>
      </c>
      <c r="AU73" t="s">
        <v>3</v>
      </c>
      <c r="AV73">
        <v>0</v>
      </c>
      <c r="AW73">
        <v>2</v>
      </c>
      <c r="AX73">
        <v>56441829</v>
      </c>
      <c r="AY73">
        <v>1</v>
      </c>
      <c r="AZ73">
        <v>0</v>
      </c>
      <c r="BA73">
        <v>65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Y73*Source!I239</f>
        <v>3.9199999999999999E-2</v>
      </c>
      <c r="CY73">
        <f>AB73</f>
        <v>593.01</v>
      </c>
      <c r="CZ73">
        <f>AF73</f>
        <v>593.01</v>
      </c>
      <c r="DA73">
        <f>AJ73</f>
        <v>1</v>
      </c>
      <c r="DB73">
        <f t="shared" si="5"/>
        <v>5.93</v>
      </c>
      <c r="DC73">
        <f t="shared" si="6"/>
        <v>4.87</v>
      </c>
    </row>
    <row r="74" spans="1:107" x14ac:dyDescent="0.2">
      <c r="A74">
        <f>ROW(Source!A239)</f>
        <v>239</v>
      </c>
      <c r="B74">
        <v>56440881</v>
      </c>
      <c r="C74">
        <v>56441815</v>
      </c>
      <c r="D74">
        <v>52969067</v>
      </c>
      <c r="E74">
        <v>1</v>
      </c>
      <c r="F74">
        <v>1</v>
      </c>
      <c r="G74">
        <v>25</v>
      </c>
      <c r="H74">
        <v>2</v>
      </c>
      <c r="I74" t="s">
        <v>421</v>
      </c>
      <c r="J74" t="s">
        <v>422</v>
      </c>
      <c r="K74" t="s">
        <v>423</v>
      </c>
      <c r="L74">
        <v>1368</v>
      </c>
      <c r="N74">
        <v>1011</v>
      </c>
      <c r="O74" t="s">
        <v>354</v>
      </c>
      <c r="P74" t="s">
        <v>354</v>
      </c>
      <c r="Q74">
        <v>1</v>
      </c>
      <c r="W74">
        <v>0</v>
      </c>
      <c r="X74">
        <v>1978348804</v>
      </c>
      <c r="Y74">
        <v>2.64</v>
      </c>
      <c r="AA74">
        <v>0</v>
      </c>
      <c r="AB74">
        <v>434.82</v>
      </c>
      <c r="AC74">
        <v>386.07</v>
      </c>
      <c r="AD74">
        <v>0</v>
      </c>
      <c r="AE74">
        <v>0</v>
      </c>
      <c r="AF74">
        <v>434.82</v>
      </c>
      <c r="AG74">
        <v>386.07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2.64</v>
      </c>
      <c r="AU74" t="s">
        <v>3</v>
      </c>
      <c r="AV74">
        <v>0</v>
      </c>
      <c r="AW74">
        <v>2</v>
      </c>
      <c r="AX74">
        <v>56441830</v>
      </c>
      <c r="AY74">
        <v>1</v>
      </c>
      <c r="AZ74">
        <v>0</v>
      </c>
      <c r="BA74">
        <v>66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Y74*Source!I239</f>
        <v>10.348800000000001</v>
      </c>
      <c r="CY74">
        <f>AB74</f>
        <v>434.82</v>
      </c>
      <c r="CZ74">
        <f>AF74</f>
        <v>434.82</v>
      </c>
      <c r="DA74">
        <f>AJ74</f>
        <v>1</v>
      </c>
      <c r="DB74">
        <f t="shared" si="5"/>
        <v>1147.92</v>
      </c>
      <c r="DC74">
        <f t="shared" si="6"/>
        <v>1019.22</v>
      </c>
    </row>
    <row r="75" spans="1:107" x14ac:dyDescent="0.2">
      <c r="A75">
        <f>ROW(Source!A239)</f>
        <v>239</v>
      </c>
      <c r="B75">
        <v>56440881</v>
      </c>
      <c r="C75">
        <v>56441815</v>
      </c>
      <c r="D75">
        <v>52971875</v>
      </c>
      <c r="E75">
        <v>1</v>
      </c>
      <c r="F75">
        <v>1</v>
      </c>
      <c r="G75">
        <v>25</v>
      </c>
      <c r="H75">
        <v>3</v>
      </c>
      <c r="I75" t="s">
        <v>424</v>
      </c>
      <c r="J75" t="s">
        <v>425</v>
      </c>
      <c r="K75" t="s">
        <v>426</v>
      </c>
      <c r="L75">
        <v>1327</v>
      </c>
      <c r="N75">
        <v>1005</v>
      </c>
      <c r="O75" t="s">
        <v>157</v>
      </c>
      <c r="P75" t="s">
        <v>157</v>
      </c>
      <c r="Q75">
        <v>1</v>
      </c>
      <c r="W75">
        <v>0</v>
      </c>
      <c r="X75">
        <v>-526069612</v>
      </c>
      <c r="Y75">
        <v>5.6</v>
      </c>
      <c r="AA75">
        <v>12.76</v>
      </c>
      <c r="AB75">
        <v>0</v>
      </c>
      <c r="AC75">
        <v>0</v>
      </c>
      <c r="AD75">
        <v>0</v>
      </c>
      <c r="AE75">
        <v>12.76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5.6</v>
      </c>
      <c r="AU75" t="s">
        <v>3</v>
      </c>
      <c r="AV75">
        <v>0</v>
      </c>
      <c r="AW75">
        <v>2</v>
      </c>
      <c r="AX75">
        <v>56441831</v>
      </c>
      <c r="AY75">
        <v>1</v>
      </c>
      <c r="AZ75">
        <v>0</v>
      </c>
      <c r="BA75">
        <v>67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Y75*Source!I239</f>
        <v>21.951999999999998</v>
      </c>
      <c r="CY75">
        <f>AA75</f>
        <v>12.76</v>
      </c>
      <c r="CZ75">
        <f>AE75</f>
        <v>12.76</v>
      </c>
      <c r="DA75">
        <f>AI75</f>
        <v>1</v>
      </c>
      <c r="DB75">
        <f t="shared" si="5"/>
        <v>71.459999999999994</v>
      </c>
      <c r="DC75">
        <f t="shared" si="6"/>
        <v>0</v>
      </c>
    </row>
    <row r="76" spans="1:107" x14ac:dyDescent="0.2">
      <c r="A76">
        <f>ROW(Source!A239)</f>
        <v>239</v>
      </c>
      <c r="B76">
        <v>56440881</v>
      </c>
      <c r="C76">
        <v>56441815</v>
      </c>
      <c r="D76">
        <v>52971962</v>
      </c>
      <c r="E76">
        <v>1</v>
      </c>
      <c r="F76">
        <v>1</v>
      </c>
      <c r="G76">
        <v>25</v>
      </c>
      <c r="H76">
        <v>3</v>
      </c>
      <c r="I76" t="s">
        <v>427</v>
      </c>
      <c r="J76" t="s">
        <v>428</v>
      </c>
      <c r="K76" t="s">
        <v>429</v>
      </c>
      <c r="L76">
        <v>1348</v>
      </c>
      <c r="N76">
        <v>1009</v>
      </c>
      <c r="O76" t="s">
        <v>44</v>
      </c>
      <c r="P76" t="s">
        <v>44</v>
      </c>
      <c r="Q76">
        <v>1000</v>
      </c>
      <c r="W76">
        <v>0</v>
      </c>
      <c r="X76">
        <v>92064028</v>
      </c>
      <c r="Y76">
        <v>3.15E-3</v>
      </c>
      <c r="AA76">
        <v>349768.5</v>
      </c>
      <c r="AB76">
        <v>0</v>
      </c>
      <c r="AC76">
        <v>0</v>
      </c>
      <c r="AD76">
        <v>0</v>
      </c>
      <c r="AE76">
        <v>349768.5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3.15E-3</v>
      </c>
      <c r="AU76" t="s">
        <v>3</v>
      </c>
      <c r="AV76">
        <v>0</v>
      </c>
      <c r="AW76">
        <v>2</v>
      </c>
      <c r="AX76">
        <v>56441832</v>
      </c>
      <c r="AY76">
        <v>1</v>
      </c>
      <c r="AZ76">
        <v>0</v>
      </c>
      <c r="BA76">
        <v>68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Y76*Source!I239</f>
        <v>1.2348E-2</v>
      </c>
      <c r="CY76">
        <f>AA76</f>
        <v>349768.5</v>
      </c>
      <c r="CZ76">
        <f>AE76</f>
        <v>349768.5</v>
      </c>
      <c r="DA76">
        <f>AI76</f>
        <v>1</v>
      </c>
      <c r="DB76">
        <f t="shared" si="5"/>
        <v>1101.77</v>
      </c>
      <c r="DC76">
        <f t="shared" si="6"/>
        <v>0</v>
      </c>
    </row>
    <row r="77" spans="1:107" x14ac:dyDescent="0.2">
      <c r="A77">
        <f>ROW(Source!A239)</f>
        <v>239</v>
      </c>
      <c r="B77">
        <v>56440881</v>
      </c>
      <c r="C77">
        <v>56441815</v>
      </c>
      <c r="D77">
        <v>52972179</v>
      </c>
      <c r="E77">
        <v>1</v>
      </c>
      <c r="F77">
        <v>1</v>
      </c>
      <c r="G77">
        <v>25</v>
      </c>
      <c r="H77">
        <v>3</v>
      </c>
      <c r="I77" t="s">
        <v>430</v>
      </c>
      <c r="J77" t="s">
        <v>431</v>
      </c>
      <c r="K77" t="s">
        <v>432</v>
      </c>
      <c r="L77">
        <v>1346</v>
      </c>
      <c r="N77">
        <v>1009</v>
      </c>
      <c r="O77" t="s">
        <v>210</v>
      </c>
      <c r="P77" t="s">
        <v>210</v>
      </c>
      <c r="Q77">
        <v>1</v>
      </c>
      <c r="W77">
        <v>0</v>
      </c>
      <c r="X77">
        <v>752941587</v>
      </c>
      <c r="Y77">
        <v>735</v>
      </c>
      <c r="AA77">
        <v>18.399999999999999</v>
      </c>
      <c r="AB77">
        <v>0</v>
      </c>
      <c r="AC77">
        <v>0</v>
      </c>
      <c r="AD77">
        <v>0</v>
      </c>
      <c r="AE77">
        <v>18.399999999999999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735</v>
      </c>
      <c r="AU77" t="s">
        <v>3</v>
      </c>
      <c r="AV77">
        <v>0</v>
      </c>
      <c r="AW77">
        <v>2</v>
      </c>
      <c r="AX77">
        <v>56441833</v>
      </c>
      <c r="AY77">
        <v>1</v>
      </c>
      <c r="AZ77">
        <v>0</v>
      </c>
      <c r="BA77">
        <v>69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Y77*Source!I239</f>
        <v>2881.2</v>
      </c>
      <c r="CY77">
        <f>AA77</f>
        <v>18.399999999999999</v>
      </c>
      <c r="CZ77">
        <f>AE77</f>
        <v>18.399999999999999</v>
      </c>
      <c r="DA77">
        <f>AI77</f>
        <v>1</v>
      </c>
      <c r="DB77">
        <f t="shared" si="5"/>
        <v>13524</v>
      </c>
      <c r="DC77">
        <f t="shared" si="6"/>
        <v>0</v>
      </c>
    </row>
    <row r="78" spans="1:107" x14ac:dyDescent="0.2">
      <c r="A78">
        <f>ROW(Source!A239)</f>
        <v>239</v>
      </c>
      <c r="B78">
        <v>56440881</v>
      </c>
      <c r="C78">
        <v>56441815</v>
      </c>
      <c r="D78">
        <v>52972186</v>
      </c>
      <c r="E78">
        <v>1</v>
      </c>
      <c r="F78">
        <v>1</v>
      </c>
      <c r="G78">
        <v>25</v>
      </c>
      <c r="H78">
        <v>3</v>
      </c>
      <c r="I78" t="s">
        <v>433</v>
      </c>
      <c r="J78" t="s">
        <v>434</v>
      </c>
      <c r="K78" t="s">
        <v>435</v>
      </c>
      <c r="L78">
        <v>1346</v>
      </c>
      <c r="N78">
        <v>1009</v>
      </c>
      <c r="O78" t="s">
        <v>210</v>
      </c>
      <c r="P78" t="s">
        <v>210</v>
      </c>
      <c r="Q78">
        <v>1</v>
      </c>
      <c r="W78">
        <v>0</v>
      </c>
      <c r="X78">
        <v>-1257349577</v>
      </c>
      <c r="Y78">
        <v>241.5</v>
      </c>
      <c r="AA78">
        <v>189.61</v>
      </c>
      <c r="AB78">
        <v>0</v>
      </c>
      <c r="AC78">
        <v>0</v>
      </c>
      <c r="AD78">
        <v>0</v>
      </c>
      <c r="AE78">
        <v>189.61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241.5</v>
      </c>
      <c r="AU78" t="s">
        <v>3</v>
      </c>
      <c r="AV78">
        <v>0</v>
      </c>
      <c r="AW78">
        <v>2</v>
      </c>
      <c r="AX78">
        <v>56441834</v>
      </c>
      <c r="AY78">
        <v>1</v>
      </c>
      <c r="AZ78">
        <v>0</v>
      </c>
      <c r="BA78">
        <v>70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Y78*Source!I239</f>
        <v>946.68</v>
      </c>
      <c r="CY78">
        <f>AA78</f>
        <v>189.61</v>
      </c>
      <c r="CZ78">
        <f>AE78</f>
        <v>189.61</v>
      </c>
      <c r="DA78">
        <f>AI78</f>
        <v>1</v>
      </c>
      <c r="DB78">
        <f t="shared" si="5"/>
        <v>45790.82</v>
      </c>
      <c r="DC78">
        <f t="shared" si="6"/>
        <v>0</v>
      </c>
    </row>
    <row r="79" spans="1:107" x14ac:dyDescent="0.2">
      <c r="A79">
        <f>ROW(Source!A239)</f>
        <v>239</v>
      </c>
      <c r="B79">
        <v>56440881</v>
      </c>
      <c r="C79">
        <v>56441815</v>
      </c>
      <c r="D79">
        <v>52970162</v>
      </c>
      <c r="E79">
        <v>1</v>
      </c>
      <c r="F79">
        <v>1</v>
      </c>
      <c r="G79">
        <v>25</v>
      </c>
      <c r="H79">
        <v>3</v>
      </c>
      <c r="I79" t="s">
        <v>198</v>
      </c>
      <c r="J79" t="s">
        <v>200</v>
      </c>
      <c r="K79" t="s">
        <v>199</v>
      </c>
      <c r="L79">
        <v>1348</v>
      </c>
      <c r="N79">
        <v>1009</v>
      </c>
      <c r="O79" t="s">
        <v>44</v>
      </c>
      <c r="P79" t="s">
        <v>44</v>
      </c>
      <c r="Q79">
        <v>1000</v>
      </c>
      <c r="W79">
        <v>1</v>
      </c>
      <c r="X79">
        <v>-1486531542</v>
      </c>
      <c r="Y79">
        <v>-5.2499999999999998E-2</v>
      </c>
      <c r="AA79">
        <v>748288.41</v>
      </c>
      <c r="AB79">
        <v>0</v>
      </c>
      <c r="AC79">
        <v>0</v>
      </c>
      <c r="AD79">
        <v>0</v>
      </c>
      <c r="AE79">
        <v>748288.41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-5.2499999999999998E-2</v>
      </c>
      <c r="AU79" t="s">
        <v>3</v>
      </c>
      <c r="AV79">
        <v>0</v>
      </c>
      <c r="AW79">
        <v>2</v>
      </c>
      <c r="AX79">
        <v>56441835</v>
      </c>
      <c r="AY79">
        <v>1</v>
      </c>
      <c r="AZ79">
        <v>6144</v>
      </c>
      <c r="BA79">
        <v>71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Y79*Source!I239</f>
        <v>-0.20579999999999998</v>
      </c>
      <c r="CY79">
        <f>AA79</f>
        <v>748288.41</v>
      </c>
      <c r="CZ79">
        <f>AE79</f>
        <v>748288.41</v>
      </c>
      <c r="DA79">
        <f>AI79</f>
        <v>1</v>
      </c>
      <c r="DB79">
        <f t="shared" si="5"/>
        <v>-39285.14</v>
      </c>
      <c r="DC79">
        <f t="shared" si="6"/>
        <v>0</v>
      </c>
    </row>
    <row r="80" spans="1:107" x14ac:dyDescent="0.2">
      <c r="A80">
        <f>ROW(Source!A241)</f>
        <v>241</v>
      </c>
      <c r="B80">
        <v>56440881</v>
      </c>
      <c r="C80">
        <v>56441837</v>
      </c>
      <c r="D80">
        <v>52956643</v>
      </c>
      <c r="E80">
        <v>25</v>
      </c>
      <c r="F80">
        <v>1</v>
      </c>
      <c r="G80">
        <v>25</v>
      </c>
      <c r="H80">
        <v>1</v>
      </c>
      <c r="I80" t="s">
        <v>348</v>
      </c>
      <c r="J80" t="s">
        <v>3</v>
      </c>
      <c r="K80" t="s">
        <v>349</v>
      </c>
      <c r="L80">
        <v>1191</v>
      </c>
      <c r="N80">
        <v>1013</v>
      </c>
      <c r="O80" t="s">
        <v>350</v>
      </c>
      <c r="P80" t="s">
        <v>350</v>
      </c>
      <c r="Q80">
        <v>1</v>
      </c>
      <c r="W80">
        <v>0</v>
      </c>
      <c r="X80">
        <v>476480486</v>
      </c>
      <c r="Y80">
        <v>13.25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1</v>
      </c>
      <c r="AQ80">
        <v>0</v>
      </c>
      <c r="AR80">
        <v>0</v>
      </c>
      <c r="AS80" t="s">
        <v>3</v>
      </c>
      <c r="AT80">
        <v>2.65</v>
      </c>
      <c r="AU80" t="s">
        <v>205</v>
      </c>
      <c r="AV80">
        <v>1</v>
      </c>
      <c r="AW80">
        <v>2</v>
      </c>
      <c r="AX80">
        <v>56441845</v>
      </c>
      <c r="AY80">
        <v>1</v>
      </c>
      <c r="AZ80">
        <v>0</v>
      </c>
      <c r="BA80">
        <v>72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Y80*Source!I241</f>
        <v>51.94</v>
      </c>
      <c r="CY80">
        <f>AD80</f>
        <v>0</v>
      </c>
      <c r="CZ80">
        <f>AH80</f>
        <v>0</v>
      </c>
      <c r="DA80">
        <f>AL80</f>
        <v>1</v>
      </c>
      <c r="DB80">
        <f t="shared" ref="DB80:DB85" si="7">ROUND((ROUND(AT80*CZ80,2)*5),2)</f>
        <v>0</v>
      </c>
      <c r="DC80">
        <f t="shared" ref="DC80:DC85" si="8">ROUND((ROUND(AT80*AG80,2)*5),2)</f>
        <v>0</v>
      </c>
    </row>
    <row r="81" spans="1:107" x14ac:dyDescent="0.2">
      <c r="A81">
        <f>ROW(Source!A241)</f>
        <v>241</v>
      </c>
      <c r="B81">
        <v>56440881</v>
      </c>
      <c r="C81">
        <v>56441837</v>
      </c>
      <c r="D81">
        <v>52969457</v>
      </c>
      <c r="E81">
        <v>1</v>
      </c>
      <c r="F81">
        <v>1</v>
      </c>
      <c r="G81">
        <v>25</v>
      </c>
      <c r="H81">
        <v>2</v>
      </c>
      <c r="I81" t="s">
        <v>412</v>
      </c>
      <c r="J81" t="s">
        <v>413</v>
      </c>
      <c r="K81" t="s">
        <v>414</v>
      </c>
      <c r="L81">
        <v>1368</v>
      </c>
      <c r="N81">
        <v>1011</v>
      </c>
      <c r="O81" t="s">
        <v>354</v>
      </c>
      <c r="P81" t="s">
        <v>354</v>
      </c>
      <c r="Q81">
        <v>1</v>
      </c>
      <c r="W81">
        <v>0</v>
      </c>
      <c r="X81">
        <v>1717121030</v>
      </c>
      <c r="Y81">
        <v>2.5</v>
      </c>
      <c r="AA81">
        <v>0</v>
      </c>
      <c r="AB81">
        <v>508.57</v>
      </c>
      <c r="AC81">
        <v>355.5</v>
      </c>
      <c r="AD81">
        <v>0</v>
      </c>
      <c r="AE81">
        <v>0</v>
      </c>
      <c r="AF81">
        <v>508.57</v>
      </c>
      <c r="AG81">
        <v>355.5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1</v>
      </c>
      <c r="AQ81">
        <v>0</v>
      </c>
      <c r="AR81">
        <v>0</v>
      </c>
      <c r="AS81" t="s">
        <v>3</v>
      </c>
      <c r="AT81">
        <v>0.5</v>
      </c>
      <c r="AU81" t="s">
        <v>205</v>
      </c>
      <c r="AV81">
        <v>0</v>
      </c>
      <c r="AW81">
        <v>2</v>
      </c>
      <c r="AX81">
        <v>56441846</v>
      </c>
      <c r="AY81">
        <v>1</v>
      </c>
      <c r="AZ81">
        <v>0</v>
      </c>
      <c r="BA81">
        <v>73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Y81*Source!I241</f>
        <v>9.8000000000000007</v>
      </c>
      <c r="CY81">
        <f>AB81</f>
        <v>508.57</v>
      </c>
      <c r="CZ81">
        <f>AF81</f>
        <v>508.57</v>
      </c>
      <c r="DA81">
        <f>AJ81</f>
        <v>1</v>
      </c>
      <c r="DB81">
        <f t="shared" si="7"/>
        <v>1271.45</v>
      </c>
      <c r="DC81">
        <f t="shared" si="8"/>
        <v>888.75</v>
      </c>
    </row>
    <row r="82" spans="1:107" x14ac:dyDescent="0.2">
      <c r="A82">
        <f>ROW(Source!A241)</f>
        <v>241</v>
      </c>
      <c r="B82">
        <v>56440881</v>
      </c>
      <c r="C82">
        <v>56441837</v>
      </c>
      <c r="D82">
        <v>52969067</v>
      </c>
      <c r="E82">
        <v>1</v>
      </c>
      <c r="F82">
        <v>1</v>
      </c>
      <c r="G82">
        <v>25</v>
      </c>
      <c r="H82">
        <v>2</v>
      </c>
      <c r="I82" t="s">
        <v>421</v>
      </c>
      <c r="J82" t="s">
        <v>422</v>
      </c>
      <c r="K82" t="s">
        <v>423</v>
      </c>
      <c r="L82">
        <v>1368</v>
      </c>
      <c r="N82">
        <v>1011</v>
      </c>
      <c r="O82" t="s">
        <v>354</v>
      </c>
      <c r="P82" t="s">
        <v>354</v>
      </c>
      <c r="Q82">
        <v>1</v>
      </c>
      <c r="W82">
        <v>0</v>
      </c>
      <c r="X82">
        <v>1978348804</v>
      </c>
      <c r="Y82">
        <v>2.5</v>
      </c>
      <c r="AA82">
        <v>0</v>
      </c>
      <c r="AB82">
        <v>434.82</v>
      </c>
      <c r="AC82">
        <v>386.07</v>
      </c>
      <c r="AD82">
        <v>0</v>
      </c>
      <c r="AE82">
        <v>0</v>
      </c>
      <c r="AF82">
        <v>434.82</v>
      </c>
      <c r="AG82">
        <v>386.07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1</v>
      </c>
      <c r="AQ82">
        <v>0</v>
      </c>
      <c r="AR82">
        <v>0</v>
      </c>
      <c r="AS82" t="s">
        <v>3</v>
      </c>
      <c r="AT82">
        <v>0.5</v>
      </c>
      <c r="AU82" t="s">
        <v>205</v>
      </c>
      <c r="AV82">
        <v>0</v>
      </c>
      <c r="AW82">
        <v>2</v>
      </c>
      <c r="AX82">
        <v>56441847</v>
      </c>
      <c r="AY82">
        <v>1</v>
      </c>
      <c r="AZ82">
        <v>0</v>
      </c>
      <c r="BA82">
        <v>74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Y82*Source!I241</f>
        <v>9.8000000000000007</v>
      </c>
      <c r="CY82">
        <f>AB82</f>
        <v>434.82</v>
      </c>
      <c r="CZ82">
        <f>AF82</f>
        <v>434.82</v>
      </c>
      <c r="DA82">
        <f>AJ82</f>
        <v>1</v>
      </c>
      <c r="DB82">
        <f t="shared" si="7"/>
        <v>1087.05</v>
      </c>
      <c r="DC82">
        <f t="shared" si="8"/>
        <v>965.2</v>
      </c>
    </row>
    <row r="83" spans="1:107" x14ac:dyDescent="0.2">
      <c r="A83">
        <f>ROW(Source!A241)</f>
        <v>241</v>
      </c>
      <c r="B83">
        <v>56440881</v>
      </c>
      <c r="C83">
        <v>56441837</v>
      </c>
      <c r="D83">
        <v>52972179</v>
      </c>
      <c r="E83">
        <v>1</v>
      </c>
      <c r="F83">
        <v>1</v>
      </c>
      <c r="G83">
        <v>25</v>
      </c>
      <c r="H83">
        <v>3</v>
      </c>
      <c r="I83" t="s">
        <v>430</v>
      </c>
      <c r="J83" t="s">
        <v>431</v>
      </c>
      <c r="K83" t="s">
        <v>432</v>
      </c>
      <c r="L83">
        <v>1346</v>
      </c>
      <c r="N83">
        <v>1009</v>
      </c>
      <c r="O83" t="s">
        <v>210</v>
      </c>
      <c r="P83" t="s">
        <v>210</v>
      </c>
      <c r="Q83">
        <v>1</v>
      </c>
      <c r="W83">
        <v>0</v>
      </c>
      <c r="X83">
        <v>752941587</v>
      </c>
      <c r="Y83">
        <v>735</v>
      </c>
      <c r="AA83">
        <v>18.399999999999999</v>
      </c>
      <c r="AB83">
        <v>0</v>
      </c>
      <c r="AC83">
        <v>0</v>
      </c>
      <c r="AD83">
        <v>0</v>
      </c>
      <c r="AE83">
        <v>18.399999999999999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1</v>
      </c>
      <c r="AQ83">
        <v>0</v>
      </c>
      <c r="AR83">
        <v>0</v>
      </c>
      <c r="AS83" t="s">
        <v>3</v>
      </c>
      <c r="AT83">
        <v>147</v>
      </c>
      <c r="AU83" t="s">
        <v>205</v>
      </c>
      <c r="AV83">
        <v>0</v>
      </c>
      <c r="AW83">
        <v>2</v>
      </c>
      <c r="AX83">
        <v>56441848</v>
      </c>
      <c r="AY83">
        <v>1</v>
      </c>
      <c r="AZ83">
        <v>0</v>
      </c>
      <c r="BA83">
        <v>75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Y83*Source!I241</f>
        <v>2881.2</v>
      </c>
      <c r="CY83">
        <f>AA83</f>
        <v>18.399999999999999</v>
      </c>
      <c r="CZ83">
        <f>AE83</f>
        <v>18.399999999999999</v>
      </c>
      <c r="DA83">
        <f>AI83</f>
        <v>1</v>
      </c>
      <c r="DB83">
        <f t="shared" si="7"/>
        <v>13524</v>
      </c>
      <c r="DC83">
        <f t="shared" si="8"/>
        <v>0</v>
      </c>
    </row>
    <row r="84" spans="1:107" x14ac:dyDescent="0.2">
      <c r="A84">
        <f>ROW(Source!A241)</f>
        <v>241</v>
      </c>
      <c r="B84">
        <v>56440881</v>
      </c>
      <c r="C84">
        <v>56441837</v>
      </c>
      <c r="D84">
        <v>52972186</v>
      </c>
      <c r="E84">
        <v>1</v>
      </c>
      <c r="F84">
        <v>1</v>
      </c>
      <c r="G84">
        <v>25</v>
      </c>
      <c r="H84">
        <v>3</v>
      </c>
      <c r="I84" t="s">
        <v>433</v>
      </c>
      <c r="J84" t="s">
        <v>434</v>
      </c>
      <c r="K84" t="s">
        <v>435</v>
      </c>
      <c r="L84">
        <v>1346</v>
      </c>
      <c r="N84">
        <v>1009</v>
      </c>
      <c r="O84" t="s">
        <v>210</v>
      </c>
      <c r="P84" t="s">
        <v>210</v>
      </c>
      <c r="Q84">
        <v>1</v>
      </c>
      <c r="W84">
        <v>0</v>
      </c>
      <c r="X84">
        <v>-1257349577</v>
      </c>
      <c r="Y84">
        <v>210</v>
      </c>
      <c r="AA84">
        <v>189.61</v>
      </c>
      <c r="AB84">
        <v>0</v>
      </c>
      <c r="AC84">
        <v>0</v>
      </c>
      <c r="AD84">
        <v>0</v>
      </c>
      <c r="AE84">
        <v>189.61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1</v>
      </c>
      <c r="AQ84">
        <v>0</v>
      </c>
      <c r="AR84">
        <v>0</v>
      </c>
      <c r="AS84" t="s">
        <v>3</v>
      </c>
      <c r="AT84">
        <v>42</v>
      </c>
      <c r="AU84" t="s">
        <v>205</v>
      </c>
      <c r="AV84">
        <v>0</v>
      </c>
      <c r="AW84">
        <v>2</v>
      </c>
      <c r="AX84">
        <v>56441849</v>
      </c>
      <c r="AY84">
        <v>1</v>
      </c>
      <c r="AZ84">
        <v>0</v>
      </c>
      <c r="BA84">
        <v>76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Y84*Source!I241</f>
        <v>823.19999999999993</v>
      </c>
      <c r="CY84">
        <f>AA84</f>
        <v>189.61</v>
      </c>
      <c r="CZ84">
        <f>AE84</f>
        <v>189.61</v>
      </c>
      <c r="DA84">
        <f>AI84</f>
        <v>1</v>
      </c>
      <c r="DB84">
        <f t="shared" si="7"/>
        <v>39818.1</v>
      </c>
      <c r="DC84">
        <f t="shared" si="8"/>
        <v>0</v>
      </c>
    </row>
    <row r="85" spans="1:107" x14ac:dyDescent="0.2">
      <c r="A85">
        <f>ROW(Source!A241)</f>
        <v>241</v>
      </c>
      <c r="B85">
        <v>56440881</v>
      </c>
      <c r="C85">
        <v>56441837</v>
      </c>
      <c r="D85">
        <v>52970162</v>
      </c>
      <c r="E85">
        <v>1</v>
      </c>
      <c r="F85">
        <v>1</v>
      </c>
      <c r="G85">
        <v>25</v>
      </c>
      <c r="H85">
        <v>3</v>
      </c>
      <c r="I85" t="s">
        <v>198</v>
      </c>
      <c r="J85" t="s">
        <v>200</v>
      </c>
      <c r="K85" t="s">
        <v>199</v>
      </c>
      <c r="L85">
        <v>1348</v>
      </c>
      <c r="N85">
        <v>1009</v>
      </c>
      <c r="O85" t="s">
        <v>44</v>
      </c>
      <c r="P85" t="s">
        <v>44</v>
      </c>
      <c r="Q85">
        <v>1000</v>
      </c>
      <c r="W85">
        <v>1</v>
      </c>
      <c r="X85">
        <v>-1486531542</v>
      </c>
      <c r="Y85">
        <v>-5.2500000000000005E-2</v>
      </c>
      <c r="AA85">
        <v>748288.41</v>
      </c>
      <c r="AB85">
        <v>0</v>
      </c>
      <c r="AC85">
        <v>0</v>
      </c>
      <c r="AD85">
        <v>0</v>
      </c>
      <c r="AE85">
        <v>748288.41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1</v>
      </c>
      <c r="AQ85">
        <v>0</v>
      </c>
      <c r="AR85">
        <v>0</v>
      </c>
      <c r="AS85" t="s">
        <v>3</v>
      </c>
      <c r="AT85">
        <v>-1.0500000000000001E-2</v>
      </c>
      <c r="AU85" t="s">
        <v>205</v>
      </c>
      <c r="AV85">
        <v>0</v>
      </c>
      <c r="AW85">
        <v>2</v>
      </c>
      <c r="AX85">
        <v>56441850</v>
      </c>
      <c r="AY85">
        <v>1</v>
      </c>
      <c r="AZ85">
        <v>6144</v>
      </c>
      <c r="BA85">
        <v>77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Y85*Source!I241</f>
        <v>-0.20580000000000001</v>
      </c>
      <c r="CY85">
        <f>AA85</f>
        <v>748288.41</v>
      </c>
      <c r="CZ85">
        <f>AE85</f>
        <v>748288.41</v>
      </c>
      <c r="DA85">
        <f>AI85</f>
        <v>1</v>
      </c>
      <c r="DB85">
        <f t="shared" si="7"/>
        <v>-39285.15</v>
      </c>
      <c r="DC85">
        <f t="shared" si="8"/>
        <v>0</v>
      </c>
    </row>
    <row r="86" spans="1:107" x14ac:dyDescent="0.2">
      <c r="A86">
        <f>ROW(Source!A241)</f>
        <v>241</v>
      </c>
      <c r="B86">
        <v>56440881</v>
      </c>
      <c r="C86">
        <v>56441837</v>
      </c>
      <c r="D86">
        <v>52970215</v>
      </c>
      <c r="E86">
        <v>1</v>
      </c>
      <c r="F86">
        <v>1</v>
      </c>
      <c r="G86">
        <v>25</v>
      </c>
      <c r="H86">
        <v>3</v>
      </c>
      <c r="I86" t="s">
        <v>208</v>
      </c>
      <c r="J86" t="s">
        <v>211</v>
      </c>
      <c r="K86" t="s">
        <v>209</v>
      </c>
      <c r="L86">
        <v>1346</v>
      </c>
      <c r="N86">
        <v>1009</v>
      </c>
      <c r="O86" t="s">
        <v>210</v>
      </c>
      <c r="P86" t="s">
        <v>210</v>
      </c>
      <c r="Q86">
        <v>1</v>
      </c>
      <c r="W86">
        <v>0</v>
      </c>
      <c r="X86">
        <v>-1858947663</v>
      </c>
      <c r="Y86">
        <v>52.5</v>
      </c>
      <c r="AA86">
        <v>124.48</v>
      </c>
      <c r="AB86">
        <v>0</v>
      </c>
      <c r="AC86">
        <v>0</v>
      </c>
      <c r="AD86">
        <v>0</v>
      </c>
      <c r="AE86">
        <v>124.48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0</v>
      </c>
      <c r="AP86">
        <v>1</v>
      </c>
      <c r="AQ86">
        <v>0</v>
      </c>
      <c r="AR86">
        <v>0</v>
      </c>
      <c r="AS86" t="s">
        <v>3</v>
      </c>
      <c r="AT86">
        <v>52.5</v>
      </c>
      <c r="AU86" t="s">
        <v>3</v>
      </c>
      <c r="AV86">
        <v>0</v>
      </c>
      <c r="AW86">
        <v>1</v>
      </c>
      <c r="AX86">
        <v>-1</v>
      </c>
      <c r="AY86">
        <v>0</v>
      </c>
      <c r="AZ86">
        <v>0</v>
      </c>
      <c r="BA86" t="s">
        <v>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Y86*Source!I241</f>
        <v>205.79999999999998</v>
      </c>
      <c r="CY86">
        <f>AA86</f>
        <v>124.48</v>
      </c>
      <c r="CZ86">
        <f>AE86</f>
        <v>124.48</v>
      </c>
      <c r="DA86">
        <f>AI86</f>
        <v>1</v>
      </c>
      <c r="DB86">
        <f t="shared" ref="DB86:DB115" si="9">ROUND(ROUND(AT86*CZ86,2),2)</f>
        <v>6535.2</v>
      </c>
      <c r="DC86">
        <f t="shared" ref="DC86:DC115" si="10">ROUND(ROUND(AT86*AG86,2),2)</f>
        <v>0</v>
      </c>
    </row>
    <row r="87" spans="1:107" x14ac:dyDescent="0.2">
      <c r="A87">
        <f>ROW(Source!A279)</f>
        <v>279</v>
      </c>
      <c r="B87">
        <v>56440881</v>
      </c>
      <c r="C87">
        <v>56441853</v>
      </c>
      <c r="D87">
        <v>52956643</v>
      </c>
      <c r="E87">
        <v>25</v>
      </c>
      <c r="F87">
        <v>1</v>
      </c>
      <c r="G87">
        <v>25</v>
      </c>
      <c r="H87">
        <v>1</v>
      </c>
      <c r="I87" t="s">
        <v>348</v>
      </c>
      <c r="J87" t="s">
        <v>3</v>
      </c>
      <c r="K87" t="s">
        <v>349</v>
      </c>
      <c r="L87">
        <v>1191</v>
      </c>
      <c r="N87">
        <v>1013</v>
      </c>
      <c r="O87" t="s">
        <v>350</v>
      </c>
      <c r="P87" t="s">
        <v>350</v>
      </c>
      <c r="Q87">
        <v>1</v>
      </c>
      <c r="W87">
        <v>0</v>
      </c>
      <c r="X87">
        <v>476480486</v>
      </c>
      <c r="Y87">
        <v>16.559999999999999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16.559999999999999</v>
      </c>
      <c r="AU87" t="s">
        <v>3</v>
      </c>
      <c r="AV87">
        <v>1</v>
      </c>
      <c r="AW87">
        <v>2</v>
      </c>
      <c r="AX87">
        <v>56441862</v>
      </c>
      <c r="AY87">
        <v>1</v>
      </c>
      <c r="AZ87">
        <v>0</v>
      </c>
      <c r="BA87">
        <v>78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Y87*Source!I279</f>
        <v>0</v>
      </c>
      <c r="CY87">
        <f>AD87</f>
        <v>0</v>
      </c>
      <c r="CZ87">
        <f>AH87</f>
        <v>0</v>
      </c>
      <c r="DA87">
        <f>AL87</f>
        <v>1</v>
      </c>
      <c r="DB87">
        <f t="shared" si="9"/>
        <v>0</v>
      </c>
      <c r="DC87">
        <f t="shared" si="10"/>
        <v>0</v>
      </c>
    </row>
    <row r="88" spans="1:107" x14ac:dyDescent="0.2">
      <c r="A88">
        <f>ROW(Source!A279)</f>
        <v>279</v>
      </c>
      <c r="B88">
        <v>56440881</v>
      </c>
      <c r="C88">
        <v>56441853</v>
      </c>
      <c r="D88">
        <v>52968814</v>
      </c>
      <c r="E88">
        <v>1</v>
      </c>
      <c r="F88">
        <v>1</v>
      </c>
      <c r="G88">
        <v>25</v>
      </c>
      <c r="H88">
        <v>2</v>
      </c>
      <c r="I88" t="s">
        <v>351</v>
      </c>
      <c r="J88" t="s">
        <v>352</v>
      </c>
      <c r="K88" t="s">
        <v>353</v>
      </c>
      <c r="L88">
        <v>1368</v>
      </c>
      <c r="N88">
        <v>1011</v>
      </c>
      <c r="O88" t="s">
        <v>354</v>
      </c>
      <c r="P88" t="s">
        <v>354</v>
      </c>
      <c r="Q88">
        <v>1</v>
      </c>
      <c r="W88">
        <v>0</v>
      </c>
      <c r="X88">
        <v>1062203425</v>
      </c>
      <c r="Y88">
        <v>2.08</v>
      </c>
      <c r="AA88">
        <v>0</v>
      </c>
      <c r="AB88">
        <v>1159.46</v>
      </c>
      <c r="AC88">
        <v>525.74</v>
      </c>
      <c r="AD88">
        <v>0</v>
      </c>
      <c r="AE88">
        <v>0</v>
      </c>
      <c r="AF88">
        <v>1159.46</v>
      </c>
      <c r="AG88">
        <v>525.74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2.08</v>
      </c>
      <c r="AU88" t="s">
        <v>3</v>
      </c>
      <c r="AV88">
        <v>0</v>
      </c>
      <c r="AW88">
        <v>2</v>
      </c>
      <c r="AX88">
        <v>56441863</v>
      </c>
      <c r="AY88">
        <v>1</v>
      </c>
      <c r="AZ88">
        <v>0</v>
      </c>
      <c r="BA88">
        <v>79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Y88*Source!I279</f>
        <v>0</v>
      </c>
      <c r="CY88">
        <f>AB88</f>
        <v>1159.46</v>
      </c>
      <c r="CZ88">
        <f>AF88</f>
        <v>1159.46</v>
      </c>
      <c r="DA88">
        <f>AJ88</f>
        <v>1</v>
      </c>
      <c r="DB88">
        <f t="shared" si="9"/>
        <v>2411.6799999999998</v>
      </c>
      <c r="DC88">
        <f t="shared" si="10"/>
        <v>1093.54</v>
      </c>
    </row>
    <row r="89" spans="1:107" x14ac:dyDescent="0.2">
      <c r="A89">
        <f>ROW(Source!A279)</f>
        <v>279</v>
      </c>
      <c r="B89">
        <v>56440881</v>
      </c>
      <c r="C89">
        <v>56441853</v>
      </c>
      <c r="D89">
        <v>52968969</v>
      </c>
      <c r="E89">
        <v>1</v>
      </c>
      <c r="F89">
        <v>1</v>
      </c>
      <c r="G89">
        <v>25</v>
      </c>
      <c r="H89">
        <v>2</v>
      </c>
      <c r="I89" t="s">
        <v>436</v>
      </c>
      <c r="J89" t="s">
        <v>437</v>
      </c>
      <c r="K89" t="s">
        <v>438</v>
      </c>
      <c r="L89">
        <v>1368</v>
      </c>
      <c r="N89">
        <v>1011</v>
      </c>
      <c r="O89" t="s">
        <v>354</v>
      </c>
      <c r="P89" t="s">
        <v>354</v>
      </c>
      <c r="Q89">
        <v>1</v>
      </c>
      <c r="W89">
        <v>0</v>
      </c>
      <c r="X89">
        <v>-1158250883</v>
      </c>
      <c r="Y89">
        <v>2.08</v>
      </c>
      <c r="AA89">
        <v>0</v>
      </c>
      <c r="AB89">
        <v>416.25</v>
      </c>
      <c r="AC89">
        <v>204.9</v>
      </c>
      <c r="AD89">
        <v>0</v>
      </c>
      <c r="AE89">
        <v>0</v>
      </c>
      <c r="AF89">
        <v>416.25</v>
      </c>
      <c r="AG89">
        <v>204.9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2.08</v>
      </c>
      <c r="AU89" t="s">
        <v>3</v>
      </c>
      <c r="AV89">
        <v>0</v>
      </c>
      <c r="AW89">
        <v>2</v>
      </c>
      <c r="AX89">
        <v>56441864</v>
      </c>
      <c r="AY89">
        <v>1</v>
      </c>
      <c r="AZ89">
        <v>0</v>
      </c>
      <c r="BA89">
        <v>80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Y89*Source!I279</f>
        <v>0</v>
      </c>
      <c r="CY89">
        <f>AB89</f>
        <v>416.25</v>
      </c>
      <c r="CZ89">
        <f>AF89</f>
        <v>416.25</v>
      </c>
      <c r="DA89">
        <f>AJ89</f>
        <v>1</v>
      </c>
      <c r="DB89">
        <f t="shared" si="9"/>
        <v>865.8</v>
      </c>
      <c r="DC89">
        <f t="shared" si="10"/>
        <v>426.19</v>
      </c>
    </row>
    <row r="90" spans="1:107" x14ac:dyDescent="0.2">
      <c r="A90">
        <f>ROW(Source!A279)</f>
        <v>279</v>
      </c>
      <c r="B90">
        <v>56440881</v>
      </c>
      <c r="C90">
        <v>56441853</v>
      </c>
      <c r="D90">
        <v>52968972</v>
      </c>
      <c r="E90">
        <v>1</v>
      </c>
      <c r="F90">
        <v>1</v>
      </c>
      <c r="G90">
        <v>25</v>
      </c>
      <c r="H90">
        <v>2</v>
      </c>
      <c r="I90" t="s">
        <v>439</v>
      </c>
      <c r="J90" t="s">
        <v>440</v>
      </c>
      <c r="K90" t="s">
        <v>441</v>
      </c>
      <c r="L90">
        <v>1368</v>
      </c>
      <c r="N90">
        <v>1011</v>
      </c>
      <c r="O90" t="s">
        <v>354</v>
      </c>
      <c r="P90" t="s">
        <v>354</v>
      </c>
      <c r="Q90">
        <v>1</v>
      </c>
      <c r="W90">
        <v>0</v>
      </c>
      <c r="X90">
        <v>1308944103</v>
      </c>
      <c r="Y90">
        <v>0.81</v>
      </c>
      <c r="AA90">
        <v>0</v>
      </c>
      <c r="AB90">
        <v>1942.21</v>
      </c>
      <c r="AC90">
        <v>436.39</v>
      </c>
      <c r="AD90">
        <v>0</v>
      </c>
      <c r="AE90">
        <v>0</v>
      </c>
      <c r="AF90">
        <v>1942.21</v>
      </c>
      <c r="AG90">
        <v>436.39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0.81</v>
      </c>
      <c r="AU90" t="s">
        <v>3</v>
      </c>
      <c r="AV90">
        <v>0</v>
      </c>
      <c r="AW90">
        <v>2</v>
      </c>
      <c r="AX90">
        <v>56441865</v>
      </c>
      <c r="AY90">
        <v>1</v>
      </c>
      <c r="AZ90">
        <v>0</v>
      </c>
      <c r="BA90">
        <v>81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Y90*Source!I279</f>
        <v>0</v>
      </c>
      <c r="CY90">
        <f>AB90</f>
        <v>1942.21</v>
      </c>
      <c r="CZ90">
        <f>AF90</f>
        <v>1942.21</v>
      </c>
      <c r="DA90">
        <f>AJ90</f>
        <v>1</v>
      </c>
      <c r="DB90">
        <f t="shared" si="9"/>
        <v>1573.19</v>
      </c>
      <c r="DC90">
        <f t="shared" si="10"/>
        <v>353.48</v>
      </c>
    </row>
    <row r="91" spans="1:107" x14ac:dyDescent="0.2">
      <c r="A91">
        <f>ROW(Source!A279)</f>
        <v>279</v>
      </c>
      <c r="B91">
        <v>56440881</v>
      </c>
      <c r="C91">
        <v>56441853</v>
      </c>
      <c r="D91">
        <v>52968996</v>
      </c>
      <c r="E91">
        <v>1</v>
      </c>
      <c r="F91">
        <v>1</v>
      </c>
      <c r="G91">
        <v>25</v>
      </c>
      <c r="H91">
        <v>2</v>
      </c>
      <c r="I91" t="s">
        <v>442</v>
      </c>
      <c r="J91" t="s">
        <v>443</v>
      </c>
      <c r="K91" t="s">
        <v>444</v>
      </c>
      <c r="L91">
        <v>1368</v>
      </c>
      <c r="N91">
        <v>1011</v>
      </c>
      <c r="O91" t="s">
        <v>354</v>
      </c>
      <c r="P91" t="s">
        <v>354</v>
      </c>
      <c r="Q91">
        <v>1</v>
      </c>
      <c r="W91">
        <v>0</v>
      </c>
      <c r="X91">
        <v>1761872854</v>
      </c>
      <c r="Y91">
        <v>1.94</v>
      </c>
      <c r="AA91">
        <v>0</v>
      </c>
      <c r="AB91">
        <v>1364.77</v>
      </c>
      <c r="AC91">
        <v>610.30999999999995</v>
      </c>
      <c r="AD91">
        <v>0</v>
      </c>
      <c r="AE91">
        <v>0</v>
      </c>
      <c r="AF91">
        <v>1364.77</v>
      </c>
      <c r="AG91">
        <v>610.30999999999995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1.94</v>
      </c>
      <c r="AU91" t="s">
        <v>3</v>
      </c>
      <c r="AV91">
        <v>0</v>
      </c>
      <c r="AW91">
        <v>2</v>
      </c>
      <c r="AX91">
        <v>56441866</v>
      </c>
      <c r="AY91">
        <v>1</v>
      </c>
      <c r="AZ91">
        <v>0</v>
      </c>
      <c r="BA91">
        <v>82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Y91*Source!I279</f>
        <v>0</v>
      </c>
      <c r="CY91">
        <f>AB91</f>
        <v>1364.77</v>
      </c>
      <c r="CZ91">
        <f>AF91</f>
        <v>1364.77</v>
      </c>
      <c r="DA91">
        <f>AJ91</f>
        <v>1</v>
      </c>
      <c r="DB91">
        <f t="shared" si="9"/>
        <v>2647.65</v>
      </c>
      <c r="DC91">
        <f t="shared" si="10"/>
        <v>1184</v>
      </c>
    </row>
    <row r="92" spans="1:107" x14ac:dyDescent="0.2">
      <c r="A92">
        <f>ROW(Source!A279)</f>
        <v>279</v>
      </c>
      <c r="B92">
        <v>56440881</v>
      </c>
      <c r="C92">
        <v>56441853</v>
      </c>
      <c r="D92">
        <v>52968962</v>
      </c>
      <c r="E92">
        <v>1</v>
      </c>
      <c r="F92">
        <v>1</v>
      </c>
      <c r="G92">
        <v>25</v>
      </c>
      <c r="H92">
        <v>2</v>
      </c>
      <c r="I92" t="s">
        <v>445</v>
      </c>
      <c r="J92" t="s">
        <v>446</v>
      </c>
      <c r="K92" t="s">
        <v>447</v>
      </c>
      <c r="L92">
        <v>1368</v>
      </c>
      <c r="N92">
        <v>1011</v>
      </c>
      <c r="O92" t="s">
        <v>354</v>
      </c>
      <c r="P92" t="s">
        <v>354</v>
      </c>
      <c r="Q92">
        <v>1</v>
      </c>
      <c r="W92">
        <v>0</v>
      </c>
      <c r="X92">
        <v>-421159572</v>
      </c>
      <c r="Y92">
        <v>0.65</v>
      </c>
      <c r="AA92">
        <v>0</v>
      </c>
      <c r="AB92">
        <v>1179.56</v>
      </c>
      <c r="AC92">
        <v>439.28</v>
      </c>
      <c r="AD92">
        <v>0</v>
      </c>
      <c r="AE92">
        <v>0</v>
      </c>
      <c r="AF92">
        <v>1179.56</v>
      </c>
      <c r="AG92">
        <v>439.28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0.65</v>
      </c>
      <c r="AU92" t="s">
        <v>3</v>
      </c>
      <c r="AV92">
        <v>0</v>
      </c>
      <c r="AW92">
        <v>2</v>
      </c>
      <c r="AX92">
        <v>56441867</v>
      </c>
      <c r="AY92">
        <v>1</v>
      </c>
      <c r="AZ92">
        <v>0</v>
      </c>
      <c r="BA92">
        <v>83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Y92*Source!I279</f>
        <v>0</v>
      </c>
      <c r="CY92">
        <f>AB92</f>
        <v>1179.56</v>
      </c>
      <c r="CZ92">
        <f>AF92</f>
        <v>1179.56</v>
      </c>
      <c r="DA92">
        <f>AJ92</f>
        <v>1</v>
      </c>
      <c r="DB92">
        <f t="shared" si="9"/>
        <v>766.71</v>
      </c>
      <c r="DC92">
        <f t="shared" si="10"/>
        <v>285.52999999999997</v>
      </c>
    </row>
    <row r="93" spans="1:107" x14ac:dyDescent="0.2">
      <c r="A93">
        <f>ROW(Source!A279)</f>
        <v>279</v>
      </c>
      <c r="B93">
        <v>56440881</v>
      </c>
      <c r="C93">
        <v>56441853</v>
      </c>
      <c r="D93">
        <v>52970911</v>
      </c>
      <c r="E93">
        <v>1</v>
      </c>
      <c r="F93">
        <v>1</v>
      </c>
      <c r="G93">
        <v>25</v>
      </c>
      <c r="H93">
        <v>3</v>
      </c>
      <c r="I93" t="s">
        <v>448</v>
      </c>
      <c r="J93" t="s">
        <v>449</v>
      </c>
      <c r="K93" t="s">
        <v>450</v>
      </c>
      <c r="L93">
        <v>1339</v>
      </c>
      <c r="N93">
        <v>1007</v>
      </c>
      <c r="O93" t="s">
        <v>26</v>
      </c>
      <c r="P93" t="s">
        <v>26</v>
      </c>
      <c r="Q93">
        <v>1</v>
      </c>
      <c r="W93">
        <v>0</v>
      </c>
      <c r="X93">
        <v>-774262015</v>
      </c>
      <c r="Y93">
        <v>110</v>
      </c>
      <c r="AA93">
        <v>590.78</v>
      </c>
      <c r="AB93">
        <v>0</v>
      </c>
      <c r="AC93">
        <v>0</v>
      </c>
      <c r="AD93">
        <v>0</v>
      </c>
      <c r="AE93">
        <v>590.78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110</v>
      </c>
      <c r="AU93" t="s">
        <v>3</v>
      </c>
      <c r="AV93">
        <v>0</v>
      </c>
      <c r="AW93">
        <v>2</v>
      </c>
      <c r="AX93">
        <v>56441868</v>
      </c>
      <c r="AY93">
        <v>1</v>
      </c>
      <c r="AZ93">
        <v>0</v>
      </c>
      <c r="BA93">
        <v>84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Y93*Source!I279</f>
        <v>0</v>
      </c>
      <c r="CY93">
        <f>AA93</f>
        <v>590.78</v>
      </c>
      <c r="CZ93">
        <f>AE93</f>
        <v>590.78</v>
      </c>
      <c r="DA93">
        <f>AI93</f>
        <v>1</v>
      </c>
      <c r="DB93">
        <f t="shared" si="9"/>
        <v>64985.8</v>
      </c>
      <c r="DC93">
        <f t="shared" si="10"/>
        <v>0</v>
      </c>
    </row>
    <row r="94" spans="1:107" x14ac:dyDescent="0.2">
      <c r="A94">
        <f>ROW(Source!A279)</f>
        <v>279</v>
      </c>
      <c r="B94">
        <v>56440881</v>
      </c>
      <c r="C94">
        <v>56441853</v>
      </c>
      <c r="D94">
        <v>52971654</v>
      </c>
      <c r="E94">
        <v>1</v>
      </c>
      <c r="F94">
        <v>1</v>
      </c>
      <c r="G94">
        <v>25</v>
      </c>
      <c r="H94">
        <v>3</v>
      </c>
      <c r="I94" t="s">
        <v>367</v>
      </c>
      <c r="J94" t="s">
        <v>368</v>
      </c>
      <c r="K94" t="s">
        <v>369</v>
      </c>
      <c r="L94">
        <v>1339</v>
      </c>
      <c r="N94">
        <v>1007</v>
      </c>
      <c r="O94" t="s">
        <v>26</v>
      </c>
      <c r="P94" t="s">
        <v>26</v>
      </c>
      <c r="Q94">
        <v>1</v>
      </c>
      <c r="W94">
        <v>0</v>
      </c>
      <c r="X94">
        <v>1964795396</v>
      </c>
      <c r="Y94">
        <v>5</v>
      </c>
      <c r="AA94">
        <v>33.729999999999997</v>
      </c>
      <c r="AB94">
        <v>0</v>
      </c>
      <c r="AC94">
        <v>0</v>
      </c>
      <c r="AD94">
        <v>0</v>
      </c>
      <c r="AE94">
        <v>33.729999999999997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5</v>
      </c>
      <c r="AU94" t="s">
        <v>3</v>
      </c>
      <c r="AV94">
        <v>0</v>
      </c>
      <c r="AW94">
        <v>2</v>
      </c>
      <c r="AX94">
        <v>56441869</v>
      </c>
      <c r="AY94">
        <v>1</v>
      </c>
      <c r="AZ94">
        <v>0</v>
      </c>
      <c r="BA94">
        <v>85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Y94*Source!I279</f>
        <v>0</v>
      </c>
      <c r="CY94">
        <f>AA94</f>
        <v>33.729999999999997</v>
      </c>
      <c r="CZ94">
        <f>AE94</f>
        <v>33.729999999999997</v>
      </c>
      <c r="DA94">
        <f>AI94</f>
        <v>1</v>
      </c>
      <c r="DB94">
        <f t="shared" si="9"/>
        <v>168.65</v>
      </c>
      <c r="DC94">
        <f t="shared" si="10"/>
        <v>0</v>
      </c>
    </row>
    <row r="95" spans="1:107" x14ac:dyDescent="0.2">
      <c r="A95">
        <f>ROW(Source!A280)</f>
        <v>280</v>
      </c>
      <c r="B95">
        <v>56440881</v>
      </c>
      <c r="C95">
        <v>56441870</v>
      </c>
      <c r="D95">
        <v>52956643</v>
      </c>
      <c r="E95">
        <v>25</v>
      </c>
      <c r="F95">
        <v>1</v>
      </c>
      <c r="G95">
        <v>25</v>
      </c>
      <c r="H95">
        <v>1</v>
      </c>
      <c r="I95" t="s">
        <v>348</v>
      </c>
      <c r="J95" t="s">
        <v>3</v>
      </c>
      <c r="K95" t="s">
        <v>349</v>
      </c>
      <c r="L95">
        <v>1191</v>
      </c>
      <c r="N95">
        <v>1013</v>
      </c>
      <c r="O95" t="s">
        <v>350</v>
      </c>
      <c r="P95" t="s">
        <v>350</v>
      </c>
      <c r="Q95">
        <v>1</v>
      </c>
      <c r="W95">
        <v>0</v>
      </c>
      <c r="X95">
        <v>476480486</v>
      </c>
      <c r="Y95">
        <v>24.84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24.84</v>
      </c>
      <c r="AU95" t="s">
        <v>3</v>
      </c>
      <c r="AV95">
        <v>1</v>
      </c>
      <c r="AW95">
        <v>2</v>
      </c>
      <c r="AX95">
        <v>56441881</v>
      </c>
      <c r="AY95">
        <v>1</v>
      </c>
      <c r="AZ95">
        <v>0</v>
      </c>
      <c r="BA95">
        <v>86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Y95*Source!I280</f>
        <v>0</v>
      </c>
      <c r="CY95">
        <f>AD95</f>
        <v>0</v>
      </c>
      <c r="CZ95">
        <f>AH95</f>
        <v>0</v>
      </c>
      <c r="DA95">
        <f>AL95</f>
        <v>1</v>
      </c>
      <c r="DB95">
        <f t="shared" si="9"/>
        <v>0</v>
      </c>
      <c r="DC95">
        <f t="shared" si="10"/>
        <v>0</v>
      </c>
    </row>
    <row r="96" spans="1:107" x14ac:dyDescent="0.2">
      <c r="A96">
        <f>ROW(Source!A280)</f>
        <v>280</v>
      </c>
      <c r="B96">
        <v>56440881</v>
      </c>
      <c r="C96">
        <v>56441870</v>
      </c>
      <c r="D96">
        <v>52968791</v>
      </c>
      <c r="E96">
        <v>1</v>
      </c>
      <c r="F96">
        <v>1</v>
      </c>
      <c r="G96">
        <v>25</v>
      </c>
      <c r="H96">
        <v>2</v>
      </c>
      <c r="I96" t="s">
        <v>451</v>
      </c>
      <c r="J96" t="s">
        <v>452</v>
      </c>
      <c r="K96" t="s">
        <v>453</v>
      </c>
      <c r="L96">
        <v>1368</v>
      </c>
      <c r="N96">
        <v>1011</v>
      </c>
      <c r="O96" t="s">
        <v>354</v>
      </c>
      <c r="P96" t="s">
        <v>354</v>
      </c>
      <c r="Q96">
        <v>1</v>
      </c>
      <c r="W96">
        <v>0</v>
      </c>
      <c r="X96">
        <v>445823220</v>
      </c>
      <c r="Y96">
        <v>2.94</v>
      </c>
      <c r="AA96">
        <v>0</v>
      </c>
      <c r="AB96">
        <v>923.83</v>
      </c>
      <c r="AC96">
        <v>342.06</v>
      </c>
      <c r="AD96">
        <v>0</v>
      </c>
      <c r="AE96">
        <v>0</v>
      </c>
      <c r="AF96">
        <v>923.83</v>
      </c>
      <c r="AG96">
        <v>342.06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2.94</v>
      </c>
      <c r="AU96" t="s">
        <v>3</v>
      </c>
      <c r="AV96">
        <v>0</v>
      </c>
      <c r="AW96">
        <v>2</v>
      </c>
      <c r="AX96">
        <v>56441882</v>
      </c>
      <c r="AY96">
        <v>1</v>
      </c>
      <c r="AZ96">
        <v>0</v>
      </c>
      <c r="BA96">
        <v>87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Y96*Source!I280</f>
        <v>0</v>
      </c>
      <c r="CY96">
        <f t="shared" ref="CY96:CY101" si="11">AB96</f>
        <v>923.83</v>
      </c>
      <c r="CZ96">
        <f t="shared" ref="CZ96:CZ101" si="12">AF96</f>
        <v>923.83</v>
      </c>
      <c r="DA96">
        <f t="shared" ref="DA96:DA101" si="13">AJ96</f>
        <v>1</v>
      </c>
      <c r="DB96">
        <f t="shared" si="9"/>
        <v>2716.06</v>
      </c>
      <c r="DC96">
        <f t="shared" si="10"/>
        <v>1005.66</v>
      </c>
    </row>
    <row r="97" spans="1:107" x14ac:dyDescent="0.2">
      <c r="A97">
        <f>ROW(Source!A280)</f>
        <v>280</v>
      </c>
      <c r="B97">
        <v>56440881</v>
      </c>
      <c r="C97">
        <v>56441870</v>
      </c>
      <c r="D97">
        <v>52968972</v>
      </c>
      <c r="E97">
        <v>1</v>
      </c>
      <c r="F97">
        <v>1</v>
      </c>
      <c r="G97">
        <v>25</v>
      </c>
      <c r="H97">
        <v>2</v>
      </c>
      <c r="I97" t="s">
        <v>439</v>
      </c>
      <c r="J97" t="s">
        <v>440</v>
      </c>
      <c r="K97" t="s">
        <v>441</v>
      </c>
      <c r="L97">
        <v>1368</v>
      </c>
      <c r="N97">
        <v>1011</v>
      </c>
      <c r="O97" t="s">
        <v>354</v>
      </c>
      <c r="P97" t="s">
        <v>354</v>
      </c>
      <c r="Q97">
        <v>1</v>
      </c>
      <c r="W97">
        <v>0</v>
      </c>
      <c r="X97">
        <v>1308944103</v>
      </c>
      <c r="Y97">
        <v>1.1399999999999999</v>
      </c>
      <c r="AA97">
        <v>0</v>
      </c>
      <c r="AB97">
        <v>1942.21</v>
      </c>
      <c r="AC97">
        <v>436.39</v>
      </c>
      <c r="AD97">
        <v>0</v>
      </c>
      <c r="AE97">
        <v>0</v>
      </c>
      <c r="AF97">
        <v>1942.21</v>
      </c>
      <c r="AG97">
        <v>436.39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1.1399999999999999</v>
      </c>
      <c r="AU97" t="s">
        <v>3</v>
      </c>
      <c r="AV97">
        <v>0</v>
      </c>
      <c r="AW97">
        <v>2</v>
      </c>
      <c r="AX97">
        <v>56441883</v>
      </c>
      <c r="AY97">
        <v>1</v>
      </c>
      <c r="AZ97">
        <v>0</v>
      </c>
      <c r="BA97">
        <v>88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Y97*Source!I280</f>
        <v>0</v>
      </c>
      <c r="CY97">
        <f t="shared" si="11"/>
        <v>1942.21</v>
      </c>
      <c r="CZ97">
        <f t="shared" si="12"/>
        <v>1942.21</v>
      </c>
      <c r="DA97">
        <f t="shared" si="13"/>
        <v>1</v>
      </c>
      <c r="DB97">
        <f t="shared" si="9"/>
        <v>2214.12</v>
      </c>
      <c r="DC97">
        <f t="shared" si="10"/>
        <v>497.48</v>
      </c>
    </row>
    <row r="98" spans="1:107" x14ac:dyDescent="0.2">
      <c r="A98">
        <f>ROW(Source!A280)</f>
        <v>280</v>
      </c>
      <c r="B98">
        <v>56440881</v>
      </c>
      <c r="C98">
        <v>56441870</v>
      </c>
      <c r="D98">
        <v>52968957</v>
      </c>
      <c r="E98">
        <v>1</v>
      </c>
      <c r="F98">
        <v>1</v>
      </c>
      <c r="G98">
        <v>25</v>
      </c>
      <c r="H98">
        <v>2</v>
      </c>
      <c r="I98" t="s">
        <v>358</v>
      </c>
      <c r="J98" t="s">
        <v>359</v>
      </c>
      <c r="K98" t="s">
        <v>360</v>
      </c>
      <c r="L98">
        <v>1368</v>
      </c>
      <c r="N98">
        <v>1011</v>
      </c>
      <c r="O98" t="s">
        <v>354</v>
      </c>
      <c r="P98" t="s">
        <v>354</v>
      </c>
      <c r="Q98">
        <v>1</v>
      </c>
      <c r="W98">
        <v>0</v>
      </c>
      <c r="X98">
        <v>-2094009474</v>
      </c>
      <c r="Y98">
        <v>8.9600000000000009</v>
      </c>
      <c r="AA98">
        <v>0</v>
      </c>
      <c r="AB98">
        <v>1207.81</v>
      </c>
      <c r="AC98">
        <v>504.4</v>
      </c>
      <c r="AD98">
        <v>0</v>
      </c>
      <c r="AE98">
        <v>0</v>
      </c>
      <c r="AF98">
        <v>1207.81</v>
      </c>
      <c r="AG98">
        <v>504.4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8.9600000000000009</v>
      </c>
      <c r="AU98" t="s">
        <v>3</v>
      </c>
      <c r="AV98">
        <v>0</v>
      </c>
      <c r="AW98">
        <v>2</v>
      </c>
      <c r="AX98">
        <v>56441884</v>
      </c>
      <c r="AY98">
        <v>1</v>
      </c>
      <c r="AZ98">
        <v>0</v>
      </c>
      <c r="BA98">
        <v>89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Y98*Source!I280</f>
        <v>0</v>
      </c>
      <c r="CY98">
        <f t="shared" si="11"/>
        <v>1207.81</v>
      </c>
      <c r="CZ98">
        <f t="shared" si="12"/>
        <v>1207.81</v>
      </c>
      <c r="DA98">
        <f t="shared" si="13"/>
        <v>1</v>
      </c>
      <c r="DB98">
        <f t="shared" si="9"/>
        <v>10821.98</v>
      </c>
      <c r="DC98">
        <f t="shared" si="10"/>
        <v>4519.42</v>
      </c>
    </row>
    <row r="99" spans="1:107" x14ac:dyDescent="0.2">
      <c r="A99">
        <f>ROW(Source!A280)</f>
        <v>280</v>
      </c>
      <c r="B99">
        <v>56440881</v>
      </c>
      <c r="C99">
        <v>56441870</v>
      </c>
      <c r="D99">
        <v>52968958</v>
      </c>
      <c r="E99">
        <v>1</v>
      </c>
      <c r="F99">
        <v>1</v>
      </c>
      <c r="G99">
        <v>25</v>
      </c>
      <c r="H99">
        <v>2</v>
      </c>
      <c r="I99" t="s">
        <v>361</v>
      </c>
      <c r="J99" t="s">
        <v>362</v>
      </c>
      <c r="K99" t="s">
        <v>363</v>
      </c>
      <c r="L99">
        <v>1368</v>
      </c>
      <c r="N99">
        <v>1011</v>
      </c>
      <c r="O99" t="s">
        <v>354</v>
      </c>
      <c r="P99" t="s">
        <v>354</v>
      </c>
      <c r="Q99">
        <v>1</v>
      </c>
      <c r="W99">
        <v>0</v>
      </c>
      <c r="X99">
        <v>-1845376792</v>
      </c>
      <c r="Y99">
        <v>18.25</v>
      </c>
      <c r="AA99">
        <v>0</v>
      </c>
      <c r="AB99">
        <v>1741.23</v>
      </c>
      <c r="AC99">
        <v>685.71</v>
      </c>
      <c r="AD99">
        <v>0</v>
      </c>
      <c r="AE99">
        <v>0</v>
      </c>
      <c r="AF99">
        <v>1741.23</v>
      </c>
      <c r="AG99">
        <v>685.71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3</v>
      </c>
      <c r="AT99">
        <v>18.25</v>
      </c>
      <c r="AU99" t="s">
        <v>3</v>
      </c>
      <c r="AV99">
        <v>0</v>
      </c>
      <c r="AW99">
        <v>2</v>
      </c>
      <c r="AX99">
        <v>56441885</v>
      </c>
      <c r="AY99">
        <v>1</v>
      </c>
      <c r="AZ99">
        <v>0</v>
      </c>
      <c r="BA99">
        <v>90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Y99*Source!I280</f>
        <v>0</v>
      </c>
      <c r="CY99">
        <f t="shared" si="11"/>
        <v>1741.23</v>
      </c>
      <c r="CZ99">
        <f t="shared" si="12"/>
        <v>1741.23</v>
      </c>
      <c r="DA99">
        <f t="shared" si="13"/>
        <v>1</v>
      </c>
      <c r="DB99">
        <f t="shared" si="9"/>
        <v>31777.45</v>
      </c>
      <c r="DC99">
        <f t="shared" si="10"/>
        <v>12514.21</v>
      </c>
    </row>
    <row r="100" spans="1:107" x14ac:dyDescent="0.2">
      <c r="A100">
        <f>ROW(Source!A280)</f>
        <v>280</v>
      </c>
      <c r="B100">
        <v>56440881</v>
      </c>
      <c r="C100">
        <v>56441870</v>
      </c>
      <c r="D100">
        <v>52968996</v>
      </c>
      <c r="E100">
        <v>1</v>
      </c>
      <c r="F100">
        <v>1</v>
      </c>
      <c r="G100">
        <v>25</v>
      </c>
      <c r="H100">
        <v>2</v>
      </c>
      <c r="I100" t="s">
        <v>442</v>
      </c>
      <c r="J100" t="s">
        <v>443</v>
      </c>
      <c r="K100" t="s">
        <v>444</v>
      </c>
      <c r="L100">
        <v>1368</v>
      </c>
      <c r="N100">
        <v>1011</v>
      </c>
      <c r="O100" t="s">
        <v>354</v>
      </c>
      <c r="P100" t="s">
        <v>354</v>
      </c>
      <c r="Q100">
        <v>1</v>
      </c>
      <c r="W100">
        <v>0</v>
      </c>
      <c r="X100">
        <v>1761872854</v>
      </c>
      <c r="Y100">
        <v>2.2400000000000002</v>
      </c>
      <c r="AA100">
        <v>0</v>
      </c>
      <c r="AB100">
        <v>1364.77</v>
      </c>
      <c r="AC100">
        <v>610.30999999999995</v>
      </c>
      <c r="AD100">
        <v>0</v>
      </c>
      <c r="AE100">
        <v>0</v>
      </c>
      <c r="AF100">
        <v>1364.77</v>
      </c>
      <c r="AG100">
        <v>610.30999999999995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3</v>
      </c>
      <c r="AT100">
        <v>2.2400000000000002</v>
      </c>
      <c r="AU100" t="s">
        <v>3</v>
      </c>
      <c r="AV100">
        <v>0</v>
      </c>
      <c r="AW100">
        <v>2</v>
      </c>
      <c r="AX100">
        <v>56441886</v>
      </c>
      <c r="AY100">
        <v>1</v>
      </c>
      <c r="AZ100">
        <v>0</v>
      </c>
      <c r="BA100">
        <v>91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Y100*Source!I280</f>
        <v>0</v>
      </c>
      <c r="CY100">
        <f t="shared" si="11"/>
        <v>1364.77</v>
      </c>
      <c r="CZ100">
        <f t="shared" si="12"/>
        <v>1364.77</v>
      </c>
      <c r="DA100">
        <f t="shared" si="13"/>
        <v>1</v>
      </c>
      <c r="DB100">
        <f t="shared" si="9"/>
        <v>3057.08</v>
      </c>
      <c r="DC100">
        <f t="shared" si="10"/>
        <v>1367.09</v>
      </c>
    </row>
    <row r="101" spans="1:107" x14ac:dyDescent="0.2">
      <c r="A101">
        <f>ROW(Source!A280)</f>
        <v>280</v>
      </c>
      <c r="B101">
        <v>56440881</v>
      </c>
      <c r="C101">
        <v>56441870</v>
      </c>
      <c r="D101">
        <v>52968962</v>
      </c>
      <c r="E101">
        <v>1</v>
      </c>
      <c r="F101">
        <v>1</v>
      </c>
      <c r="G101">
        <v>25</v>
      </c>
      <c r="H101">
        <v>2</v>
      </c>
      <c r="I101" t="s">
        <v>445</v>
      </c>
      <c r="J101" t="s">
        <v>446</v>
      </c>
      <c r="K101" t="s">
        <v>447</v>
      </c>
      <c r="L101">
        <v>1368</v>
      </c>
      <c r="N101">
        <v>1011</v>
      </c>
      <c r="O101" t="s">
        <v>354</v>
      </c>
      <c r="P101" t="s">
        <v>354</v>
      </c>
      <c r="Q101">
        <v>1</v>
      </c>
      <c r="W101">
        <v>0</v>
      </c>
      <c r="X101">
        <v>-421159572</v>
      </c>
      <c r="Y101">
        <v>0.65</v>
      </c>
      <c r="AA101">
        <v>0</v>
      </c>
      <c r="AB101">
        <v>1179.56</v>
      </c>
      <c r="AC101">
        <v>439.28</v>
      </c>
      <c r="AD101">
        <v>0</v>
      </c>
      <c r="AE101">
        <v>0</v>
      </c>
      <c r="AF101">
        <v>1179.56</v>
      </c>
      <c r="AG101">
        <v>439.28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 t="s">
        <v>3</v>
      </c>
      <c r="AT101">
        <v>0.65</v>
      </c>
      <c r="AU101" t="s">
        <v>3</v>
      </c>
      <c r="AV101">
        <v>0</v>
      </c>
      <c r="AW101">
        <v>2</v>
      </c>
      <c r="AX101">
        <v>56441887</v>
      </c>
      <c r="AY101">
        <v>1</v>
      </c>
      <c r="AZ101">
        <v>0</v>
      </c>
      <c r="BA101">
        <v>92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Y101*Source!I280</f>
        <v>0</v>
      </c>
      <c r="CY101">
        <f t="shared" si="11"/>
        <v>1179.56</v>
      </c>
      <c r="CZ101">
        <f t="shared" si="12"/>
        <v>1179.56</v>
      </c>
      <c r="DA101">
        <f t="shared" si="13"/>
        <v>1</v>
      </c>
      <c r="DB101">
        <f t="shared" si="9"/>
        <v>766.71</v>
      </c>
      <c r="DC101">
        <f t="shared" si="10"/>
        <v>285.52999999999997</v>
      </c>
    </row>
    <row r="102" spans="1:107" x14ac:dyDescent="0.2">
      <c r="A102">
        <f>ROW(Source!A280)</f>
        <v>280</v>
      </c>
      <c r="B102">
        <v>56440881</v>
      </c>
      <c r="C102">
        <v>56441870</v>
      </c>
      <c r="D102">
        <v>52970932</v>
      </c>
      <c r="E102">
        <v>1</v>
      </c>
      <c r="F102">
        <v>1</v>
      </c>
      <c r="G102">
        <v>25</v>
      </c>
      <c r="H102">
        <v>3</v>
      </c>
      <c r="I102" t="s">
        <v>224</v>
      </c>
      <c r="J102" t="s">
        <v>226</v>
      </c>
      <c r="K102" t="s">
        <v>225</v>
      </c>
      <c r="L102">
        <v>1339</v>
      </c>
      <c r="N102">
        <v>1007</v>
      </c>
      <c r="O102" t="s">
        <v>26</v>
      </c>
      <c r="P102" t="s">
        <v>26</v>
      </c>
      <c r="Q102">
        <v>1</v>
      </c>
      <c r="W102">
        <v>0</v>
      </c>
      <c r="X102">
        <v>-1266475872</v>
      </c>
      <c r="Y102">
        <v>126</v>
      </c>
      <c r="AA102">
        <v>1487.52</v>
      </c>
      <c r="AB102">
        <v>0</v>
      </c>
      <c r="AC102">
        <v>0</v>
      </c>
      <c r="AD102">
        <v>0</v>
      </c>
      <c r="AE102">
        <v>1487.52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 t="s">
        <v>3</v>
      </c>
      <c r="AT102">
        <v>126</v>
      </c>
      <c r="AU102" t="s">
        <v>3</v>
      </c>
      <c r="AV102">
        <v>0</v>
      </c>
      <c r="AW102">
        <v>1</v>
      </c>
      <c r="AX102">
        <v>-1</v>
      </c>
      <c r="AY102">
        <v>0</v>
      </c>
      <c r="AZ102">
        <v>0</v>
      </c>
      <c r="BA102" t="s">
        <v>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Y102*Source!I280</f>
        <v>0</v>
      </c>
      <c r="CY102">
        <f>AA102</f>
        <v>1487.52</v>
      </c>
      <c r="CZ102">
        <f>AE102</f>
        <v>1487.52</v>
      </c>
      <c r="DA102">
        <f>AI102</f>
        <v>1</v>
      </c>
      <c r="DB102">
        <f t="shared" si="9"/>
        <v>187427.52</v>
      </c>
      <c r="DC102">
        <f t="shared" si="10"/>
        <v>0</v>
      </c>
    </row>
    <row r="103" spans="1:107" x14ac:dyDescent="0.2">
      <c r="A103">
        <f>ROW(Source!A280)</f>
        <v>280</v>
      </c>
      <c r="B103">
        <v>56440881</v>
      </c>
      <c r="C103">
        <v>56441870</v>
      </c>
      <c r="D103">
        <v>52970937</v>
      </c>
      <c r="E103">
        <v>1</v>
      </c>
      <c r="F103">
        <v>1</v>
      </c>
      <c r="G103">
        <v>25</v>
      </c>
      <c r="H103">
        <v>3</v>
      </c>
      <c r="I103" t="s">
        <v>29</v>
      </c>
      <c r="J103" t="s">
        <v>31</v>
      </c>
      <c r="K103" t="s">
        <v>30</v>
      </c>
      <c r="L103">
        <v>1339</v>
      </c>
      <c r="N103">
        <v>1007</v>
      </c>
      <c r="O103" t="s">
        <v>26</v>
      </c>
      <c r="P103" t="s">
        <v>26</v>
      </c>
      <c r="Q103">
        <v>1</v>
      </c>
      <c r="W103">
        <v>1</v>
      </c>
      <c r="X103">
        <v>407286016</v>
      </c>
      <c r="Y103">
        <v>-126</v>
      </c>
      <c r="AA103">
        <v>1806.27</v>
      </c>
      <c r="AB103">
        <v>0</v>
      </c>
      <c r="AC103">
        <v>0</v>
      </c>
      <c r="AD103">
        <v>0</v>
      </c>
      <c r="AE103">
        <v>1806.27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3</v>
      </c>
      <c r="AT103">
        <v>-126</v>
      </c>
      <c r="AU103" t="s">
        <v>3</v>
      </c>
      <c r="AV103">
        <v>0</v>
      </c>
      <c r="AW103">
        <v>2</v>
      </c>
      <c r="AX103">
        <v>56441888</v>
      </c>
      <c r="AY103">
        <v>1</v>
      </c>
      <c r="AZ103">
        <v>6144</v>
      </c>
      <c r="BA103">
        <v>93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Y103*Source!I280</f>
        <v>0</v>
      </c>
      <c r="CY103">
        <f>AA103</f>
        <v>1806.27</v>
      </c>
      <c r="CZ103">
        <f>AE103</f>
        <v>1806.27</v>
      </c>
      <c r="DA103">
        <f>AI103</f>
        <v>1</v>
      </c>
      <c r="DB103">
        <f t="shared" si="9"/>
        <v>-227590.02</v>
      </c>
      <c r="DC103">
        <f t="shared" si="10"/>
        <v>0</v>
      </c>
    </row>
    <row r="104" spans="1:107" x14ac:dyDescent="0.2">
      <c r="A104">
        <f>ROW(Source!A280)</f>
        <v>280</v>
      </c>
      <c r="B104">
        <v>56440881</v>
      </c>
      <c r="C104">
        <v>56441870</v>
      </c>
      <c r="D104">
        <v>52971654</v>
      </c>
      <c r="E104">
        <v>1</v>
      </c>
      <c r="F104">
        <v>1</v>
      </c>
      <c r="G104">
        <v>25</v>
      </c>
      <c r="H104">
        <v>3</v>
      </c>
      <c r="I104" t="s">
        <v>367</v>
      </c>
      <c r="J104" t="s">
        <v>368</v>
      </c>
      <c r="K104" t="s">
        <v>369</v>
      </c>
      <c r="L104">
        <v>1339</v>
      </c>
      <c r="N104">
        <v>1007</v>
      </c>
      <c r="O104" t="s">
        <v>26</v>
      </c>
      <c r="P104" t="s">
        <v>26</v>
      </c>
      <c r="Q104">
        <v>1</v>
      </c>
      <c r="W104">
        <v>0</v>
      </c>
      <c r="X104">
        <v>1964795396</v>
      </c>
      <c r="Y104">
        <v>7</v>
      </c>
      <c r="AA104">
        <v>33.729999999999997</v>
      </c>
      <c r="AB104">
        <v>0</v>
      </c>
      <c r="AC104">
        <v>0</v>
      </c>
      <c r="AD104">
        <v>0</v>
      </c>
      <c r="AE104">
        <v>33.729999999999997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7</v>
      </c>
      <c r="AU104" t="s">
        <v>3</v>
      </c>
      <c r="AV104">
        <v>0</v>
      </c>
      <c r="AW104">
        <v>2</v>
      </c>
      <c r="AX104">
        <v>56441889</v>
      </c>
      <c r="AY104">
        <v>1</v>
      </c>
      <c r="AZ104">
        <v>0</v>
      </c>
      <c r="BA104">
        <v>94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Y104*Source!I280</f>
        <v>0</v>
      </c>
      <c r="CY104">
        <f>AA104</f>
        <v>33.729999999999997</v>
      </c>
      <c r="CZ104">
        <f>AE104</f>
        <v>33.729999999999997</v>
      </c>
      <c r="DA104">
        <f>AI104</f>
        <v>1</v>
      </c>
      <c r="DB104">
        <f t="shared" si="9"/>
        <v>236.11</v>
      </c>
      <c r="DC104">
        <f t="shared" si="10"/>
        <v>0</v>
      </c>
    </row>
    <row r="105" spans="1:107" x14ac:dyDescent="0.2">
      <c r="A105">
        <f>ROW(Source!A283)</f>
        <v>283</v>
      </c>
      <c r="B105">
        <v>56440881</v>
      </c>
      <c r="C105">
        <v>56473022</v>
      </c>
      <c r="D105">
        <v>52956643</v>
      </c>
      <c r="E105">
        <v>25</v>
      </c>
      <c r="F105">
        <v>1</v>
      </c>
      <c r="G105">
        <v>25</v>
      </c>
      <c r="H105">
        <v>1</v>
      </c>
      <c r="I105" t="s">
        <v>348</v>
      </c>
      <c r="J105" t="s">
        <v>3</v>
      </c>
      <c r="K105" t="s">
        <v>349</v>
      </c>
      <c r="L105">
        <v>1191</v>
      </c>
      <c r="N105">
        <v>1013</v>
      </c>
      <c r="O105" t="s">
        <v>350</v>
      </c>
      <c r="P105" t="s">
        <v>350</v>
      </c>
      <c r="Q105">
        <v>1</v>
      </c>
      <c r="W105">
        <v>0</v>
      </c>
      <c r="X105">
        <v>476480486</v>
      </c>
      <c r="Y105">
        <v>76.7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3</v>
      </c>
      <c r="AT105">
        <v>76.7</v>
      </c>
      <c r="AU105" t="s">
        <v>3</v>
      </c>
      <c r="AV105">
        <v>1</v>
      </c>
      <c r="AW105">
        <v>2</v>
      </c>
      <c r="AX105">
        <v>56473025</v>
      </c>
      <c r="AY105">
        <v>1</v>
      </c>
      <c r="AZ105">
        <v>0</v>
      </c>
      <c r="BA105">
        <v>95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Y105*Source!I283</f>
        <v>413.02949999999998</v>
      </c>
      <c r="CY105">
        <f>AD105</f>
        <v>0</v>
      </c>
      <c r="CZ105">
        <f>AH105</f>
        <v>0</v>
      </c>
      <c r="DA105">
        <f>AL105</f>
        <v>1</v>
      </c>
      <c r="DB105">
        <f t="shared" si="9"/>
        <v>0</v>
      </c>
      <c r="DC105">
        <f t="shared" si="10"/>
        <v>0</v>
      </c>
    </row>
    <row r="106" spans="1:107" x14ac:dyDescent="0.2">
      <c r="A106">
        <f>ROW(Source!A283)</f>
        <v>283</v>
      </c>
      <c r="B106">
        <v>56440881</v>
      </c>
      <c r="C106">
        <v>56473022</v>
      </c>
      <c r="D106">
        <v>52958455</v>
      </c>
      <c r="E106">
        <v>25</v>
      </c>
      <c r="F106">
        <v>1</v>
      </c>
      <c r="G106">
        <v>25</v>
      </c>
      <c r="H106">
        <v>3</v>
      </c>
      <c r="I106" t="s">
        <v>118</v>
      </c>
      <c r="J106" t="s">
        <v>3</v>
      </c>
      <c r="K106" t="s">
        <v>233</v>
      </c>
      <c r="L106">
        <v>1348</v>
      </c>
      <c r="N106">
        <v>1009</v>
      </c>
      <c r="O106" t="s">
        <v>44</v>
      </c>
      <c r="P106" t="s">
        <v>44</v>
      </c>
      <c r="Q106">
        <v>1000</v>
      </c>
      <c r="W106">
        <v>1</v>
      </c>
      <c r="X106">
        <v>-1807652316</v>
      </c>
      <c r="Y106">
        <v>14.208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 t="s">
        <v>3</v>
      </c>
      <c r="AT106">
        <v>14.208</v>
      </c>
      <c r="AU106" t="s">
        <v>3</v>
      </c>
      <c r="AV106">
        <v>0</v>
      </c>
      <c r="AW106">
        <v>1</v>
      </c>
      <c r="AX106">
        <v>-1</v>
      </c>
      <c r="AY106">
        <v>0</v>
      </c>
      <c r="AZ106">
        <v>0</v>
      </c>
      <c r="BA106" t="s">
        <v>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Y106*Source!I283</f>
        <v>76.510080000000002</v>
      </c>
      <c r="CY106">
        <f>AA106</f>
        <v>0</v>
      </c>
      <c r="CZ106">
        <f>AE106</f>
        <v>0</v>
      </c>
      <c r="DA106">
        <f>AI106</f>
        <v>1</v>
      </c>
      <c r="DB106">
        <f t="shared" si="9"/>
        <v>0</v>
      </c>
      <c r="DC106">
        <f t="shared" si="10"/>
        <v>0</v>
      </c>
    </row>
    <row r="107" spans="1:107" x14ac:dyDescent="0.2">
      <c r="A107">
        <f>ROW(Source!A285)</f>
        <v>285</v>
      </c>
      <c r="B107">
        <v>56440881</v>
      </c>
      <c r="C107">
        <v>56473027</v>
      </c>
      <c r="D107">
        <v>52956643</v>
      </c>
      <c r="E107">
        <v>25</v>
      </c>
      <c r="F107">
        <v>1</v>
      </c>
      <c r="G107">
        <v>25</v>
      </c>
      <c r="H107">
        <v>1</v>
      </c>
      <c r="I107" t="s">
        <v>348</v>
      </c>
      <c r="J107" t="s">
        <v>3</v>
      </c>
      <c r="K107" t="s">
        <v>349</v>
      </c>
      <c r="L107">
        <v>1191</v>
      </c>
      <c r="N107">
        <v>1013</v>
      </c>
      <c r="O107" t="s">
        <v>350</v>
      </c>
      <c r="P107" t="s">
        <v>350</v>
      </c>
      <c r="Q107">
        <v>1</v>
      </c>
      <c r="W107">
        <v>0</v>
      </c>
      <c r="X107">
        <v>476480486</v>
      </c>
      <c r="Y107">
        <v>72.95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3</v>
      </c>
      <c r="AT107">
        <v>72.95</v>
      </c>
      <c r="AU107" t="s">
        <v>3</v>
      </c>
      <c r="AV107">
        <v>1</v>
      </c>
      <c r="AW107">
        <v>2</v>
      </c>
      <c r="AX107">
        <v>56473033</v>
      </c>
      <c r="AY107">
        <v>1</v>
      </c>
      <c r="AZ107">
        <v>0</v>
      </c>
      <c r="BA107">
        <v>96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Y107*Source!I285</f>
        <v>392.83575000000002</v>
      </c>
      <c r="CY107">
        <f>AD107</f>
        <v>0</v>
      </c>
      <c r="CZ107">
        <f>AH107</f>
        <v>0</v>
      </c>
      <c r="DA107">
        <f>AL107</f>
        <v>1</v>
      </c>
      <c r="DB107">
        <f t="shared" si="9"/>
        <v>0</v>
      </c>
      <c r="DC107">
        <f t="shared" si="10"/>
        <v>0</v>
      </c>
    </row>
    <row r="108" spans="1:107" x14ac:dyDescent="0.2">
      <c r="A108">
        <f>ROW(Source!A285)</f>
        <v>285</v>
      </c>
      <c r="B108">
        <v>56440881</v>
      </c>
      <c r="C108">
        <v>56473027</v>
      </c>
      <c r="D108">
        <v>52968886</v>
      </c>
      <c r="E108">
        <v>1</v>
      </c>
      <c r="F108">
        <v>1</v>
      </c>
      <c r="G108">
        <v>25</v>
      </c>
      <c r="H108">
        <v>2</v>
      </c>
      <c r="I108" t="s">
        <v>454</v>
      </c>
      <c r="J108" t="s">
        <v>455</v>
      </c>
      <c r="K108" t="s">
        <v>456</v>
      </c>
      <c r="L108">
        <v>1368</v>
      </c>
      <c r="N108">
        <v>1011</v>
      </c>
      <c r="O108" t="s">
        <v>354</v>
      </c>
      <c r="P108" t="s">
        <v>354</v>
      </c>
      <c r="Q108">
        <v>1</v>
      </c>
      <c r="W108">
        <v>0</v>
      </c>
      <c r="X108">
        <v>-1372446843</v>
      </c>
      <c r="Y108">
        <v>0.26</v>
      </c>
      <c r="AA108">
        <v>0</v>
      </c>
      <c r="AB108">
        <v>662.01</v>
      </c>
      <c r="AC108">
        <v>353.32</v>
      </c>
      <c r="AD108">
        <v>0</v>
      </c>
      <c r="AE108">
        <v>0</v>
      </c>
      <c r="AF108">
        <v>662.01</v>
      </c>
      <c r="AG108">
        <v>353.32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0.26</v>
      </c>
      <c r="AU108" t="s">
        <v>3</v>
      </c>
      <c r="AV108">
        <v>0</v>
      </c>
      <c r="AW108">
        <v>2</v>
      </c>
      <c r="AX108">
        <v>56473034</v>
      </c>
      <c r="AY108">
        <v>1</v>
      </c>
      <c r="AZ108">
        <v>0</v>
      </c>
      <c r="BA108">
        <v>97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Y108*Source!I285</f>
        <v>1.4000999999999999</v>
      </c>
      <c r="CY108">
        <f>AB108</f>
        <v>662.01</v>
      </c>
      <c r="CZ108">
        <f>AF108</f>
        <v>662.01</v>
      </c>
      <c r="DA108">
        <f>AJ108</f>
        <v>1</v>
      </c>
      <c r="DB108">
        <f t="shared" si="9"/>
        <v>172.12</v>
      </c>
      <c r="DC108">
        <f t="shared" si="10"/>
        <v>91.86</v>
      </c>
    </row>
    <row r="109" spans="1:107" x14ac:dyDescent="0.2">
      <c r="A109">
        <f>ROW(Source!A285)</f>
        <v>285</v>
      </c>
      <c r="B109">
        <v>56440881</v>
      </c>
      <c r="C109">
        <v>56473027</v>
      </c>
      <c r="D109">
        <v>52972593</v>
      </c>
      <c r="E109">
        <v>1</v>
      </c>
      <c r="F109">
        <v>1</v>
      </c>
      <c r="G109">
        <v>25</v>
      </c>
      <c r="H109">
        <v>3</v>
      </c>
      <c r="I109" t="s">
        <v>457</v>
      </c>
      <c r="J109" t="s">
        <v>458</v>
      </c>
      <c r="K109" t="s">
        <v>459</v>
      </c>
      <c r="L109">
        <v>1339</v>
      </c>
      <c r="N109">
        <v>1007</v>
      </c>
      <c r="O109" t="s">
        <v>26</v>
      </c>
      <c r="P109" t="s">
        <v>26</v>
      </c>
      <c r="Q109">
        <v>1</v>
      </c>
      <c r="W109">
        <v>0</v>
      </c>
      <c r="X109">
        <v>339889499</v>
      </c>
      <c r="Y109">
        <v>4.3</v>
      </c>
      <c r="AA109">
        <v>3869.68</v>
      </c>
      <c r="AB109">
        <v>0</v>
      </c>
      <c r="AC109">
        <v>0</v>
      </c>
      <c r="AD109">
        <v>0</v>
      </c>
      <c r="AE109">
        <v>3869.68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4.3</v>
      </c>
      <c r="AU109" t="s">
        <v>3</v>
      </c>
      <c r="AV109">
        <v>0</v>
      </c>
      <c r="AW109">
        <v>2</v>
      </c>
      <c r="AX109">
        <v>56473035</v>
      </c>
      <c r="AY109">
        <v>1</v>
      </c>
      <c r="AZ109">
        <v>0</v>
      </c>
      <c r="BA109">
        <v>98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Y109*Source!I285</f>
        <v>23.155499999999996</v>
      </c>
      <c r="CY109">
        <f>AA109</f>
        <v>3869.68</v>
      </c>
      <c r="CZ109">
        <f>AE109</f>
        <v>3869.68</v>
      </c>
      <c r="DA109">
        <f>AI109</f>
        <v>1</v>
      </c>
      <c r="DB109">
        <f t="shared" si="9"/>
        <v>16639.62</v>
      </c>
      <c r="DC109">
        <f t="shared" si="10"/>
        <v>0</v>
      </c>
    </row>
    <row r="110" spans="1:107" x14ac:dyDescent="0.2">
      <c r="A110">
        <f>ROW(Source!A285)</f>
        <v>285</v>
      </c>
      <c r="B110">
        <v>56440881</v>
      </c>
      <c r="C110">
        <v>56473027</v>
      </c>
      <c r="D110">
        <v>52972669</v>
      </c>
      <c r="E110">
        <v>1</v>
      </c>
      <c r="F110">
        <v>1</v>
      </c>
      <c r="G110">
        <v>25</v>
      </c>
      <c r="H110">
        <v>3</v>
      </c>
      <c r="I110" t="s">
        <v>460</v>
      </c>
      <c r="J110" t="s">
        <v>461</v>
      </c>
      <c r="K110" t="s">
        <v>462</v>
      </c>
      <c r="L110">
        <v>1339</v>
      </c>
      <c r="N110">
        <v>1007</v>
      </c>
      <c r="O110" t="s">
        <v>26</v>
      </c>
      <c r="P110" t="s">
        <v>26</v>
      </c>
      <c r="Q110">
        <v>1</v>
      </c>
      <c r="W110">
        <v>0</v>
      </c>
      <c r="X110">
        <v>1955458886</v>
      </c>
      <c r="Y110">
        <v>0.02</v>
      </c>
      <c r="AA110">
        <v>3003.56</v>
      </c>
      <c r="AB110">
        <v>0</v>
      </c>
      <c r="AC110">
        <v>0</v>
      </c>
      <c r="AD110">
        <v>0</v>
      </c>
      <c r="AE110">
        <v>3003.56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0</v>
      </c>
      <c r="AQ110">
        <v>0</v>
      </c>
      <c r="AR110">
        <v>0</v>
      </c>
      <c r="AS110" t="s">
        <v>3</v>
      </c>
      <c r="AT110">
        <v>0.02</v>
      </c>
      <c r="AU110" t="s">
        <v>3</v>
      </c>
      <c r="AV110">
        <v>0</v>
      </c>
      <c r="AW110">
        <v>2</v>
      </c>
      <c r="AX110">
        <v>56473036</v>
      </c>
      <c r="AY110">
        <v>1</v>
      </c>
      <c r="AZ110">
        <v>0</v>
      </c>
      <c r="BA110">
        <v>99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Y110*Source!I285</f>
        <v>0.1077</v>
      </c>
      <c r="CY110">
        <f>AA110</f>
        <v>3003.56</v>
      </c>
      <c r="CZ110">
        <f>AE110</f>
        <v>3003.56</v>
      </c>
      <c r="DA110">
        <f>AI110</f>
        <v>1</v>
      </c>
      <c r="DB110">
        <f t="shared" si="9"/>
        <v>60.07</v>
      </c>
      <c r="DC110">
        <f t="shared" si="10"/>
        <v>0</v>
      </c>
    </row>
    <row r="111" spans="1:107" x14ac:dyDescent="0.2">
      <c r="A111">
        <f>ROW(Source!A285)</f>
        <v>285</v>
      </c>
      <c r="B111">
        <v>56440881</v>
      </c>
      <c r="C111">
        <v>56473027</v>
      </c>
      <c r="D111">
        <v>52973408</v>
      </c>
      <c r="E111">
        <v>1</v>
      </c>
      <c r="F111">
        <v>1</v>
      </c>
      <c r="G111">
        <v>25</v>
      </c>
      <c r="H111">
        <v>3</v>
      </c>
      <c r="I111" t="s">
        <v>463</v>
      </c>
      <c r="J111" t="s">
        <v>464</v>
      </c>
      <c r="K111" t="s">
        <v>465</v>
      </c>
      <c r="L111">
        <v>1339</v>
      </c>
      <c r="N111">
        <v>1007</v>
      </c>
      <c r="O111" t="s">
        <v>26</v>
      </c>
      <c r="P111" t="s">
        <v>26</v>
      </c>
      <c r="Q111">
        <v>1</v>
      </c>
      <c r="W111">
        <v>0</v>
      </c>
      <c r="X111">
        <v>-169397175</v>
      </c>
      <c r="Y111">
        <v>1.6</v>
      </c>
      <c r="AA111">
        <v>8977.86</v>
      </c>
      <c r="AB111">
        <v>0</v>
      </c>
      <c r="AC111">
        <v>0</v>
      </c>
      <c r="AD111">
        <v>0</v>
      </c>
      <c r="AE111">
        <v>8977.86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1.6</v>
      </c>
      <c r="AU111" t="s">
        <v>3</v>
      </c>
      <c r="AV111">
        <v>0</v>
      </c>
      <c r="AW111">
        <v>2</v>
      </c>
      <c r="AX111">
        <v>56473037</v>
      </c>
      <c r="AY111">
        <v>1</v>
      </c>
      <c r="AZ111">
        <v>0</v>
      </c>
      <c r="BA111">
        <v>100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Y111*Source!I285</f>
        <v>8.6159999999999997</v>
      </c>
      <c r="CY111">
        <f>AA111</f>
        <v>8977.86</v>
      </c>
      <c r="CZ111">
        <f>AE111</f>
        <v>8977.86</v>
      </c>
      <c r="DA111">
        <f>AI111</f>
        <v>1</v>
      </c>
      <c r="DB111">
        <f t="shared" si="9"/>
        <v>14364.58</v>
      </c>
      <c r="DC111">
        <f t="shared" si="10"/>
        <v>0</v>
      </c>
    </row>
    <row r="112" spans="1:107" x14ac:dyDescent="0.2">
      <c r="A112">
        <f>ROW(Source!A286)</f>
        <v>286</v>
      </c>
      <c r="B112">
        <v>56440881</v>
      </c>
      <c r="C112">
        <v>56441926</v>
      </c>
      <c r="D112">
        <v>52969562</v>
      </c>
      <c r="E112">
        <v>1</v>
      </c>
      <c r="F112">
        <v>1</v>
      </c>
      <c r="G112">
        <v>25</v>
      </c>
      <c r="H112">
        <v>2</v>
      </c>
      <c r="I112" t="s">
        <v>382</v>
      </c>
      <c r="J112" t="s">
        <v>383</v>
      </c>
      <c r="K112" t="s">
        <v>384</v>
      </c>
      <c r="L112">
        <v>1368</v>
      </c>
      <c r="N112">
        <v>1011</v>
      </c>
      <c r="O112" t="s">
        <v>354</v>
      </c>
      <c r="P112" t="s">
        <v>354</v>
      </c>
      <c r="Q112">
        <v>1</v>
      </c>
      <c r="W112">
        <v>0</v>
      </c>
      <c r="X112">
        <v>-1048706440</v>
      </c>
      <c r="Y112">
        <v>0.02</v>
      </c>
      <c r="AA112">
        <v>0</v>
      </c>
      <c r="AB112">
        <v>952.49</v>
      </c>
      <c r="AC112">
        <v>301.5</v>
      </c>
      <c r="AD112">
        <v>0</v>
      </c>
      <c r="AE112">
        <v>0</v>
      </c>
      <c r="AF112">
        <v>952.49</v>
      </c>
      <c r="AG112">
        <v>301.5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0.02</v>
      </c>
      <c r="AU112" t="s">
        <v>3</v>
      </c>
      <c r="AV112">
        <v>0</v>
      </c>
      <c r="AW112">
        <v>2</v>
      </c>
      <c r="AX112">
        <v>56441929</v>
      </c>
      <c r="AY112">
        <v>1</v>
      </c>
      <c r="AZ112">
        <v>0</v>
      </c>
      <c r="BA112">
        <v>101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Y112*Source!I286</f>
        <v>1.37718144</v>
      </c>
      <c r="CY112">
        <f t="shared" ref="CY112:CY117" si="14">AB112</f>
        <v>952.49</v>
      </c>
      <c r="CZ112">
        <f t="shared" ref="CZ112:CZ117" si="15">AF112</f>
        <v>952.49</v>
      </c>
      <c r="DA112">
        <f t="shared" ref="DA112:DA117" si="16">AJ112</f>
        <v>1</v>
      </c>
      <c r="DB112">
        <f t="shared" si="9"/>
        <v>19.05</v>
      </c>
      <c r="DC112">
        <f t="shared" si="10"/>
        <v>6.03</v>
      </c>
    </row>
    <row r="113" spans="1:107" x14ac:dyDescent="0.2">
      <c r="A113">
        <f>ROW(Source!A286)</f>
        <v>286</v>
      </c>
      <c r="B113">
        <v>56440881</v>
      </c>
      <c r="C113">
        <v>56441926</v>
      </c>
      <c r="D113">
        <v>52969563</v>
      </c>
      <c r="E113">
        <v>1</v>
      </c>
      <c r="F113">
        <v>1</v>
      </c>
      <c r="G113">
        <v>25</v>
      </c>
      <c r="H113">
        <v>2</v>
      </c>
      <c r="I113" t="s">
        <v>385</v>
      </c>
      <c r="J113" t="s">
        <v>386</v>
      </c>
      <c r="K113" t="s">
        <v>387</v>
      </c>
      <c r="L113">
        <v>1368</v>
      </c>
      <c r="N113">
        <v>1011</v>
      </c>
      <c r="O113" t="s">
        <v>354</v>
      </c>
      <c r="P113" t="s">
        <v>354</v>
      </c>
      <c r="Q113">
        <v>1</v>
      </c>
      <c r="W113">
        <v>0</v>
      </c>
      <c r="X113">
        <v>2034648272</v>
      </c>
      <c r="Y113">
        <v>1.7999999999999999E-2</v>
      </c>
      <c r="AA113">
        <v>0</v>
      </c>
      <c r="AB113">
        <v>993.6</v>
      </c>
      <c r="AC113">
        <v>301.8</v>
      </c>
      <c r="AD113">
        <v>0</v>
      </c>
      <c r="AE113">
        <v>0</v>
      </c>
      <c r="AF113">
        <v>993.6</v>
      </c>
      <c r="AG113">
        <v>301.8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0</v>
      </c>
      <c r="AQ113">
        <v>0</v>
      </c>
      <c r="AR113">
        <v>0</v>
      </c>
      <c r="AS113" t="s">
        <v>3</v>
      </c>
      <c r="AT113">
        <v>1.7999999999999999E-2</v>
      </c>
      <c r="AU113" t="s">
        <v>3</v>
      </c>
      <c r="AV113">
        <v>0</v>
      </c>
      <c r="AW113">
        <v>2</v>
      </c>
      <c r="AX113">
        <v>56441930</v>
      </c>
      <c r="AY113">
        <v>1</v>
      </c>
      <c r="AZ113">
        <v>0</v>
      </c>
      <c r="BA113">
        <v>102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Y113*Source!I286</f>
        <v>1.2394632959999998</v>
      </c>
      <c r="CY113">
        <f t="shared" si="14"/>
        <v>993.6</v>
      </c>
      <c r="CZ113">
        <f t="shared" si="15"/>
        <v>993.6</v>
      </c>
      <c r="DA113">
        <f t="shared" si="16"/>
        <v>1</v>
      </c>
      <c r="DB113">
        <f t="shared" si="9"/>
        <v>17.88</v>
      </c>
      <c r="DC113">
        <f t="shared" si="10"/>
        <v>5.43</v>
      </c>
    </row>
    <row r="114" spans="1:107" x14ac:dyDescent="0.2">
      <c r="A114">
        <f>ROW(Source!A287)</f>
        <v>287</v>
      </c>
      <c r="B114">
        <v>56440881</v>
      </c>
      <c r="C114">
        <v>56441931</v>
      </c>
      <c r="D114">
        <v>52969562</v>
      </c>
      <c r="E114">
        <v>1</v>
      </c>
      <c r="F114">
        <v>1</v>
      </c>
      <c r="G114">
        <v>25</v>
      </c>
      <c r="H114">
        <v>2</v>
      </c>
      <c r="I114" t="s">
        <v>382</v>
      </c>
      <c r="J114" t="s">
        <v>383</v>
      </c>
      <c r="K114" t="s">
        <v>384</v>
      </c>
      <c r="L114">
        <v>1368</v>
      </c>
      <c r="N114">
        <v>1011</v>
      </c>
      <c r="O114" t="s">
        <v>354</v>
      </c>
      <c r="P114" t="s">
        <v>354</v>
      </c>
      <c r="Q114">
        <v>1</v>
      </c>
      <c r="W114">
        <v>0</v>
      </c>
      <c r="X114">
        <v>-1048706440</v>
      </c>
      <c r="Y114">
        <v>5.3999999999999999E-2</v>
      </c>
      <c r="AA114">
        <v>0</v>
      </c>
      <c r="AB114">
        <v>952.49</v>
      </c>
      <c r="AC114">
        <v>301.5</v>
      </c>
      <c r="AD114">
        <v>0</v>
      </c>
      <c r="AE114">
        <v>0</v>
      </c>
      <c r="AF114">
        <v>952.49</v>
      </c>
      <c r="AG114">
        <v>301.5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3</v>
      </c>
      <c r="AT114">
        <v>5.3999999999999999E-2</v>
      </c>
      <c r="AU114" t="s">
        <v>3</v>
      </c>
      <c r="AV114">
        <v>0</v>
      </c>
      <c r="AW114">
        <v>2</v>
      </c>
      <c r="AX114">
        <v>56441934</v>
      </c>
      <c r="AY114">
        <v>1</v>
      </c>
      <c r="AZ114">
        <v>0</v>
      </c>
      <c r="BA114">
        <v>103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Y114*Source!I287</f>
        <v>0.41315443200000002</v>
      </c>
      <c r="CY114">
        <f t="shared" si="14"/>
        <v>952.49</v>
      </c>
      <c r="CZ114">
        <f t="shared" si="15"/>
        <v>952.49</v>
      </c>
      <c r="DA114">
        <f t="shared" si="16"/>
        <v>1</v>
      </c>
      <c r="DB114">
        <f t="shared" si="9"/>
        <v>51.43</v>
      </c>
      <c r="DC114">
        <f t="shared" si="10"/>
        <v>16.28</v>
      </c>
    </row>
    <row r="115" spans="1:107" x14ac:dyDescent="0.2">
      <c r="A115">
        <f>ROW(Source!A287)</f>
        <v>287</v>
      </c>
      <c r="B115">
        <v>56440881</v>
      </c>
      <c r="C115">
        <v>56441931</v>
      </c>
      <c r="D115">
        <v>52969563</v>
      </c>
      <c r="E115">
        <v>1</v>
      </c>
      <c r="F115">
        <v>1</v>
      </c>
      <c r="G115">
        <v>25</v>
      </c>
      <c r="H115">
        <v>2</v>
      </c>
      <c r="I115" t="s">
        <v>385</v>
      </c>
      <c r="J115" t="s">
        <v>386</v>
      </c>
      <c r="K115" t="s">
        <v>387</v>
      </c>
      <c r="L115">
        <v>1368</v>
      </c>
      <c r="N115">
        <v>1011</v>
      </c>
      <c r="O115" t="s">
        <v>354</v>
      </c>
      <c r="P115" t="s">
        <v>354</v>
      </c>
      <c r="Q115">
        <v>1</v>
      </c>
      <c r="W115">
        <v>0</v>
      </c>
      <c r="X115">
        <v>2034648272</v>
      </c>
      <c r="Y115">
        <v>5.5E-2</v>
      </c>
      <c r="AA115">
        <v>0</v>
      </c>
      <c r="AB115">
        <v>993.6</v>
      </c>
      <c r="AC115">
        <v>301.8</v>
      </c>
      <c r="AD115">
        <v>0</v>
      </c>
      <c r="AE115">
        <v>0</v>
      </c>
      <c r="AF115">
        <v>993.6</v>
      </c>
      <c r="AG115">
        <v>301.8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3</v>
      </c>
      <c r="AT115">
        <v>5.5E-2</v>
      </c>
      <c r="AU115" t="s">
        <v>3</v>
      </c>
      <c r="AV115">
        <v>0</v>
      </c>
      <c r="AW115">
        <v>2</v>
      </c>
      <c r="AX115">
        <v>56441935</v>
      </c>
      <c r="AY115">
        <v>1</v>
      </c>
      <c r="AZ115">
        <v>0</v>
      </c>
      <c r="BA115">
        <v>104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Y115*Source!I287</f>
        <v>0.42080544000000003</v>
      </c>
      <c r="CY115">
        <f t="shared" si="14"/>
        <v>993.6</v>
      </c>
      <c r="CZ115">
        <f t="shared" si="15"/>
        <v>993.6</v>
      </c>
      <c r="DA115">
        <f t="shared" si="16"/>
        <v>1</v>
      </c>
      <c r="DB115">
        <f t="shared" si="9"/>
        <v>54.65</v>
      </c>
      <c r="DC115">
        <f t="shared" si="10"/>
        <v>16.600000000000001</v>
      </c>
    </row>
    <row r="116" spans="1:107" x14ac:dyDescent="0.2">
      <c r="A116">
        <f>ROW(Source!A288)</f>
        <v>288</v>
      </c>
      <c r="B116">
        <v>56440881</v>
      </c>
      <c r="C116">
        <v>56441936</v>
      </c>
      <c r="D116">
        <v>52969562</v>
      </c>
      <c r="E116">
        <v>1</v>
      </c>
      <c r="F116">
        <v>1</v>
      </c>
      <c r="G116">
        <v>25</v>
      </c>
      <c r="H116">
        <v>2</v>
      </c>
      <c r="I116" t="s">
        <v>382</v>
      </c>
      <c r="J116" t="s">
        <v>383</v>
      </c>
      <c r="K116" t="s">
        <v>384</v>
      </c>
      <c r="L116">
        <v>1368</v>
      </c>
      <c r="N116">
        <v>1011</v>
      </c>
      <c r="O116" t="s">
        <v>354</v>
      </c>
      <c r="P116" t="s">
        <v>354</v>
      </c>
      <c r="Q116">
        <v>1</v>
      </c>
      <c r="W116">
        <v>0</v>
      </c>
      <c r="X116">
        <v>-1048706440</v>
      </c>
      <c r="Y116">
        <v>0.51</v>
      </c>
      <c r="AA116">
        <v>0</v>
      </c>
      <c r="AB116">
        <v>952.49</v>
      </c>
      <c r="AC116">
        <v>301.5</v>
      </c>
      <c r="AD116">
        <v>0</v>
      </c>
      <c r="AE116">
        <v>0</v>
      </c>
      <c r="AF116">
        <v>952.49</v>
      </c>
      <c r="AG116">
        <v>301.5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1</v>
      </c>
      <c r="AQ116">
        <v>0</v>
      </c>
      <c r="AR116">
        <v>0</v>
      </c>
      <c r="AS116" t="s">
        <v>3</v>
      </c>
      <c r="AT116">
        <v>0.01</v>
      </c>
      <c r="AU116" t="s">
        <v>141</v>
      </c>
      <c r="AV116">
        <v>0</v>
      </c>
      <c r="AW116">
        <v>2</v>
      </c>
      <c r="AX116">
        <v>56441939</v>
      </c>
      <c r="AY116">
        <v>1</v>
      </c>
      <c r="AZ116">
        <v>0</v>
      </c>
      <c r="BA116">
        <v>105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Y116*Source!I288</f>
        <v>39.0201408</v>
      </c>
      <c r="CY116">
        <f t="shared" si="14"/>
        <v>952.49</v>
      </c>
      <c r="CZ116">
        <f t="shared" si="15"/>
        <v>952.49</v>
      </c>
      <c r="DA116">
        <f t="shared" si="16"/>
        <v>1</v>
      </c>
      <c r="DB116">
        <f>ROUND((ROUND(AT116*CZ116,2)*51),2)</f>
        <v>485.52</v>
      </c>
      <c r="DC116">
        <f>ROUND((ROUND(AT116*AG116,2)*51),2)</f>
        <v>154.02000000000001</v>
      </c>
    </row>
    <row r="117" spans="1:107" x14ac:dyDescent="0.2">
      <c r="A117">
        <f>ROW(Source!A288)</f>
        <v>288</v>
      </c>
      <c r="B117">
        <v>56440881</v>
      </c>
      <c r="C117">
        <v>56441936</v>
      </c>
      <c r="D117">
        <v>52969563</v>
      </c>
      <c r="E117">
        <v>1</v>
      </c>
      <c r="F117">
        <v>1</v>
      </c>
      <c r="G117">
        <v>25</v>
      </c>
      <c r="H117">
        <v>2</v>
      </c>
      <c r="I117" t="s">
        <v>385</v>
      </c>
      <c r="J117" t="s">
        <v>386</v>
      </c>
      <c r="K117" t="s">
        <v>387</v>
      </c>
      <c r="L117">
        <v>1368</v>
      </c>
      <c r="N117">
        <v>1011</v>
      </c>
      <c r="O117" t="s">
        <v>354</v>
      </c>
      <c r="P117" t="s">
        <v>354</v>
      </c>
      <c r="Q117">
        <v>1</v>
      </c>
      <c r="W117">
        <v>0</v>
      </c>
      <c r="X117">
        <v>2034648272</v>
      </c>
      <c r="Y117">
        <v>0.40800000000000003</v>
      </c>
      <c r="AA117">
        <v>0</v>
      </c>
      <c r="AB117">
        <v>993.6</v>
      </c>
      <c r="AC117">
        <v>301.8</v>
      </c>
      <c r="AD117">
        <v>0</v>
      </c>
      <c r="AE117">
        <v>0</v>
      </c>
      <c r="AF117">
        <v>993.6</v>
      </c>
      <c r="AG117">
        <v>301.8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1</v>
      </c>
      <c r="AQ117">
        <v>0</v>
      </c>
      <c r="AR117">
        <v>0</v>
      </c>
      <c r="AS117" t="s">
        <v>3</v>
      </c>
      <c r="AT117">
        <v>8.0000000000000002E-3</v>
      </c>
      <c r="AU117" t="s">
        <v>141</v>
      </c>
      <c r="AV117">
        <v>0</v>
      </c>
      <c r="AW117">
        <v>2</v>
      </c>
      <c r="AX117">
        <v>56441940</v>
      </c>
      <c r="AY117">
        <v>1</v>
      </c>
      <c r="AZ117">
        <v>0</v>
      </c>
      <c r="BA117">
        <v>106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Y117*Source!I288</f>
        <v>31.216112640000002</v>
      </c>
      <c r="CY117">
        <f t="shared" si="14"/>
        <v>993.6</v>
      </c>
      <c r="CZ117">
        <f t="shared" si="15"/>
        <v>993.6</v>
      </c>
      <c r="DA117">
        <f t="shared" si="16"/>
        <v>1</v>
      </c>
      <c r="DB117">
        <f>ROUND((ROUND(AT117*CZ117,2)*51),2)</f>
        <v>405.45</v>
      </c>
      <c r="DC117">
        <f>ROUND((ROUND(AT117*AG117,2)*51),2)</f>
        <v>122.91</v>
      </c>
    </row>
    <row r="118" spans="1:107" x14ac:dyDescent="0.2">
      <c r="A118">
        <f>ROW(Source!A325)</f>
        <v>325</v>
      </c>
      <c r="B118">
        <v>56440881</v>
      </c>
      <c r="C118">
        <v>56441953</v>
      </c>
      <c r="D118">
        <v>52956643</v>
      </c>
      <c r="E118">
        <v>25</v>
      </c>
      <c r="F118">
        <v>1</v>
      </c>
      <c r="G118">
        <v>25</v>
      </c>
      <c r="H118">
        <v>1</v>
      </c>
      <c r="I118" t="s">
        <v>348</v>
      </c>
      <c r="J118" t="s">
        <v>3</v>
      </c>
      <c r="K118" t="s">
        <v>349</v>
      </c>
      <c r="L118">
        <v>1191</v>
      </c>
      <c r="N118">
        <v>1013</v>
      </c>
      <c r="O118" t="s">
        <v>350</v>
      </c>
      <c r="P118" t="s">
        <v>350</v>
      </c>
      <c r="Q118">
        <v>1</v>
      </c>
      <c r="W118">
        <v>0</v>
      </c>
      <c r="X118">
        <v>476480486</v>
      </c>
      <c r="Y118">
        <v>16.559999999999999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16.559999999999999</v>
      </c>
      <c r="AU118" t="s">
        <v>3</v>
      </c>
      <c r="AV118">
        <v>1</v>
      </c>
      <c r="AW118">
        <v>2</v>
      </c>
      <c r="AX118">
        <v>56441962</v>
      </c>
      <c r="AY118">
        <v>1</v>
      </c>
      <c r="AZ118">
        <v>0</v>
      </c>
      <c r="BA118">
        <v>107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Y118*Source!I325</f>
        <v>0</v>
      </c>
      <c r="CY118">
        <f>AD118</f>
        <v>0</v>
      </c>
      <c r="CZ118">
        <f>AH118</f>
        <v>0</v>
      </c>
      <c r="DA118">
        <f>AL118</f>
        <v>1</v>
      </c>
      <c r="DB118">
        <f t="shared" ref="DB118:DB148" si="17">ROUND(ROUND(AT118*CZ118,2),2)</f>
        <v>0</v>
      </c>
      <c r="DC118">
        <f t="shared" ref="DC118:DC148" si="18">ROUND(ROUND(AT118*AG118,2),2)</f>
        <v>0</v>
      </c>
    </row>
    <row r="119" spans="1:107" x14ac:dyDescent="0.2">
      <c r="A119">
        <f>ROW(Source!A325)</f>
        <v>325</v>
      </c>
      <c r="B119">
        <v>56440881</v>
      </c>
      <c r="C119">
        <v>56441953</v>
      </c>
      <c r="D119">
        <v>52968814</v>
      </c>
      <c r="E119">
        <v>1</v>
      </c>
      <c r="F119">
        <v>1</v>
      </c>
      <c r="G119">
        <v>25</v>
      </c>
      <c r="H119">
        <v>2</v>
      </c>
      <c r="I119" t="s">
        <v>351</v>
      </c>
      <c r="J119" t="s">
        <v>352</v>
      </c>
      <c r="K119" t="s">
        <v>353</v>
      </c>
      <c r="L119">
        <v>1368</v>
      </c>
      <c r="N119">
        <v>1011</v>
      </c>
      <c r="O119" t="s">
        <v>354</v>
      </c>
      <c r="P119" t="s">
        <v>354</v>
      </c>
      <c r="Q119">
        <v>1</v>
      </c>
      <c r="W119">
        <v>0</v>
      </c>
      <c r="X119">
        <v>1062203425</v>
      </c>
      <c r="Y119">
        <v>2.08</v>
      </c>
      <c r="AA119">
        <v>0</v>
      </c>
      <c r="AB119">
        <v>1159.46</v>
      </c>
      <c r="AC119">
        <v>525.74</v>
      </c>
      <c r="AD119">
        <v>0</v>
      </c>
      <c r="AE119">
        <v>0</v>
      </c>
      <c r="AF119">
        <v>1159.46</v>
      </c>
      <c r="AG119">
        <v>525.74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 t="s">
        <v>3</v>
      </c>
      <c r="AT119">
        <v>2.08</v>
      </c>
      <c r="AU119" t="s">
        <v>3</v>
      </c>
      <c r="AV119">
        <v>0</v>
      </c>
      <c r="AW119">
        <v>2</v>
      </c>
      <c r="AX119">
        <v>56441963</v>
      </c>
      <c r="AY119">
        <v>1</v>
      </c>
      <c r="AZ119">
        <v>0</v>
      </c>
      <c r="BA119">
        <v>108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Y119*Source!I325</f>
        <v>0</v>
      </c>
      <c r="CY119">
        <f>AB119</f>
        <v>1159.46</v>
      </c>
      <c r="CZ119">
        <f>AF119</f>
        <v>1159.46</v>
      </c>
      <c r="DA119">
        <f>AJ119</f>
        <v>1</v>
      </c>
      <c r="DB119">
        <f t="shared" si="17"/>
        <v>2411.6799999999998</v>
      </c>
      <c r="DC119">
        <f t="shared" si="18"/>
        <v>1093.54</v>
      </c>
    </row>
    <row r="120" spans="1:107" x14ac:dyDescent="0.2">
      <c r="A120">
        <f>ROW(Source!A325)</f>
        <v>325</v>
      </c>
      <c r="B120">
        <v>56440881</v>
      </c>
      <c r="C120">
        <v>56441953</v>
      </c>
      <c r="D120">
        <v>52968969</v>
      </c>
      <c r="E120">
        <v>1</v>
      </c>
      <c r="F120">
        <v>1</v>
      </c>
      <c r="G120">
        <v>25</v>
      </c>
      <c r="H120">
        <v>2</v>
      </c>
      <c r="I120" t="s">
        <v>436</v>
      </c>
      <c r="J120" t="s">
        <v>437</v>
      </c>
      <c r="K120" t="s">
        <v>438</v>
      </c>
      <c r="L120">
        <v>1368</v>
      </c>
      <c r="N120">
        <v>1011</v>
      </c>
      <c r="O120" t="s">
        <v>354</v>
      </c>
      <c r="P120" t="s">
        <v>354</v>
      </c>
      <c r="Q120">
        <v>1</v>
      </c>
      <c r="W120">
        <v>0</v>
      </c>
      <c r="X120">
        <v>-1158250883</v>
      </c>
      <c r="Y120">
        <v>2.08</v>
      </c>
      <c r="AA120">
        <v>0</v>
      </c>
      <c r="AB120">
        <v>416.25</v>
      </c>
      <c r="AC120">
        <v>204.9</v>
      </c>
      <c r="AD120">
        <v>0</v>
      </c>
      <c r="AE120">
        <v>0</v>
      </c>
      <c r="AF120">
        <v>416.25</v>
      </c>
      <c r="AG120">
        <v>204.9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2.08</v>
      </c>
      <c r="AU120" t="s">
        <v>3</v>
      </c>
      <c r="AV120">
        <v>0</v>
      </c>
      <c r="AW120">
        <v>2</v>
      </c>
      <c r="AX120">
        <v>56441964</v>
      </c>
      <c r="AY120">
        <v>1</v>
      </c>
      <c r="AZ120">
        <v>0</v>
      </c>
      <c r="BA120">
        <v>109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Y120*Source!I325</f>
        <v>0</v>
      </c>
      <c r="CY120">
        <f>AB120</f>
        <v>416.25</v>
      </c>
      <c r="CZ120">
        <f>AF120</f>
        <v>416.25</v>
      </c>
      <c r="DA120">
        <f>AJ120</f>
        <v>1</v>
      </c>
      <c r="DB120">
        <f t="shared" si="17"/>
        <v>865.8</v>
      </c>
      <c r="DC120">
        <f t="shared" si="18"/>
        <v>426.19</v>
      </c>
    </row>
    <row r="121" spans="1:107" x14ac:dyDescent="0.2">
      <c r="A121">
        <f>ROW(Source!A325)</f>
        <v>325</v>
      </c>
      <c r="B121">
        <v>56440881</v>
      </c>
      <c r="C121">
        <v>56441953</v>
      </c>
      <c r="D121">
        <v>52968972</v>
      </c>
      <c r="E121">
        <v>1</v>
      </c>
      <c r="F121">
        <v>1</v>
      </c>
      <c r="G121">
        <v>25</v>
      </c>
      <c r="H121">
        <v>2</v>
      </c>
      <c r="I121" t="s">
        <v>439</v>
      </c>
      <c r="J121" t="s">
        <v>440</v>
      </c>
      <c r="K121" t="s">
        <v>441</v>
      </c>
      <c r="L121">
        <v>1368</v>
      </c>
      <c r="N121">
        <v>1011</v>
      </c>
      <c r="O121" t="s">
        <v>354</v>
      </c>
      <c r="P121" t="s">
        <v>354</v>
      </c>
      <c r="Q121">
        <v>1</v>
      </c>
      <c r="W121">
        <v>0</v>
      </c>
      <c r="X121">
        <v>1308944103</v>
      </c>
      <c r="Y121">
        <v>0.81</v>
      </c>
      <c r="AA121">
        <v>0</v>
      </c>
      <c r="AB121">
        <v>1942.21</v>
      </c>
      <c r="AC121">
        <v>436.39</v>
      </c>
      <c r="AD121">
        <v>0</v>
      </c>
      <c r="AE121">
        <v>0</v>
      </c>
      <c r="AF121">
        <v>1942.21</v>
      </c>
      <c r="AG121">
        <v>436.39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 t="s">
        <v>3</v>
      </c>
      <c r="AT121">
        <v>0.81</v>
      </c>
      <c r="AU121" t="s">
        <v>3</v>
      </c>
      <c r="AV121">
        <v>0</v>
      </c>
      <c r="AW121">
        <v>2</v>
      </c>
      <c r="AX121">
        <v>56441965</v>
      </c>
      <c r="AY121">
        <v>1</v>
      </c>
      <c r="AZ121">
        <v>0</v>
      </c>
      <c r="BA121">
        <v>110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Y121*Source!I325</f>
        <v>0</v>
      </c>
      <c r="CY121">
        <f>AB121</f>
        <v>1942.21</v>
      </c>
      <c r="CZ121">
        <f>AF121</f>
        <v>1942.21</v>
      </c>
      <c r="DA121">
        <f>AJ121</f>
        <v>1</v>
      </c>
      <c r="DB121">
        <f t="shared" si="17"/>
        <v>1573.19</v>
      </c>
      <c r="DC121">
        <f t="shared" si="18"/>
        <v>353.48</v>
      </c>
    </row>
    <row r="122" spans="1:107" x14ac:dyDescent="0.2">
      <c r="A122">
        <f>ROW(Source!A325)</f>
        <v>325</v>
      </c>
      <c r="B122">
        <v>56440881</v>
      </c>
      <c r="C122">
        <v>56441953</v>
      </c>
      <c r="D122">
        <v>52968996</v>
      </c>
      <c r="E122">
        <v>1</v>
      </c>
      <c r="F122">
        <v>1</v>
      </c>
      <c r="G122">
        <v>25</v>
      </c>
      <c r="H122">
        <v>2</v>
      </c>
      <c r="I122" t="s">
        <v>442</v>
      </c>
      <c r="J122" t="s">
        <v>443</v>
      </c>
      <c r="K122" t="s">
        <v>444</v>
      </c>
      <c r="L122">
        <v>1368</v>
      </c>
      <c r="N122">
        <v>1011</v>
      </c>
      <c r="O122" t="s">
        <v>354</v>
      </c>
      <c r="P122" t="s">
        <v>354</v>
      </c>
      <c r="Q122">
        <v>1</v>
      </c>
      <c r="W122">
        <v>0</v>
      </c>
      <c r="X122">
        <v>1761872854</v>
      </c>
      <c r="Y122">
        <v>1.94</v>
      </c>
      <c r="AA122">
        <v>0</v>
      </c>
      <c r="AB122">
        <v>1364.77</v>
      </c>
      <c r="AC122">
        <v>610.30999999999995</v>
      </c>
      <c r="AD122">
        <v>0</v>
      </c>
      <c r="AE122">
        <v>0</v>
      </c>
      <c r="AF122">
        <v>1364.77</v>
      </c>
      <c r="AG122">
        <v>610.30999999999995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1</v>
      </c>
      <c r="AP122">
        <v>0</v>
      </c>
      <c r="AQ122">
        <v>0</v>
      </c>
      <c r="AR122">
        <v>0</v>
      </c>
      <c r="AS122" t="s">
        <v>3</v>
      </c>
      <c r="AT122">
        <v>1.94</v>
      </c>
      <c r="AU122" t="s">
        <v>3</v>
      </c>
      <c r="AV122">
        <v>0</v>
      </c>
      <c r="AW122">
        <v>2</v>
      </c>
      <c r="AX122">
        <v>56441966</v>
      </c>
      <c r="AY122">
        <v>1</v>
      </c>
      <c r="AZ122">
        <v>0</v>
      </c>
      <c r="BA122">
        <v>111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Y122*Source!I325</f>
        <v>0</v>
      </c>
      <c r="CY122">
        <f>AB122</f>
        <v>1364.77</v>
      </c>
      <c r="CZ122">
        <f>AF122</f>
        <v>1364.77</v>
      </c>
      <c r="DA122">
        <f>AJ122</f>
        <v>1</v>
      </c>
      <c r="DB122">
        <f t="shared" si="17"/>
        <v>2647.65</v>
      </c>
      <c r="DC122">
        <f t="shared" si="18"/>
        <v>1184</v>
      </c>
    </row>
    <row r="123" spans="1:107" x14ac:dyDescent="0.2">
      <c r="A123">
        <f>ROW(Source!A325)</f>
        <v>325</v>
      </c>
      <c r="B123">
        <v>56440881</v>
      </c>
      <c r="C123">
        <v>56441953</v>
      </c>
      <c r="D123">
        <v>52968962</v>
      </c>
      <c r="E123">
        <v>1</v>
      </c>
      <c r="F123">
        <v>1</v>
      </c>
      <c r="G123">
        <v>25</v>
      </c>
      <c r="H123">
        <v>2</v>
      </c>
      <c r="I123" t="s">
        <v>445</v>
      </c>
      <c r="J123" t="s">
        <v>446</v>
      </c>
      <c r="K123" t="s">
        <v>447</v>
      </c>
      <c r="L123">
        <v>1368</v>
      </c>
      <c r="N123">
        <v>1011</v>
      </c>
      <c r="O123" t="s">
        <v>354</v>
      </c>
      <c r="P123" t="s">
        <v>354</v>
      </c>
      <c r="Q123">
        <v>1</v>
      </c>
      <c r="W123">
        <v>0</v>
      </c>
      <c r="X123">
        <v>-421159572</v>
      </c>
      <c r="Y123">
        <v>0.65</v>
      </c>
      <c r="AA123">
        <v>0</v>
      </c>
      <c r="AB123">
        <v>1179.56</v>
      </c>
      <c r="AC123">
        <v>439.28</v>
      </c>
      <c r="AD123">
        <v>0</v>
      </c>
      <c r="AE123">
        <v>0</v>
      </c>
      <c r="AF123">
        <v>1179.56</v>
      </c>
      <c r="AG123">
        <v>439.28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S123" t="s">
        <v>3</v>
      </c>
      <c r="AT123">
        <v>0.65</v>
      </c>
      <c r="AU123" t="s">
        <v>3</v>
      </c>
      <c r="AV123">
        <v>0</v>
      </c>
      <c r="AW123">
        <v>2</v>
      </c>
      <c r="AX123">
        <v>56441967</v>
      </c>
      <c r="AY123">
        <v>1</v>
      </c>
      <c r="AZ123">
        <v>0</v>
      </c>
      <c r="BA123">
        <v>112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Y123*Source!I325</f>
        <v>0</v>
      </c>
      <c r="CY123">
        <f>AB123</f>
        <v>1179.56</v>
      </c>
      <c r="CZ123">
        <f>AF123</f>
        <v>1179.56</v>
      </c>
      <c r="DA123">
        <f>AJ123</f>
        <v>1</v>
      </c>
      <c r="DB123">
        <f t="shared" si="17"/>
        <v>766.71</v>
      </c>
      <c r="DC123">
        <f t="shared" si="18"/>
        <v>285.52999999999997</v>
      </c>
    </row>
    <row r="124" spans="1:107" x14ac:dyDescent="0.2">
      <c r="A124">
        <f>ROW(Source!A325)</f>
        <v>325</v>
      </c>
      <c r="B124">
        <v>56440881</v>
      </c>
      <c r="C124">
        <v>56441953</v>
      </c>
      <c r="D124">
        <v>52970911</v>
      </c>
      <c r="E124">
        <v>1</v>
      </c>
      <c r="F124">
        <v>1</v>
      </c>
      <c r="G124">
        <v>25</v>
      </c>
      <c r="H124">
        <v>3</v>
      </c>
      <c r="I124" t="s">
        <v>448</v>
      </c>
      <c r="J124" t="s">
        <v>449</v>
      </c>
      <c r="K124" t="s">
        <v>450</v>
      </c>
      <c r="L124">
        <v>1339</v>
      </c>
      <c r="N124">
        <v>1007</v>
      </c>
      <c r="O124" t="s">
        <v>26</v>
      </c>
      <c r="P124" t="s">
        <v>26</v>
      </c>
      <c r="Q124">
        <v>1</v>
      </c>
      <c r="W124">
        <v>0</v>
      </c>
      <c r="X124">
        <v>-774262015</v>
      </c>
      <c r="Y124">
        <v>110</v>
      </c>
      <c r="AA124">
        <v>590.78</v>
      </c>
      <c r="AB124">
        <v>0</v>
      </c>
      <c r="AC124">
        <v>0</v>
      </c>
      <c r="AD124">
        <v>0</v>
      </c>
      <c r="AE124">
        <v>590.78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1</v>
      </c>
      <c r="AP124">
        <v>0</v>
      </c>
      <c r="AQ124">
        <v>0</v>
      </c>
      <c r="AR124">
        <v>0</v>
      </c>
      <c r="AS124" t="s">
        <v>3</v>
      </c>
      <c r="AT124">
        <v>110</v>
      </c>
      <c r="AU124" t="s">
        <v>3</v>
      </c>
      <c r="AV124">
        <v>0</v>
      </c>
      <c r="AW124">
        <v>2</v>
      </c>
      <c r="AX124">
        <v>56441968</v>
      </c>
      <c r="AY124">
        <v>1</v>
      </c>
      <c r="AZ124">
        <v>0</v>
      </c>
      <c r="BA124">
        <v>113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Y124*Source!I325</f>
        <v>0</v>
      </c>
      <c r="CY124">
        <f>AA124</f>
        <v>590.78</v>
      </c>
      <c r="CZ124">
        <f>AE124</f>
        <v>590.78</v>
      </c>
      <c r="DA124">
        <f>AI124</f>
        <v>1</v>
      </c>
      <c r="DB124">
        <f t="shared" si="17"/>
        <v>64985.8</v>
      </c>
      <c r="DC124">
        <f t="shared" si="18"/>
        <v>0</v>
      </c>
    </row>
    <row r="125" spans="1:107" x14ac:dyDescent="0.2">
      <c r="A125">
        <f>ROW(Source!A325)</f>
        <v>325</v>
      </c>
      <c r="B125">
        <v>56440881</v>
      </c>
      <c r="C125">
        <v>56441953</v>
      </c>
      <c r="D125">
        <v>52971654</v>
      </c>
      <c r="E125">
        <v>1</v>
      </c>
      <c r="F125">
        <v>1</v>
      </c>
      <c r="G125">
        <v>25</v>
      </c>
      <c r="H125">
        <v>3</v>
      </c>
      <c r="I125" t="s">
        <v>367</v>
      </c>
      <c r="J125" t="s">
        <v>368</v>
      </c>
      <c r="K125" t="s">
        <v>369</v>
      </c>
      <c r="L125">
        <v>1339</v>
      </c>
      <c r="N125">
        <v>1007</v>
      </c>
      <c r="O125" t="s">
        <v>26</v>
      </c>
      <c r="P125" t="s">
        <v>26</v>
      </c>
      <c r="Q125">
        <v>1</v>
      </c>
      <c r="W125">
        <v>0</v>
      </c>
      <c r="X125">
        <v>1964795396</v>
      </c>
      <c r="Y125">
        <v>5</v>
      </c>
      <c r="AA125">
        <v>33.729999999999997</v>
      </c>
      <c r="AB125">
        <v>0</v>
      </c>
      <c r="AC125">
        <v>0</v>
      </c>
      <c r="AD125">
        <v>0</v>
      </c>
      <c r="AE125">
        <v>33.729999999999997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3</v>
      </c>
      <c r="AT125">
        <v>5</v>
      </c>
      <c r="AU125" t="s">
        <v>3</v>
      </c>
      <c r="AV125">
        <v>0</v>
      </c>
      <c r="AW125">
        <v>2</v>
      </c>
      <c r="AX125">
        <v>56441969</v>
      </c>
      <c r="AY125">
        <v>1</v>
      </c>
      <c r="AZ125">
        <v>0</v>
      </c>
      <c r="BA125">
        <v>114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Y125*Source!I325</f>
        <v>0</v>
      </c>
      <c r="CY125">
        <f>AA125</f>
        <v>33.729999999999997</v>
      </c>
      <c r="CZ125">
        <f>AE125</f>
        <v>33.729999999999997</v>
      </c>
      <c r="DA125">
        <f>AI125</f>
        <v>1</v>
      </c>
      <c r="DB125">
        <f t="shared" si="17"/>
        <v>168.65</v>
      </c>
      <c r="DC125">
        <f t="shared" si="18"/>
        <v>0</v>
      </c>
    </row>
    <row r="126" spans="1:107" x14ac:dyDescent="0.2">
      <c r="A126">
        <f>ROW(Source!A326)</f>
        <v>326</v>
      </c>
      <c r="B126">
        <v>56440881</v>
      </c>
      <c r="C126">
        <v>56441970</v>
      </c>
      <c r="D126">
        <v>52956643</v>
      </c>
      <c r="E126">
        <v>25</v>
      </c>
      <c r="F126">
        <v>1</v>
      </c>
      <c r="G126">
        <v>25</v>
      </c>
      <c r="H126">
        <v>1</v>
      </c>
      <c r="I126" t="s">
        <v>348</v>
      </c>
      <c r="J126" t="s">
        <v>3</v>
      </c>
      <c r="K126" t="s">
        <v>349</v>
      </c>
      <c r="L126">
        <v>1191</v>
      </c>
      <c r="N126">
        <v>1013</v>
      </c>
      <c r="O126" t="s">
        <v>350</v>
      </c>
      <c r="P126" t="s">
        <v>350</v>
      </c>
      <c r="Q126">
        <v>1</v>
      </c>
      <c r="W126">
        <v>0</v>
      </c>
      <c r="X126">
        <v>476480486</v>
      </c>
      <c r="Y126">
        <v>24.84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 t="s">
        <v>3</v>
      </c>
      <c r="AT126">
        <v>24.84</v>
      </c>
      <c r="AU126" t="s">
        <v>3</v>
      </c>
      <c r="AV126">
        <v>1</v>
      </c>
      <c r="AW126">
        <v>2</v>
      </c>
      <c r="AX126">
        <v>56441981</v>
      </c>
      <c r="AY126">
        <v>1</v>
      </c>
      <c r="AZ126">
        <v>0</v>
      </c>
      <c r="BA126">
        <v>115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Y126*Source!I326</f>
        <v>0</v>
      </c>
      <c r="CY126">
        <f>AD126</f>
        <v>0</v>
      </c>
      <c r="CZ126">
        <f>AH126</f>
        <v>0</v>
      </c>
      <c r="DA126">
        <f>AL126</f>
        <v>1</v>
      </c>
      <c r="DB126">
        <f t="shared" si="17"/>
        <v>0</v>
      </c>
      <c r="DC126">
        <f t="shared" si="18"/>
        <v>0</v>
      </c>
    </row>
    <row r="127" spans="1:107" x14ac:dyDescent="0.2">
      <c r="A127">
        <f>ROW(Source!A326)</f>
        <v>326</v>
      </c>
      <c r="B127">
        <v>56440881</v>
      </c>
      <c r="C127">
        <v>56441970</v>
      </c>
      <c r="D127">
        <v>52968791</v>
      </c>
      <c r="E127">
        <v>1</v>
      </c>
      <c r="F127">
        <v>1</v>
      </c>
      <c r="G127">
        <v>25</v>
      </c>
      <c r="H127">
        <v>2</v>
      </c>
      <c r="I127" t="s">
        <v>451</v>
      </c>
      <c r="J127" t="s">
        <v>452</v>
      </c>
      <c r="K127" t="s">
        <v>453</v>
      </c>
      <c r="L127">
        <v>1368</v>
      </c>
      <c r="N127">
        <v>1011</v>
      </c>
      <c r="O127" t="s">
        <v>354</v>
      </c>
      <c r="P127" t="s">
        <v>354</v>
      </c>
      <c r="Q127">
        <v>1</v>
      </c>
      <c r="W127">
        <v>0</v>
      </c>
      <c r="X127">
        <v>445823220</v>
      </c>
      <c r="Y127">
        <v>2.94</v>
      </c>
      <c r="AA127">
        <v>0</v>
      </c>
      <c r="AB127">
        <v>923.83</v>
      </c>
      <c r="AC127">
        <v>342.06</v>
      </c>
      <c r="AD127">
        <v>0</v>
      </c>
      <c r="AE127">
        <v>0</v>
      </c>
      <c r="AF127">
        <v>923.83</v>
      </c>
      <c r="AG127">
        <v>342.06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 t="s">
        <v>3</v>
      </c>
      <c r="AT127">
        <v>2.94</v>
      </c>
      <c r="AU127" t="s">
        <v>3</v>
      </c>
      <c r="AV127">
        <v>0</v>
      </c>
      <c r="AW127">
        <v>2</v>
      </c>
      <c r="AX127">
        <v>56441982</v>
      </c>
      <c r="AY127">
        <v>1</v>
      </c>
      <c r="AZ127">
        <v>0</v>
      </c>
      <c r="BA127">
        <v>116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Y127*Source!I326</f>
        <v>0</v>
      </c>
      <c r="CY127">
        <f t="shared" ref="CY127:CY132" si="19">AB127</f>
        <v>923.83</v>
      </c>
      <c r="CZ127">
        <f t="shared" ref="CZ127:CZ132" si="20">AF127</f>
        <v>923.83</v>
      </c>
      <c r="DA127">
        <f t="shared" ref="DA127:DA132" si="21">AJ127</f>
        <v>1</v>
      </c>
      <c r="DB127">
        <f t="shared" si="17"/>
        <v>2716.06</v>
      </c>
      <c r="DC127">
        <f t="shared" si="18"/>
        <v>1005.66</v>
      </c>
    </row>
    <row r="128" spans="1:107" x14ac:dyDescent="0.2">
      <c r="A128">
        <f>ROW(Source!A326)</f>
        <v>326</v>
      </c>
      <c r="B128">
        <v>56440881</v>
      </c>
      <c r="C128">
        <v>56441970</v>
      </c>
      <c r="D128">
        <v>52968972</v>
      </c>
      <c r="E128">
        <v>1</v>
      </c>
      <c r="F128">
        <v>1</v>
      </c>
      <c r="G128">
        <v>25</v>
      </c>
      <c r="H128">
        <v>2</v>
      </c>
      <c r="I128" t="s">
        <v>439</v>
      </c>
      <c r="J128" t="s">
        <v>440</v>
      </c>
      <c r="K128" t="s">
        <v>441</v>
      </c>
      <c r="L128">
        <v>1368</v>
      </c>
      <c r="N128">
        <v>1011</v>
      </c>
      <c r="O128" t="s">
        <v>354</v>
      </c>
      <c r="P128" t="s">
        <v>354</v>
      </c>
      <c r="Q128">
        <v>1</v>
      </c>
      <c r="W128">
        <v>0</v>
      </c>
      <c r="X128">
        <v>1308944103</v>
      </c>
      <c r="Y128">
        <v>1.1399999999999999</v>
      </c>
      <c r="AA128">
        <v>0</v>
      </c>
      <c r="AB128">
        <v>1942.21</v>
      </c>
      <c r="AC128">
        <v>436.39</v>
      </c>
      <c r="AD128">
        <v>0</v>
      </c>
      <c r="AE128">
        <v>0</v>
      </c>
      <c r="AF128">
        <v>1942.21</v>
      </c>
      <c r="AG128">
        <v>436.39</v>
      </c>
      <c r="AH128">
        <v>0</v>
      </c>
      <c r="AI128">
        <v>1</v>
      </c>
      <c r="AJ128">
        <v>1</v>
      </c>
      <c r="AK128">
        <v>1</v>
      </c>
      <c r="AL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 t="s">
        <v>3</v>
      </c>
      <c r="AT128">
        <v>1.1399999999999999</v>
      </c>
      <c r="AU128" t="s">
        <v>3</v>
      </c>
      <c r="AV128">
        <v>0</v>
      </c>
      <c r="AW128">
        <v>2</v>
      </c>
      <c r="AX128">
        <v>56441983</v>
      </c>
      <c r="AY128">
        <v>1</v>
      </c>
      <c r="AZ128">
        <v>0</v>
      </c>
      <c r="BA128">
        <v>117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Y128*Source!I326</f>
        <v>0</v>
      </c>
      <c r="CY128">
        <f t="shared" si="19"/>
        <v>1942.21</v>
      </c>
      <c r="CZ128">
        <f t="shared" si="20"/>
        <v>1942.21</v>
      </c>
      <c r="DA128">
        <f t="shared" si="21"/>
        <v>1</v>
      </c>
      <c r="DB128">
        <f t="shared" si="17"/>
        <v>2214.12</v>
      </c>
      <c r="DC128">
        <f t="shared" si="18"/>
        <v>497.48</v>
      </c>
    </row>
    <row r="129" spans="1:107" x14ac:dyDescent="0.2">
      <c r="A129">
        <f>ROW(Source!A326)</f>
        <v>326</v>
      </c>
      <c r="B129">
        <v>56440881</v>
      </c>
      <c r="C129">
        <v>56441970</v>
      </c>
      <c r="D129">
        <v>52968957</v>
      </c>
      <c r="E129">
        <v>1</v>
      </c>
      <c r="F129">
        <v>1</v>
      </c>
      <c r="G129">
        <v>25</v>
      </c>
      <c r="H129">
        <v>2</v>
      </c>
      <c r="I129" t="s">
        <v>358</v>
      </c>
      <c r="J129" t="s">
        <v>359</v>
      </c>
      <c r="K129" t="s">
        <v>360</v>
      </c>
      <c r="L129">
        <v>1368</v>
      </c>
      <c r="N129">
        <v>1011</v>
      </c>
      <c r="O129" t="s">
        <v>354</v>
      </c>
      <c r="P129" t="s">
        <v>354</v>
      </c>
      <c r="Q129">
        <v>1</v>
      </c>
      <c r="W129">
        <v>0</v>
      </c>
      <c r="X129">
        <v>-2094009474</v>
      </c>
      <c r="Y129">
        <v>8.9600000000000009</v>
      </c>
      <c r="AA129">
        <v>0</v>
      </c>
      <c r="AB129">
        <v>1207.81</v>
      </c>
      <c r="AC129">
        <v>504.4</v>
      </c>
      <c r="AD129">
        <v>0</v>
      </c>
      <c r="AE129">
        <v>0</v>
      </c>
      <c r="AF129">
        <v>1207.81</v>
      </c>
      <c r="AG129">
        <v>504.4</v>
      </c>
      <c r="AH129">
        <v>0</v>
      </c>
      <c r="AI129">
        <v>1</v>
      </c>
      <c r="AJ129">
        <v>1</v>
      </c>
      <c r="AK129">
        <v>1</v>
      </c>
      <c r="AL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 t="s">
        <v>3</v>
      </c>
      <c r="AT129">
        <v>8.9600000000000009</v>
      </c>
      <c r="AU129" t="s">
        <v>3</v>
      </c>
      <c r="AV129">
        <v>0</v>
      </c>
      <c r="AW129">
        <v>2</v>
      </c>
      <c r="AX129">
        <v>56441984</v>
      </c>
      <c r="AY129">
        <v>1</v>
      </c>
      <c r="AZ129">
        <v>0</v>
      </c>
      <c r="BA129">
        <v>118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Y129*Source!I326</f>
        <v>0</v>
      </c>
      <c r="CY129">
        <f t="shared" si="19"/>
        <v>1207.81</v>
      </c>
      <c r="CZ129">
        <f t="shared" si="20"/>
        <v>1207.81</v>
      </c>
      <c r="DA129">
        <f t="shared" si="21"/>
        <v>1</v>
      </c>
      <c r="DB129">
        <f t="shared" si="17"/>
        <v>10821.98</v>
      </c>
      <c r="DC129">
        <f t="shared" si="18"/>
        <v>4519.42</v>
      </c>
    </row>
    <row r="130" spans="1:107" x14ac:dyDescent="0.2">
      <c r="A130">
        <f>ROW(Source!A326)</f>
        <v>326</v>
      </c>
      <c r="B130">
        <v>56440881</v>
      </c>
      <c r="C130">
        <v>56441970</v>
      </c>
      <c r="D130">
        <v>52968958</v>
      </c>
      <c r="E130">
        <v>1</v>
      </c>
      <c r="F130">
        <v>1</v>
      </c>
      <c r="G130">
        <v>25</v>
      </c>
      <c r="H130">
        <v>2</v>
      </c>
      <c r="I130" t="s">
        <v>361</v>
      </c>
      <c r="J130" t="s">
        <v>362</v>
      </c>
      <c r="K130" t="s">
        <v>363</v>
      </c>
      <c r="L130">
        <v>1368</v>
      </c>
      <c r="N130">
        <v>1011</v>
      </c>
      <c r="O130" t="s">
        <v>354</v>
      </c>
      <c r="P130" t="s">
        <v>354</v>
      </c>
      <c r="Q130">
        <v>1</v>
      </c>
      <c r="W130">
        <v>0</v>
      </c>
      <c r="X130">
        <v>-1845376792</v>
      </c>
      <c r="Y130">
        <v>18.25</v>
      </c>
      <c r="AA130">
        <v>0</v>
      </c>
      <c r="AB130">
        <v>1741.23</v>
      </c>
      <c r="AC130">
        <v>685.71</v>
      </c>
      <c r="AD130">
        <v>0</v>
      </c>
      <c r="AE130">
        <v>0</v>
      </c>
      <c r="AF130">
        <v>1741.23</v>
      </c>
      <c r="AG130">
        <v>685.71</v>
      </c>
      <c r="AH130">
        <v>0</v>
      </c>
      <c r="AI130">
        <v>1</v>
      </c>
      <c r="AJ130">
        <v>1</v>
      </c>
      <c r="AK130">
        <v>1</v>
      </c>
      <c r="AL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 t="s">
        <v>3</v>
      </c>
      <c r="AT130">
        <v>18.25</v>
      </c>
      <c r="AU130" t="s">
        <v>3</v>
      </c>
      <c r="AV130">
        <v>0</v>
      </c>
      <c r="AW130">
        <v>2</v>
      </c>
      <c r="AX130">
        <v>56441985</v>
      </c>
      <c r="AY130">
        <v>1</v>
      </c>
      <c r="AZ130">
        <v>0</v>
      </c>
      <c r="BA130">
        <v>119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Y130*Source!I326</f>
        <v>0</v>
      </c>
      <c r="CY130">
        <f t="shared" si="19"/>
        <v>1741.23</v>
      </c>
      <c r="CZ130">
        <f t="shared" si="20"/>
        <v>1741.23</v>
      </c>
      <c r="DA130">
        <f t="shared" si="21"/>
        <v>1</v>
      </c>
      <c r="DB130">
        <f t="shared" si="17"/>
        <v>31777.45</v>
      </c>
      <c r="DC130">
        <f t="shared" si="18"/>
        <v>12514.21</v>
      </c>
    </row>
    <row r="131" spans="1:107" x14ac:dyDescent="0.2">
      <c r="A131">
        <f>ROW(Source!A326)</f>
        <v>326</v>
      </c>
      <c r="B131">
        <v>56440881</v>
      </c>
      <c r="C131">
        <v>56441970</v>
      </c>
      <c r="D131">
        <v>52968996</v>
      </c>
      <c r="E131">
        <v>1</v>
      </c>
      <c r="F131">
        <v>1</v>
      </c>
      <c r="G131">
        <v>25</v>
      </c>
      <c r="H131">
        <v>2</v>
      </c>
      <c r="I131" t="s">
        <v>442</v>
      </c>
      <c r="J131" t="s">
        <v>443</v>
      </c>
      <c r="K131" t="s">
        <v>444</v>
      </c>
      <c r="L131">
        <v>1368</v>
      </c>
      <c r="N131">
        <v>1011</v>
      </c>
      <c r="O131" t="s">
        <v>354</v>
      </c>
      <c r="P131" t="s">
        <v>354</v>
      </c>
      <c r="Q131">
        <v>1</v>
      </c>
      <c r="W131">
        <v>0</v>
      </c>
      <c r="X131">
        <v>1761872854</v>
      </c>
      <c r="Y131">
        <v>2.2400000000000002</v>
      </c>
      <c r="AA131">
        <v>0</v>
      </c>
      <c r="AB131">
        <v>1364.77</v>
      </c>
      <c r="AC131">
        <v>610.30999999999995</v>
      </c>
      <c r="AD131">
        <v>0</v>
      </c>
      <c r="AE131">
        <v>0</v>
      </c>
      <c r="AF131">
        <v>1364.77</v>
      </c>
      <c r="AG131">
        <v>610.30999999999995</v>
      </c>
      <c r="AH131">
        <v>0</v>
      </c>
      <c r="AI131">
        <v>1</v>
      </c>
      <c r="AJ131">
        <v>1</v>
      </c>
      <c r="AK131">
        <v>1</v>
      </c>
      <c r="AL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 t="s">
        <v>3</v>
      </c>
      <c r="AT131">
        <v>2.2400000000000002</v>
      </c>
      <c r="AU131" t="s">
        <v>3</v>
      </c>
      <c r="AV131">
        <v>0</v>
      </c>
      <c r="AW131">
        <v>2</v>
      </c>
      <c r="AX131">
        <v>56441986</v>
      </c>
      <c r="AY131">
        <v>1</v>
      </c>
      <c r="AZ131">
        <v>0</v>
      </c>
      <c r="BA131">
        <v>120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Y131*Source!I326</f>
        <v>0</v>
      </c>
      <c r="CY131">
        <f t="shared" si="19"/>
        <v>1364.77</v>
      </c>
      <c r="CZ131">
        <f t="shared" si="20"/>
        <v>1364.77</v>
      </c>
      <c r="DA131">
        <f t="shared" si="21"/>
        <v>1</v>
      </c>
      <c r="DB131">
        <f t="shared" si="17"/>
        <v>3057.08</v>
      </c>
      <c r="DC131">
        <f t="shared" si="18"/>
        <v>1367.09</v>
      </c>
    </row>
    <row r="132" spans="1:107" x14ac:dyDescent="0.2">
      <c r="A132">
        <f>ROW(Source!A326)</f>
        <v>326</v>
      </c>
      <c r="B132">
        <v>56440881</v>
      </c>
      <c r="C132">
        <v>56441970</v>
      </c>
      <c r="D132">
        <v>52968962</v>
      </c>
      <c r="E132">
        <v>1</v>
      </c>
      <c r="F132">
        <v>1</v>
      </c>
      <c r="G132">
        <v>25</v>
      </c>
      <c r="H132">
        <v>2</v>
      </c>
      <c r="I132" t="s">
        <v>445</v>
      </c>
      <c r="J132" t="s">
        <v>446</v>
      </c>
      <c r="K132" t="s">
        <v>447</v>
      </c>
      <c r="L132">
        <v>1368</v>
      </c>
      <c r="N132">
        <v>1011</v>
      </c>
      <c r="O132" t="s">
        <v>354</v>
      </c>
      <c r="P132" t="s">
        <v>354</v>
      </c>
      <c r="Q132">
        <v>1</v>
      </c>
      <c r="W132">
        <v>0</v>
      </c>
      <c r="X132">
        <v>-421159572</v>
      </c>
      <c r="Y132">
        <v>0.65</v>
      </c>
      <c r="AA132">
        <v>0</v>
      </c>
      <c r="AB132">
        <v>1179.56</v>
      </c>
      <c r="AC132">
        <v>439.28</v>
      </c>
      <c r="AD132">
        <v>0</v>
      </c>
      <c r="AE132">
        <v>0</v>
      </c>
      <c r="AF132">
        <v>1179.56</v>
      </c>
      <c r="AG132">
        <v>439.28</v>
      </c>
      <c r="AH132">
        <v>0</v>
      </c>
      <c r="AI132">
        <v>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 t="s">
        <v>3</v>
      </c>
      <c r="AT132">
        <v>0.65</v>
      </c>
      <c r="AU132" t="s">
        <v>3</v>
      </c>
      <c r="AV132">
        <v>0</v>
      </c>
      <c r="AW132">
        <v>2</v>
      </c>
      <c r="AX132">
        <v>56441987</v>
      </c>
      <c r="AY132">
        <v>1</v>
      </c>
      <c r="AZ132">
        <v>0</v>
      </c>
      <c r="BA132">
        <v>121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Y132*Source!I326</f>
        <v>0</v>
      </c>
      <c r="CY132">
        <f t="shared" si="19"/>
        <v>1179.56</v>
      </c>
      <c r="CZ132">
        <f t="shared" si="20"/>
        <v>1179.56</v>
      </c>
      <c r="DA132">
        <f t="shared" si="21"/>
        <v>1</v>
      </c>
      <c r="DB132">
        <f t="shared" si="17"/>
        <v>766.71</v>
      </c>
      <c r="DC132">
        <f t="shared" si="18"/>
        <v>285.52999999999997</v>
      </c>
    </row>
    <row r="133" spans="1:107" x14ac:dyDescent="0.2">
      <c r="A133">
        <f>ROW(Source!A326)</f>
        <v>326</v>
      </c>
      <c r="B133">
        <v>56440881</v>
      </c>
      <c r="C133">
        <v>56441970</v>
      </c>
      <c r="D133">
        <v>52970932</v>
      </c>
      <c r="E133">
        <v>1</v>
      </c>
      <c r="F133">
        <v>1</v>
      </c>
      <c r="G133">
        <v>25</v>
      </c>
      <c r="H133">
        <v>3</v>
      </c>
      <c r="I133" t="s">
        <v>224</v>
      </c>
      <c r="J133" t="s">
        <v>226</v>
      </c>
      <c r="K133" t="s">
        <v>225</v>
      </c>
      <c r="L133">
        <v>1339</v>
      </c>
      <c r="N133">
        <v>1007</v>
      </c>
      <c r="O133" t="s">
        <v>26</v>
      </c>
      <c r="P133" t="s">
        <v>26</v>
      </c>
      <c r="Q133">
        <v>1</v>
      </c>
      <c r="W133">
        <v>0</v>
      </c>
      <c r="X133">
        <v>-1266475872</v>
      </c>
      <c r="Y133">
        <v>126</v>
      </c>
      <c r="AA133">
        <v>1487.52</v>
      </c>
      <c r="AB133">
        <v>0</v>
      </c>
      <c r="AC133">
        <v>0</v>
      </c>
      <c r="AD133">
        <v>0</v>
      </c>
      <c r="AE133">
        <v>1487.52</v>
      </c>
      <c r="AF133">
        <v>0</v>
      </c>
      <c r="AG133">
        <v>0</v>
      </c>
      <c r="AH133">
        <v>0</v>
      </c>
      <c r="AI133">
        <v>1</v>
      </c>
      <c r="AJ133">
        <v>1</v>
      </c>
      <c r="AK133">
        <v>1</v>
      </c>
      <c r="AL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 t="s">
        <v>3</v>
      </c>
      <c r="AT133">
        <v>126</v>
      </c>
      <c r="AU133" t="s">
        <v>3</v>
      </c>
      <c r="AV133">
        <v>0</v>
      </c>
      <c r="AW133">
        <v>1</v>
      </c>
      <c r="AX133">
        <v>-1</v>
      </c>
      <c r="AY133">
        <v>0</v>
      </c>
      <c r="AZ133">
        <v>0</v>
      </c>
      <c r="BA133" t="s">
        <v>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Y133*Source!I326</f>
        <v>0</v>
      </c>
      <c r="CY133">
        <f>AA133</f>
        <v>1487.52</v>
      </c>
      <c r="CZ133">
        <f>AE133</f>
        <v>1487.52</v>
      </c>
      <c r="DA133">
        <f>AI133</f>
        <v>1</v>
      </c>
      <c r="DB133">
        <f t="shared" si="17"/>
        <v>187427.52</v>
      </c>
      <c r="DC133">
        <f t="shared" si="18"/>
        <v>0</v>
      </c>
    </row>
    <row r="134" spans="1:107" x14ac:dyDescent="0.2">
      <c r="A134">
        <f>ROW(Source!A326)</f>
        <v>326</v>
      </c>
      <c r="B134">
        <v>56440881</v>
      </c>
      <c r="C134">
        <v>56441970</v>
      </c>
      <c r="D134">
        <v>52970937</v>
      </c>
      <c r="E134">
        <v>1</v>
      </c>
      <c r="F134">
        <v>1</v>
      </c>
      <c r="G134">
        <v>25</v>
      </c>
      <c r="H134">
        <v>3</v>
      </c>
      <c r="I134" t="s">
        <v>29</v>
      </c>
      <c r="J134" t="s">
        <v>31</v>
      </c>
      <c r="K134" t="s">
        <v>30</v>
      </c>
      <c r="L134">
        <v>1339</v>
      </c>
      <c r="N134">
        <v>1007</v>
      </c>
      <c r="O134" t="s">
        <v>26</v>
      </c>
      <c r="P134" t="s">
        <v>26</v>
      </c>
      <c r="Q134">
        <v>1</v>
      </c>
      <c r="W134">
        <v>1</v>
      </c>
      <c r="X134">
        <v>407286016</v>
      </c>
      <c r="Y134">
        <v>-126</v>
      </c>
      <c r="AA134">
        <v>1806.27</v>
      </c>
      <c r="AB134">
        <v>0</v>
      </c>
      <c r="AC134">
        <v>0</v>
      </c>
      <c r="AD134">
        <v>0</v>
      </c>
      <c r="AE134">
        <v>1806.27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N134">
        <v>0</v>
      </c>
      <c r="AO134">
        <v>1</v>
      </c>
      <c r="AP134">
        <v>0</v>
      </c>
      <c r="AQ134">
        <v>0</v>
      </c>
      <c r="AR134">
        <v>0</v>
      </c>
      <c r="AS134" t="s">
        <v>3</v>
      </c>
      <c r="AT134">
        <v>-126</v>
      </c>
      <c r="AU134" t="s">
        <v>3</v>
      </c>
      <c r="AV134">
        <v>0</v>
      </c>
      <c r="AW134">
        <v>2</v>
      </c>
      <c r="AX134">
        <v>56441988</v>
      </c>
      <c r="AY134">
        <v>1</v>
      </c>
      <c r="AZ134">
        <v>6144</v>
      </c>
      <c r="BA134">
        <v>122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Y134*Source!I326</f>
        <v>0</v>
      </c>
      <c r="CY134">
        <f>AA134</f>
        <v>1806.27</v>
      </c>
      <c r="CZ134">
        <f>AE134</f>
        <v>1806.27</v>
      </c>
      <c r="DA134">
        <f>AI134</f>
        <v>1</v>
      </c>
      <c r="DB134">
        <f t="shared" si="17"/>
        <v>-227590.02</v>
      </c>
      <c r="DC134">
        <f t="shared" si="18"/>
        <v>0</v>
      </c>
    </row>
    <row r="135" spans="1:107" x14ac:dyDescent="0.2">
      <c r="A135">
        <f>ROW(Source!A326)</f>
        <v>326</v>
      </c>
      <c r="B135">
        <v>56440881</v>
      </c>
      <c r="C135">
        <v>56441970</v>
      </c>
      <c r="D135">
        <v>52971654</v>
      </c>
      <c r="E135">
        <v>1</v>
      </c>
      <c r="F135">
        <v>1</v>
      </c>
      <c r="G135">
        <v>25</v>
      </c>
      <c r="H135">
        <v>3</v>
      </c>
      <c r="I135" t="s">
        <v>367</v>
      </c>
      <c r="J135" t="s">
        <v>368</v>
      </c>
      <c r="K135" t="s">
        <v>369</v>
      </c>
      <c r="L135">
        <v>1339</v>
      </c>
      <c r="N135">
        <v>1007</v>
      </c>
      <c r="O135" t="s">
        <v>26</v>
      </c>
      <c r="P135" t="s">
        <v>26</v>
      </c>
      <c r="Q135">
        <v>1</v>
      </c>
      <c r="W135">
        <v>0</v>
      </c>
      <c r="X135">
        <v>1964795396</v>
      </c>
      <c r="Y135">
        <v>7</v>
      </c>
      <c r="AA135">
        <v>33.729999999999997</v>
      </c>
      <c r="AB135">
        <v>0</v>
      </c>
      <c r="AC135">
        <v>0</v>
      </c>
      <c r="AD135">
        <v>0</v>
      </c>
      <c r="AE135">
        <v>33.729999999999997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 t="s">
        <v>3</v>
      </c>
      <c r="AT135">
        <v>7</v>
      </c>
      <c r="AU135" t="s">
        <v>3</v>
      </c>
      <c r="AV135">
        <v>0</v>
      </c>
      <c r="AW135">
        <v>2</v>
      </c>
      <c r="AX135">
        <v>56441989</v>
      </c>
      <c r="AY135">
        <v>1</v>
      </c>
      <c r="AZ135">
        <v>0</v>
      </c>
      <c r="BA135">
        <v>123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Y135*Source!I326</f>
        <v>0</v>
      </c>
      <c r="CY135">
        <f>AA135</f>
        <v>33.729999999999997</v>
      </c>
      <c r="CZ135">
        <f>AE135</f>
        <v>33.729999999999997</v>
      </c>
      <c r="DA135">
        <f>AI135</f>
        <v>1</v>
      </c>
      <c r="DB135">
        <f t="shared" si="17"/>
        <v>236.11</v>
      </c>
      <c r="DC135">
        <f t="shared" si="18"/>
        <v>0</v>
      </c>
    </row>
    <row r="136" spans="1:107" x14ac:dyDescent="0.2">
      <c r="A136">
        <f>ROW(Source!A329)</f>
        <v>329</v>
      </c>
      <c r="B136">
        <v>56440881</v>
      </c>
      <c r="C136">
        <v>56441992</v>
      </c>
      <c r="D136">
        <v>52956643</v>
      </c>
      <c r="E136">
        <v>25</v>
      </c>
      <c r="F136">
        <v>1</v>
      </c>
      <c r="G136">
        <v>25</v>
      </c>
      <c r="H136">
        <v>1</v>
      </c>
      <c r="I136" t="s">
        <v>348</v>
      </c>
      <c r="J136" t="s">
        <v>3</v>
      </c>
      <c r="K136" t="s">
        <v>349</v>
      </c>
      <c r="L136">
        <v>1191</v>
      </c>
      <c r="N136">
        <v>1013</v>
      </c>
      <c r="O136" t="s">
        <v>350</v>
      </c>
      <c r="P136" t="s">
        <v>350</v>
      </c>
      <c r="Q136">
        <v>1</v>
      </c>
      <c r="W136">
        <v>0</v>
      </c>
      <c r="X136">
        <v>476480486</v>
      </c>
      <c r="Y136">
        <v>0.66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 t="s">
        <v>3</v>
      </c>
      <c r="AT136">
        <v>0.66</v>
      </c>
      <c r="AU136" t="s">
        <v>3</v>
      </c>
      <c r="AV136">
        <v>1</v>
      </c>
      <c r="AW136">
        <v>2</v>
      </c>
      <c r="AX136">
        <v>56442002</v>
      </c>
      <c r="AY136">
        <v>1</v>
      </c>
      <c r="AZ136">
        <v>0</v>
      </c>
      <c r="BA136">
        <v>124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Y136*Source!I329</f>
        <v>174.9</v>
      </c>
      <c r="CY136">
        <f>AD136</f>
        <v>0</v>
      </c>
      <c r="CZ136">
        <f>AH136</f>
        <v>0</v>
      </c>
      <c r="DA136">
        <f>AL136</f>
        <v>1</v>
      </c>
      <c r="DB136">
        <f t="shared" si="17"/>
        <v>0</v>
      </c>
      <c r="DC136">
        <f t="shared" si="18"/>
        <v>0</v>
      </c>
    </row>
    <row r="137" spans="1:107" x14ac:dyDescent="0.2">
      <c r="A137">
        <f>ROW(Source!A329)</f>
        <v>329</v>
      </c>
      <c r="B137">
        <v>56440881</v>
      </c>
      <c r="C137">
        <v>56441992</v>
      </c>
      <c r="D137">
        <v>52969125</v>
      </c>
      <c r="E137">
        <v>1</v>
      </c>
      <c r="F137">
        <v>1</v>
      </c>
      <c r="G137">
        <v>25</v>
      </c>
      <c r="H137">
        <v>2</v>
      </c>
      <c r="I137" t="s">
        <v>466</v>
      </c>
      <c r="J137" t="s">
        <v>467</v>
      </c>
      <c r="K137" t="s">
        <v>468</v>
      </c>
      <c r="L137">
        <v>1368</v>
      </c>
      <c r="N137">
        <v>1011</v>
      </c>
      <c r="O137" t="s">
        <v>354</v>
      </c>
      <c r="P137" t="s">
        <v>354</v>
      </c>
      <c r="Q137">
        <v>1</v>
      </c>
      <c r="W137">
        <v>0</v>
      </c>
      <c r="X137">
        <v>436449418</v>
      </c>
      <c r="Y137">
        <v>0.13200000000000001</v>
      </c>
      <c r="AA137">
        <v>0</v>
      </c>
      <c r="AB137">
        <v>450.89</v>
      </c>
      <c r="AC137">
        <v>342.41</v>
      </c>
      <c r="AD137">
        <v>0</v>
      </c>
      <c r="AE137">
        <v>0</v>
      </c>
      <c r="AF137">
        <v>450.89</v>
      </c>
      <c r="AG137">
        <v>342.41</v>
      </c>
      <c r="AH137">
        <v>0</v>
      </c>
      <c r="AI137">
        <v>1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 t="s">
        <v>3</v>
      </c>
      <c r="AT137">
        <v>0.13200000000000001</v>
      </c>
      <c r="AU137" t="s">
        <v>3</v>
      </c>
      <c r="AV137">
        <v>0</v>
      </c>
      <c r="AW137">
        <v>2</v>
      </c>
      <c r="AX137">
        <v>56442003</v>
      </c>
      <c r="AY137">
        <v>1</v>
      </c>
      <c r="AZ137">
        <v>0</v>
      </c>
      <c r="BA137">
        <v>125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Y137*Source!I329</f>
        <v>34.980000000000004</v>
      </c>
      <c r="CY137">
        <f>AB137</f>
        <v>450.89</v>
      </c>
      <c r="CZ137">
        <f>AF137</f>
        <v>450.89</v>
      </c>
      <c r="DA137">
        <f>AJ137</f>
        <v>1</v>
      </c>
      <c r="DB137">
        <f t="shared" si="17"/>
        <v>59.52</v>
      </c>
      <c r="DC137">
        <f t="shared" si="18"/>
        <v>45.2</v>
      </c>
    </row>
    <row r="138" spans="1:107" x14ac:dyDescent="0.2">
      <c r="A138">
        <f>ROW(Source!A329)</f>
        <v>329</v>
      </c>
      <c r="B138">
        <v>56440881</v>
      </c>
      <c r="C138">
        <v>56441992</v>
      </c>
      <c r="D138">
        <v>52969573</v>
      </c>
      <c r="E138">
        <v>1</v>
      </c>
      <c r="F138">
        <v>1</v>
      </c>
      <c r="G138">
        <v>25</v>
      </c>
      <c r="H138">
        <v>2</v>
      </c>
      <c r="I138" t="s">
        <v>469</v>
      </c>
      <c r="J138" t="s">
        <v>470</v>
      </c>
      <c r="K138" t="s">
        <v>471</v>
      </c>
      <c r="L138">
        <v>1368</v>
      </c>
      <c r="N138">
        <v>1011</v>
      </c>
      <c r="O138" t="s">
        <v>354</v>
      </c>
      <c r="P138" t="s">
        <v>354</v>
      </c>
      <c r="Q138">
        <v>1</v>
      </c>
      <c r="W138">
        <v>0</v>
      </c>
      <c r="X138">
        <v>1025174242</v>
      </c>
      <c r="Y138">
        <v>0.05</v>
      </c>
      <c r="AA138">
        <v>0</v>
      </c>
      <c r="AB138">
        <v>1056.5999999999999</v>
      </c>
      <c r="AC138">
        <v>370.46</v>
      </c>
      <c r="AD138">
        <v>0</v>
      </c>
      <c r="AE138">
        <v>0</v>
      </c>
      <c r="AF138">
        <v>1056.5999999999999</v>
      </c>
      <c r="AG138">
        <v>370.46</v>
      </c>
      <c r="AH138">
        <v>0</v>
      </c>
      <c r="AI138">
        <v>1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 t="s">
        <v>3</v>
      </c>
      <c r="AT138">
        <v>0.05</v>
      </c>
      <c r="AU138" t="s">
        <v>3</v>
      </c>
      <c r="AV138">
        <v>0</v>
      </c>
      <c r="AW138">
        <v>2</v>
      </c>
      <c r="AX138">
        <v>56442004</v>
      </c>
      <c r="AY138">
        <v>1</v>
      </c>
      <c r="AZ138">
        <v>0</v>
      </c>
      <c r="BA138">
        <v>126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Y138*Source!I329</f>
        <v>13.25</v>
      </c>
      <c r="CY138">
        <f>AB138</f>
        <v>1056.5999999999999</v>
      </c>
      <c r="CZ138">
        <f>AF138</f>
        <v>1056.5999999999999</v>
      </c>
      <c r="DA138">
        <f>AJ138</f>
        <v>1</v>
      </c>
      <c r="DB138">
        <f t="shared" si="17"/>
        <v>52.83</v>
      </c>
      <c r="DC138">
        <f t="shared" si="18"/>
        <v>18.52</v>
      </c>
    </row>
    <row r="139" spans="1:107" x14ac:dyDescent="0.2">
      <c r="A139">
        <f>ROW(Source!A329)</f>
        <v>329</v>
      </c>
      <c r="B139">
        <v>56440881</v>
      </c>
      <c r="C139">
        <v>56441992</v>
      </c>
      <c r="D139">
        <v>52969635</v>
      </c>
      <c r="E139">
        <v>1</v>
      </c>
      <c r="F139">
        <v>1</v>
      </c>
      <c r="G139">
        <v>25</v>
      </c>
      <c r="H139">
        <v>2</v>
      </c>
      <c r="I139" t="s">
        <v>472</v>
      </c>
      <c r="J139" t="s">
        <v>473</v>
      </c>
      <c r="K139" t="s">
        <v>474</v>
      </c>
      <c r="L139">
        <v>1368</v>
      </c>
      <c r="N139">
        <v>1011</v>
      </c>
      <c r="O139" t="s">
        <v>354</v>
      </c>
      <c r="P139" t="s">
        <v>354</v>
      </c>
      <c r="Q139">
        <v>1</v>
      </c>
      <c r="W139">
        <v>0</v>
      </c>
      <c r="X139">
        <v>-527952421</v>
      </c>
      <c r="Y139">
        <v>0.13200000000000001</v>
      </c>
      <c r="AA139">
        <v>0</v>
      </c>
      <c r="AB139">
        <v>5.41</v>
      </c>
      <c r="AC139">
        <v>0.02</v>
      </c>
      <c r="AD139">
        <v>0</v>
      </c>
      <c r="AE139">
        <v>0</v>
      </c>
      <c r="AF139">
        <v>5.41</v>
      </c>
      <c r="AG139">
        <v>0.02</v>
      </c>
      <c r="AH139">
        <v>0</v>
      </c>
      <c r="AI139">
        <v>1</v>
      </c>
      <c r="AJ139">
        <v>1</v>
      </c>
      <c r="AK139">
        <v>1</v>
      </c>
      <c r="AL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S139" t="s">
        <v>3</v>
      </c>
      <c r="AT139">
        <v>0.13200000000000001</v>
      </c>
      <c r="AU139" t="s">
        <v>3</v>
      </c>
      <c r="AV139">
        <v>0</v>
      </c>
      <c r="AW139">
        <v>2</v>
      </c>
      <c r="AX139">
        <v>56442005</v>
      </c>
      <c r="AY139">
        <v>1</v>
      </c>
      <c r="AZ139">
        <v>0</v>
      </c>
      <c r="BA139">
        <v>127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Y139*Source!I329</f>
        <v>34.980000000000004</v>
      </c>
      <c r="CY139">
        <f>AB139</f>
        <v>5.41</v>
      </c>
      <c r="CZ139">
        <f>AF139</f>
        <v>5.41</v>
      </c>
      <c r="DA139">
        <f>AJ139</f>
        <v>1</v>
      </c>
      <c r="DB139">
        <f t="shared" si="17"/>
        <v>0.71</v>
      </c>
      <c r="DC139">
        <f t="shared" si="18"/>
        <v>0</v>
      </c>
    </row>
    <row r="140" spans="1:107" x14ac:dyDescent="0.2">
      <c r="A140">
        <f>ROW(Source!A329)</f>
        <v>329</v>
      </c>
      <c r="B140">
        <v>56440881</v>
      </c>
      <c r="C140">
        <v>56441992</v>
      </c>
      <c r="D140">
        <v>52968880</v>
      </c>
      <c r="E140">
        <v>1</v>
      </c>
      <c r="F140">
        <v>1</v>
      </c>
      <c r="G140">
        <v>25</v>
      </c>
      <c r="H140">
        <v>2</v>
      </c>
      <c r="I140" t="s">
        <v>475</v>
      </c>
      <c r="J140" t="s">
        <v>476</v>
      </c>
      <c r="K140" t="s">
        <v>477</v>
      </c>
      <c r="L140">
        <v>1368</v>
      </c>
      <c r="N140">
        <v>1011</v>
      </c>
      <c r="O140" t="s">
        <v>354</v>
      </c>
      <c r="P140" t="s">
        <v>354</v>
      </c>
      <c r="Q140">
        <v>1</v>
      </c>
      <c r="W140">
        <v>0</v>
      </c>
      <c r="X140">
        <v>1027130252</v>
      </c>
      <c r="Y140">
        <v>8.8999999999999996E-2</v>
      </c>
      <c r="AA140">
        <v>0</v>
      </c>
      <c r="AB140">
        <v>799.15</v>
      </c>
      <c r="AC140">
        <v>434.92</v>
      </c>
      <c r="AD140">
        <v>0</v>
      </c>
      <c r="AE140">
        <v>0</v>
      </c>
      <c r="AF140">
        <v>799.15</v>
      </c>
      <c r="AG140">
        <v>434.92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1</v>
      </c>
      <c r="AP140">
        <v>0</v>
      </c>
      <c r="AQ140">
        <v>0</v>
      </c>
      <c r="AR140">
        <v>0</v>
      </c>
      <c r="AS140" t="s">
        <v>3</v>
      </c>
      <c r="AT140">
        <v>8.8999999999999996E-2</v>
      </c>
      <c r="AU140" t="s">
        <v>3</v>
      </c>
      <c r="AV140">
        <v>0</v>
      </c>
      <c r="AW140">
        <v>2</v>
      </c>
      <c r="AX140">
        <v>56442006</v>
      </c>
      <c r="AY140">
        <v>1</v>
      </c>
      <c r="AZ140">
        <v>0</v>
      </c>
      <c r="BA140">
        <v>128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Y140*Source!I329</f>
        <v>23.584999999999997</v>
      </c>
      <c r="CY140">
        <f>AB140</f>
        <v>799.15</v>
      </c>
      <c r="CZ140">
        <f>AF140</f>
        <v>799.15</v>
      </c>
      <c r="DA140">
        <f>AJ140</f>
        <v>1</v>
      </c>
      <c r="DB140">
        <f t="shared" si="17"/>
        <v>71.12</v>
      </c>
      <c r="DC140">
        <f t="shared" si="18"/>
        <v>38.71</v>
      </c>
    </row>
    <row r="141" spans="1:107" x14ac:dyDescent="0.2">
      <c r="A141">
        <f>ROW(Source!A329)</f>
        <v>329</v>
      </c>
      <c r="B141">
        <v>56440881</v>
      </c>
      <c r="C141">
        <v>56441992</v>
      </c>
      <c r="D141">
        <v>52972560</v>
      </c>
      <c r="E141">
        <v>1</v>
      </c>
      <c r="F141">
        <v>1</v>
      </c>
      <c r="G141">
        <v>25</v>
      </c>
      <c r="H141">
        <v>3</v>
      </c>
      <c r="I141" t="s">
        <v>478</v>
      </c>
      <c r="J141" t="s">
        <v>479</v>
      </c>
      <c r="K141" t="s">
        <v>480</v>
      </c>
      <c r="L141">
        <v>1339</v>
      </c>
      <c r="N141">
        <v>1007</v>
      </c>
      <c r="O141" t="s">
        <v>26</v>
      </c>
      <c r="P141" t="s">
        <v>26</v>
      </c>
      <c r="Q141">
        <v>1</v>
      </c>
      <c r="W141">
        <v>0</v>
      </c>
      <c r="X141">
        <v>-1876763604</v>
      </c>
      <c r="Y141">
        <v>5.8999999999999997E-2</v>
      </c>
      <c r="AA141">
        <v>3791.18</v>
      </c>
      <c r="AB141">
        <v>0</v>
      </c>
      <c r="AC141">
        <v>0</v>
      </c>
      <c r="AD141">
        <v>0</v>
      </c>
      <c r="AE141">
        <v>3791.18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 t="s">
        <v>3</v>
      </c>
      <c r="AT141">
        <v>5.8999999999999997E-2</v>
      </c>
      <c r="AU141" t="s">
        <v>3</v>
      </c>
      <c r="AV141">
        <v>0</v>
      </c>
      <c r="AW141">
        <v>2</v>
      </c>
      <c r="AX141">
        <v>56442007</v>
      </c>
      <c r="AY141">
        <v>1</v>
      </c>
      <c r="AZ141">
        <v>0</v>
      </c>
      <c r="BA141">
        <v>129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Y141*Source!I329</f>
        <v>15.635</v>
      </c>
      <c r="CY141">
        <f>AA141</f>
        <v>3791.18</v>
      </c>
      <c r="CZ141">
        <f>AE141</f>
        <v>3791.18</v>
      </c>
      <c r="DA141">
        <f>AI141</f>
        <v>1</v>
      </c>
      <c r="DB141">
        <f t="shared" si="17"/>
        <v>223.68</v>
      </c>
      <c r="DC141">
        <f t="shared" si="18"/>
        <v>0</v>
      </c>
    </row>
    <row r="142" spans="1:107" x14ac:dyDescent="0.2">
      <c r="A142">
        <f>ROW(Source!A329)</f>
        <v>329</v>
      </c>
      <c r="B142">
        <v>56440881</v>
      </c>
      <c r="C142">
        <v>56441992</v>
      </c>
      <c r="D142">
        <v>52972669</v>
      </c>
      <c r="E142">
        <v>1</v>
      </c>
      <c r="F142">
        <v>1</v>
      </c>
      <c r="G142">
        <v>25</v>
      </c>
      <c r="H142">
        <v>3</v>
      </c>
      <c r="I142" t="s">
        <v>460</v>
      </c>
      <c r="J142" t="s">
        <v>461</v>
      </c>
      <c r="K142" t="s">
        <v>462</v>
      </c>
      <c r="L142">
        <v>1339</v>
      </c>
      <c r="N142">
        <v>1007</v>
      </c>
      <c r="O142" t="s">
        <v>26</v>
      </c>
      <c r="P142" t="s">
        <v>26</v>
      </c>
      <c r="Q142">
        <v>1</v>
      </c>
      <c r="W142">
        <v>0</v>
      </c>
      <c r="X142">
        <v>1955458886</v>
      </c>
      <c r="Y142">
        <v>5.9999999999999995E-4</v>
      </c>
      <c r="AA142">
        <v>3003.56</v>
      </c>
      <c r="AB142">
        <v>0</v>
      </c>
      <c r="AC142">
        <v>0</v>
      </c>
      <c r="AD142">
        <v>0</v>
      </c>
      <c r="AE142">
        <v>3003.56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N142">
        <v>0</v>
      </c>
      <c r="AO142">
        <v>1</v>
      </c>
      <c r="AP142">
        <v>0</v>
      </c>
      <c r="AQ142">
        <v>0</v>
      </c>
      <c r="AR142">
        <v>0</v>
      </c>
      <c r="AS142" t="s">
        <v>3</v>
      </c>
      <c r="AT142">
        <v>5.9999999999999995E-4</v>
      </c>
      <c r="AU142" t="s">
        <v>3</v>
      </c>
      <c r="AV142">
        <v>0</v>
      </c>
      <c r="AW142">
        <v>2</v>
      </c>
      <c r="AX142">
        <v>56442008</v>
      </c>
      <c r="AY142">
        <v>1</v>
      </c>
      <c r="AZ142">
        <v>0</v>
      </c>
      <c r="BA142">
        <v>130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Y142*Source!I329</f>
        <v>0.15899999999999997</v>
      </c>
      <c r="CY142">
        <f>AA142</f>
        <v>3003.56</v>
      </c>
      <c r="CZ142">
        <f>AE142</f>
        <v>3003.56</v>
      </c>
      <c r="DA142">
        <f>AI142</f>
        <v>1</v>
      </c>
      <c r="DB142">
        <f t="shared" si="17"/>
        <v>1.8</v>
      </c>
      <c r="DC142">
        <f t="shared" si="18"/>
        <v>0</v>
      </c>
    </row>
    <row r="143" spans="1:107" x14ac:dyDescent="0.2">
      <c r="A143">
        <f>ROW(Source!A329)</f>
        <v>329</v>
      </c>
      <c r="B143">
        <v>56440881</v>
      </c>
      <c r="C143">
        <v>56441992</v>
      </c>
      <c r="D143">
        <v>52973409</v>
      </c>
      <c r="E143">
        <v>1</v>
      </c>
      <c r="F143">
        <v>1</v>
      </c>
      <c r="G143">
        <v>25</v>
      </c>
      <c r="H143">
        <v>3</v>
      </c>
      <c r="I143" t="s">
        <v>481</v>
      </c>
      <c r="J143" t="s">
        <v>482</v>
      </c>
      <c r="K143" t="s">
        <v>483</v>
      </c>
      <c r="L143">
        <v>1339</v>
      </c>
      <c r="N143">
        <v>1007</v>
      </c>
      <c r="O143" t="s">
        <v>26</v>
      </c>
      <c r="P143" t="s">
        <v>26</v>
      </c>
      <c r="Q143">
        <v>1</v>
      </c>
      <c r="W143">
        <v>0</v>
      </c>
      <c r="X143">
        <v>-1947716756</v>
      </c>
      <c r="Y143">
        <v>4.36E-2</v>
      </c>
      <c r="AA143">
        <v>6544.04</v>
      </c>
      <c r="AB143">
        <v>0</v>
      </c>
      <c r="AC143">
        <v>0</v>
      </c>
      <c r="AD143">
        <v>0</v>
      </c>
      <c r="AE143">
        <v>6544.04</v>
      </c>
      <c r="AF143">
        <v>0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 t="s">
        <v>3</v>
      </c>
      <c r="AT143">
        <v>4.36E-2</v>
      </c>
      <c r="AU143" t="s">
        <v>3</v>
      </c>
      <c r="AV143">
        <v>0</v>
      </c>
      <c r="AW143">
        <v>2</v>
      </c>
      <c r="AX143">
        <v>56442009</v>
      </c>
      <c r="AY143">
        <v>1</v>
      </c>
      <c r="AZ143">
        <v>0</v>
      </c>
      <c r="BA143">
        <v>131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Y143*Source!I329</f>
        <v>11.554</v>
      </c>
      <c r="CY143">
        <f>AA143</f>
        <v>6544.04</v>
      </c>
      <c r="CZ143">
        <f>AE143</f>
        <v>6544.04</v>
      </c>
      <c r="DA143">
        <f>AI143</f>
        <v>1</v>
      </c>
      <c r="DB143">
        <f t="shared" si="17"/>
        <v>285.32</v>
      </c>
      <c r="DC143">
        <f t="shared" si="18"/>
        <v>0</v>
      </c>
    </row>
    <row r="144" spans="1:107" x14ac:dyDescent="0.2">
      <c r="A144">
        <f>ROW(Source!A329)</f>
        <v>329</v>
      </c>
      <c r="B144">
        <v>56440881</v>
      </c>
      <c r="C144">
        <v>56441992</v>
      </c>
      <c r="D144">
        <v>52958455</v>
      </c>
      <c r="E144">
        <v>25</v>
      </c>
      <c r="F144">
        <v>1</v>
      </c>
      <c r="G144">
        <v>25</v>
      </c>
      <c r="H144">
        <v>3</v>
      </c>
      <c r="I144" t="s">
        <v>118</v>
      </c>
      <c r="J144" t="s">
        <v>3</v>
      </c>
      <c r="K144" t="s">
        <v>119</v>
      </c>
      <c r="L144">
        <v>1348</v>
      </c>
      <c r="N144">
        <v>1009</v>
      </c>
      <c r="O144" t="s">
        <v>44</v>
      </c>
      <c r="P144" t="s">
        <v>44</v>
      </c>
      <c r="Q144">
        <v>1000</v>
      </c>
      <c r="W144">
        <v>1</v>
      </c>
      <c r="X144">
        <v>1489638031</v>
      </c>
      <c r="Y144">
        <v>-0.246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1</v>
      </c>
      <c r="AK144">
        <v>1</v>
      </c>
      <c r="AL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S144" t="s">
        <v>3</v>
      </c>
      <c r="AT144">
        <v>-0.246</v>
      </c>
      <c r="AU144" t="s">
        <v>3</v>
      </c>
      <c r="AV144">
        <v>0</v>
      </c>
      <c r="AW144">
        <v>2</v>
      </c>
      <c r="AX144">
        <v>56442010</v>
      </c>
      <c r="AY144">
        <v>1</v>
      </c>
      <c r="AZ144">
        <v>6144</v>
      </c>
      <c r="BA144">
        <v>132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Y144*Source!I329</f>
        <v>-65.19</v>
      </c>
      <c r="CY144">
        <f>AA144</f>
        <v>0</v>
      </c>
      <c r="CZ144">
        <f>AE144</f>
        <v>0</v>
      </c>
      <c r="DA144">
        <f>AI144</f>
        <v>1</v>
      </c>
      <c r="DB144">
        <f t="shared" si="17"/>
        <v>0</v>
      </c>
      <c r="DC144">
        <f t="shared" si="18"/>
        <v>0</v>
      </c>
    </row>
    <row r="145" spans="1:107" x14ac:dyDescent="0.2">
      <c r="A145">
        <f>ROW(Source!A331)</f>
        <v>331</v>
      </c>
      <c r="B145">
        <v>56440881</v>
      </c>
      <c r="C145">
        <v>56442020</v>
      </c>
      <c r="D145">
        <v>52969562</v>
      </c>
      <c r="E145">
        <v>1</v>
      </c>
      <c r="F145">
        <v>1</v>
      </c>
      <c r="G145">
        <v>25</v>
      </c>
      <c r="H145">
        <v>2</v>
      </c>
      <c r="I145" t="s">
        <v>382</v>
      </c>
      <c r="J145" t="s">
        <v>383</v>
      </c>
      <c r="K145" t="s">
        <v>384</v>
      </c>
      <c r="L145">
        <v>1368</v>
      </c>
      <c r="N145">
        <v>1011</v>
      </c>
      <c r="O145" t="s">
        <v>354</v>
      </c>
      <c r="P145" t="s">
        <v>354</v>
      </c>
      <c r="Q145">
        <v>1</v>
      </c>
      <c r="W145">
        <v>0</v>
      </c>
      <c r="X145">
        <v>-1048706440</v>
      </c>
      <c r="Y145">
        <v>0.02</v>
      </c>
      <c r="AA145">
        <v>0</v>
      </c>
      <c r="AB145">
        <v>952.49</v>
      </c>
      <c r="AC145">
        <v>301.5</v>
      </c>
      <c r="AD145">
        <v>0</v>
      </c>
      <c r="AE145">
        <v>0</v>
      </c>
      <c r="AF145">
        <v>952.49</v>
      </c>
      <c r="AG145">
        <v>301.5</v>
      </c>
      <c r="AH145">
        <v>0</v>
      </c>
      <c r="AI145">
        <v>1</v>
      </c>
      <c r="AJ145">
        <v>1</v>
      </c>
      <c r="AK145">
        <v>1</v>
      </c>
      <c r="AL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 t="s">
        <v>3</v>
      </c>
      <c r="AT145">
        <v>0.02</v>
      </c>
      <c r="AU145" t="s">
        <v>3</v>
      </c>
      <c r="AV145">
        <v>0</v>
      </c>
      <c r="AW145">
        <v>2</v>
      </c>
      <c r="AX145">
        <v>56442023</v>
      </c>
      <c r="AY145">
        <v>1</v>
      </c>
      <c r="AZ145">
        <v>0</v>
      </c>
      <c r="BA145">
        <v>133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Y145*Source!I331</f>
        <v>1.1734199999999999</v>
      </c>
      <c r="CY145">
        <f t="shared" ref="CY145:CY150" si="22">AB145</f>
        <v>952.49</v>
      </c>
      <c r="CZ145">
        <f t="shared" ref="CZ145:CZ150" si="23">AF145</f>
        <v>952.49</v>
      </c>
      <c r="DA145">
        <f t="shared" ref="DA145:DA150" si="24">AJ145</f>
        <v>1</v>
      </c>
      <c r="DB145">
        <f t="shared" si="17"/>
        <v>19.05</v>
      </c>
      <c r="DC145">
        <f t="shared" si="18"/>
        <v>6.03</v>
      </c>
    </row>
    <row r="146" spans="1:107" x14ac:dyDescent="0.2">
      <c r="A146">
        <f>ROW(Source!A331)</f>
        <v>331</v>
      </c>
      <c r="B146">
        <v>56440881</v>
      </c>
      <c r="C146">
        <v>56442020</v>
      </c>
      <c r="D146">
        <v>52969563</v>
      </c>
      <c r="E146">
        <v>1</v>
      </c>
      <c r="F146">
        <v>1</v>
      </c>
      <c r="G146">
        <v>25</v>
      </c>
      <c r="H146">
        <v>2</v>
      </c>
      <c r="I146" t="s">
        <v>385</v>
      </c>
      <c r="J146" t="s">
        <v>386</v>
      </c>
      <c r="K146" t="s">
        <v>387</v>
      </c>
      <c r="L146">
        <v>1368</v>
      </c>
      <c r="N146">
        <v>1011</v>
      </c>
      <c r="O146" t="s">
        <v>354</v>
      </c>
      <c r="P146" t="s">
        <v>354</v>
      </c>
      <c r="Q146">
        <v>1</v>
      </c>
      <c r="W146">
        <v>0</v>
      </c>
      <c r="X146">
        <v>2034648272</v>
      </c>
      <c r="Y146">
        <v>1.7999999999999999E-2</v>
      </c>
      <c r="AA146">
        <v>0</v>
      </c>
      <c r="AB146">
        <v>993.6</v>
      </c>
      <c r="AC146">
        <v>301.8</v>
      </c>
      <c r="AD146">
        <v>0</v>
      </c>
      <c r="AE146">
        <v>0</v>
      </c>
      <c r="AF146">
        <v>993.6</v>
      </c>
      <c r="AG146">
        <v>301.8</v>
      </c>
      <c r="AH146">
        <v>0</v>
      </c>
      <c r="AI146">
        <v>1</v>
      </c>
      <c r="AJ146">
        <v>1</v>
      </c>
      <c r="AK146">
        <v>1</v>
      </c>
      <c r="AL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 t="s">
        <v>3</v>
      </c>
      <c r="AT146">
        <v>1.7999999999999999E-2</v>
      </c>
      <c r="AU146" t="s">
        <v>3</v>
      </c>
      <c r="AV146">
        <v>0</v>
      </c>
      <c r="AW146">
        <v>2</v>
      </c>
      <c r="AX146">
        <v>56442024</v>
      </c>
      <c r="AY146">
        <v>1</v>
      </c>
      <c r="AZ146">
        <v>0</v>
      </c>
      <c r="BA146">
        <v>134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Y146*Source!I331</f>
        <v>1.0560779999999999</v>
      </c>
      <c r="CY146">
        <f t="shared" si="22"/>
        <v>993.6</v>
      </c>
      <c r="CZ146">
        <f t="shared" si="23"/>
        <v>993.6</v>
      </c>
      <c r="DA146">
        <f t="shared" si="24"/>
        <v>1</v>
      </c>
      <c r="DB146">
        <f t="shared" si="17"/>
        <v>17.88</v>
      </c>
      <c r="DC146">
        <f t="shared" si="18"/>
        <v>5.43</v>
      </c>
    </row>
    <row r="147" spans="1:107" x14ac:dyDescent="0.2">
      <c r="A147">
        <f>ROW(Source!A332)</f>
        <v>332</v>
      </c>
      <c r="B147">
        <v>56440881</v>
      </c>
      <c r="C147">
        <v>56442025</v>
      </c>
      <c r="D147">
        <v>52969562</v>
      </c>
      <c r="E147">
        <v>1</v>
      </c>
      <c r="F147">
        <v>1</v>
      </c>
      <c r="G147">
        <v>25</v>
      </c>
      <c r="H147">
        <v>2</v>
      </c>
      <c r="I147" t="s">
        <v>382</v>
      </c>
      <c r="J147" t="s">
        <v>383</v>
      </c>
      <c r="K147" t="s">
        <v>384</v>
      </c>
      <c r="L147">
        <v>1368</v>
      </c>
      <c r="N147">
        <v>1011</v>
      </c>
      <c r="O147" t="s">
        <v>354</v>
      </c>
      <c r="P147" t="s">
        <v>354</v>
      </c>
      <c r="Q147">
        <v>1</v>
      </c>
      <c r="W147">
        <v>0</v>
      </c>
      <c r="X147">
        <v>-1048706440</v>
      </c>
      <c r="Y147">
        <v>5.3999999999999999E-2</v>
      </c>
      <c r="AA147">
        <v>0</v>
      </c>
      <c r="AB147">
        <v>952.49</v>
      </c>
      <c r="AC147">
        <v>301.5</v>
      </c>
      <c r="AD147">
        <v>0</v>
      </c>
      <c r="AE147">
        <v>0</v>
      </c>
      <c r="AF147">
        <v>952.49</v>
      </c>
      <c r="AG147">
        <v>301.5</v>
      </c>
      <c r="AH147">
        <v>0</v>
      </c>
      <c r="AI147">
        <v>1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 t="s">
        <v>3</v>
      </c>
      <c r="AT147">
        <v>5.3999999999999999E-2</v>
      </c>
      <c r="AU147" t="s">
        <v>3</v>
      </c>
      <c r="AV147">
        <v>0</v>
      </c>
      <c r="AW147">
        <v>2</v>
      </c>
      <c r="AX147">
        <v>56442028</v>
      </c>
      <c r="AY147">
        <v>1</v>
      </c>
      <c r="AZ147">
        <v>0</v>
      </c>
      <c r="BA147">
        <v>135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Y147*Source!I332</f>
        <v>0.35202600000000001</v>
      </c>
      <c r="CY147">
        <f t="shared" si="22"/>
        <v>952.49</v>
      </c>
      <c r="CZ147">
        <f t="shared" si="23"/>
        <v>952.49</v>
      </c>
      <c r="DA147">
        <f t="shared" si="24"/>
        <v>1</v>
      </c>
      <c r="DB147">
        <f t="shared" si="17"/>
        <v>51.43</v>
      </c>
      <c r="DC147">
        <f t="shared" si="18"/>
        <v>16.28</v>
      </c>
    </row>
    <row r="148" spans="1:107" x14ac:dyDescent="0.2">
      <c r="A148">
        <f>ROW(Source!A332)</f>
        <v>332</v>
      </c>
      <c r="B148">
        <v>56440881</v>
      </c>
      <c r="C148">
        <v>56442025</v>
      </c>
      <c r="D148">
        <v>52969563</v>
      </c>
      <c r="E148">
        <v>1</v>
      </c>
      <c r="F148">
        <v>1</v>
      </c>
      <c r="G148">
        <v>25</v>
      </c>
      <c r="H148">
        <v>2</v>
      </c>
      <c r="I148" t="s">
        <v>385</v>
      </c>
      <c r="J148" t="s">
        <v>386</v>
      </c>
      <c r="K148" t="s">
        <v>387</v>
      </c>
      <c r="L148">
        <v>1368</v>
      </c>
      <c r="N148">
        <v>1011</v>
      </c>
      <c r="O148" t="s">
        <v>354</v>
      </c>
      <c r="P148" t="s">
        <v>354</v>
      </c>
      <c r="Q148">
        <v>1</v>
      </c>
      <c r="W148">
        <v>0</v>
      </c>
      <c r="X148">
        <v>2034648272</v>
      </c>
      <c r="Y148">
        <v>5.5E-2</v>
      </c>
      <c r="AA148">
        <v>0</v>
      </c>
      <c r="AB148">
        <v>993.6</v>
      </c>
      <c r="AC148">
        <v>301.8</v>
      </c>
      <c r="AD148">
        <v>0</v>
      </c>
      <c r="AE148">
        <v>0</v>
      </c>
      <c r="AF148">
        <v>993.6</v>
      </c>
      <c r="AG148">
        <v>301.8</v>
      </c>
      <c r="AH148">
        <v>0</v>
      </c>
      <c r="AI148">
        <v>1</v>
      </c>
      <c r="AJ148">
        <v>1</v>
      </c>
      <c r="AK148">
        <v>1</v>
      </c>
      <c r="AL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 t="s">
        <v>3</v>
      </c>
      <c r="AT148">
        <v>5.5E-2</v>
      </c>
      <c r="AU148" t="s">
        <v>3</v>
      </c>
      <c r="AV148">
        <v>0</v>
      </c>
      <c r="AW148">
        <v>2</v>
      </c>
      <c r="AX148">
        <v>56442029</v>
      </c>
      <c r="AY148">
        <v>1</v>
      </c>
      <c r="AZ148">
        <v>0</v>
      </c>
      <c r="BA148">
        <v>136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Y148*Source!I332</f>
        <v>0.358545</v>
      </c>
      <c r="CY148">
        <f t="shared" si="22"/>
        <v>993.6</v>
      </c>
      <c r="CZ148">
        <f t="shared" si="23"/>
        <v>993.6</v>
      </c>
      <c r="DA148">
        <f t="shared" si="24"/>
        <v>1</v>
      </c>
      <c r="DB148">
        <f t="shared" si="17"/>
        <v>54.65</v>
      </c>
      <c r="DC148">
        <f t="shared" si="18"/>
        <v>16.600000000000001</v>
      </c>
    </row>
    <row r="149" spans="1:107" x14ac:dyDescent="0.2">
      <c r="A149">
        <f>ROW(Source!A333)</f>
        <v>333</v>
      </c>
      <c r="B149">
        <v>56440881</v>
      </c>
      <c r="C149">
        <v>56442030</v>
      </c>
      <c r="D149">
        <v>52969562</v>
      </c>
      <c r="E149">
        <v>1</v>
      </c>
      <c r="F149">
        <v>1</v>
      </c>
      <c r="G149">
        <v>25</v>
      </c>
      <c r="H149">
        <v>2</v>
      </c>
      <c r="I149" t="s">
        <v>382</v>
      </c>
      <c r="J149" t="s">
        <v>383</v>
      </c>
      <c r="K149" t="s">
        <v>384</v>
      </c>
      <c r="L149">
        <v>1368</v>
      </c>
      <c r="N149">
        <v>1011</v>
      </c>
      <c r="O149" t="s">
        <v>354</v>
      </c>
      <c r="P149" t="s">
        <v>354</v>
      </c>
      <c r="Q149">
        <v>1</v>
      </c>
      <c r="W149">
        <v>0</v>
      </c>
      <c r="X149">
        <v>-1048706440</v>
      </c>
      <c r="Y149">
        <v>0.51</v>
      </c>
      <c r="AA149">
        <v>0</v>
      </c>
      <c r="AB149">
        <v>952.49</v>
      </c>
      <c r="AC149">
        <v>301.5</v>
      </c>
      <c r="AD149">
        <v>0</v>
      </c>
      <c r="AE149">
        <v>0</v>
      </c>
      <c r="AF149">
        <v>952.49</v>
      </c>
      <c r="AG149">
        <v>301.5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1</v>
      </c>
      <c r="AQ149">
        <v>0</v>
      </c>
      <c r="AR149">
        <v>0</v>
      </c>
      <c r="AS149" t="s">
        <v>3</v>
      </c>
      <c r="AT149">
        <v>0.01</v>
      </c>
      <c r="AU149" t="s">
        <v>141</v>
      </c>
      <c r="AV149">
        <v>0</v>
      </c>
      <c r="AW149">
        <v>2</v>
      </c>
      <c r="AX149">
        <v>56442033</v>
      </c>
      <c r="AY149">
        <v>1</v>
      </c>
      <c r="AZ149">
        <v>0</v>
      </c>
      <c r="BA149">
        <v>137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Y149*Source!I333</f>
        <v>33.246899999999997</v>
      </c>
      <c r="CY149">
        <f t="shared" si="22"/>
        <v>952.49</v>
      </c>
      <c r="CZ149">
        <f t="shared" si="23"/>
        <v>952.49</v>
      </c>
      <c r="DA149">
        <f t="shared" si="24"/>
        <v>1</v>
      </c>
      <c r="DB149">
        <f>ROUND((ROUND(AT149*CZ149,2)*51),2)</f>
        <v>485.52</v>
      </c>
      <c r="DC149">
        <f>ROUND((ROUND(AT149*AG149,2)*51),2)</f>
        <v>154.02000000000001</v>
      </c>
    </row>
    <row r="150" spans="1:107" x14ac:dyDescent="0.2">
      <c r="A150">
        <f>ROW(Source!A333)</f>
        <v>333</v>
      </c>
      <c r="B150">
        <v>56440881</v>
      </c>
      <c r="C150">
        <v>56442030</v>
      </c>
      <c r="D150">
        <v>52969563</v>
      </c>
      <c r="E150">
        <v>1</v>
      </c>
      <c r="F150">
        <v>1</v>
      </c>
      <c r="G150">
        <v>25</v>
      </c>
      <c r="H150">
        <v>2</v>
      </c>
      <c r="I150" t="s">
        <v>385</v>
      </c>
      <c r="J150" t="s">
        <v>386</v>
      </c>
      <c r="K150" t="s">
        <v>387</v>
      </c>
      <c r="L150">
        <v>1368</v>
      </c>
      <c r="N150">
        <v>1011</v>
      </c>
      <c r="O150" t="s">
        <v>354</v>
      </c>
      <c r="P150" t="s">
        <v>354</v>
      </c>
      <c r="Q150">
        <v>1</v>
      </c>
      <c r="W150">
        <v>0</v>
      </c>
      <c r="X150">
        <v>2034648272</v>
      </c>
      <c r="Y150">
        <v>0.40800000000000003</v>
      </c>
      <c r="AA150">
        <v>0</v>
      </c>
      <c r="AB150">
        <v>993.6</v>
      </c>
      <c r="AC150">
        <v>301.8</v>
      </c>
      <c r="AD150">
        <v>0</v>
      </c>
      <c r="AE150">
        <v>0</v>
      </c>
      <c r="AF150">
        <v>993.6</v>
      </c>
      <c r="AG150">
        <v>301.8</v>
      </c>
      <c r="AH150">
        <v>0</v>
      </c>
      <c r="AI150">
        <v>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1</v>
      </c>
      <c r="AQ150">
        <v>0</v>
      </c>
      <c r="AR150">
        <v>0</v>
      </c>
      <c r="AS150" t="s">
        <v>3</v>
      </c>
      <c r="AT150">
        <v>8.0000000000000002E-3</v>
      </c>
      <c r="AU150" t="s">
        <v>141</v>
      </c>
      <c r="AV150">
        <v>0</v>
      </c>
      <c r="AW150">
        <v>2</v>
      </c>
      <c r="AX150">
        <v>56442034</v>
      </c>
      <c r="AY150">
        <v>1</v>
      </c>
      <c r="AZ150">
        <v>0</v>
      </c>
      <c r="BA150">
        <v>138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Y150*Source!I333</f>
        <v>26.597519999999999</v>
      </c>
      <c r="CY150">
        <f t="shared" si="22"/>
        <v>993.6</v>
      </c>
      <c r="CZ150">
        <f t="shared" si="23"/>
        <v>993.6</v>
      </c>
      <c r="DA150">
        <f t="shared" si="24"/>
        <v>1</v>
      </c>
      <c r="DB150">
        <f>ROUND((ROUND(AT150*CZ150,2)*51),2)</f>
        <v>405.45</v>
      </c>
      <c r="DC150">
        <f>ROUND((ROUND(AT150*AG150,2)*51),2)</f>
        <v>122.91</v>
      </c>
    </row>
    <row r="151" spans="1:107" x14ac:dyDescent="0.2">
      <c r="A151">
        <f>ROW(Source!A335)</f>
        <v>335</v>
      </c>
      <c r="B151">
        <v>56440881</v>
      </c>
      <c r="C151">
        <v>56442036</v>
      </c>
      <c r="D151">
        <v>52956643</v>
      </c>
      <c r="E151">
        <v>25</v>
      </c>
      <c r="F151">
        <v>1</v>
      </c>
      <c r="G151">
        <v>25</v>
      </c>
      <c r="H151">
        <v>1</v>
      </c>
      <c r="I151" t="s">
        <v>348</v>
      </c>
      <c r="J151" t="s">
        <v>3</v>
      </c>
      <c r="K151" t="s">
        <v>349</v>
      </c>
      <c r="L151">
        <v>1191</v>
      </c>
      <c r="N151">
        <v>1013</v>
      </c>
      <c r="O151" t="s">
        <v>350</v>
      </c>
      <c r="P151" t="s">
        <v>350</v>
      </c>
      <c r="Q151">
        <v>1</v>
      </c>
      <c r="W151">
        <v>0</v>
      </c>
      <c r="X151">
        <v>476480486</v>
      </c>
      <c r="Y151">
        <v>80.27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N151">
        <v>0</v>
      </c>
      <c r="AO151">
        <v>1</v>
      </c>
      <c r="AP151">
        <v>0</v>
      </c>
      <c r="AQ151">
        <v>0</v>
      </c>
      <c r="AR151">
        <v>0</v>
      </c>
      <c r="AS151" t="s">
        <v>3</v>
      </c>
      <c r="AT151">
        <v>80.27</v>
      </c>
      <c r="AU151" t="s">
        <v>3</v>
      </c>
      <c r="AV151">
        <v>1</v>
      </c>
      <c r="AW151">
        <v>2</v>
      </c>
      <c r="AX151">
        <v>56442041</v>
      </c>
      <c r="AY151">
        <v>1</v>
      </c>
      <c r="AZ151">
        <v>0</v>
      </c>
      <c r="BA151">
        <v>139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Y151*Source!I335</f>
        <v>0</v>
      </c>
      <c r="CY151">
        <f>AD151</f>
        <v>0</v>
      </c>
      <c r="CZ151">
        <f>AH151</f>
        <v>0</v>
      </c>
      <c r="DA151">
        <f>AL151</f>
        <v>1</v>
      </c>
      <c r="DB151">
        <f t="shared" ref="DB151:DB163" si="25">ROUND(ROUND(AT151*CZ151,2),2)</f>
        <v>0</v>
      </c>
      <c r="DC151">
        <f t="shared" ref="DC151:DC163" si="26">ROUND(ROUND(AT151*AG151,2),2)</f>
        <v>0</v>
      </c>
    </row>
    <row r="152" spans="1:107" x14ac:dyDescent="0.2">
      <c r="A152">
        <f>ROW(Source!A335)</f>
        <v>335</v>
      </c>
      <c r="B152">
        <v>56440881</v>
      </c>
      <c r="C152">
        <v>56442036</v>
      </c>
      <c r="D152">
        <v>52972593</v>
      </c>
      <c r="E152">
        <v>1</v>
      </c>
      <c r="F152">
        <v>1</v>
      </c>
      <c r="G152">
        <v>25</v>
      </c>
      <c r="H152">
        <v>3</v>
      </c>
      <c r="I152" t="s">
        <v>457</v>
      </c>
      <c r="J152" t="s">
        <v>458</v>
      </c>
      <c r="K152" t="s">
        <v>459</v>
      </c>
      <c r="L152">
        <v>1339</v>
      </c>
      <c r="N152">
        <v>1007</v>
      </c>
      <c r="O152" t="s">
        <v>26</v>
      </c>
      <c r="P152" t="s">
        <v>26</v>
      </c>
      <c r="Q152">
        <v>1</v>
      </c>
      <c r="W152">
        <v>0</v>
      </c>
      <c r="X152">
        <v>339889499</v>
      </c>
      <c r="Y152">
        <v>5.9</v>
      </c>
      <c r="AA152">
        <v>3869.68</v>
      </c>
      <c r="AB152">
        <v>0</v>
      </c>
      <c r="AC152">
        <v>0</v>
      </c>
      <c r="AD152">
        <v>0</v>
      </c>
      <c r="AE152">
        <v>3869.68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N152">
        <v>0</v>
      </c>
      <c r="AO152">
        <v>1</v>
      </c>
      <c r="AP152">
        <v>0</v>
      </c>
      <c r="AQ152">
        <v>0</v>
      </c>
      <c r="AR152">
        <v>0</v>
      </c>
      <c r="AS152" t="s">
        <v>3</v>
      </c>
      <c r="AT152">
        <v>5.9</v>
      </c>
      <c r="AU152" t="s">
        <v>3</v>
      </c>
      <c r="AV152">
        <v>0</v>
      </c>
      <c r="AW152">
        <v>2</v>
      </c>
      <c r="AX152">
        <v>56442042</v>
      </c>
      <c r="AY152">
        <v>1</v>
      </c>
      <c r="AZ152">
        <v>0</v>
      </c>
      <c r="BA152">
        <v>140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Y152*Source!I335</f>
        <v>0</v>
      </c>
      <c r="CY152">
        <f>AA152</f>
        <v>3869.68</v>
      </c>
      <c r="CZ152">
        <f>AE152</f>
        <v>3869.68</v>
      </c>
      <c r="DA152">
        <f>AI152</f>
        <v>1</v>
      </c>
      <c r="DB152">
        <f t="shared" si="25"/>
        <v>22831.11</v>
      </c>
      <c r="DC152">
        <f t="shared" si="26"/>
        <v>0</v>
      </c>
    </row>
    <row r="153" spans="1:107" x14ac:dyDescent="0.2">
      <c r="A153">
        <f>ROW(Source!A335)</f>
        <v>335</v>
      </c>
      <c r="B153">
        <v>56440881</v>
      </c>
      <c r="C153">
        <v>56442036</v>
      </c>
      <c r="D153">
        <v>52972669</v>
      </c>
      <c r="E153">
        <v>1</v>
      </c>
      <c r="F153">
        <v>1</v>
      </c>
      <c r="G153">
        <v>25</v>
      </c>
      <c r="H153">
        <v>3</v>
      </c>
      <c r="I153" t="s">
        <v>460</v>
      </c>
      <c r="J153" t="s">
        <v>461</v>
      </c>
      <c r="K153" t="s">
        <v>462</v>
      </c>
      <c r="L153">
        <v>1339</v>
      </c>
      <c r="N153">
        <v>1007</v>
      </c>
      <c r="O153" t="s">
        <v>26</v>
      </c>
      <c r="P153" t="s">
        <v>26</v>
      </c>
      <c r="Q153">
        <v>1</v>
      </c>
      <c r="W153">
        <v>0</v>
      </c>
      <c r="X153">
        <v>1955458886</v>
      </c>
      <c r="Y153">
        <v>0.06</v>
      </c>
      <c r="AA153">
        <v>3003.56</v>
      </c>
      <c r="AB153">
        <v>0</v>
      </c>
      <c r="AC153">
        <v>0</v>
      </c>
      <c r="AD153">
        <v>0</v>
      </c>
      <c r="AE153">
        <v>3003.56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 t="s">
        <v>3</v>
      </c>
      <c r="AT153">
        <v>0.06</v>
      </c>
      <c r="AU153" t="s">
        <v>3</v>
      </c>
      <c r="AV153">
        <v>0</v>
      </c>
      <c r="AW153">
        <v>2</v>
      </c>
      <c r="AX153">
        <v>56442043</v>
      </c>
      <c r="AY153">
        <v>1</v>
      </c>
      <c r="AZ153">
        <v>0</v>
      </c>
      <c r="BA153">
        <v>141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Y153*Source!I335</f>
        <v>0</v>
      </c>
      <c r="CY153">
        <f>AA153</f>
        <v>3003.56</v>
      </c>
      <c r="CZ153">
        <f>AE153</f>
        <v>3003.56</v>
      </c>
      <c r="DA153">
        <f>AI153</f>
        <v>1</v>
      </c>
      <c r="DB153">
        <f t="shared" si="25"/>
        <v>180.21</v>
      </c>
      <c r="DC153">
        <f t="shared" si="26"/>
        <v>0</v>
      </c>
    </row>
    <row r="154" spans="1:107" x14ac:dyDescent="0.2">
      <c r="A154">
        <f>ROW(Source!A335)</f>
        <v>335</v>
      </c>
      <c r="B154">
        <v>56440881</v>
      </c>
      <c r="C154">
        <v>56442036</v>
      </c>
      <c r="D154">
        <v>52973409</v>
      </c>
      <c r="E154">
        <v>1</v>
      </c>
      <c r="F154">
        <v>1</v>
      </c>
      <c r="G154">
        <v>25</v>
      </c>
      <c r="H154">
        <v>3</v>
      </c>
      <c r="I154" t="s">
        <v>481</v>
      </c>
      <c r="J154" t="s">
        <v>482</v>
      </c>
      <c r="K154" t="s">
        <v>483</v>
      </c>
      <c r="L154">
        <v>1339</v>
      </c>
      <c r="N154">
        <v>1007</v>
      </c>
      <c r="O154" t="s">
        <v>26</v>
      </c>
      <c r="P154" t="s">
        <v>26</v>
      </c>
      <c r="Q154">
        <v>1</v>
      </c>
      <c r="W154">
        <v>0</v>
      </c>
      <c r="X154">
        <v>-1947716756</v>
      </c>
      <c r="Y154">
        <v>4.3</v>
      </c>
      <c r="AA154">
        <v>6544.04</v>
      </c>
      <c r="AB154">
        <v>0</v>
      </c>
      <c r="AC154">
        <v>0</v>
      </c>
      <c r="AD154">
        <v>0</v>
      </c>
      <c r="AE154">
        <v>6544.04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 t="s">
        <v>3</v>
      </c>
      <c r="AT154">
        <v>4.3</v>
      </c>
      <c r="AU154" t="s">
        <v>3</v>
      </c>
      <c r="AV154">
        <v>0</v>
      </c>
      <c r="AW154">
        <v>2</v>
      </c>
      <c r="AX154">
        <v>56442044</v>
      </c>
      <c r="AY154">
        <v>1</v>
      </c>
      <c r="AZ154">
        <v>0</v>
      </c>
      <c r="BA154">
        <v>142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Y154*Source!I335</f>
        <v>0</v>
      </c>
      <c r="CY154">
        <f>AA154</f>
        <v>6544.04</v>
      </c>
      <c r="CZ154">
        <f>AE154</f>
        <v>6544.04</v>
      </c>
      <c r="DA154">
        <f>AI154</f>
        <v>1</v>
      </c>
      <c r="DB154">
        <f t="shared" si="25"/>
        <v>28139.37</v>
      </c>
      <c r="DC154">
        <f t="shared" si="26"/>
        <v>0</v>
      </c>
    </row>
    <row r="155" spans="1:107" x14ac:dyDescent="0.2">
      <c r="A155">
        <f>ROW(Source!A371)</f>
        <v>371</v>
      </c>
      <c r="B155">
        <v>56440881</v>
      </c>
      <c r="C155">
        <v>56442045</v>
      </c>
      <c r="D155">
        <v>52956643</v>
      </c>
      <c r="E155">
        <v>25</v>
      </c>
      <c r="F155">
        <v>1</v>
      </c>
      <c r="G155">
        <v>25</v>
      </c>
      <c r="H155">
        <v>1</v>
      </c>
      <c r="I155" t="s">
        <v>348</v>
      </c>
      <c r="J155" t="s">
        <v>3</v>
      </c>
      <c r="K155" t="s">
        <v>349</v>
      </c>
      <c r="L155">
        <v>1191</v>
      </c>
      <c r="N155">
        <v>1013</v>
      </c>
      <c r="O155" t="s">
        <v>350</v>
      </c>
      <c r="P155" t="s">
        <v>350</v>
      </c>
      <c r="Q155">
        <v>1</v>
      </c>
      <c r="W155">
        <v>0</v>
      </c>
      <c r="X155">
        <v>476480486</v>
      </c>
      <c r="Y155">
        <v>1.59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0</v>
      </c>
      <c r="AQ155">
        <v>0</v>
      </c>
      <c r="AR155">
        <v>0</v>
      </c>
      <c r="AS155" t="s">
        <v>3</v>
      </c>
      <c r="AT155">
        <v>1.59</v>
      </c>
      <c r="AU155" t="s">
        <v>3</v>
      </c>
      <c r="AV155">
        <v>1</v>
      </c>
      <c r="AW155">
        <v>2</v>
      </c>
      <c r="AX155">
        <v>56442049</v>
      </c>
      <c r="AY155">
        <v>1</v>
      </c>
      <c r="AZ155">
        <v>0</v>
      </c>
      <c r="BA155">
        <v>143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Y155*Source!I371</f>
        <v>1.1925000000000001</v>
      </c>
      <c r="CY155">
        <f>AD155</f>
        <v>0</v>
      </c>
      <c r="CZ155">
        <f>AH155</f>
        <v>0</v>
      </c>
      <c r="DA155">
        <f>AL155</f>
        <v>1</v>
      </c>
      <c r="DB155">
        <f t="shared" si="25"/>
        <v>0</v>
      </c>
      <c r="DC155">
        <f t="shared" si="26"/>
        <v>0</v>
      </c>
    </row>
    <row r="156" spans="1:107" x14ac:dyDescent="0.2">
      <c r="A156">
        <f>ROW(Source!A371)</f>
        <v>371</v>
      </c>
      <c r="B156">
        <v>56440881</v>
      </c>
      <c r="C156">
        <v>56442045</v>
      </c>
      <c r="D156">
        <v>52968769</v>
      </c>
      <c r="E156">
        <v>1</v>
      </c>
      <c r="F156">
        <v>1</v>
      </c>
      <c r="G156">
        <v>25</v>
      </c>
      <c r="H156">
        <v>2</v>
      </c>
      <c r="I156" t="s">
        <v>484</v>
      </c>
      <c r="J156" t="s">
        <v>485</v>
      </c>
      <c r="K156" t="s">
        <v>486</v>
      </c>
      <c r="L156">
        <v>1368</v>
      </c>
      <c r="N156">
        <v>1011</v>
      </c>
      <c r="O156" t="s">
        <v>354</v>
      </c>
      <c r="P156" t="s">
        <v>354</v>
      </c>
      <c r="Q156">
        <v>1</v>
      </c>
      <c r="W156">
        <v>0</v>
      </c>
      <c r="X156">
        <v>-1328421855</v>
      </c>
      <c r="Y156">
        <v>4.9800000000000004</v>
      </c>
      <c r="AA156">
        <v>0</v>
      </c>
      <c r="AB156">
        <v>1447.46</v>
      </c>
      <c r="AC156">
        <v>537.96</v>
      </c>
      <c r="AD156">
        <v>0</v>
      </c>
      <c r="AE156">
        <v>0</v>
      </c>
      <c r="AF156">
        <v>1447.46</v>
      </c>
      <c r="AG156">
        <v>537.96</v>
      </c>
      <c r="AH156">
        <v>0</v>
      </c>
      <c r="AI156">
        <v>1</v>
      </c>
      <c r="AJ156">
        <v>1</v>
      </c>
      <c r="AK156">
        <v>1</v>
      </c>
      <c r="AL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 t="s">
        <v>3</v>
      </c>
      <c r="AT156">
        <v>4.9800000000000004</v>
      </c>
      <c r="AU156" t="s">
        <v>3</v>
      </c>
      <c r="AV156">
        <v>0</v>
      </c>
      <c r="AW156">
        <v>2</v>
      </c>
      <c r="AX156">
        <v>56442050</v>
      </c>
      <c r="AY156">
        <v>1</v>
      </c>
      <c r="AZ156">
        <v>0</v>
      </c>
      <c r="BA156">
        <v>144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Y156*Source!I371</f>
        <v>3.7350000000000003</v>
      </c>
      <c r="CY156">
        <f>AB156</f>
        <v>1447.46</v>
      </c>
      <c r="CZ156">
        <f>AF156</f>
        <v>1447.46</v>
      </c>
      <c r="DA156">
        <f>AJ156</f>
        <v>1</v>
      </c>
      <c r="DB156">
        <f t="shared" si="25"/>
        <v>7208.35</v>
      </c>
      <c r="DC156">
        <f t="shared" si="26"/>
        <v>2679.04</v>
      </c>
    </row>
    <row r="157" spans="1:107" x14ac:dyDescent="0.2">
      <c r="A157">
        <f>ROW(Source!A371)</f>
        <v>371</v>
      </c>
      <c r="B157">
        <v>56440881</v>
      </c>
      <c r="C157">
        <v>56442045</v>
      </c>
      <c r="D157">
        <v>52968792</v>
      </c>
      <c r="E157">
        <v>1</v>
      </c>
      <c r="F157">
        <v>1</v>
      </c>
      <c r="G157">
        <v>25</v>
      </c>
      <c r="H157">
        <v>2</v>
      </c>
      <c r="I157" t="s">
        <v>487</v>
      </c>
      <c r="J157" t="s">
        <v>488</v>
      </c>
      <c r="K157" t="s">
        <v>489</v>
      </c>
      <c r="L157">
        <v>1368</v>
      </c>
      <c r="N157">
        <v>1011</v>
      </c>
      <c r="O157" t="s">
        <v>354</v>
      </c>
      <c r="P157" t="s">
        <v>354</v>
      </c>
      <c r="Q157">
        <v>1</v>
      </c>
      <c r="W157">
        <v>0</v>
      </c>
      <c r="X157">
        <v>1937034001</v>
      </c>
      <c r="Y157">
        <v>1.25</v>
      </c>
      <c r="AA157">
        <v>0</v>
      </c>
      <c r="AB157">
        <v>1035.49</v>
      </c>
      <c r="AC157">
        <v>465.1</v>
      </c>
      <c r="AD157">
        <v>0</v>
      </c>
      <c r="AE157">
        <v>0</v>
      </c>
      <c r="AF157">
        <v>1035.49</v>
      </c>
      <c r="AG157">
        <v>465.1</v>
      </c>
      <c r="AH157">
        <v>0</v>
      </c>
      <c r="AI157">
        <v>1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0</v>
      </c>
      <c r="AQ157">
        <v>0</v>
      </c>
      <c r="AR157">
        <v>0</v>
      </c>
      <c r="AS157" t="s">
        <v>3</v>
      </c>
      <c r="AT157">
        <v>1.25</v>
      </c>
      <c r="AU157" t="s">
        <v>3</v>
      </c>
      <c r="AV157">
        <v>0</v>
      </c>
      <c r="AW157">
        <v>2</v>
      </c>
      <c r="AX157">
        <v>56442051</v>
      </c>
      <c r="AY157">
        <v>1</v>
      </c>
      <c r="AZ157">
        <v>0</v>
      </c>
      <c r="BA157">
        <v>145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Y157*Source!I371</f>
        <v>0.9375</v>
      </c>
      <c r="CY157">
        <f>AB157</f>
        <v>1035.49</v>
      </c>
      <c r="CZ157">
        <f>AF157</f>
        <v>1035.49</v>
      </c>
      <c r="DA157">
        <f>AJ157</f>
        <v>1</v>
      </c>
      <c r="DB157">
        <f t="shared" si="25"/>
        <v>1294.3599999999999</v>
      </c>
      <c r="DC157">
        <f t="shared" si="26"/>
        <v>581.38</v>
      </c>
    </row>
    <row r="158" spans="1:107" x14ac:dyDescent="0.2">
      <c r="A158">
        <f>ROW(Source!A372)</f>
        <v>372</v>
      </c>
      <c r="B158">
        <v>56440881</v>
      </c>
      <c r="C158">
        <v>56442052</v>
      </c>
      <c r="D158">
        <v>52956643</v>
      </c>
      <c r="E158">
        <v>25</v>
      </c>
      <c r="F158">
        <v>1</v>
      </c>
      <c r="G158">
        <v>25</v>
      </c>
      <c r="H158">
        <v>1</v>
      </c>
      <c r="I158" t="s">
        <v>348</v>
      </c>
      <c r="J158" t="s">
        <v>3</v>
      </c>
      <c r="K158" t="s">
        <v>349</v>
      </c>
      <c r="L158">
        <v>1191</v>
      </c>
      <c r="N158">
        <v>1013</v>
      </c>
      <c r="O158" t="s">
        <v>350</v>
      </c>
      <c r="P158" t="s">
        <v>350</v>
      </c>
      <c r="Q158">
        <v>1</v>
      </c>
      <c r="W158">
        <v>0</v>
      </c>
      <c r="X158">
        <v>476480486</v>
      </c>
      <c r="Y158">
        <v>221.6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1</v>
      </c>
      <c r="AL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 t="s">
        <v>3</v>
      </c>
      <c r="AT158">
        <v>221.6</v>
      </c>
      <c r="AU158" t="s">
        <v>3</v>
      </c>
      <c r="AV158">
        <v>1</v>
      </c>
      <c r="AW158">
        <v>2</v>
      </c>
      <c r="AX158">
        <v>56442054</v>
      </c>
      <c r="AY158">
        <v>1</v>
      </c>
      <c r="AZ158">
        <v>0</v>
      </c>
      <c r="BA158">
        <v>146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Y158*Source!I372</f>
        <v>55.4</v>
      </c>
      <c r="CY158">
        <f>AD158</f>
        <v>0</v>
      </c>
      <c r="CZ158">
        <f>AH158</f>
        <v>0</v>
      </c>
      <c r="DA158">
        <f>AL158</f>
        <v>1</v>
      </c>
      <c r="DB158">
        <f t="shared" si="25"/>
        <v>0</v>
      </c>
      <c r="DC158">
        <f t="shared" si="26"/>
        <v>0</v>
      </c>
    </row>
    <row r="159" spans="1:107" x14ac:dyDescent="0.2">
      <c r="A159">
        <f>ROW(Source!A373)</f>
        <v>373</v>
      </c>
      <c r="B159">
        <v>56440881</v>
      </c>
      <c r="C159">
        <v>56473707</v>
      </c>
      <c r="D159">
        <v>52956643</v>
      </c>
      <c r="E159">
        <v>25</v>
      </c>
      <c r="F159">
        <v>1</v>
      </c>
      <c r="G159">
        <v>25</v>
      </c>
      <c r="H159">
        <v>1</v>
      </c>
      <c r="I159" t="s">
        <v>348</v>
      </c>
      <c r="J159" t="s">
        <v>3</v>
      </c>
      <c r="K159" t="s">
        <v>349</v>
      </c>
      <c r="L159">
        <v>1191</v>
      </c>
      <c r="N159">
        <v>1013</v>
      </c>
      <c r="O159" t="s">
        <v>350</v>
      </c>
      <c r="P159" t="s">
        <v>350</v>
      </c>
      <c r="Q159">
        <v>1</v>
      </c>
      <c r="W159">
        <v>0</v>
      </c>
      <c r="X159">
        <v>476480486</v>
      </c>
      <c r="Y159">
        <v>1.59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S159" t="s">
        <v>3</v>
      </c>
      <c r="AT159">
        <v>1.59</v>
      </c>
      <c r="AU159" t="s">
        <v>3</v>
      </c>
      <c r="AV159">
        <v>1</v>
      </c>
      <c r="AW159">
        <v>2</v>
      </c>
      <c r="AX159">
        <v>56473711</v>
      </c>
      <c r="AY159">
        <v>1</v>
      </c>
      <c r="AZ159">
        <v>0</v>
      </c>
      <c r="BA159">
        <v>147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Y159*Source!I373</f>
        <v>0.35775000000000001</v>
      </c>
      <c r="CY159">
        <f>AD159</f>
        <v>0</v>
      </c>
      <c r="CZ159">
        <f>AH159</f>
        <v>0</v>
      </c>
      <c r="DA159">
        <f>AL159</f>
        <v>1</v>
      </c>
      <c r="DB159">
        <f t="shared" si="25"/>
        <v>0</v>
      </c>
      <c r="DC159">
        <f t="shared" si="26"/>
        <v>0</v>
      </c>
    </row>
    <row r="160" spans="1:107" x14ac:dyDescent="0.2">
      <c r="A160">
        <f>ROW(Source!A373)</f>
        <v>373</v>
      </c>
      <c r="B160">
        <v>56440881</v>
      </c>
      <c r="C160">
        <v>56473707</v>
      </c>
      <c r="D160">
        <v>52968769</v>
      </c>
      <c r="E160">
        <v>1</v>
      </c>
      <c r="F160">
        <v>1</v>
      </c>
      <c r="G160">
        <v>25</v>
      </c>
      <c r="H160">
        <v>2</v>
      </c>
      <c r="I160" t="s">
        <v>484</v>
      </c>
      <c r="J160" t="s">
        <v>485</v>
      </c>
      <c r="K160" t="s">
        <v>486</v>
      </c>
      <c r="L160">
        <v>1368</v>
      </c>
      <c r="N160">
        <v>1011</v>
      </c>
      <c r="O160" t="s">
        <v>354</v>
      </c>
      <c r="P160" t="s">
        <v>354</v>
      </c>
      <c r="Q160">
        <v>1</v>
      </c>
      <c r="W160">
        <v>0</v>
      </c>
      <c r="X160">
        <v>-1328421855</v>
      </c>
      <c r="Y160">
        <v>4.9800000000000004</v>
      </c>
      <c r="AA160">
        <v>0</v>
      </c>
      <c r="AB160">
        <v>1447.46</v>
      </c>
      <c r="AC160">
        <v>537.96</v>
      </c>
      <c r="AD160">
        <v>0</v>
      </c>
      <c r="AE160">
        <v>0</v>
      </c>
      <c r="AF160">
        <v>1447.46</v>
      </c>
      <c r="AG160">
        <v>537.96</v>
      </c>
      <c r="AH160">
        <v>0</v>
      </c>
      <c r="AI160">
        <v>1</v>
      </c>
      <c r="AJ160">
        <v>1</v>
      </c>
      <c r="AK160">
        <v>1</v>
      </c>
      <c r="AL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 t="s">
        <v>3</v>
      </c>
      <c r="AT160">
        <v>4.9800000000000004</v>
      </c>
      <c r="AU160" t="s">
        <v>3</v>
      </c>
      <c r="AV160">
        <v>0</v>
      </c>
      <c r="AW160">
        <v>2</v>
      </c>
      <c r="AX160">
        <v>56473712</v>
      </c>
      <c r="AY160">
        <v>1</v>
      </c>
      <c r="AZ160">
        <v>0</v>
      </c>
      <c r="BA160">
        <v>148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Y160*Source!I373</f>
        <v>1.1205000000000001</v>
      </c>
      <c r="CY160">
        <f>AB160</f>
        <v>1447.46</v>
      </c>
      <c r="CZ160">
        <f>AF160</f>
        <v>1447.46</v>
      </c>
      <c r="DA160">
        <f>AJ160</f>
        <v>1</v>
      </c>
      <c r="DB160">
        <f t="shared" si="25"/>
        <v>7208.35</v>
      </c>
      <c r="DC160">
        <f t="shared" si="26"/>
        <v>2679.04</v>
      </c>
    </row>
    <row r="161" spans="1:107" x14ac:dyDescent="0.2">
      <c r="A161">
        <f>ROW(Source!A373)</f>
        <v>373</v>
      </c>
      <c r="B161">
        <v>56440881</v>
      </c>
      <c r="C161">
        <v>56473707</v>
      </c>
      <c r="D161">
        <v>52968792</v>
      </c>
      <c r="E161">
        <v>1</v>
      </c>
      <c r="F161">
        <v>1</v>
      </c>
      <c r="G161">
        <v>25</v>
      </c>
      <c r="H161">
        <v>2</v>
      </c>
      <c r="I161" t="s">
        <v>487</v>
      </c>
      <c r="J161" t="s">
        <v>488</v>
      </c>
      <c r="K161" t="s">
        <v>489</v>
      </c>
      <c r="L161">
        <v>1368</v>
      </c>
      <c r="N161">
        <v>1011</v>
      </c>
      <c r="O161" t="s">
        <v>354</v>
      </c>
      <c r="P161" t="s">
        <v>354</v>
      </c>
      <c r="Q161">
        <v>1</v>
      </c>
      <c r="W161">
        <v>0</v>
      </c>
      <c r="X161">
        <v>1937034001</v>
      </c>
      <c r="Y161">
        <v>1.25</v>
      </c>
      <c r="AA161">
        <v>0</v>
      </c>
      <c r="AB161">
        <v>1035.49</v>
      </c>
      <c r="AC161">
        <v>465.1</v>
      </c>
      <c r="AD161">
        <v>0</v>
      </c>
      <c r="AE161">
        <v>0</v>
      </c>
      <c r="AF161">
        <v>1035.49</v>
      </c>
      <c r="AG161">
        <v>465.1</v>
      </c>
      <c r="AH161">
        <v>0</v>
      </c>
      <c r="AI161">
        <v>1</v>
      </c>
      <c r="AJ161">
        <v>1</v>
      </c>
      <c r="AK161">
        <v>1</v>
      </c>
      <c r="AL161">
        <v>1</v>
      </c>
      <c r="AN161">
        <v>0</v>
      </c>
      <c r="AO161">
        <v>1</v>
      </c>
      <c r="AP161">
        <v>0</v>
      </c>
      <c r="AQ161">
        <v>0</v>
      </c>
      <c r="AR161">
        <v>0</v>
      </c>
      <c r="AS161" t="s">
        <v>3</v>
      </c>
      <c r="AT161">
        <v>1.25</v>
      </c>
      <c r="AU161" t="s">
        <v>3</v>
      </c>
      <c r="AV161">
        <v>0</v>
      </c>
      <c r="AW161">
        <v>2</v>
      </c>
      <c r="AX161">
        <v>56473713</v>
      </c>
      <c r="AY161">
        <v>1</v>
      </c>
      <c r="AZ161">
        <v>0</v>
      </c>
      <c r="BA161">
        <v>149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Y161*Source!I373</f>
        <v>0.28125</v>
      </c>
      <c r="CY161">
        <f>AB161</f>
        <v>1035.49</v>
      </c>
      <c r="CZ161">
        <f>AF161</f>
        <v>1035.49</v>
      </c>
      <c r="DA161">
        <f>AJ161</f>
        <v>1</v>
      </c>
      <c r="DB161">
        <f t="shared" si="25"/>
        <v>1294.3599999999999</v>
      </c>
      <c r="DC161">
        <f t="shared" si="26"/>
        <v>581.38</v>
      </c>
    </row>
    <row r="162" spans="1:107" x14ac:dyDescent="0.2">
      <c r="A162">
        <f>ROW(Source!A374)</f>
        <v>374</v>
      </c>
      <c r="B162">
        <v>56440881</v>
      </c>
      <c r="C162">
        <v>56442055</v>
      </c>
      <c r="D162">
        <v>52956643</v>
      </c>
      <c r="E162">
        <v>25</v>
      </c>
      <c r="F162">
        <v>1</v>
      </c>
      <c r="G162">
        <v>25</v>
      </c>
      <c r="H162">
        <v>1</v>
      </c>
      <c r="I162" t="s">
        <v>348</v>
      </c>
      <c r="J162" t="s">
        <v>3</v>
      </c>
      <c r="K162" t="s">
        <v>349</v>
      </c>
      <c r="L162">
        <v>1191</v>
      </c>
      <c r="N162">
        <v>1013</v>
      </c>
      <c r="O162" t="s">
        <v>350</v>
      </c>
      <c r="P162" t="s">
        <v>350</v>
      </c>
      <c r="Q162">
        <v>1</v>
      </c>
      <c r="W162">
        <v>0</v>
      </c>
      <c r="X162">
        <v>476480486</v>
      </c>
      <c r="Y162">
        <v>83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1</v>
      </c>
      <c r="AN162">
        <v>0</v>
      </c>
      <c r="AO162">
        <v>1</v>
      </c>
      <c r="AP162">
        <v>0</v>
      </c>
      <c r="AQ162">
        <v>0</v>
      </c>
      <c r="AR162">
        <v>0</v>
      </c>
      <c r="AS162" t="s">
        <v>3</v>
      </c>
      <c r="AT162">
        <v>83</v>
      </c>
      <c r="AU162" t="s">
        <v>3</v>
      </c>
      <c r="AV162">
        <v>1</v>
      </c>
      <c r="AW162">
        <v>2</v>
      </c>
      <c r="AX162">
        <v>56442057</v>
      </c>
      <c r="AY162">
        <v>1</v>
      </c>
      <c r="AZ162">
        <v>0</v>
      </c>
      <c r="BA162">
        <v>150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Y162*Source!I374</f>
        <v>2.0750000000000002</v>
      </c>
      <c r="CY162">
        <f>AD162</f>
        <v>0</v>
      </c>
      <c r="CZ162">
        <f>AH162</f>
        <v>0</v>
      </c>
      <c r="DA162">
        <f>AL162</f>
        <v>1</v>
      </c>
      <c r="DB162">
        <f t="shared" si="25"/>
        <v>0</v>
      </c>
      <c r="DC162">
        <f t="shared" si="26"/>
        <v>0</v>
      </c>
    </row>
    <row r="163" spans="1:107" x14ac:dyDescent="0.2">
      <c r="A163">
        <f>ROW(Source!A375)</f>
        <v>375</v>
      </c>
      <c r="B163">
        <v>56440881</v>
      </c>
      <c r="C163">
        <v>56442058</v>
      </c>
      <c r="D163">
        <v>52969563</v>
      </c>
      <c r="E163">
        <v>1</v>
      </c>
      <c r="F163">
        <v>1</v>
      </c>
      <c r="G163">
        <v>25</v>
      </c>
      <c r="H163">
        <v>2</v>
      </c>
      <c r="I163" t="s">
        <v>385</v>
      </c>
      <c r="J163" t="s">
        <v>386</v>
      </c>
      <c r="K163" t="s">
        <v>387</v>
      </c>
      <c r="L163">
        <v>1368</v>
      </c>
      <c r="N163">
        <v>1011</v>
      </c>
      <c r="O163" t="s">
        <v>354</v>
      </c>
      <c r="P163" t="s">
        <v>354</v>
      </c>
      <c r="Q163">
        <v>1</v>
      </c>
      <c r="W163">
        <v>0</v>
      </c>
      <c r="X163">
        <v>2034648272</v>
      </c>
      <c r="Y163">
        <v>3.1E-2</v>
      </c>
      <c r="AA163">
        <v>0</v>
      </c>
      <c r="AB163">
        <v>993.6</v>
      </c>
      <c r="AC163">
        <v>301.8</v>
      </c>
      <c r="AD163">
        <v>0</v>
      </c>
      <c r="AE163">
        <v>0</v>
      </c>
      <c r="AF163">
        <v>993.6</v>
      </c>
      <c r="AG163">
        <v>301.8</v>
      </c>
      <c r="AH163">
        <v>0</v>
      </c>
      <c r="AI163">
        <v>1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 t="s">
        <v>3</v>
      </c>
      <c r="AT163">
        <v>3.1E-2</v>
      </c>
      <c r="AU163" t="s">
        <v>3</v>
      </c>
      <c r="AV163">
        <v>0</v>
      </c>
      <c r="AW163">
        <v>2</v>
      </c>
      <c r="AX163">
        <v>56442060</v>
      </c>
      <c r="AY163">
        <v>1</v>
      </c>
      <c r="AZ163">
        <v>0</v>
      </c>
      <c r="BA163">
        <v>151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Y163*Source!I375</f>
        <v>3.1</v>
      </c>
      <c r="CY163">
        <f>AB163</f>
        <v>993.6</v>
      </c>
      <c r="CZ163">
        <f>AF163</f>
        <v>993.6</v>
      </c>
      <c r="DA163">
        <f>AJ163</f>
        <v>1</v>
      </c>
      <c r="DB163">
        <f t="shared" si="25"/>
        <v>30.8</v>
      </c>
      <c r="DC163">
        <f t="shared" si="26"/>
        <v>9.36</v>
      </c>
    </row>
    <row r="164" spans="1:107" x14ac:dyDescent="0.2">
      <c r="A164">
        <f>ROW(Source!A376)</f>
        <v>376</v>
      </c>
      <c r="B164">
        <v>56440881</v>
      </c>
      <c r="C164">
        <v>56442061</v>
      </c>
      <c r="D164">
        <v>52969563</v>
      </c>
      <c r="E164">
        <v>1</v>
      </c>
      <c r="F164">
        <v>1</v>
      </c>
      <c r="G164">
        <v>25</v>
      </c>
      <c r="H164">
        <v>2</v>
      </c>
      <c r="I164" t="s">
        <v>385</v>
      </c>
      <c r="J164" t="s">
        <v>386</v>
      </c>
      <c r="K164" t="s">
        <v>387</v>
      </c>
      <c r="L164">
        <v>1368</v>
      </c>
      <c r="N164">
        <v>1011</v>
      </c>
      <c r="O164" t="s">
        <v>354</v>
      </c>
      <c r="P164" t="s">
        <v>354</v>
      </c>
      <c r="Q164">
        <v>1</v>
      </c>
      <c r="W164">
        <v>0</v>
      </c>
      <c r="X164">
        <v>2034648272</v>
      </c>
      <c r="Y164">
        <v>0.53</v>
      </c>
      <c r="AA164">
        <v>0</v>
      </c>
      <c r="AB164">
        <v>993.6</v>
      </c>
      <c r="AC164">
        <v>301.8</v>
      </c>
      <c r="AD164">
        <v>0</v>
      </c>
      <c r="AE164">
        <v>0</v>
      </c>
      <c r="AF164">
        <v>993.6</v>
      </c>
      <c r="AG164">
        <v>301.8</v>
      </c>
      <c r="AH164">
        <v>0</v>
      </c>
      <c r="AI164">
        <v>1</v>
      </c>
      <c r="AJ164">
        <v>1</v>
      </c>
      <c r="AK164">
        <v>1</v>
      </c>
      <c r="AL164">
        <v>1</v>
      </c>
      <c r="AN164">
        <v>0</v>
      </c>
      <c r="AO164">
        <v>1</v>
      </c>
      <c r="AP164">
        <v>1</v>
      </c>
      <c r="AQ164">
        <v>0</v>
      </c>
      <c r="AR164">
        <v>0</v>
      </c>
      <c r="AS164" t="s">
        <v>3</v>
      </c>
      <c r="AT164">
        <v>0.01</v>
      </c>
      <c r="AU164" t="s">
        <v>286</v>
      </c>
      <c r="AV164">
        <v>0</v>
      </c>
      <c r="AW164">
        <v>2</v>
      </c>
      <c r="AX164">
        <v>56442063</v>
      </c>
      <c r="AY164">
        <v>1</v>
      </c>
      <c r="AZ164">
        <v>0</v>
      </c>
      <c r="BA164">
        <v>152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Y164*Source!I376</f>
        <v>53</v>
      </c>
      <c r="CY164">
        <f>AB164</f>
        <v>993.6</v>
      </c>
      <c r="CZ164">
        <f>AF164</f>
        <v>993.6</v>
      </c>
      <c r="DA164">
        <f>AJ164</f>
        <v>1</v>
      </c>
      <c r="DB164">
        <f>ROUND((ROUND(AT164*CZ164,2)*53),2)</f>
        <v>526.82000000000005</v>
      </c>
      <c r="DC164">
        <f>ROUND((ROUND(AT164*AG164,2)*53),2)</f>
        <v>160.06</v>
      </c>
    </row>
    <row r="165" spans="1:107" x14ac:dyDescent="0.2">
      <c r="A165">
        <f>ROW(Source!A378)</f>
        <v>378</v>
      </c>
      <c r="B165">
        <v>56440881</v>
      </c>
      <c r="C165">
        <v>56442065</v>
      </c>
      <c r="D165">
        <v>52956643</v>
      </c>
      <c r="E165">
        <v>25</v>
      </c>
      <c r="F165">
        <v>1</v>
      </c>
      <c r="G165">
        <v>25</v>
      </c>
      <c r="H165">
        <v>1</v>
      </c>
      <c r="I165" t="s">
        <v>348</v>
      </c>
      <c r="J165" t="s">
        <v>3</v>
      </c>
      <c r="K165" t="s">
        <v>349</v>
      </c>
      <c r="L165">
        <v>1191</v>
      </c>
      <c r="N165">
        <v>1013</v>
      </c>
      <c r="O165" t="s">
        <v>350</v>
      </c>
      <c r="P165" t="s">
        <v>350</v>
      </c>
      <c r="Q165">
        <v>1</v>
      </c>
      <c r="W165">
        <v>0</v>
      </c>
      <c r="X165">
        <v>476480486</v>
      </c>
      <c r="Y165">
        <v>30.8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1</v>
      </c>
      <c r="AL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 t="s">
        <v>3</v>
      </c>
      <c r="AT165">
        <v>30.8</v>
      </c>
      <c r="AU165" t="s">
        <v>3</v>
      </c>
      <c r="AV165">
        <v>1</v>
      </c>
      <c r="AW165">
        <v>2</v>
      </c>
      <c r="AX165">
        <v>56442070</v>
      </c>
      <c r="AY165">
        <v>1</v>
      </c>
      <c r="AZ165">
        <v>0</v>
      </c>
      <c r="BA165">
        <v>153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Y165*Source!I378</f>
        <v>231</v>
      </c>
      <c r="CY165">
        <f>AD165</f>
        <v>0</v>
      </c>
      <c r="CZ165">
        <f>AH165</f>
        <v>0</v>
      </c>
      <c r="DA165">
        <f>AL165</f>
        <v>1</v>
      </c>
      <c r="DB165">
        <f t="shared" ref="DB165:DB170" si="27">ROUND(ROUND(AT165*CZ165,2),2)</f>
        <v>0</v>
      </c>
      <c r="DC165">
        <f t="shared" ref="DC165:DC170" si="28">ROUND(ROUND(AT165*AG165,2),2)</f>
        <v>0</v>
      </c>
    </row>
    <row r="166" spans="1:107" x14ac:dyDescent="0.2">
      <c r="A166">
        <f>ROW(Source!A378)</f>
        <v>378</v>
      </c>
      <c r="B166">
        <v>56440881</v>
      </c>
      <c r="C166">
        <v>56442065</v>
      </c>
      <c r="D166">
        <v>52969369</v>
      </c>
      <c r="E166">
        <v>1</v>
      </c>
      <c r="F166">
        <v>1</v>
      </c>
      <c r="G166">
        <v>25</v>
      </c>
      <c r="H166">
        <v>2</v>
      </c>
      <c r="I166" t="s">
        <v>490</v>
      </c>
      <c r="J166" t="s">
        <v>491</v>
      </c>
      <c r="K166" t="s">
        <v>492</v>
      </c>
      <c r="L166">
        <v>1368</v>
      </c>
      <c r="N166">
        <v>1011</v>
      </c>
      <c r="O166" t="s">
        <v>354</v>
      </c>
      <c r="P166" t="s">
        <v>354</v>
      </c>
      <c r="Q166">
        <v>1</v>
      </c>
      <c r="W166">
        <v>0</v>
      </c>
      <c r="X166">
        <v>426390659</v>
      </c>
      <c r="Y166">
        <v>0.06</v>
      </c>
      <c r="AA166">
        <v>0</v>
      </c>
      <c r="AB166">
        <v>20.03</v>
      </c>
      <c r="AC166">
        <v>9.27</v>
      </c>
      <c r="AD166">
        <v>0</v>
      </c>
      <c r="AE166">
        <v>0</v>
      </c>
      <c r="AF166">
        <v>20.03</v>
      </c>
      <c r="AG166">
        <v>9.27</v>
      </c>
      <c r="AH166">
        <v>0</v>
      </c>
      <c r="AI166">
        <v>1</v>
      </c>
      <c r="AJ166">
        <v>1</v>
      </c>
      <c r="AK166">
        <v>1</v>
      </c>
      <c r="AL166">
        <v>1</v>
      </c>
      <c r="AN166">
        <v>0</v>
      </c>
      <c r="AO166">
        <v>1</v>
      </c>
      <c r="AP166">
        <v>0</v>
      </c>
      <c r="AQ166">
        <v>0</v>
      </c>
      <c r="AR166">
        <v>0</v>
      </c>
      <c r="AS166" t="s">
        <v>3</v>
      </c>
      <c r="AT166">
        <v>0.06</v>
      </c>
      <c r="AU166" t="s">
        <v>3</v>
      </c>
      <c r="AV166">
        <v>0</v>
      </c>
      <c r="AW166">
        <v>2</v>
      </c>
      <c r="AX166">
        <v>56442071</v>
      </c>
      <c r="AY166">
        <v>1</v>
      </c>
      <c r="AZ166">
        <v>0</v>
      </c>
      <c r="BA166">
        <v>154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Y166*Source!I378</f>
        <v>0.44999999999999996</v>
      </c>
      <c r="CY166">
        <f>AB166</f>
        <v>20.03</v>
      </c>
      <c r="CZ166">
        <f>AF166</f>
        <v>20.03</v>
      </c>
      <c r="DA166">
        <f>AJ166</f>
        <v>1</v>
      </c>
      <c r="DB166">
        <f t="shared" si="27"/>
        <v>1.2</v>
      </c>
      <c r="DC166">
        <f t="shared" si="28"/>
        <v>0.56000000000000005</v>
      </c>
    </row>
    <row r="167" spans="1:107" x14ac:dyDescent="0.2">
      <c r="A167">
        <f>ROW(Source!A378)</f>
        <v>378</v>
      </c>
      <c r="B167">
        <v>56440881</v>
      </c>
      <c r="C167">
        <v>56442065</v>
      </c>
      <c r="D167">
        <v>52968820</v>
      </c>
      <c r="E167">
        <v>1</v>
      </c>
      <c r="F167">
        <v>1</v>
      </c>
      <c r="G167">
        <v>25</v>
      </c>
      <c r="H167">
        <v>2</v>
      </c>
      <c r="I167" t="s">
        <v>493</v>
      </c>
      <c r="J167" t="s">
        <v>494</v>
      </c>
      <c r="K167" t="s">
        <v>495</v>
      </c>
      <c r="L167">
        <v>1368</v>
      </c>
      <c r="N167">
        <v>1011</v>
      </c>
      <c r="O167" t="s">
        <v>354</v>
      </c>
      <c r="P167" t="s">
        <v>354</v>
      </c>
      <c r="Q167">
        <v>1</v>
      </c>
      <c r="W167">
        <v>0</v>
      </c>
      <c r="X167">
        <v>-1558511141</v>
      </c>
      <c r="Y167">
        <v>0.06</v>
      </c>
      <c r="AA167">
        <v>0</v>
      </c>
      <c r="AB167">
        <v>857.8</v>
      </c>
      <c r="AC167">
        <v>417.21</v>
      </c>
      <c r="AD167">
        <v>0</v>
      </c>
      <c r="AE167">
        <v>0</v>
      </c>
      <c r="AF167">
        <v>857.8</v>
      </c>
      <c r="AG167">
        <v>417.21</v>
      </c>
      <c r="AH167">
        <v>0</v>
      </c>
      <c r="AI167">
        <v>1</v>
      </c>
      <c r="AJ167">
        <v>1</v>
      </c>
      <c r="AK167">
        <v>1</v>
      </c>
      <c r="AL167">
        <v>1</v>
      </c>
      <c r="AN167">
        <v>0</v>
      </c>
      <c r="AO167">
        <v>1</v>
      </c>
      <c r="AP167">
        <v>0</v>
      </c>
      <c r="AQ167">
        <v>0</v>
      </c>
      <c r="AR167">
        <v>0</v>
      </c>
      <c r="AS167" t="s">
        <v>3</v>
      </c>
      <c r="AT167">
        <v>0.06</v>
      </c>
      <c r="AU167" t="s">
        <v>3</v>
      </c>
      <c r="AV167">
        <v>0</v>
      </c>
      <c r="AW167">
        <v>2</v>
      </c>
      <c r="AX167">
        <v>56442072</v>
      </c>
      <c r="AY167">
        <v>1</v>
      </c>
      <c r="AZ167">
        <v>0</v>
      </c>
      <c r="BA167">
        <v>155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Y167*Source!I378</f>
        <v>0.44999999999999996</v>
      </c>
      <c r="CY167">
        <f>AB167</f>
        <v>857.8</v>
      </c>
      <c r="CZ167">
        <f>AF167</f>
        <v>857.8</v>
      </c>
      <c r="DA167">
        <f>AJ167</f>
        <v>1</v>
      </c>
      <c r="DB167">
        <f t="shared" si="27"/>
        <v>51.47</v>
      </c>
      <c r="DC167">
        <f t="shared" si="28"/>
        <v>25.03</v>
      </c>
    </row>
    <row r="168" spans="1:107" x14ac:dyDescent="0.2">
      <c r="A168">
        <f>ROW(Source!A378)</f>
        <v>378</v>
      </c>
      <c r="B168">
        <v>56440881</v>
      </c>
      <c r="C168">
        <v>56442065</v>
      </c>
      <c r="D168">
        <v>52973354</v>
      </c>
      <c r="E168">
        <v>1</v>
      </c>
      <c r="F168">
        <v>1</v>
      </c>
      <c r="G168">
        <v>25</v>
      </c>
      <c r="H168">
        <v>3</v>
      </c>
      <c r="I168" t="s">
        <v>496</v>
      </c>
      <c r="J168" t="s">
        <v>497</v>
      </c>
      <c r="K168" t="s">
        <v>498</v>
      </c>
      <c r="L168">
        <v>1339</v>
      </c>
      <c r="N168">
        <v>1007</v>
      </c>
      <c r="O168" t="s">
        <v>26</v>
      </c>
      <c r="P168" t="s">
        <v>26</v>
      </c>
      <c r="Q168">
        <v>1</v>
      </c>
      <c r="W168">
        <v>0</v>
      </c>
      <c r="X168">
        <v>1033672592</v>
      </c>
      <c r="Y168">
        <v>15</v>
      </c>
      <c r="AA168">
        <v>753.67</v>
      </c>
      <c r="AB168">
        <v>0</v>
      </c>
      <c r="AC168">
        <v>0</v>
      </c>
      <c r="AD168">
        <v>0</v>
      </c>
      <c r="AE168">
        <v>753.67</v>
      </c>
      <c r="AF168">
        <v>0</v>
      </c>
      <c r="AG168">
        <v>0</v>
      </c>
      <c r="AH168">
        <v>0</v>
      </c>
      <c r="AI168">
        <v>1</v>
      </c>
      <c r="AJ168">
        <v>1</v>
      </c>
      <c r="AK168">
        <v>1</v>
      </c>
      <c r="AL168">
        <v>1</v>
      </c>
      <c r="AN168">
        <v>0</v>
      </c>
      <c r="AO168">
        <v>1</v>
      </c>
      <c r="AP168">
        <v>0</v>
      </c>
      <c r="AQ168">
        <v>0</v>
      </c>
      <c r="AR168">
        <v>0</v>
      </c>
      <c r="AS168" t="s">
        <v>3</v>
      </c>
      <c r="AT168">
        <v>15</v>
      </c>
      <c r="AU168" t="s">
        <v>3</v>
      </c>
      <c r="AV168">
        <v>0</v>
      </c>
      <c r="AW168">
        <v>2</v>
      </c>
      <c r="AX168">
        <v>56442073</v>
      </c>
      <c r="AY168">
        <v>1</v>
      </c>
      <c r="AZ168">
        <v>0</v>
      </c>
      <c r="BA168">
        <v>156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Y168*Source!I378</f>
        <v>112.5</v>
      </c>
      <c r="CY168">
        <f>AA168</f>
        <v>753.67</v>
      </c>
      <c r="CZ168">
        <f>AE168</f>
        <v>753.67</v>
      </c>
      <c r="DA168">
        <f>AI168</f>
        <v>1</v>
      </c>
      <c r="DB168">
        <f t="shared" si="27"/>
        <v>11305.05</v>
      </c>
      <c r="DC168">
        <f t="shared" si="28"/>
        <v>0</v>
      </c>
    </row>
    <row r="169" spans="1:107" x14ac:dyDescent="0.2">
      <c r="A169">
        <f>ROW(Source!A379)</f>
        <v>379</v>
      </c>
      <c r="B169">
        <v>56440881</v>
      </c>
      <c r="C169">
        <v>56442074</v>
      </c>
      <c r="D169">
        <v>52956643</v>
      </c>
      <c r="E169">
        <v>25</v>
      </c>
      <c r="F169">
        <v>1</v>
      </c>
      <c r="G169">
        <v>25</v>
      </c>
      <c r="H169">
        <v>1</v>
      </c>
      <c r="I169" t="s">
        <v>348</v>
      </c>
      <c r="J169" t="s">
        <v>3</v>
      </c>
      <c r="K169" t="s">
        <v>349</v>
      </c>
      <c r="L169">
        <v>1191</v>
      </c>
      <c r="N169">
        <v>1013</v>
      </c>
      <c r="O169" t="s">
        <v>350</v>
      </c>
      <c r="P169" t="s">
        <v>350</v>
      </c>
      <c r="Q169">
        <v>1</v>
      </c>
      <c r="W169">
        <v>0</v>
      </c>
      <c r="X169">
        <v>476480486</v>
      </c>
      <c r="Y169">
        <v>46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 t="s">
        <v>3</v>
      </c>
      <c r="AT169">
        <v>46</v>
      </c>
      <c r="AU169" t="s">
        <v>3</v>
      </c>
      <c r="AV169">
        <v>1</v>
      </c>
      <c r="AW169">
        <v>2</v>
      </c>
      <c r="AX169">
        <v>56442077</v>
      </c>
      <c r="AY169">
        <v>1</v>
      </c>
      <c r="AZ169">
        <v>0</v>
      </c>
      <c r="BA169">
        <v>157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Y169*Source!I379</f>
        <v>115</v>
      </c>
      <c r="CY169">
        <f>AD169</f>
        <v>0</v>
      </c>
      <c r="CZ169">
        <f>AH169</f>
        <v>0</v>
      </c>
      <c r="DA169">
        <f>AL169</f>
        <v>1</v>
      </c>
      <c r="DB169">
        <f t="shared" si="27"/>
        <v>0</v>
      </c>
      <c r="DC169">
        <f t="shared" si="28"/>
        <v>0</v>
      </c>
    </row>
    <row r="170" spans="1:107" x14ac:dyDescent="0.2">
      <c r="A170">
        <f>ROW(Source!A379)</f>
        <v>379</v>
      </c>
      <c r="B170">
        <v>56440881</v>
      </c>
      <c r="C170">
        <v>56442074</v>
      </c>
      <c r="D170">
        <v>52973354</v>
      </c>
      <c r="E170">
        <v>1</v>
      </c>
      <c r="F170">
        <v>1</v>
      </c>
      <c r="G170">
        <v>25</v>
      </c>
      <c r="H170">
        <v>3</v>
      </c>
      <c r="I170" t="s">
        <v>496</v>
      </c>
      <c r="J170" t="s">
        <v>497</v>
      </c>
      <c r="K170" t="s">
        <v>498</v>
      </c>
      <c r="L170">
        <v>1339</v>
      </c>
      <c r="N170">
        <v>1007</v>
      </c>
      <c r="O170" t="s">
        <v>26</v>
      </c>
      <c r="P170" t="s">
        <v>26</v>
      </c>
      <c r="Q170">
        <v>1</v>
      </c>
      <c r="W170">
        <v>0</v>
      </c>
      <c r="X170">
        <v>1033672592</v>
      </c>
      <c r="Y170">
        <v>15</v>
      </c>
      <c r="AA170">
        <v>753.67</v>
      </c>
      <c r="AB170">
        <v>0</v>
      </c>
      <c r="AC170">
        <v>0</v>
      </c>
      <c r="AD170">
        <v>0</v>
      </c>
      <c r="AE170">
        <v>753.67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 t="s">
        <v>3</v>
      </c>
      <c r="AT170">
        <v>15</v>
      </c>
      <c r="AU170" t="s">
        <v>3</v>
      </c>
      <c r="AV170">
        <v>0</v>
      </c>
      <c r="AW170">
        <v>2</v>
      </c>
      <c r="AX170">
        <v>56442078</v>
      </c>
      <c r="AY170">
        <v>1</v>
      </c>
      <c r="AZ170">
        <v>0</v>
      </c>
      <c r="BA170">
        <v>158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Y170*Source!I379</f>
        <v>37.5</v>
      </c>
      <c r="CY170">
        <f>AA170</f>
        <v>753.67</v>
      </c>
      <c r="CZ170">
        <f>AE170</f>
        <v>753.67</v>
      </c>
      <c r="DA170">
        <f>AI170</f>
        <v>1</v>
      </c>
      <c r="DB170">
        <f t="shared" si="27"/>
        <v>11305.05</v>
      </c>
      <c r="DC170">
        <f t="shared" si="28"/>
        <v>0</v>
      </c>
    </row>
    <row r="171" spans="1:107" x14ac:dyDescent="0.2">
      <c r="A171">
        <f>ROW(Source!A380)</f>
        <v>380</v>
      </c>
      <c r="B171">
        <v>56440881</v>
      </c>
      <c r="C171">
        <v>56442079</v>
      </c>
      <c r="D171">
        <v>52956643</v>
      </c>
      <c r="E171">
        <v>25</v>
      </c>
      <c r="F171">
        <v>1</v>
      </c>
      <c r="G171">
        <v>25</v>
      </c>
      <c r="H171">
        <v>1</v>
      </c>
      <c r="I171" t="s">
        <v>348</v>
      </c>
      <c r="J171" t="s">
        <v>3</v>
      </c>
      <c r="K171" t="s">
        <v>349</v>
      </c>
      <c r="L171">
        <v>1191</v>
      </c>
      <c r="N171">
        <v>1013</v>
      </c>
      <c r="O171" t="s">
        <v>350</v>
      </c>
      <c r="P171" t="s">
        <v>350</v>
      </c>
      <c r="Q171">
        <v>1</v>
      </c>
      <c r="W171">
        <v>0</v>
      </c>
      <c r="X171">
        <v>476480486</v>
      </c>
      <c r="Y171">
        <v>-6.29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1</v>
      </c>
      <c r="AN171">
        <v>0</v>
      </c>
      <c r="AO171">
        <v>1</v>
      </c>
      <c r="AP171">
        <v>1</v>
      </c>
      <c r="AQ171">
        <v>0</v>
      </c>
      <c r="AR171">
        <v>0</v>
      </c>
      <c r="AS171" t="s">
        <v>3</v>
      </c>
      <c r="AT171">
        <v>6.29</v>
      </c>
      <c r="AU171" t="s">
        <v>303</v>
      </c>
      <c r="AV171">
        <v>1</v>
      </c>
      <c r="AW171">
        <v>2</v>
      </c>
      <c r="AX171">
        <v>56442082</v>
      </c>
      <c r="AY171">
        <v>1</v>
      </c>
      <c r="AZ171">
        <v>0</v>
      </c>
      <c r="BA171">
        <v>159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Y171*Source!I380</f>
        <v>-62.9</v>
      </c>
      <c r="CY171">
        <f>AD171</f>
        <v>0</v>
      </c>
      <c r="CZ171">
        <f>AH171</f>
        <v>0</v>
      </c>
      <c r="DA171">
        <f>AL171</f>
        <v>1</v>
      </c>
      <c r="DB171">
        <f>ROUND((ROUND(AT171*CZ171,2)*-1),2)</f>
        <v>0</v>
      </c>
      <c r="DC171">
        <f>ROUND((ROUND(AT171*AG171,2)*-1),2)</f>
        <v>0</v>
      </c>
    </row>
    <row r="172" spans="1:107" x14ac:dyDescent="0.2">
      <c r="A172">
        <f>ROW(Source!A380)</f>
        <v>380</v>
      </c>
      <c r="B172">
        <v>56440881</v>
      </c>
      <c r="C172">
        <v>56442079</v>
      </c>
      <c r="D172">
        <v>52973354</v>
      </c>
      <c r="E172">
        <v>1</v>
      </c>
      <c r="F172">
        <v>1</v>
      </c>
      <c r="G172">
        <v>25</v>
      </c>
      <c r="H172">
        <v>3</v>
      </c>
      <c r="I172" t="s">
        <v>496</v>
      </c>
      <c r="J172" t="s">
        <v>497</v>
      </c>
      <c r="K172" t="s">
        <v>498</v>
      </c>
      <c r="L172">
        <v>1339</v>
      </c>
      <c r="N172">
        <v>1007</v>
      </c>
      <c r="O172" t="s">
        <v>26</v>
      </c>
      <c r="P172" t="s">
        <v>26</v>
      </c>
      <c r="Q172">
        <v>1</v>
      </c>
      <c r="W172">
        <v>0</v>
      </c>
      <c r="X172">
        <v>1033672592</v>
      </c>
      <c r="Y172">
        <v>-5</v>
      </c>
      <c r="AA172">
        <v>753.67</v>
      </c>
      <c r="AB172">
        <v>0</v>
      </c>
      <c r="AC172">
        <v>0</v>
      </c>
      <c r="AD172">
        <v>0</v>
      </c>
      <c r="AE172">
        <v>753.67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1</v>
      </c>
      <c r="AL172">
        <v>1</v>
      </c>
      <c r="AN172">
        <v>0</v>
      </c>
      <c r="AO172">
        <v>1</v>
      </c>
      <c r="AP172">
        <v>1</v>
      </c>
      <c r="AQ172">
        <v>0</v>
      </c>
      <c r="AR172">
        <v>0</v>
      </c>
      <c r="AS172" t="s">
        <v>3</v>
      </c>
      <c r="AT172">
        <v>5</v>
      </c>
      <c r="AU172" t="s">
        <v>303</v>
      </c>
      <c r="AV172">
        <v>0</v>
      </c>
      <c r="AW172">
        <v>2</v>
      </c>
      <c r="AX172">
        <v>56442083</v>
      </c>
      <c r="AY172">
        <v>1</v>
      </c>
      <c r="AZ172">
        <v>0</v>
      </c>
      <c r="BA172">
        <v>160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Y172*Source!I380</f>
        <v>-50</v>
      </c>
      <c r="CY172">
        <f>AA172</f>
        <v>753.67</v>
      </c>
      <c r="CZ172">
        <f>AE172</f>
        <v>753.67</v>
      </c>
      <c r="DA172">
        <f>AI172</f>
        <v>1</v>
      </c>
      <c r="DB172">
        <f>ROUND((ROUND(AT172*CZ172,2)*-1),2)</f>
        <v>-3768.35</v>
      </c>
      <c r="DC172">
        <f>ROUND((ROUND(AT172*AG172,2)*-1),2)</f>
        <v>0</v>
      </c>
    </row>
    <row r="173" spans="1:107" x14ac:dyDescent="0.2">
      <c r="A173">
        <f>ROW(Source!A381)</f>
        <v>381</v>
      </c>
      <c r="B173">
        <v>56440881</v>
      </c>
      <c r="C173">
        <v>56442084</v>
      </c>
      <c r="D173">
        <v>52956643</v>
      </c>
      <c r="E173">
        <v>25</v>
      </c>
      <c r="F173">
        <v>1</v>
      </c>
      <c r="G173">
        <v>25</v>
      </c>
      <c r="H173">
        <v>1</v>
      </c>
      <c r="I173" t="s">
        <v>348</v>
      </c>
      <c r="J173" t="s">
        <v>3</v>
      </c>
      <c r="K173" t="s">
        <v>349</v>
      </c>
      <c r="L173">
        <v>1191</v>
      </c>
      <c r="N173">
        <v>1013</v>
      </c>
      <c r="O173" t="s">
        <v>350</v>
      </c>
      <c r="P173" t="s">
        <v>350</v>
      </c>
      <c r="Q173">
        <v>1</v>
      </c>
      <c r="W173">
        <v>0</v>
      </c>
      <c r="X173">
        <v>476480486</v>
      </c>
      <c r="Y173">
        <v>13.42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N173">
        <v>0</v>
      </c>
      <c r="AO173">
        <v>1</v>
      </c>
      <c r="AP173">
        <v>0</v>
      </c>
      <c r="AQ173">
        <v>0</v>
      </c>
      <c r="AR173">
        <v>0</v>
      </c>
      <c r="AS173" t="s">
        <v>3</v>
      </c>
      <c r="AT173">
        <v>13.42</v>
      </c>
      <c r="AU173" t="s">
        <v>3</v>
      </c>
      <c r="AV173">
        <v>1</v>
      </c>
      <c r="AW173">
        <v>2</v>
      </c>
      <c r="AX173">
        <v>56442088</v>
      </c>
      <c r="AY173">
        <v>1</v>
      </c>
      <c r="AZ173">
        <v>0</v>
      </c>
      <c r="BA173">
        <v>161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Y173*Source!I381</f>
        <v>134.19999999999999</v>
      </c>
      <c r="CY173">
        <f>AD173</f>
        <v>0</v>
      </c>
      <c r="CZ173">
        <f>AH173</f>
        <v>0</v>
      </c>
      <c r="DA173">
        <f>AL173</f>
        <v>1</v>
      </c>
      <c r="DB173">
        <f t="shared" ref="DB173:DB204" si="29">ROUND(ROUND(AT173*CZ173,2),2)</f>
        <v>0</v>
      </c>
      <c r="DC173">
        <f t="shared" ref="DC173:DC204" si="30">ROUND(ROUND(AT173*AG173,2),2)</f>
        <v>0</v>
      </c>
    </row>
    <row r="174" spans="1:107" x14ac:dyDescent="0.2">
      <c r="A174">
        <f>ROW(Source!A381)</f>
        <v>381</v>
      </c>
      <c r="B174">
        <v>56440881</v>
      </c>
      <c r="C174">
        <v>56442084</v>
      </c>
      <c r="D174">
        <v>52970341</v>
      </c>
      <c r="E174">
        <v>1</v>
      </c>
      <c r="F174">
        <v>1</v>
      </c>
      <c r="G174">
        <v>25</v>
      </c>
      <c r="H174">
        <v>3</v>
      </c>
      <c r="I174" t="s">
        <v>499</v>
      </c>
      <c r="J174" t="s">
        <v>500</v>
      </c>
      <c r="K174" t="s">
        <v>501</v>
      </c>
      <c r="L174">
        <v>1339</v>
      </c>
      <c r="N174">
        <v>1007</v>
      </c>
      <c r="O174" t="s">
        <v>26</v>
      </c>
      <c r="P174" t="s">
        <v>26</v>
      </c>
      <c r="Q174">
        <v>1</v>
      </c>
      <c r="W174">
        <v>0</v>
      </c>
      <c r="X174">
        <v>1025671928</v>
      </c>
      <c r="Y174">
        <v>1.4E-2</v>
      </c>
      <c r="AA174">
        <v>7084.08</v>
      </c>
      <c r="AB174">
        <v>0</v>
      </c>
      <c r="AC174">
        <v>0</v>
      </c>
      <c r="AD174">
        <v>0</v>
      </c>
      <c r="AE174">
        <v>7084.08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1</v>
      </c>
      <c r="AL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S174" t="s">
        <v>3</v>
      </c>
      <c r="AT174">
        <v>1.4E-2</v>
      </c>
      <c r="AU174" t="s">
        <v>3</v>
      </c>
      <c r="AV174">
        <v>0</v>
      </c>
      <c r="AW174">
        <v>2</v>
      </c>
      <c r="AX174">
        <v>56442089</v>
      </c>
      <c r="AY174">
        <v>1</v>
      </c>
      <c r="AZ174">
        <v>0</v>
      </c>
      <c r="BA174">
        <v>162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Y174*Source!I381</f>
        <v>0.14000000000000001</v>
      </c>
      <c r="CY174">
        <f>AA174</f>
        <v>7084.08</v>
      </c>
      <c r="CZ174">
        <f>AE174</f>
        <v>7084.08</v>
      </c>
      <c r="DA174">
        <f>AI174</f>
        <v>1</v>
      </c>
      <c r="DB174">
        <f t="shared" si="29"/>
        <v>99.18</v>
      </c>
      <c r="DC174">
        <f t="shared" si="30"/>
        <v>0</v>
      </c>
    </row>
    <row r="175" spans="1:107" x14ac:dyDescent="0.2">
      <c r="A175">
        <f>ROW(Source!A381)</f>
        <v>381</v>
      </c>
      <c r="B175">
        <v>56440881</v>
      </c>
      <c r="C175">
        <v>56442084</v>
      </c>
      <c r="D175">
        <v>52973352</v>
      </c>
      <c r="E175">
        <v>1</v>
      </c>
      <c r="F175">
        <v>1</v>
      </c>
      <c r="G175">
        <v>25</v>
      </c>
      <c r="H175">
        <v>3</v>
      </c>
      <c r="I175" t="s">
        <v>502</v>
      </c>
      <c r="J175" t="s">
        <v>503</v>
      </c>
      <c r="K175" t="s">
        <v>504</v>
      </c>
      <c r="L175">
        <v>1327</v>
      </c>
      <c r="N175">
        <v>1005</v>
      </c>
      <c r="O175" t="s">
        <v>157</v>
      </c>
      <c r="P175" t="s">
        <v>157</v>
      </c>
      <c r="Q175">
        <v>1</v>
      </c>
      <c r="W175">
        <v>0</v>
      </c>
      <c r="X175">
        <v>955385843</v>
      </c>
      <c r="Y175">
        <v>107</v>
      </c>
      <c r="AA175">
        <v>131.28</v>
      </c>
      <c r="AB175">
        <v>0</v>
      </c>
      <c r="AC175">
        <v>0</v>
      </c>
      <c r="AD175">
        <v>0</v>
      </c>
      <c r="AE175">
        <v>131.28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1</v>
      </c>
      <c r="AL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 t="s">
        <v>3</v>
      </c>
      <c r="AT175">
        <v>107</v>
      </c>
      <c r="AU175" t="s">
        <v>3</v>
      </c>
      <c r="AV175">
        <v>0</v>
      </c>
      <c r="AW175">
        <v>2</v>
      </c>
      <c r="AX175">
        <v>56442090</v>
      </c>
      <c r="AY175">
        <v>1</v>
      </c>
      <c r="AZ175">
        <v>0</v>
      </c>
      <c r="BA175">
        <v>163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Y175*Source!I381</f>
        <v>1070</v>
      </c>
      <c r="CY175">
        <f>AA175</f>
        <v>131.28</v>
      </c>
      <c r="CZ175">
        <f>AE175</f>
        <v>131.28</v>
      </c>
      <c r="DA175">
        <f>AI175</f>
        <v>1</v>
      </c>
      <c r="DB175">
        <f t="shared" si="29"/>
        <v>14046.96</v>
      </c>
      <c r="DC175">
        <f t="shared" si="30"/>
        <v>0</v>
      </c>
    </row>
    <row r="176" spans="1:107" x14ac:dyDescent="0.2">
      <c r="A176">
        <f>ROW(Source!A417)</f>
        <v>417</v>
      </c>
      <c r="B176">
        <v>56440881</v>
      </c>
      <c r="C176">
        <v>56442098</v>
      </c>
      <c r="D176">
        <v>52956643</v>
      </c>
      <c r="E176">
        <v>25</v>
      </c>
      <c r="F176">
        <v>1</v>
      </c>
      <c r="G176">
        <v>25</v>
      </c>
      <c r="H176">
        <v>1</v>
      </c>
      <c r="I176" t="s">
        <v>348</v>
      </c>
      <c r="J176" t="s">
        <v>3</v>
      </c>
      <c r="K176" t="s">
        <v>349</v>
      </c>
      <c r="L176">
        <v>1191</v>
      </c>
      <c r="N176">
        <v>1013</v>
      </c>
      <c r="O176" t="s">
        <v>350</v>
      </c>
      <c r="P176" t="s">
        <v>350</v>
      </c>
      <c r="Q176">
        <v>1</v>
      </c>
      <c r="W176">
        <v>0</v>
      </c>
      <c r="X176">
        <v>476480486</v>
      </c>
      <c r="Y176">
        <v>31.86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1</v>
      </c>
      <c r="AK176">
        <v>1</v>
      </c>
      <c r="AL176">
        <v>1</v>
      </c>
      <c r="AN176">
        <v>0</v>
      </c>
      <c r="AO176">
        <v>1</v>
      </c>
      <c r="AP176">
        <v>0</v>
      </c>
      <c r="AQ176">
        <v>0</v>
      </c>
      <c r="AR176">
        <v>0</v>
      </c>
      <c r="AS176" t="s">
        <v>3</v>
      </c>
      <c r="AT176">
        <v>31.86</v>
      </c>
      <c r="AU176" t="s">
        <v>3</v>
      </c>
      <c r="AV176">
        <v>1</v>
      </c>
      <c r="AW176">
        <v>2</v>
      </c>
      <c r="AX176">
        <v>56442104</v>
      </c>
      <c r="AY176">
        <v>1</v>
      </c>
      <c r="AZ176">
        <v>0</v>
      </c>
      <c r="BA176">
        <v>164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Y176*Source!I417</f>
        <v>0</v>
      </c>
      <c r="CY176">
        <f>AD176</f>
        <v>0</v>
      </c>
      <c r="CZ176">
        <f>AH176</f>
        <v>0</v>
      </c>
      <c r="DA176">
        <f>AL176</f>
        <v>1</v>
      </c>
      <c r="DB176">
        <f t="shared" si="29"/>
        <v>0</v>
      </c>
      <c r="DC176">
        <f t="shared" si="30"/>
        <v>0</v>
      </c>
    </row>
    <row r="177" spans="1:107" x14ac:dyDescent="0.2">
      <c r="A177">
        <f>ROW(Source!A417)</f>
        <v>417</v>
      </c>
      <c r="B177">
        <v>56440881</v>
      </c>
      <c r="C177">
        <v>56442098</v>
      </c>
      <c r="D177">
        <v>52968792</v>
      </c>
      <c r="E177">
        <v>1</v>
      </c>
      <c r="F177">
        <v>1</v>
      </c>
      <c r="G177">
        <v>25</v>
      </c>
      <c r="H177">
        <v>2</v>
      </c>
      <c r="I177" t="s">
        <v>487</v>
      </c>
      <c r="J177" t="s">
        <v>488</v>
      </c>
      <c r="K177" t="s">
        <v>489</v>
      </c>
      <c r="L177">
        <v>1368</v>
      </c>
      <c r="N177">
        <v>1011</v>
      </c>
      <c r="O177" t="s">
        <v>354</v>
      </c>
      <c r="P177" t="s">
        <v>354</v>
      </c>
      <c r="Q177">
        <v>1</v>
      </c>
      <c r="W177">
        <v>0</v>
      </c>
      <c r="X177">
        <v>1937034001</v>
      </c>
      <c r="Y177">
        <v>3.15</v>
      </c>
      <c r="AA177">
        <v>0</v>
      </c>
      <c r="AB177">
        <v>1035.49</v>
      </c>
      <c r="AC177">
        <v>465.1</v>
      </c>
      <c r="AD177">
        <v>0</v>
      </c>
      <c r="AE177">
        <v>0</v>
      </c>
      <c r="AF177">
        <v>1035.49</v>
      </c>
      <c r="AG177">
        <v>465.1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1</v>
      </c>
      <c r="AP177">
        <v>0</v>
      </c>
      <c r="AQ177">
        <v>0</v>
      </c>
      <c r="AR177">
        <v>0</v>
      </c>
      <c r="AS177" t="s">
        <v>3</v>
      </c>
      <c r="AT177">
        <v>3.15</v>
      </c>
      <c r="AU177" t="s">
        <v>3</v>
      </c>
      <c r="AV177">
        <v>0</v>
      </c>
      <c r="AW177">
        <v>2</v>
      </c>
      <c r="AX177">
        <v>56442105</v>
      </c>
      <c r="AY177">
        <v>1</v>
      </c>
      <c r="AZ177">
        <v>0</v>
      </c>
      <c r="BA177">
        <v>165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Y177*Source!I417</f>
        <v>0</v>
      </c>
      <c r="CY177">
        <f>AB177</f>
        <v>1035.49</v>
      </c>
      <c r="CZ177">
        <f>AF177</f>
        <v>1035.49</v>
      </c>
      <c r="DA177">
        <f>AJ177</f>
        <v>1</v>
      </c>
      <c r="DB177">
        <f t="shared" si="29"/>
        <v>3261.79</v>
      </c>
      <c r="DC177">
        <f t="shared" si="30"/>
        <v>1465.07</v>
      </c>
    </row>
    <row r="178" spans="1:107" x14ac:dyDescent="0.2">
      <c r="A178">
        <f>ROW(Source!A417)</f>
        <v>417</v>
      </c>
      <c r="B178">
        <v>56440881</v>
      </c>
      <c r="C178">
        <v>56442098</v>
      </c>
      <c r="D178">
        <v>52968962</v>
      </c>
      <c r="E178">
        <v>1</v>
      </c>
      <c r="F178">
        <v>1</v>
      </c>
      <c r="G178">
        <v>25</v>
      </c>
      <c r="H178">
        <v>2</v>
      </c>
      <c r="I178" t="s">
        <v>445</v>
      </c>
      <c r="J178" t="s">
        <v>446</v>
      </c>
      <c r="K178" t="s">
        <v>447</v>
      </c>
      <c r="L178">
        <v>1368</v>
      </c>
      <c r="N178">
        <v>1011</v>
      </c>
      <c r="O178" t="s">
        <v>354</v>
      </c>
      <c r="P178" t="s">
        <v>354</v>
      </c>
      <c r="Q178">
        <v>1</v>
      </c>
      <c r="W178">
        <v>0</v>
      </c>
      <c r="X178">
        <v>-421159572</v>
      </c>
      <c r="Y178">
        <v>1.28</v>
      </c>
      <c r="AA178">
        <v>0</v>
      </c>
      <c r="AB178">
        <v>1179.56</v>
      </c>
      <c r="AC178">
        <v>439.28</v>
      </c>
      <c r="AD178">
        <v>0</v>
      </c>
      <c r="AE178">
        <v>0</v>
      </c>
      <c r="AF178">
        <v>1179.56</v>
      </c>
      <c r="AG178">
        <v>439.28</v>
      </c>
      <c r="AH178">
        <v>0</v>
      </c>
      <c r="AI178">
        <v>1</v>
      </c>
      <c r="AJ178">
        <v>1</v>
      </c>
      <c r="AK178">
        <v>1</v>
      </c>
      <c r="AL178">
        <v>1</v>
      </c>
      <c r="AN178">
        <v>0</v>
      </c>
      <c r="AO178">
        <v>1</v>
      </c>
      <c r="AP178">
        <v>0</v>
      </c>
      <c r="AQ178">
        <v>0</v>
      </c>
      <c r="AR178">
        <v>0</v>
      </c>
      <c r="AS178" t="s">
        <v>3</v>
      </c>
      <c r="AT178">
        <v>1.28</v>
      </c>
      <c r="AU178" t="s">
        <v>3</v>
      </c>
      <c r="AV178">
        <v>0</v>
      </c>
      <c r="AW178">
        <v>2</v>
      </c>
      <c r="AX178">
        <v>56442106</v>
      </c>
      <c r="AY178">
        <v>1</v>
      </c>
      <c r="AZ178">
        <v>0</v>
      </c>
      <c r="BA178">
        <v>166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Y178*Source!I417</f>
        <v>0</v>
      </c>
      <c r="CY178">
        <f>AB178</f>
        <v>1179.56</v>
      </c>
      <c r="CZ178">
        <f>AF178</f>
        <v>1179.56</v>
      </c>
      <c r="DA178">
        <f>AJ178</f>
        <v>1</v>
      </c>
      <c r="DB178">
        <f t="shared" si="29"/>
        <v>1509.84</v>
      </c>
      <c r="DC178">
        <f t="shared" si="30"/>
        <v>562.28</v>
      </c>
    </row>
    <row r="179" spans="1:107" x14ac:dyDescent="0.2">
      <c r="A179">
        <f>ROW(Source!A417)</f>
        <v>417</v>
      </c>
      <c r="B179">
        <v>56440881</v>
      </c>
      <c r="C179">
        <v>56442098</v>
      </c>
      <c r="D179">
        <v>52970770</v>
      </c>
      <c r="E179">
        <v>1</v>
      </c>
      <c r="F179">
        <v>1</v>
      </c>
      <c r="G179">
        <v>25</v>
      </c>
      <c r="H179">
        <v>3</v>
      </c>
      <c r="I179" t="s">
        <v>505</v>
      </c>
      <c r="J179" t="s">
        <v>506</v>
      </c>
      <c r="K179" t="s">
        <v>507</v>
      </c>
      <c r="L179">
        <v>1348</v>
      </c>
      <c r="N179">
        <v>1009</v>
      </c>
      <c r="O179" t="s">
        <v>44</v>
      </c>
      <c r="P179" t="s">
        <v>44</v>
      </c>
      <c r="Q179">
        <v>1000</v>
      </c>
      <c r="W179">
        <v>0</v>
      </c>
      <c r="X179">
        <v>-419735820</v>
      </c>
      <c r="Y179">
        <v>1.2999999999999999E-4</v>
      </c>
      <c r="AA179">
        <v>43768.57</v>
      </c>
      <c r="AB179">
        <v>0</v>
      </c>
      <c r="AC179">
        <v>0</v>
      </c>
      <c r="AD179">
        <v>0</v>
      </c>
      <c r="AE179">
        <v>43768.57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1</v>
      </c>
      <c r="AL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 t="s">
        <v>3</v>
      </c>
      <c r="AT179">
        <v>1.2999999999999999E-4</v>
      </c>
      <c r="AU179" t="s">
        <v>3</v>
      </c>
      <c r="AV179">
        <v>0</v>
      </c>
      <c r="AW179">
        <v>2</v>
      </c>
      <c r="AX179">
        <v>56442107</v>
      </c>
      <c r="AY179">
        <v>1</v>
      </c>
      <c r="AZ179">
        <v>0</v>
      </c>
      <c r="BA179">
        <v>167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Y179*Source!I417</f>
        <v>0</v>
      </c>
      <c r="CY179">
        <f>AA179</f>
        <v>43768.57</v>
      </c>
      <c r="CZ179">
        <f>AE179</f>
        <v>43768.57</v>
      </c>
      <c r="DA179">
        <f>AI179</f>
        <v>1</v>
      </c>
      <c r="DB179">
        <f t="shared" si="29"/>
        <v>5.69</v>
      </c>
      <c r="DC179">
        <f t="shared" si="30"/>
        <v>0</v>
      </c>
    </row>
    <row r="180" spans="1:107" x14ac:dyDescent="0.2">
      <c r="A180">
        <f>ROW(Source!A417)</f>
        <v>417</v>
      </c>
      <c r="B180">
        <v>56440881</v>
      </c>
      <c r="C180">
        <v>56442098</v>
      </c>
      <c r="D180">
        <v>52972086</v>
      </c>
      <c r="E180">
        <v>1</v>
      </c>
      <c r="F180">
        <v>1</v>
      </c>
      <c r="G180">
        <v>25</v>
      </c>
      <c r="H180">
        <v>3</v>
      </c>
      <c r="I180" t="s">
        <v>314</v>
      </c>
      <c r="J180" t="s">
        <v>316</v>
      </c>
      <c r="K180" t="s">
        <v>315</v>
      </c>
      <c r="L180">
        <v>1327</v>
      </c>
      <c r="N180">
        <v>1005</v>
      </c>
      <c r="O180" t="s">
        <v>157</v>
      </c>
      <c r="P180" t="s">
        <v>157</v>
      </c>
      <c r="Q180">
        <v>1</v>
      </c>
      <c r="W180">
        <v>0</v>
      </c>
      <c r="X180">
        <v>1538991037</v>
      </c>
      <c r="Y180">
        <v>1100</v>
      </c>
      <c r="AA180">
        <v>59.26</v>
      </c>
      <c r="AB180">
        <v>0</v>
      </c>
      <c r="AC180">
        <v>0</v>
      </c>
      <c r="AD180">
        <v>0</v>
      </c>
      <c r="AE180">
        <v>59.26</v>
      </c>
      <c r="AF180">
        <v>0</v>
      </c>
      <c r="AG180">
        <v>0</v>
      </c>
      <c r="AH180">
        <v>0</v>
      </c>
      <c r="AI180">
        <v>1</v>
      </c>
      <c r="AJ180">
        <v>1</v>
      </c>
      <c r="AK180">
        <v>1</v>
      </c>
      <c r="AL180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 t="s">
        <v>3</v>
      </c>
      <c r="AT180">
        <v>1100</v>
      </c>
      <c r="AU180" t="s">
        <v>3</v>
      </c>
      <c r="AV180">
        <v>0</v>
      </c>
      <c r="AW180">
        <v>1</v>
      </c>
      <c r="AX180">
        <v>-1</v>
      </c>
      <c r="AY180">
        <v>0</v>
      </c>
      <c r="AZ180">
        <v>0</v>
      </c>
      <c r="BA180" t="s">
        <v>3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Y180*Source!I417</f>
        <v>0</v>
      </c>
      <c r="CY180">
        <f>AA180</f>
        <v>59.26</v>
      </c>
      <c r="CZ180">
        <f>AE180</f>
        <v>59.26</v>
      </c>
      <c r="DA180">
        <f>AI180</f>
        <v>1</v>
      </c>
      <c r="DB180">
        <f t="shared" si="29"/>
        <v>65186</v>
      </c>
      <c r="DC180">
        <f t="shared" si="30"/>
        <v>0</v>
      </c>
    </row>
    <row r="181" spans="1:107" x14ac:dyDescent="0.2">
      <c r="A181">
        <f>ROW(Source!A419)</f>
        <v>419</v>
      </c>
      <c r="B181">
        <v>56440881</v>
      </c>
      <c r="C181">
        <v>56442110</v>
      </c>
      <c r="D181">
        <v>52956643</v>
      </c>
      <c r="E181">
        <v>25</v>
      </c>
      <c r="F181">
        <v>1</v>
      </c>
      <c r="G181">
        <v>25</v>
      </c>
      <c r="H181">
        <v>1</v>
      </c>
      <c r="I181" t="s">
        <v>348</v>
      </c>
      <c r="J181" t="s">
        <v>3</v>
      </c>
      <c r="K181" t="s">
        <v>349</v>
      </c>
      <c r="L181">
        <v>1191</v>
      </c>
      <c r="N181">
        <v>1013</v>
      </c>
      <c r="O181" t="s">
        <v>350</v>
      </c>
      <c r="P181" t="s">
        <v>350</v>
      </c>
      <c r="Q181">
        <v>1</v>
      </c>
      <c r="W181">
        <v>0</v>
      </c>
      <c r="X181">
        <v>476480486</v>
      </c>
      <c r="Y181">
        <v>16.559999999999999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1</v>
      </c>
      <c r="AL181">
        <v>1</v>
      </c>
      <c r="AN181">
        <v>0</v>
      </c>
      <c r="AO181">
        <v>1</v>
      </c>
      <c r="AP181">
        <v>0</v>
      </c>
      <c r="AQ181">
        <v>0</v>
      </c>
      <c r="AR181">
        <v>0</v>
      </c>
      <c r="AS181" t="s">
        <v>3</v>
      </c>
      <c r="AT181">
        <v>16.559999999999999</v>
      </c>
      <c r="AU181" t="s">
        <v>3</v>
      </c>
      <c r="AV181">
        <v>1</v>
      </c>
      <c r="AW181">
        <v>2</v>
      </c>
      <c r="AX181">
        <v>56442119</v>
      </c>
      <c r="AY181">
        <v>1</v>
      </c>
      <c r="AZ181">
        <v>0</v>
      </c>
      <c r="BA181">
        <v>169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CX181">
        <f>Y181*Source!I419</f>
        <v>20.567519999999998</v>
      </c>
      <c r="CY181">
        <f>AD181</f>
        <v>0</v>
      </c>
      <c r="CZ181">
        <f>AH181</f>
        <v>0</v>
      </c>
      <c r="DA181">
        <f>AL181</f>
        <v>1</v>
      </c>
      <c r="DB181">
        <f t="shared" si="29"/>
        <v>0</v>
      </c>
      <c r="DC181">
        <f t="shared" si="30"/>
        <v>0</v>
      </c>
    </row>
    <row r="182" spans="1:107" x14ac:dyDescent="0.2">
      <c r="A182">
        <f>ROW(Source!A419)</f>
        <v>419</v>
      </c>
      <c r="B182">
        <v>56440881</v>
      </c>
      <c r="C182">
        <v>56442110</v>
      </c>
      <c r="D182">
        <v>52968814</v>
      </c>
      <c r="E182">
        <v>1</v>
      </c>
      <c r="F182">
        <v>1</v>
      </c>
      <c r="G182">
        <v>25</v>
      </c>
      <c r="H182">
        <v>2</v>
      </c>
      <c r="I182" t="s">
        <v>351</v>
      </c>
      <c r="J182" t="s">
        <v>352</v>
      </c>
      <c r="K182" t="s">
        <v>353</v>
      </c>
      <c r="L182">
        <v>1368</v>
      </c>
      <c r="N182">
        <v>1011</v>
      </c>
      <c r="O182" t="s">
        <v>354</v>
      </c>
      <c r="P182" t="s">
        <v>354</v>
      </c>
      <c r="Q182">
        <v>1</v>
      </c>
      <c r="W182">
        <v>0</v>
      </c>
      <c r="X182">
        <v>1062203425</v>
      </c>
      <c r="Y182">
        <v>2.08</v>
      </c>
      <c r="AA182">
        <v>0</v>
      </c>
      <c r="AB182">
        <v>1159.46</v>
      </c>
      <c r="AC182">
        <v>525.74</v>
      </c>
      <c r="AD182">
        <v>0</v>
      </c>
      <c r="AE182">
        <v>0</v>
      </c>
      <c r="AF182">
        <v>1159.46</v>
      </c>
      <c r="AG182">
        <v>525.74</v>
      </c>
      <c r="AH182">
        <v>0</v>
      </c>
      <c r="AI182">
        <v>1</v>
      </c>
      <c r="AJ182">
        <v>1</v>
      </c>
      <c r="AK182">
        <v>1</v>
      </c>
      <c r="AL182">
        <v>1</v>
      </c>
      <c r="AN182">
        <v>0</v>
      </c>
      <c r="AO182">
        <v>1</v>
      </c>
      <c r="AP182">
        <v>0</v>
      </c>
      <c r="AQ182">
        <v>0</v>
      </c>
      <c r="AR182">
        <v>0</v>
      </c>
      <c r="AS182" t="s">
        <v>3</v>
      </c>
      <c r="AT182">
        <v>2.08</v>
      </c>
      <c r="AU182" t="s">
        <v>3</v>
      </c>
      <c r="AV182">
        <v>0</v>
      </c>
      <c r="AW182">
        <v>2</v>
      </c>
      <c r="AX182">
        <v>56442120</v>
      </c>
      <c r="AY182">
        <v>1</v>
      </c>
      <c r="AZ182">
        <v>0</v>
      </c>
      <c r="BA182">
        <v>170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CX182">
        <f>Y182*Source!I419</f>
        <v>2.5833599999999999</v>
      </c>
      <c r="CY182">
        <f>AB182</f>
        <v>1159.46</v>
      </c>
      <c r="CZ182">
        <f>AF182</f>
        <v>1159.46</v>
      </c>
      <c r="DA182">
        <f>AJ182</f>
        <v>1</v>
      </c>
      <c r="DB182">
        <f t="shared" si="29"/>
        <v>2411.6799999999998</v>
      </c>
      <c r="DC182">
        <f t="shared" si="30"/>
        <v>1093.54</v>
      </c>
    </row>
    <row r="183" spans="1:107" x14ac:dyDescent="0.2">
      <c r="A183">
        <f>ROW(Source!A419)</f>
        <v>419</v>
      </c>
      <c r="B183">
        <v>56440881</v>
      </c>
      <c r="C183">
        <v>56442110</v>
      </c>
      <c r="D183">
        <v>52968969</v>
      </c>
      <c r="E183">
        <v>1</v>
      </c>
      <c r="F183">
        <v>1</v>
      </c>
      <c r="G183">
        <v>25</v>
      </c>
      <c r="H183">
        <v>2</v>
      </c>
      <c r="I183" t="s">
        <v>436</v>
      </c>
      <c r="J183" t="s">
        <v>437</v>
      </c>
      <c r="K183" t="s">
        <v>438</v>
      </c>
      <c r="L183">
        <v>1368</v>
      </c>
      <c r="N183">
        <v>1011</v>
      </c>
      <c r="O183" t="s">
        <v>354</v>
      </c>
      <c r="P183" t="s">
        <v>354</v>
      </c>
      <c r="Q183">
        <v>1</v>
      </c>
      <c r="W183">
        <v>0</v>
      </c>
      <c r="X183">
        <v>-1158250883</v>
      </c>
      <c r="Y183">
        <v>2.08</v>
      </c>
      <c r="AA183">
        <v>0</v>
      </c>
      <c r="AB183">
        <v>416.25</v>
      </c>
      <c r="AC183">
        <v>204.9</v>
      </c>
      <c r="AD183">
        <v>0</v>
      </c>
      <c r="AE183">
        <v>0</v>
      </c>
      <c r="AF183">
        <v>416.25</v>
      </c>
      <c r="AG183">
        <v>204.9</v>
      </c>
      <c r="AH183">
        <v>0</v>
      </c>
      <c r="AI183">
        <v>1</v>
      </c>
      <c r="AJ183">
        <v>1</v>
      </c>
      <c r="AK183">
        <v>1</v>
      </c>
      <c r="AL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 t="s">
        <v>3</v>
      </c>
      <c r="AT183">
        <v>2.08</v>
      </c>
      <c r="AU183" t="s">
        <v>3</v>
      </c>
      <c r="AV183">
        <v>0</v>
      </c>
      <c r="AW183">
        <v>2</v>
      </c>
      <c r="AX183">
        <v>56442121</v>
      </c>
      <c r="AY183">
        <v>1</v>
      </c>
      <c r="AZ183">
        <v>0</v>
      </c>
      <c r="BA183">
        <v>171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CX183">
        <f>Y183*Source!I419</f>
        <v>2.5833599999999999</v>
      </c>
      <c r="CY183">
        <f>AB183</f>
        <v>416.25</v>
      </c>
      <c r="CZ183">
        <f>AF183</f>
        <v>416.25</v>
      </c>
      <c r="DA183">
        <f>AJ183</f>
        <v>1</v>
      </c>
      <c r="DB183">
        <f t="shared" si="29"/>
        <v>865.8</v>
      </c>
      <c r="DC183">
        <f t="shared" si="30"/>
        <v>426.19</v>
      </c>
    </row>
    <row r="184" spans="1:107" x14ac:dyDescent="0.2">
      <c r="A184">
        <f>ROW(Source!A419)</f>
        <v>419</v>
      </c>
      <c r="B184">
        <v>56440881</v>
      </c>
      <c r="C184">
        <v>56442110</v>
      </c>
      <c r="D184">
        <v>52968972</v>
      </c>
      <c r="E184">
        <v>1</v>
      </c>
      <c r="F184">
        <v>1</v>
      </c>
      <c r="G184">
        <v>25</v>
      </c>
      <c r="H184">
        <v>2</v>
      </c>
      <c r="I184" t="s">
        <v>439</v>
      </c>
      <c r="J184" t="s">
        <v>440</v>
      </c>
      <c r="K184" t="s">
        <v>441</v>
      </c>
      <c r="L184">
        <v>1368</v>
      </c>
      <c r="N184">
        <v>1011</v>
      </c>
      <c r="O184" t="s">
        <v>354</v>
      </c>
      <c r="P184" t="s">
        <v>354</v>
      </c>
      <c r="Q184">
        <v>1</v>
      </c>
      <c r="W184">
        <v>0</v>
      </c>
      <c r="X184">
        <v>1308944103</v>
      </c>
      <c r="Y184">
        <v>0.81</v>
      </c>
      <c r="AA184">
        <v>0</v>
      </c>
      <c r="AB184">
        <v>1942.21</v>
      </c>
      <c r="AC184">
        <v>436.39</v>
      </c>
      <c r="AD184">
        <v>0</v>
      </c>
      <c r="AE184">
        <v>0</v>
      </c>
      <c r="AF184">
        <v>1942.21</v>
      </c>
      <c r="AG184">
        <v>436.39</v>
      </c>
      <c r="AH184">
        <v>0</v>
      </c>
      <c r="AI184">
        <v>1</v>
      </c>
      <c r="AJ184">
        <v>1</v>
      </c>
      <c r="AK184">
        <v>1</v>
      </c>
      <c r="AL184">
        <v>1</v>
      </c>
      <c r="AN184">
        <v>0</v>
      </c>
      <c r="AO184">
        <v>1</v>
      </c>
      <c r="AP184">
        <v>0</v>
      </c>
      <c r="AQ184">
        <v>0</v>
      </c>
      <c r="AR184">
        <v>0</v>
      </c>
      <c r="AS184" t="s">
        <v>3</v>
      </c>
      <c r="AT184">
        <v>0.81</v>
      </c>
      <c r="AU184" t="s">
        <v>3</v>
      </c>
      <c r="AV184">
        <v>0</v>
      </c>
      <c r="AW184">
        <v>2</v>
      </c>
      <c r="AX184">
        <v>56442122</v>
      </c>
      <c r="AY184">
        <v>1</v>
      </c>
      <c r="AZ184">
        <v>0</v>
      </c>
      <c r="BA184">
        <v>172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CX184">
        <f>Y184*Source!I419</f>
        <v>1.0060200000000001</v>
      </c>
      <c r="CY184">
        <f>AB184</f>
        <v>1942.21</v>
      </c>
      <c r="CZ184">
        <f>AF184</f>
        <v>1942.21</v>
      </c>
      <c r="DA184">
        <f>AJ184</f>
        <v>1</v>
      </c>
      <c r="DB184">
        <f t="shared" si="29"/>
        <v>1573.19</v>
      </c>
      <c r="DC184">
        <f t="shared" si="30"/>
        <v>353.48</v>
      </c>
    </row>
    <row r="185" spans="1:107" x14ac:dyDescent="0.2">
      <c r="A185">
        <f>ROW(Source!A419)</f>
        <v>419</v>
      </c>
      <c r="B185">
        <v>56440881</v>
      </c>
      <c r="C185">
        <v>56442110</v>
      </c>
      <c r="D185">
        <v>52968996</v>
      </c>
      <c r="E185">
        <v>1</v>
      </c>
      <c r="F185">
        <v>1</v>
      </c>
      <c r="G185">
        <v>25</v>
      </c>
      <c r="H185">
        <v>2</v>
      </c>
      <c r="I185" t="s">
        <v>442</v>
      </c>
      <c r="J185" t="s">
        <v>443</v>
      </c>
      <c r="K185" t="s">
        <v>444</v>
      </c>
      <c r="L185">
        <v>1368</v>
      </c>
      <c r="N185">
        <v>1011</v>
      </c>
      <c r="O185" t="s">
        <v>354</v>
      </c>
      <c r="P185" t="s">
        <v>354</v>
      </c>
      <c r="Q185">
        <v>1</v>
      </c>
      <c r="W185">
        <v>0</v>
      </c>
      <c r="X185">
        <v>1761872854</v>
      </c>
      <c r="Y185">
        <v>1.94</v>
      </c>
      <c r="AA185">
        <v>0</v>
      </c>
      <c r="AB185">
        <v>1364.77</v>
      </c>
      <c r="AC185">
        <v>610.30999999999995</v>
      </c>
      <c r="AD185">
        <v>0</v>
      </c>
      <c r="AE185">
        <v>0</v>
      </c>
      <c r="AF185">
        <v>1364.77</v>
      </c>
      <c r="AG185">
        <v>610.30999999999995</v>
      </c>
      <c r="AH185">
        <v>0</v>
      </c>
      <c r="AI185">
        <v>1</v>
      </c>
      <c r="AJ185">
        <v>1</v>
      </c>
      <c r="AK185">
        <v>1</v>
      </c>
      <c r="AL185">
        <v>1</v>
      </c>
      <c r="AN185">
        <v>0</v>
      </c>
      <c r="AO185">
        <v>1</v>
      </c>
      <c r="AP185">
        <v>0</v>
      </c>
      <c r="AQ185">
        <v>0</v>
      </c>
      <c r="AR185">
        <v>0</v>
      </c>
      <c r="AS185" t="s">
        <v>3</v>
      </c>
      <c r="AT185">
        <v>1.94</v>
      </c>
      <c r="AU185" t="s">
        <v>3</v>
      </c>
      <c r="AV185">
        <v>0</v>
      </c>
      <c r="AW185">
        <v>2</v>
      </c>
      <c r="AX185">
        <v>56442123</v>
      </c>
      <c r="AY185">
        <v>1</v>
      </c>
      <c r="AZ185">
        <v>0</v>
      </c>
      <c r="BA185">
        <v>173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CX185">
        <f>Y185*Source!I419</f>
        <v>2.4094799999999998</v>
      </c>
      <c r="CY185">
        <f>AB185</f>
        <v>1364.77</v>
      </c>
      <c r="CZ185">
        <f>AF185</f>
        <v>1364.77</v>
      </c>
      <c r="DA185">
        <f>AJ185</f>
        <v>1</v>
      </c>
      <c r="DB185">
        <f t="shared" si="29"/>
        <v>2647.65</v>
      </c>
      <c r="DC185">
        <f t="shared" si="30"/>
        <v>1184</v>
      </c>
    </row>
    <row r="186" spans="1:107" x14ac:dyDescent="0.2">
      <c r="A186">
        <f>ROW(Source!A419)</f>
        <v>419</v>
      </c>
      <c r="B186">
        <v>56440881</v>
      </c>
      <c r="C186">
        <v>56442110</v>
      </c>
      <c r="D186">
        <v>52968962</v>
      </c>
      <c r="E186">
        <v>1</v>
      </c>
      <c r="F186">
        <v>1</v>
      </c>
      <c r="G186">
        <v>25</v>
      </c>
      <c r="H186">
        <v>2</v>
      </c>
      <c r="I186" t="s">
        <v>445</v>
      </c>
      <c r="J186" t="s">
        <v>446</v>
      </c>
      <c r="K186" t="s">
        <v>447</v>
      </c>
      <c r="L186">
        <v>1368</v>
      </c>
      <c r="N186">
        <v>1011</v>
      </c>
      <c r="O186" t="s">
        <v>354</v>
      </c>
      <c r="P186" t="s">
        <v>354</v>
      </c>
      <c r="Q186">
        <v>1</v>
      </c>
      <c r="W186">
        <v>0</v>
      </c>
      <c r="X186">
        <v>-421159572</v>
      </c>
      <c r="Y186">
        <v>0.65</v>
      </c>
      <c r="AA186">
        <v>0</v>
      </c>
      <c r="AB186">
        <v>1179.56</v>
      </c>
      <c r="AC186">
        <v>439.28</v>
      </c>
      <c r="AD186">
        <v>0</v>
      </c>
      <c r="AE186">
        <v>0</v>
      </c>
      <c r="AF186">
        <v>1179.56</v>
      </c>
      <c r="AG186">
        <v>439.28</v>
      </c>
      <c r="AH186">
        <v>0</v>
      </c>
      <c r="AI186">
        <v>1</v>
      </c>
      <c r="AJ186">
        <v>1</v>
      </c>
      <c r="AK186">
        <v>1</v>
      </c>
      <c r="AL186">
        <v>1</v>
      </c>
      <c r="AN186">
        <v>0</v>
      </c>
      <c r="AO186">
        <v>1</v>
      </c>
      <c r="AP186">
        <v>0</v>
      </c>
      <c r="AQ186">
        <v>0</v>
      </c>
      <c r="AR186">
        <v>0</v>
      </c>
      <c r="AS186" t="s">
        <v>3</v>
      </c>
      <c r="AT186">
        <v>0.65</v>
      </c>
      <c r="AU186" t="s">
        <v>3</v>
      </c>
      <c r="AV186">
        <v>0</v>
      </c>
      <c r="AW186">
        <v>2</v>
      </c>
      <c r="AX186">
        <v>56442124</v>
      </c>
      <c r="AY186">
        <v>1</v>
      </c>
      <c r="AZ186">
        <v>0</v>
      </c>
      <c r="BA186">
        <v>174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CX186">
        <f>Y186*Source!I419</f>
        <v>0.80730000000000002</v>
      </c>
      <c r="CY186">
        <f>AB186</f>
        <v>1179.56</v>
      </c>
      <c r="CZ186">
        <f>AF186</f>
        <v>1179.56</v>
      </c>
      <c r="DA186">
        <f>AJ186</f>
        <v>1</v>
      </c>
      <c r="DB186">
        <f t="shared" si="29"/>
        <v>766.71</v>
      </c>
      <c r="DC186">
        <f t="shared" si="30"/>
        <v>285.52999999999997</v>
      </c>
    </row>
    <row r="187" spans="1:107" x14ac:dyDescent="0.2">
      <c r="A187">
        <f>ROW(Source!A419)</f>
        <v>419</v>
      </c>
      <c r="B187">
        <v>56440881</v>
      </c>
      <c r="C187">
        <v>56442110</v>
      </c>
      <c r="D187">
        <v>52970911</v>
      </c>
      <c r="E187">
        <v>1</v>
      </c>
      <c r="F187">
        <v>1</v>
      </c>
      <c r="G187">
        <v>25</v>
      </c>
      <c r="H187">
        <v>3</v>
      </c>
      <c r="I187" t="s">
        <v>448</v>
      </c>
      <c r="J187" t="s">
        <v>449</v>
      </c>
      <c r="K187" t="s">
        <v>450</v>
      </c>
      <c r="L187">
        <v>1339</v>
      </c>
      <c r="N187">
        <v>1007</v>
      </c>
      <c r="O187" t="s">
        <v>26</v>
      </c>
      <c r="P187" t="s">
        <v>26</v>
      </c>
      <c r="Q187">
        <v>1</v>
      </c>
      <c r="W187">
        <v>0</v>
      </c>
      <c r="X187">
        <v>-774262015</v>
      </c>
      <c r="Y187">
        <v>110</v>
      </c>
      <c r="AA187">
        <v>590.78</v>
      </c>
      <c r="AB187">
        <v>0</v>
      </c>
      <c r="AC187">
        <v>0</v>
      </c>
      <c r="AD187">
        <v>0</v>
      </c>
      <c r="AE187">
        <v>590.78</v>
      </c>
      <c r="AF187">
        <v>0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1</v>
      </c>
      <c r="AN187">
        <v>0</v>
      </c>
      <c r="AO187">
        <v>1</v>
      </c>
      <c r="AP187">
        <v>0</v>
      </c>
      <c r="AQ187">
        <v>0</v>
      </c>
      <c r="AR187">
        <v>0</v>
      </c>
      <c r="AS187" t="s">
        <v>3</v>
      </c>
      <c r="AT187">
        <v>110</v>
      </c>
      <c r="AU187" t="s">
        <v>3</v>
      </c>
      <c r="AV187">
        <v>0</v>
      </c>
      <c r="AW187">
        <v>2</v>
      </c>
      <c r="AX187">
        <v>56442125</v>
      </c>
      <c r="AY187">
        <v>1</v>
      </c>
      <c r="AZ187">
        <v>0</v>
      </c>
      <c r="BA187">
        <v>175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CX187">
        <f>Y187*Source!I419</f>
        <v>136.62</v>
      </c>
      <c r="CY187">
        <f>AA187</f>
        <v>590.78</v>
      </c>
      <c r="CZ187">
        <f>AE187</f>
        <v>590.78</v>
      </c>
      <c r="DA187">
        <f>AI187</f>
        <v>1</v>
      </c>
      <c r="DB187">
        <f t="shared" si="29"/>
        <v>64985.8</v>
      </c>
      <c r="DC187">
        <f t="shared" si="30"/>
        <v>0</v>
      </c>
    </row>
    <row r="188" spans="1:107" x14ac:dyDescent="0.2">
      <c r="A188">
        <f>ROW(Source!A419)</f>
        <v>419</v>
      </c>
      <c r="B188">
        <v>56440881</v>
      </c>
      <c r="C188">
        <v>56442110</v>
      </c>
      <c r="D188">
        <v>52971654</v>
      </c>
      <c r="E188">
        <v>1</v>
      </c>
      <c r="F188">
        <v>1</v>
      </c>
      <c r="G188">
        <v>25</v>
      </c>
      <c r="H188">
        <v>3</v>
      </c>
      <c r="I188" t="s">
        <v>367</v>
      </c>
      <c r="J188" t="s">
        <v>368</v>
      </c>
      <c r="K188" t="s">
        <v>369</v>
      </c>
      <c r="L188">
        <v>1339</v>
      </c>
      <c r="N188">
        <v>1007</v>
      </c>
      <c r="O188" t="s">
        <v>26</v>
      </c>
      <c r="P188" t="s">
        <v>26</v>
      </c>
      <c r="Q188">
        <v>1</v>
      </c>
      <c r="W188">
        <v>0</v>
      </c>
      <c r="X188">
        <v>1964795396</v>
      </c>
      <c r="Y188">
        <v>5</v>
      </c>
      <c r="AA188">
        <v>33.729999999999997</v>
      </c>
      <c r="AB188">
        <v>0</v>
      </c>
      <c r="AC188">
        <v>0</v>
      </c>
      <c r="AD188">
        <v>0</v>
      </c>
      <c r="AE188">
        <v>33.729999999999997</v>
      </c>
      <c r="AF188">
        <v>0</v>
      </c>
      <c r="AG188">
        <v>0</v>
      </c>
      <c r="AH188">
        <v>0</v>
      </c>
      <c r="AI188">
        <v>1</v>
      </c>
      <c r="AJ188">
        <v>1</v>
      </c>
      <c r="AK188">
        <v>1</v>
      </c>
      <c r="AL188">
        <v>1</v>
      </c>
      <c r="AN188">
        <v>0</v>
      </c>
      <c r="AO188">
        <v>1</v>
      </c>
      <c r="AP188">
        <v>0</v>
      </c>
      <c r="AQ188">
        <v>0</v>
      </c>
      <c r="AR188">
        <v>0</v>
      </c>
      <c r="AS188" t="s">
        <v>3</v>
      </c>
      <c r="AT188">
        <v>5</v>
      </c>
      <c r="AU188" t="s">
        <v>3</v>
      </c>
      <c r="AV188">
        <v>0</v>
      </c>
      <c r="AW188">
        <v>2</v>
      </c>
      <c r="AX188">
        <v>56442126</v>
      </c>
      <c r="AY188">
        <v>1</v>
      </c>
      <c r="AZ188">
        <v>0</v>
      </c>
      <c r="BA188">
        <v>176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CX188">
        <f>Y188*Source!I419</f>
        <v>6.21</v>
      </c>
      <c r="CY188">
        <f>AA188</f>
        <v>33.729999999999997</v>
      </c>
      <c r="CZ188">
        <f>AE188</f>
        <v>33.729999999999997</v>
      </c>
      <c r="DA188">
        <f>AI188</f>
        <v>1</v>
      </c>
      <c r="DB188">
        <f t="shared" si="29"/>
        <v>168.65</v>
      </c>
      <c r="DC188">
        <f t="shared" si="30"/>
        <v>0</v>
      </c>
    </row>
    <row r="189" spans="1:107" x14ac:dyDescent="0.2">
      <c r="A189">
        <f>ROW(Source!A420)</f>
        <v>420</v>
      </c>
      <c r="B189">
        <v>56440881</v>
      </c>
      <c r="C189">
        <v>56442127</v>
      </c>
      <c r="D189">
        <v>52956643</v>
      </c>
      <c r="E189">
        <v>25</v>
      </c>
      <c r="F189">
        <v>1</v>
      </c>
      <c r="G189">
        <v>25</v>
      </c>
      <c r="H189">
        <v>1</v>
      </c>
      <c r="I189" t="s">
        <v>348</v>
      </c>
      <c r="J189" t="s">
        <v>3</v>
      </c>
      <c r="K189" t="s">
        <v>349</v>
      </c>
      <c r="L189">
        <v>1191</v>
      </c>
      <c r="N189">
        <v>1013</v>
      </c>
      <c r="O189" t="s">
        <v>350</v>
      </c>
      <c r="P189" t="s">
        <v>350</v>
      </c>
      <c r="Q189">
        <v>1</v>
      </c>
      <c r="W189">
        <v>0</v>
      </c>
      <c r="X189">
        <v>476480486</v>
      </c>
      <c r="Y189">
        <v>24.84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1</v>
      </c>
      <c r="AL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 t="s">
        <v>3</v>
      </c>
      <c r="AT189">
        <v>24.84</v>
      </c>
      <c r="AU189" t="s">
        <v>3</v>
      </c>
      <c r="AV189">
        <v>1</v>
      </c>
      <c r="AW189">
        <v>2</v>
      </c>
      <c r="AX189">
        <v>56442138</v>
      </c>
      <c r="AY189">
        <v>1</v>
      </c>
      <c r="AZ189">
        <v>0</v>
      </c>
      <c r="BA189">
        <v>177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CX189">
        <f>Y189*Source!I420</f>
        <v>20.567519999999998</v>
      </c>
      <c r="CY189">
        <f>AD189</f>
        <v>0</v>
      </c>
      <c r="CZ189">
        <f>AH189</f>
        <v>0</v>
      </c>
      <c r="DA189">
        <f>AL189</f>
        <v>1</v>
      </c>
      <c r="DB189">
        <f t="shared" si="29"/>
        <v>0</v>
      </c>
      <c r="DC189">
        <f t="shared" si="30"/>
        <v>0</v>
      </c>
    </row>
    <row r="190" spans="1:107" x14ac:dyDescent="0.2">
      <c r="A190">
        <f>ROW(Source!A420)</f>
        <v>420</v>
      </c>
      <c r="B190">
        <v>56440881</v>
      </c>
      <c r="C190">
        <v>56442127</v>
      </c>
      <c r="D190">
        <v>52968791</v>
      </c>
      <c r="E190">
        <v>1</v>
      </c>
      <c r="F190">
        <v>1</v>
      </c>
      <c r="G190">
        <v>25</v>
      </c>
      <c r="H190">
        <v>2</v>
      </c>
      <c r="I190" t="s">
        <v>451</v>
      </c>
      <c r="J190" t="s">
        <v>452</v>
      </c>
      <c r="K190" t="s">
        <v>453</v>
      </c>
      <c r="L190">
        <v>1368</v>
      </c>
      <c r="N190">
        <v>1011</v>
      </c>
      <c r="O190" t="s">
        <v>354</v>
      </c>
      <c r="P190" t="s">
        <v>354</v>
      </c>
      <c r="Q190">
        <v>1</v>
      </c>
      <c r="W190">
        <v>0</v>
      </c>
      <c r="X190">
        <v>445823220</v>
      </c>
      <c r="Y190">
        <v>2.94</v>
      </c>
      <c r="AA190">
        <v>0</v>
      </c>
      <c r="AB190">
        <v>923.83</v>
      </c>
      <c r="AC190">
        <v>342.06</v>
      </c>
      <c r="AD190">
        <v>0</v>
      </c>
      <c r="AE190">
        <v>0</v>
      </c>
      <c r="AF190">
        <v>923.83</v>
      </c>
      <c r="AG190">
        <v>342.06</v>
      </c>
      <c r="AH190">
        <v>0</v>
      </c>
      <c r="AI190">
        <v>1</v>
      </c>
      <c r="AJ190">
        <v>1</v>
      </c>
      <c r="AK190">
        <v>1</v>
      </c>
      <c r="AL190">
        <v>1</v>
      </c>
      <c r="AN190">
        <v>0</v>
      </c>
      <c r="AO190">
        <v>1</v>
      </c>
      <c r="AP190">
        <v>0</v>
      </c>
      <c r="AQ190">
        <v>0</v>
      </c>
      <c r="AR190">
        <v>0</v>
      </c>
      <c r="AS190" t="s">
        <v>3</v>
      </c>
      <c r="AT190">
        <v>2.94</v>
      </c>
      <c r="AU190" t="s">
        <v>3</v>
      </c>
      <c r="AV190">
        <v>0</v>
      </c>
      <c r="AW190">
        <v>2</v>
      </c>
      <c r="AX190">
        <v>56442139</v>
      </c>
      <c r="AY190">
        <v>1</v>
      </c>
      <c r="AZ190">
        <v>0</v>
      </c>
      <c r="BA190">
        <v>178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CX190">
        <f>Y190*Source!I420</f>
        <v>2.43432</v>
      </c>
      <c r="CY190">
        <f t="shared" ref="CY190:CY195" si="31">AB190</f>
        <v>923.83</v>
      </c>
      <c r="CZ190">
        <f t="shared" ref="CZ190:CZ195" si="32">AF190</f>
        <v>923.83</v>
      </c>
      <c r="DA190">
        <f t="shared" ref="DA190:DA195" si="33">AJ190</f>
        <v>1</v>
      </c>
      <c r="DB190">
        <f t="shared" si="29"/>
        <v>2716.06</v>
      </c>
      <c r="DC190">
        <f t="shared" si="30"/>
        <v>1005.66</v>
      </c>
    </row>
    <row r="191" spans="1:107" x14ac:dyDescent="0.2">
      <c r="A191">
        <f>ROW(Source!A420)</f>
        <v>420</v>
      </c>
      <c r="B191">
        <v>56440881</v>
      </c>
      <c r="C191">
        <v>56442127</v>
      </c>
      <c r="D191">
        <v>52968972</v>
      </c>
      <c r="E191">
        <v>1</v>
      </c>
      <c r="F191">
        <v>1</v>
      </c>
      <c r="G191">
        <v>25</v>
      </c>
      <c r="H191">
        <v>2</v>
      </c>
      <c r="I191" t="s">
        <v>439</v>
      </c>
      <c r="J191" t="s">
        <v>440</v>
      </c>
      <c r="K191" t="s">
        <v>441</v>
      </c>
      <c r="L191">
        <v>1368</v>
      </c>
      <c r="N191">
        <v>1011</v>
      </c>
      <c r="O191" t="s">
        <v>354</v>
      </c>
      <c r="P191" t="s">
        <v>354</v>
      </c>
      <c r="Q191">
        <v>1</v>
      </c>
      <c r="W191">
        <v>0</v>
      </c>
      <c r="X191">
        <v>1308944103</v>
      </c>
      <c r="Y191">
        <v>1.1399999999999999</v>
      </c>
      <c r="AA191">
        <v>0</v>
      </c>
      <c r="AB191">
        <v>1942.21</v>
      </c>
      <c r="AC191">
        <v>436.39</v>
      </c>
      <c r="AD191">
        <v>0</v>
      </c>
      <c r="AE191">
        <v>0</v>
      </c>
      <c r="AF191">
        <v>1942.21</v>
      </c>
      <c r="AG191">
        <v>436.39</v>
      </c>
      <c r="AH191">
        <v>0</v>
      </c>
      <c r="AI191">
        <v>1</v>
      </c>
      <c r="AJ191">
        <v>1</v>
      </c>
      <c r="AK191">
        <v>1</v>
      </c>
      <c r="AL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S191" t="s">
        <v>3</v>
      </c>
      <c r="AT191">
        <v>1.1399999999999999</v>
      </c>
      <c r="AU191" t="s">
        <v>3</v>
      </c>
      <c r="AV191">
        <v>0</v>
      </c>
      <c r="AW191">
        <v>2</v>
      </c>
      <c r="AX191">
        <v>56442140</v>
      </c>
      <c r="AY191">
        <v>1</v>
      </c>
      <c r="AZ191">
        <v>0</v>
      </c>
      <c r="BA191">
        <v>179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CX191">
        <f>Y191*Source!I420</f>
        <v>0.94391999999999987</v>
      </c>
      <c r="CY191">
        <f t="shared" si="31"/>
        <v>1942.21</v>
      </c>
      <c r="CZ191">
        <f t="shared" si="32"/>
        <v>1942.21</v>
      </c>
      <c r="DA191">
        <f t="shared" si="33"/>
        <v>1</v>
      </c>
      <c r="DB191">
        <f t="shared" si="29"/>
        <v>2214.12</v>
      </c>
      <c r="DC191">
        <f t="shared" si="30"/>
        <v>497.48</v>
      </c>
    </row>
    <row r="192" spans="1:107" x14ac:dyDescent="0.2">
      <c r="A192">
        <f>ROW(Source!A420)</f>
        <v>420</v>
      </c>
      <c r="B192">
        <v>56440881</v>
      </c>
      <c r="C192">
        <v>56442127</v>
      </c>
      <c r="D192">
        <v>52968957</v>
      </c>
      <c r="E192">
        <v>1</v>
      </c>
      <c r="F192">
        <v>1</v>
      </c>
      <c r="G192">
        <v>25</v>
      </c>
      <c r="H192">
        <v>2</v>
      </c>
      <c r="I192" t="s">
        <v>358</v>
      </c>
      <c r="J192" t="s">
        <v>359</v>
      </c>
      <c r="K192" t="s">
        <v>360</v>
      </c>
      <c r="L192">
        <v>1368</v>
      </c>
      <c r="N192">
        <v>1011</v>
      </c>
      <c r="O192" t="s">
        <v>354</v>
      </c>
      <c r="P192" t="s">
        <v>354</v>
      </c>
      <c r="Q192">
        <v>1</v>
      </c>
      <c r="W192">
        <v>0</v>
      </c>
      <c r="X192">
        <v>-2094009474</v>
      </c>
      <c r="Y192">
        <v>8.9600000000000009</v>
      </c>
      <c r="AA192">
        <v>0</v>
      </c>
      <c r="AB192">
        <v>1207.81</v>
      </c>
      <c r="AC192">
        <v>504.4</v>
      </c>
      <c r="AD192">
        <v>0</v>
      </c>
      <c r="AE192">
        <v>0</v>
      </c>
      <c r="AF192">
        <v>1207.81</v>
      </c>
      <c r="AG192">
        <v>504.4</v>
      </c>
      <c r="AH192">
        <v>0</v>
      </c>
      <c r="AI192">
        <v>1</v>
      </c>
      <c r="AJ192">
        <v>1</v>
      </c>
      <c r="AK192">
        <v>1</v>
      </c>
      <c r="AL192">
        <v>1</v>
      </c>
      <c r="AN192">
        <v>0</v>
      </c>
      <c r="AO192">
        <v>1</v>
      </c>
      <c r="AP192">
        <v>0</v>
      </c>
      <c r="AQ192">
        <v>0</v>
      </c>
      <c r="AR192">
        <v>0</v>
      </c>
      <c r="AS192" t="s">
        <v>3</v>
      </c>
      <c r="AT192">
        <v>8.9600000000000009</v>
      </c>
      <c r="AU192" t="s">
        <v>3</v>
      </c>
      <c r="AV192">
        <v>0</v>
      </c>
      <c r="AW192">
        <v>2</v>
      </c>
      <c r="AX192">
        <v>56442141</v>
      </c>
      <c r="AY192">
        <v>1</v>
      </c>
      <c r="AZ192">
        <v>0</v>
      </c>
      <c r="BA192">
        <v>180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CX192">
        <f>Y192*Source!I420</f>
        <v>7.4188800000000006</v>
      </c>
      <c r="CY192">
        <f t="shared" si="31"/>
        <v>1207.81</v>
      </c>
      <c r="CZ192">
        <f t="shared" si="32"/>
        <v>1207.81</v>
      </c>
      <c r="DA192">
        <f t="shared" si="33"/>
        <v>1</v>
      </c>
      <c r="DB192">
        <f t="shared" si="29"/>
        <v>10821.98</v>
      </c>
      <c r="DC192">
        <f t="shared" si="30"/>
        <v>4519.42</v>
      </c>
    </row>
    <row r="193" spans="1:107" x14ac:dyDescent="0.2">
      <c r="A193">
        <f>ROW(Source!A420)</f>
        <v>420</v>
      </c>
      <c r="B193">
        <v>56440881</v>
      </c>
      <c r="C193">
        <v>56442127</v>
      </c>
      <c r="D193">
        <v>52968958</v>
      </c>
      <c r="E193">
        <v>1</v>
      </c>
      <c r="F193">
        <v>1</v>
      </c>
      <c r="G193">
        <v>25</v>
      </c>
      <c r="H193">
        <v>2</v>
      </c>
      <c r="I193" t="s">
        <v>361</v>
      </c>
      <c r="J193" t="s">
        <v>362</v>
      </c>
      <c r="K193" t="s">
        <v>363</v>
      </c>
      <c r="L193">
        <v>1368</v>
      </c>
      <c r="N193">
        <v>1011</v>
      </c>
      <c r="O193" t="s">
        <v>354</v>
      </c>
      <c r="P193" t="s">
        <v>354</v>
      </c>
      <c r="Q193">
        <v>1</v>
      </c>
      <c r="W193">
        <v>0</v>
      </c>
      <c r="X193">
        <v>-1845376792</v>
      </c>
      <c r="Y193">
        <v>18.25</v>
      </c>
      <c r="AA193">
        <v>0</v>
      </c>
      <c r="AB193">
        <v>1741.23</v>
      </c>
      <c r="AC193">
        <v>685.71</v>
      </c>
      <c r="AD193">
        <v>0</v>
      </c>
      <c r="AE193">
        <v>0</v>
      </c>
      <c r="AF193">
        <v>1741.23</v>
      </c>
      <c r="AG193">
        <v>685.71</v>
      </c>
      <c r="AH193">
        <v>0</v>
      </c>
      <c r="AI193">
        <v>1</v>
      </c>
      <c r="AJ193">
        <v>1</v>
      </c>
      <c r="AK193">
        <v>1</v>
      </c>
      <c r="AL193">
        <v>1</v>
      </c>
      <c r="AN193">
        <v>0</v>
      </c>
      <c r="AO193">
        <v>1</v>
      </c>
      <c r="AP193">
        <v>0</v>
      </c>
      <c r="AQ193">
        <v>0</v>
      </c>
      <c r="AR193">
        <v>0</v>
      </c>
      <c r="AS193" t="s">
        <v>3</v>
      </c>
      <c r="AT193">
        <v>18.25</v>
      </c>
      <c r="AU193" t="s">
        <v>3</v>
      </c>
      <c r="AV193">
        <v>0</v>
      </c>
      <c r="AW193">
        <v>2</v>
      </c>
      <c r="AX193">
        <v>56442142</v>
      </c>
      <c r="AY193">
        <v>1</v>
      </c>
      <c r="AZ193">
        <v>0</v>
      </c>
      <c r="BA193">
        <v>181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CX193">
        <f>Y193*Source!I420</f>
        <v>15.110999999999999</v>
      </c>
      <c r="CY193">
        <f t="shared" si="31"/>
        <v>1741.23</v>
      </c>
      <c r="CZ193">
        <f t="shared" si="32"/>
        <v>1741.23</v>
      </c>
      <c r="DA193">
        <f t="shared" si="33"/>
        <v>1</v>
      </c>
      <c r="DB193">
        <f t="shared" si="29"/>
        <v>31777.45</v>
      </c>
      <c r="DC193">
        <f t="shared" si="30"/>
        <v>12514.21</v>
      </c>
    </row>
    <row r="194" spans="1:107" x14ac:dyDescent="0.2">
      <c r="A194">
        <f>ROW(Source!A420)</f>
        <v>420</v>
      </c>
      <c r="B194">
        <v>56440881</v>
      </c>
      <c r="C194">
        <v>56442127</v>
      </c>
      <c r="D194">
        <v>52968996</v>
      </c>
      <c r="E194">
        <v>1</v>
      </c>
      <c r="F194">
        <v>1</v>
      </c>
      <c r="G194">
        <v>25</v>
      </c>
      <c r="H194">
        <v>2</v>
      </c>
      <c r="I194" t="s">
        <v>442</v>
      </c>
      <c r="J194" t="s">
        <v>443</v>
      </c>
      <c r="K194" t="s">
        <v>444</v>
      </c>
      <c r="L194">
        <v>1368</v>
      </c>
      <c r="N194">
        <v>1011</v>
      </c>
      <c r="O194" t="s">
        <v>354</v>
      </c>
      <c r="P194" t="s">
        <v>354</v>
      </c>
      <c r="Q194">
        <v>1</v>
      </c>
      <c r="W194">
        <v>0</v>
      </c>
      <c r="X194">
        <v>1761872854</v>
      </c>
      <c r="Y194">
        <v>2.2400000000000002</v>
      </c>
      <c r="AA194">
        <v>0</v>
      </c>
      <c r="AB194">
        <v>1364.77</v>
      </c>
      <c r="AC194">
        <v>610.30999999999995</v>
      </c>
      <c r="AD194">
        <v>0</v>
      </c>
      <c r="AE194">
        <v>0</v>
      </c>
      <c r="AF194">
        <v>1364.77</v>
      </c>
      <c r="AG194">
        <v>610.30999999999995</v>
      </c>
      <c r="AH194">
        <v>0</v>
      </c>
      <c r="AI194">
        <v>1</v>
      </c>
      <c r="AJ194">
        <v>1</v>
      </c>
      <c r="AK194">
        <v>1</v>
      </c>
      <c r="AL194">
        <v>1</v>
      </c>
      <c r="AN194">
        <v>0</v>
      </c>
      <c r="AO194">
        <v>1</v>
      </c>
      <c r="AP194">
        <v>0</v>
      </c>
      <c r="AQ194">
        <v>0</v>
      </c>
      <c r="AR194">
        <v>0</v>
      </c>
      <c r="AS194" t="s">
        <v>3</v>
      </c>
      <c r="AT194">
        <v>2.2400000000000002</v>
      </c>
      <c r="AU194" t="s">
        <v>3</v>
      </c>
      <c r="AV194">
        <v>0</v>
      </c>
      <c r="AW194">
        <v>2</v>
      </c>
      <c r="AX194">
        <v>56442143</v>
      </c>
      <c r="AY194">
        <v>1</v>
      </c>
      <c r="AZ194">
        <v>0</v>
      </c>
      <c r="BA194">
        <v>182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CX194">
        <f>Y194*Source!I420</f>
        <v>1.8547200000000001</v>
      </c>
      <c r="CY194">
        <f t="shared" si="31"/>
        <v>1364.77</v>
      </c>
      <c r="CZ194">
        <f t="shared" si="32"/>
        <v>1364.77</v>
      </c>
      <c r="DA194">
        <f t="shared" si="33"/>
        <v>1</v>
      </c>
      <c r="DB194">
        <f t="shared" si="29"/>
        <v>3057.08</v>
      </c>
      <c r="DC194">
        <f t="shared" si="30"/>
        <v>1367.09</v>
      </c>
    </row>
    <row r="195" spans="1:107" x14ac:dyDescent="0.2">
      <c r="A195">
        <f>ROW(Source!A420)</f>
        <v>420</v>
      </c>
      <c r="B195">
        <v>56440881</v>
      </c>
      <c r="C195">
        <v>56442127</v>
      </c>
      <c r="D195">
        <v>52968962</v>
      </c>
      <c r="E195">
        <v>1</v>
      </c>
      <c r="F195">
        <v>1</v>
      </c>
      <c r="G195">
        <v>25</v>
      </c>
      <c r="H195">
        <v>2</v>
      </c>
      <c r="I195" t="s">
        <v>445</v>
      </c>
      <c r="J195" t="s">
        <v>446</v>
      </c>
      <c r="K195" t="s">
        <v>447</v>
      </c>
      <c r="L195">
        <v>1368</v>
      </c>
      <c r="N195">
        <v>1011</v>
      </c>
      <c r="O195" t="s">
        <v>354</v>
      </c>
      <c r="P195" t="s">
        <v>354</v>
      </c>
      <c r="Q195">
        <v>1</v>
      </c>
      <c r="W195">
        <v>0</v>
      </c>
      <c r="X195">
        <v>-421159572</v>
      </c>
      <c r="Y195">
        <v>0.65</v>
      </c>
      <c r="AA195">
        <v>0</v>
      </c>
      <c r="AB195">
        <v>1179.56</v>
      </c>
      <c r="AC195">
        <v>439.28</v>
      </c>
      <c r="AD195">
        <v>0</v>
      </c>
      <c r="AE195">
        <v>0</v>
      </c>
      <c r="AF195">
        <v>1179.56</v>
      </c>
      <c r="AG195">
        <v>439.28</v>
      </c>
      <c r="AH195">
        <v>0</v>
      </c>
      <c r="AI195">
        <v>1</v>
      </c>
      <c r="AJ195">
        <v>1</v>
      </c>
      <c r="AK195">
        <v>1</v>
      </c>
      <c r="AL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S195" t="s">
        <v>3</v>
      </c>
      <c r="AT195">
        <v>0.65</v>
      </c>
      <c r="AU195" t="s">
        <v>3</v>
      </c>
      <c r="AV195">
        <v>0</v>
      </c>
      <c r="AW195">
        <v>2</v>
      </c>
      <c r="AX195">
        <v>56442144</v>
      </c>
      <c r="AY195">
        <v>1</v>
      </c>
      <c r="AZ195">
        <v>0</v>
      </c>
      <c r="BA195">
        <v>183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CX195">
        <f>Y195*Source!I420</f>
        <v>0.53820000000000001</v>
      </c>
      <c r="CY195">
        <f t="shared" si="31"/>
        <v>1179.56</v>
      </c>
      <c r="CZ195">
        <f t="shared" si="32"/>
        <v>1179.56</v>
      </c>
      <c r="DA195">
        <f t="shared" si="33"/>
        <v>1</v>
      </c>
      <c r="DB195">
        <f t="shared" si="29"/>
        <v>766.71</v>
      </c>
      <c r="DC195">
        <f t="shared" si="30"/>
        <v>285.52999999999997</v>
      </c>
    </row>
    <row r="196" spans="1:107" x14ac:dyDescent="0.2">
      <c r="A196">
        <f>ROW(Source!A420)</f>
        <v>420</v>
      </c>
      <c r="B196">
        <v>56440881</v>
      </c>
      <c r="C196">
        <v>56442127</v>
      </c>
      <c r="D196">
        <v>52970932</v>
      </c>
      <c r="E196">
        <v>1</v>
      </c>
      <c r="F196">
        <v>1</v>
      </c>
      <c r="G196">
        <v>25</v>
      </c>
      <c r="H196">
        <v>3</v>
      </c>
      <c r="I196" t="s">
        <v>224</v>
      </c>
      <c r="J196" t="s">
        <v>226</v>
      </c>
      <c r="K196" t="s">
        <v>225</v>
      </c>
      <c r="L196">
        <v>1339</v>
      </c>
      <c r="N196">
        <v>1007</v>
      </c>
      <c r="O196" t="s">
        <v>26</v>
      </c>
      <c r="P196" t="s">
        <v>26</v>
      </c>
      <c r="Q196">
        <v>1</v>
      </c>
      <c r="W196">
        <v>0</v>
      </c>
      <c r="X196">
        <v>-1266475872</v>
      </c>
      <c r="Y196">
        <v>126</v>
      </c>
      <c r="AA196">
        <v>1487.52</v>
      </c>
      <c r="AB196">
        <v>0</v>
      </c>
      <c r="AC196">
        <v>0</v>
      </c>
      <c r="AD196">
        <v>0</v>
      </c>
      <c r="AE196">
        <v>1487.52</v>
      </c>
      <c r="AF196">
        <v>0</v>
      </c>
      <c r="AG196">
        <v>0</v>
      </c>
      <c r="AH196">
        <v>0</v>
      </c>
      <c r="AI196">
        <v>1</v>
      </c>
      <c r="AJ196">
        <v>1</v>
      </c>
      <c r="AK196">
        <v>1</v>
      </c>
      <c r="AL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 t="s">
        <v>3</v>
      </c>
      <c r="AT196">
        <v>126</v>
      </c>
      <c r="AU196" t="s">
        <v>3</v>
      </c>
      <c r="AV196">
        <v>0</v>
      </c>
      <c r="AW196">
        <v>1</v>
      </c>
      <c r="AX196">
        <v>-1</v>
      </c>
      <c r="AY196">
        <v>0</v>
      </c>
      <c r="AZ196">
        <v>0</v>
      </c>
      <c r="BA196" t="s">
        <v>3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CX196">
        <f>Y196*Source!I420</f>
        <v>104.32799999999999</v>
      </c>
      <c r="CY196">
        <f>AA196</f>
        <v>1487.52</v>
      </c>
      <c r="CZ196">
        <f>AE196</f>
        <v>1487.52</v>
      </c>
      <c r="DA196">
        <f>AI196</f>
        <v>1</v>
      </c>
      <c r="DB196">
        <f t="shared" si="29"/>
        <v>187427.52</v>
      </c>
      <c r="DC196">
        <f t="shared" si="30"/>
        <v>0</v>
      </c>
    </row>
    <row r="197" spans="1:107" x14ac:dyDescent="0.2">
      <c r="A197">
        <f>ROW(Source!A420)</f>
        <v>420</v>
      </c>
      <c r="B197">
        <v>56440881</v>
      </c>
      <c r="C197">
        <v>56442127</v>
      </c>
      <c r="D197">
        <v>52970937</v>
      </c>
      <c r="E197">
        <v>1</v>
      </c>
      <c r="F197">
        <v>1</v>
      </c>
      <c r="G197">
        <v>25</v>
      </c>
      <c r="H197">
        <v>3</v>
      </c>
      <c r="I197" t="s">
        <v>29</v>
      </c>
      <c r="J197" t="s">
        <v>31</v>
      </c>
      <c r="K197" t="s">
        <v>30</v>
      </c>
      <c r="L197">
        <v>1339</v>
      </c>
      <c r="N197">
        <v>1007</v>
      </c>
      <c r="O197" t="s">
        <v>26</v>
      </c>
      <c r="P197" t="s">
        <v>26</v>
      </c>
      <c r="Q197">
        <v>1</v>
      </c>
      <c r="W197">
        <v>1</v>
      </c>
      <c r="X197">
        <v>407286016</v>
      </c>
      <c r="Y197">
        <v>-126</v>
      </c>
      <c r="AA197">
        <v>1806.27</v>
      </c>
      <c r="AB197">
        <v>0</v>
      </c>
      <c r="AC197">
        <v>0</v>
      </c>
      <c r="AD197">
        <v>0</v>
      </c>
      <c r="AE197">
        <v>1806.27</v>
      </c>
      <c r="AF197">
        <v>0</v>
      </c>
      <c r="AG197">
        <v>0</v>
      </c>
      <c r="AH197">
        <v>0</v>
      </c>
      <c r="AI197">
        <v>1</v>
      </c>
      <c r="AJ197">
        <v>1</v>
      </c>
      <c r="AK197">
        <v>1</v>
      </c>
      <c r="AL197">
        <v>1</v>
      </c>
      <c r="AN197">
        <v>0</v>
      </c>
      <c r="AO197">
        <v>1</v>
      </c>
      <c r="AP197">
        <v>0</v>
      </c>
      <c r="AQ197">
        <v>0</v>
      </c>
      <c r="AR197">
        <v>0</v>
      </c>
      <c r="AS197" t="s">
        <v>3</v>
      </c>
      <c r="AT197">
        <v>-126</v>
      </c>
      <c r="AU197" t="s">
        <v>3</v>
      </c>
      <c r="AV197">
        <v>0</v>
      </c>
      <c r="AW197">
        <v>2</v>
      </c>
      <c r="AX197">
        <v>56442145</v>
      </c>
      <c r="AY197">
        <v>1</v>
      </c>
      <c r="AZ197">
        <v>6144</v>
      </c>
      <c r="BA197">
        <v>184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CX197">
        <f>Y197*Source!I420</f>
        <v>-104.32799999999999</v>
      </c>
      <c r="CY197">
        <f>AA197</f>
        <v>1806.27</v>
      </c>
      <c r="CZ197">
        <f>AE197</f>
        <v>1806.27</v>
      </c>
      <c r="DA197">
        <f>AI197</f>
        <v>1</v>
      </c>
      <c r="DB197">
        <f t="shared" si="29"/>
        <v>-227590.02</v>
      </c>
      <c r="DC197">
        <f t="shared" si="30"/>
        <v>0</v>
      </c>
    </row>
    <row r="198" spans="1:107" x14ac:dyDescent="0.2">
      <c r="A198">
        <f>ROW(Source!A420)</f>
        <v>420</v>
      </c>
      <c r="B198">
        <v>56440881</v>
      </c>
      <c r="C198">
        <v>56442127</v>
      </c>
      <c r="D198">
        <v>52971654</v>
      </c>
      <c r="E198">
        <v>1</v>
      </c>
      <c r="F198">
        <v>1</v>
      </c>
      <c r="G198">
        <v>25</v>
      </c>
      <c r="H198">
        <v>3</v>
      </c>
      <c r="I198" t="s">
        <v>367</v>
      </c>
      <c r="J198" t="s">
        <v>368</v>
      </c>
      <c r="K198" t="s">
        <v>369</v>
      </c>
      <c r="L198">
        <v>1339</v>
      </c>
      <c r="N198">
        <v>1007</v>
      </c>
      <c r="O198" t="s">
        <v>26</v>
      </c>
      <c r="P198" t="s">
        <v>26</v>
      </c>
      <c r="Q198">
        <v>1</v>
      </c>
      <c r="W198">
        <v>0</v>
      </c>
      <c r="X198">
        <v>1964795396</v>
      </c>
      <c r="Y198">
        <v>7</v>
      </c>
      <c r="AA198">
        <v>33.729999999999997</v>
      </c>
      <c r="AB198">
        <v>0</v>
      </c>
      <c r="AC198">
        <v>0</v>
      </c>
      <c r="AD198">
        <v>0</v>
      </c>
      <c r="AE198">
        <v>33.729999999999997</v>
      </c>
      <c r="AF198">
        <v>0</v>
      </c>
      <c r="AG198">
        <v>0</v>
      </c>
      <c r="AH198">
        <v>0</v>
      </c>
      <c r="AI198">
        <v>1</v>
      </c>
      <c r="AJ198">
        <v>1</v>
      </c>
      <c r="AK198">
        <v>1</v>
      </c>
      <c r="AL198">
        <v>1</v>
      </c>
      <c r="AN198">
        <v>0</v>
      </c>
      <c r="AO198">
        <v>1</v>
      </c>
      <c r="AP198">
        <v>0</v>
      </c>
      <c r="AQ198">
        <v>0</v>
      </c>
      <c r="AR198">
        <v>0</v>
      </c>
      <c r="AS198" t="s">
        <v>3</v>
      </c>
      <c r="AT198">
        <v>7</v>
      </c>
      <c r="AU198" t="s">
        <v>3</v>
      </c>
      <c r="AV198">
        <v>0</v>
      </c>
      <c r="AW198">
        <v>2</v>
      </c>
      <c r="AX198">
        <v>56442146</v>
      </c>
      <c r="AY198">
        <v>1</v>
      </c>
      <c r="AZ198">
        <v>0</v>
      </c>
      <c r="BA198">
        <v>185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CX198">
        <f>Y198*Source!I420</f>
        <v>5.7959999999999994</v>
      </c>
      <c r="CY198">
        <f>AA198</f>
        <v>33.729999999999997</v>
      </c>
      <c r="CZ198">
        <f>AE198</f>
        <v>33.729999999999997</v>
      </c>
      <c r="DA198">
        <f>AI198</f>
        <v>1</v>
      </c>
      <c r="DB198">
        <f t="shared" si="29"/>
        <v>236.11</v>
      </c>
      <c r="DC198">
        <f t="shared" si="30"/>
        <v>0</v>
      </c>
    </row>
    <row r="199" spans="1:107" x14ac:dyDescent="0.2">
      <c r="A199">
        <f>ROW(Source!A423)</f>
        <v>423</v>
      </c>
      <c r="B199">
        <v>56440881</v>
      </c>
      <c r="C199">
        <v>56442149</v>
      </c>
      <c r="D199">
        <v>52956643</v>
      </c>
      <c r="E199">
        <v>25</v>
      </c>
      <c r="F199">
        <v>1</v>
      </c>
      <c r="G199">
        <v>25</v>
      </c>
      <c r="H199">
        <v>1</v>
      </c>
      <c r="I199" t="s">
        <v>348</v>
      </c>
      <c r="J199" t="s">
        <v>3</v>
      </c>
      <c r="K199" t="s">
        <v>349</v>
      </c>
      <c r="L199">
        <v>1191</v>
      </c>
      <c r="N199">
        <v>1013</v>
      </c>
      <c r="O199" t="s">
        <v>350</v>
      </c>
      <c r="P199" t="s">
        <v>350</v>
      </c>
      <c r="Q199">
        <v>1</v>
      </c>
      <c r="W199">
        <v>0</v>
      </c>
      <c r="X199">
        <v>476480486</v>
      </c>
      <c r="Y199">
        <v>24.84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1</v>
      </c>
      <c r="AK199">
        <v>1</v>
      </c>
      <c r="AL199">
        <v>1</v>
      </c>
      <c r="AN199">
        <v>0</v>
      </c>
      <c r="AO199">
        <v>1</v>
      </c>
      <c r="AP199">
        <v>0</v>
      </c>
      <c r="AQ199">
        <v>0</v>
      </c>
      <c r="AR199">
        <v>0</v>
      </c>
      <c r="AS199" t="s">
        <v>3</v>
      </c>
      <c r="AT199">
        <v>24.84</v>
      </c>
      <c r="AU199" t="s">
        <v>3</v>
      </c>
      <c r="AV199">
        <v>1</v>
      </c>
      <c r="AW199">
        <v>2</v>
      </c>
      <c r="AX199">
        <v>56442161</v>
      </c>
      <c r="AY199">
        <v>1</v>
      </c>
      <c r="AZ199">
        <v>0</v>
      </c>
      <c r="BA199">
        <v>186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CX199">
        <f>Y199*Source!I423</f>
        <v>6.1702560000000002</v>
      </c>
      <c r="CY199">
        <f>AD199</f>
        <v>0</v>
      </c>
      <c r="CZ199">
        <f>AH199</f>
        <v>0</v>
      </c>
      <c r="DA199">
        <f>AL199</f>
        <v>1</v>
      </c>
      <c r="DB199">
        <f t="shared" si="29"/>
        <v>0</v>
      </c>
      <c r="DC199">
        <f t="shared" si="30"/>
        <v>0</v>
      </c>
    </row>
    <row r="200" spans="1:107" x14ac:dyDescent="0.2">
      <c r="A200">
        <f>ROW(Source!A423)</f>
        <v>423</v>
      </c>
      <c r="B200">
        <v>56440881</v>
      </c>
      <c r="C200">
        <v>56442149</v>
      </c>
      <c r="D200">
        <v>52968791</v>
      </c>
      <c r="E200">
        <v>1</v>
      </c>
      <c r="F200">
        <v>1</v>
      </c>
      <c r="G200">
        <v>25</v>
      </c>
      <c r="H200">
        <v>2</v>
      </c>
      <c r="I200" t="s">
        <v>451</v>
      </c>
      <c r="J200" t="s">
        <v>452</v>
      </c>
      <c r="K200" t="s">
        <v>453</v>
      </c>
      <c r="L200">
        <v>1368</v>
      </c>
      <c r="N200">
        <v>1011</v>
      </c>
      <c r="O200" t="s">
        <v>354</v>
      </c>
      <c r="P200" t="s">
        <v>354</v>
      </c>
      <c r="Q200">
        <v>1</v>
      </c>
      <c r="W200">
        <v>0</v>
      </c>
      <c r="X200">
        <v>445823220</v>
      </c>
      <c r="Y200">
        <v>2.94</v>
      </c>
      <c r="AA200">
        <v>0</v>
      </c>
      <c r="AB200">
        <v>923.83</v>
      </c>
      <c r="AC200">
        <v>342.06</v>
      </c>
      <c r="AD200">
        <v>0</v>
      </c>
      <c r="AE200">
        <v>0</v>
      </c>
      <c r="AF200">
        <v>923.83</v>
      </c>
      <c r="AG200">
        <v>342.06</v>
      </c>
      <c r="AH200">
        <v>0</v>
      </c>
      <c r="AI200">
        <v>1</v>
      </c>
      <c r="AJ200">
        <v>1</v>
      </c>
      <c r="AK200">
        <v>1</v>
      </c>
      <c r="AL200">
        <v>1</v>
      </c>
      <c r="AN200">
        <v>0</v>
      </c>
      <c r="AO200">
        <v>1</v>
      </c>
      <c r="AP200">
        <v>0</v>
      </c>
      <c r="AQ200">
        <v>0</v>
      </c>
      <c r="AR200">
        <v>0</v>
      </c>
      <c r="AS200" t="s">
        <v>3</v>
      </c>
      <c r="AT200">
        <v>2.94</v>
      </c>
      <c r="AU200" t="s">
        <v>3</v>
      </c>
      <c r="AV200">
        <v>0</v>
      </c>
      <c r="AW200">
        <v>2</v>
      </c>
      <c r="AX200">
        <v>56442162</v>
      </c>
      <c r="AY200">
        <v>1</v>
      </c>
      <c r="AZ200">
        <v>0</v>
      </c>
      <c r="BA200">
        <v>187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CX200">
        <f>Y200*Source!I423</f>
        <v>0.73029600000000006</v>
      </c>
      <c r="CY200">
        <f t="shared" ref="CY200:CY205" si="34">AB200</f>
        <v>923.83</v>
      </c>
      <c r="CZ200">
        <f t="shared" ref="CZ200:CZ205" si="35">AF200</f>
        <v>923.83</v>
      </c>
      <c r="DA200">
        <f t="shared" ref="DA200:DA205" si="36">AJ200</f>
        <v>1</v>
      </c>
      <c r="DB200">
        <f t="shared" si="29"/>
        <v>2716.06</v>
      </c>
      <c r="DC200">
        <f t="shared" si="30"/>
        <v>1005.66</v>
      </c>
    </row>
    <row r="201" spans="1:107" x14ac:dyDescent="0.2">
      <c r="A201">
        <f>ROW(Source!A423)</f>
        <v>423</v>
      </c>
      <c r="B201">
        <v>56440881</v>
      </c>
      <c r="C201">
        <v>56442149</v>
      </c>
      <c r="D201">
        <v>52968972</v>
      </c>
      <c r="E201">
        <v>1</v>
      </c>
      <c r="F201">
        <v>1</v>
      </c>
      <c r="G201">
        <v>25</v>
      </c>
      <c r="H201">
        <v>2</v>
      </c>
      <c r="I201" t="s">
        <v>439</v>
      </c>
      <c r="J201" t="s">
        <v>440</v>
      </c>
      <c r="K201" t="s">
        <v>441</v>
      </c>
      <c r="L201">
        <v>1368</v>
      </c>
      <c r="N201">
        <v>1011</v>
      </c>
      <c r="O201" t="s">
        <v>354</v>
      </c>
      <c r="P201" t="s">
        <v>354</v>
      </c>
      <c r="Q201">
        <v>1</v>
      </c>
      <c r="W201">
        <v>0</v>
      </c>
      <c r="X201">
        <v>1308944103</v>
      </c>
      <c r="Y201">
        <v>1.1399999999999999</v>
      </c>
      <c r="AA201">
        <v>0</v>
      </c>
      <c r="AB201">
        <v>1942.21</v>
      </c>
      <c r="AC201">
        <v>436.39</v>
      </c>
      <c r="AD201">
        <v>0</v>
      </c>
      <c r="AE201">
        <v>0</v>
      </c>
      <c r="AF201">
        <v>1942.21</v>
      </c>
      <c r="AG201">
        <v>436.39</v>
      </c>
      <c r="AH201">
        <v>0</v>
      </c>
      <c r="AI201">
        <v>1</v>
      </c>
      <c r="AJ201">
        <v>1</v>
      </c>
      <c r="AK201">
        <v>1</v>
      </c>
      <c r="AL201">
        <v>1</v>
      </c>
      <c r="AN201">
        <v>0</v>
      </c>
      <c r="AO201">
        <v>1</v>
      </c>
      <c r="AP201">
        <v>0</v>
      </c>
      <c r="AQ201">
        <v>0</v>
      </c>
      <c r="AR201">
        <v>0</v>
      </c>
      <c r="AS201" t="s">
        <v>3</v>
      </c>
      <c r="AT201">
        <v>1.1399999999999999</v>
      </c>
      <c r="AU201" t="s">
        <v>3</v>
      </c>
      <c r="AV201">
        <v>0</v>
      </c>
      <c r="AW201">
        <v>2</v>
      </c>
      <c r="AX201">
        <v>56442163</v>
      </c>
      <c r="AY201">
        <v>1</v>
      </c>
      <c r="AZ201">
        <v>0</v>
      </c>
      <c r="BA201">
        <v>188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CX201">
        <f>Y201*Source!I423</f>
        <v>0.28317599999999998</v>
      </c>
      <c r="CY201">
        <f t="shared" si="34"/>
        <v>1942.21</v>
      </c>
      <c r="CZ201">
        <f t="shared" si="35"/>
        <v>1942.21</v>
      </c>
      <c r="DA201">
        <f t="shared" si="36"/>
        <v>1</v>
      </c>
      <c r="DB201">
        <f t="shared" si="29"/>
        <v>2214.12</v>
      </c>
      <c r="DC201">
        <f t="shared" si="30"/>
        <v>497.48</v>
      </c>
    </row>
    <row r="202" spans="1:107" x14ac:dyDescent="0.2">
      <c r="A202">
        <f>ROW(Source!A423)</f>
        <v>423</v>
      </c>
      <c r="B202">
        <v>56440881</v>
      </c>
      <c r="C202">
        <v>56442149</v>
      </c>
      <c r="D202">
        <v>52968957</v>
      </c>
      <c r="E202">
        <v>1</v>
      </c>
      <c r="F202">
        <v>1</v>
      </c>
      <c r="G202">
        <v>25</v>
      </c>
      <c r="H202">
        <v>2</v>
      </c>
      <c r="I202" t="s">
        <v>358</v>
      </c>
      <c r="J202" t="s">
        <v>359</v>
      </c>
      <c r="K202" t="s">
        <v>360</v>
      </c>
      <c r="L202">
        <v>1368</v>
      </c>
      <c r="N202">
        <v>1011</v>
      </c>
      <c r="O202" t="s">
        <v>354</v>
      </c>
      <c r="P202" t="s">
        <v>354</v>
      </c>
      <c r="Q202">
        <v>1</v>
      </c>
      <c r="W202">
        <v>0</v>
      </c>
      <c r="X202">
        <v>-2094009474</v>
      </c>
      <c r="Y202">
        <v>8.9600000000000009</v>
      </c>
      <c r="AA202">
        <v>0</v>
      </c>
      <c r="AB202">
        <v>1207.81</v>
      </c>
      <c r="AC202">
        <v>504.4</v>
      </c>
      <c r="AD202">
        <v>0</v>
      </c>
      <c r="AE202">
        <v>0</v>
      </c>
      <c r="AF202">
        <v>1207.81</v>
      </c>
      <c r="AG202">
        <v>504.4</v>
      </c>
      <c r="AH202">
        <v>0</v>
      </c>
      <c r="AI202">
        <v>1</v>
      </c>
      <c r="AJ202">
        <v>1</v>
      </c>
      <c r="AK202">
        <v>1</v>
      </c>
      <c r="AL202">
        <v>1</v>
      </c>
      <c r="AN202">
        <v>0</v>
      </c>
      <c r="AO202">
        <v>1</v>
      </c>
      <c r="AP202">
        <v>0</v>
      </c>
      <c r="AQ202">
        <v>0</v>
      </c>
      <c r="AR202">
        <v>0</v>
      </c>
      <c r="AS202" t="s">
        <v>3</v>
      </c>
      <c r="AT202">
        <v>8.9600000000000009</v>
      </c>
      <c r="AU202" t="s">
        <v>3</v>
      </c>
      <c r="AV202">
        <v>0</v>
      </c>
      <c r="AW202">
        <v>2</v>
      </c>
      <c r="AX202">
        <v>56442164</v>
      </c>
      <c r="AY202">
        <v>1</v>
      </c>
      <c r="AZ202">
        <v>0</v>
      </c>
      <c r="BA202">
        <v>189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CX202">
        <f>Y202*Source!I423</f>
        <v>2.2256640000000001</v>
      </c>
      <c r="CY202">
        <f t="shared" si="34"/>
        <v>1207.81</v>
      </c>
      <c r="CZ202">
        <f t="shared" si="35"/>
        <v>1207.81</v>
      </c>
      <c r="DA202">
        <f t="shared" si="36"/>
        <v>1</v>
      </c>
      <c r="DB202">
        <f t="shared" si="29"/>
        <v>10821.98</v>
      </c>
      <c r="DC202">
        <f t="shared" si="30"/>
        <v>4519.42</v>
      </c>
    </row>
    <row r="203" spans="1:107" x14ac:dyDescent="0.2">
      <c r="A203">
        <f>ROW(Source!A423)</f>
        <v>423</v>
      </c>
      <c r="B203">
        <v>56440881</v>
      </c>
      <c r="C203">
        <v>56442149</v>
      </c>
      <c r="D203">
        <v>52968958</v>
      </c>
      <c r="E203">
        <v>1</v>
      </c>
      <c r="F203">
        <v>1</v>
      </c>
      <c r="G203">
        <v>25</v>
      </c>
      <c r="H203">
        <v>2</v>
      </c>
      <c r="I203" t="s">
        <v>361</v>
      </c>
      <c r="J203" t="s">
        <v>362</v>
      </c>
      <c r="K203" t="s">
        <v>363</v>
      </c>
      <c r="L203">
        <v>1368</v>
      </c>
      <c r="N203">
        <v>1011</v>
      </c>
      <c r="O203" t="s">
        <v>354</v>
      </c>
      <c r="P203" t="s">
        <v>354</v>
      </c>
      <c r="Q203">
        <v>1</v>
      </c>
      <c r="W203">
        <v>0</v>
      </c>
      <c r="X203">
        <v>-1845376792</v>
      </c>
      <c r="Y203">
        <v>18.25</v>
      </c>
      <c r="AA203">
        <v>0</v>
      </c>
      <c r="AB203">
        <v>1741.23</v>
      </c>
      <c r="AC203">
        <v>685.71</v>
      </c>
      <c r="AD203">
        <v>0</v>
      </c>
      <c r="AE203">
        <v>0</v>
      </c>
      <c r="AF203">
        <v>1741.23</v>
      </c>
      <c r="AG203">
        <v>685.71</v>
      </c>
      <c r="AH203">
        <v>0</v>
      </c>
      <c r="AI203">
        <v>1</v>
      </c>
      <c r="AJ203">
        <v>1</v>
      </c>
      <c r="AK203">
        <v>1</v>
      </c>
      <c r="AL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 t="s">
        <v>3</v>
      </c>
      <c r="AT203">
        <v>18.25</v>
      </c>
      <c r="AU203" t="s">
        <v>3</v>
      </c>
      <c r="AV203">
        <v>0</v>
      </c>
      <c r="AW203">
        <v>2</v>
      </c>
      <c r="AX203">
        <v>56442165</v>
      </c>
      <c r="AY203">
        <v>1</v>
      </c>
      <c r="AZ203">
        <v>0</v>
      </c>
      <c r="BA203">
        <v>190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CX203">
        <f>Y203*Source!I423</f>
        <v>4.5333000000000006</v>
      </c>
      <c r="CY203">
        <f t="shared" si="34"/>
        <v>1741.23</v>
      </c>
      <c r="CZ203">
        <f t="shared" si="35"/>
        <v>1741.23</v>
      </c>
      <c r="DA203">
        <f t="shared" si="36"/>
        <v>1</v>
      </c>
      <c r="DB203">
        <f t="shared" si="29"/>
        <v>31777.45</v>
      </c>
      <c r="DC203">
        <f t="shared" si="30"/>
        <v>12514.21</v>
      </c>
    </row>
    <row r="204" spans="1:107" x14ac:dyDescent="0.2">
      <c r="A204">
        <f>ROW(Source!A423)</f>
        <v>423</v>
      </c>
      <c r="B204">
        <v>56440881</v>
      </c>
      <c r="C204">
        <v>56442149</v>
      </c>
      <c r="D204">
        <v>52968996</v>
      </c>
      <c r="E204">
        <v>1</v>
      </c>
      <c r="F204">
        <v>1</v>
      </c>
      <c r="G204">
        <v>25</v>
      </c>
      <c r="H204">
        <v>2</v>
      </c>
      <c r="I204" t="s">
        <v>442</v>
      </c>
      <c r="J204" t="s">
        <v>443</v>
      </c>
      <c r="K204" t="s">
        <v>444</v>
      </c>
      <c r="L204">
        <v>1368</v>
      </c>
      <c r="N204">
        <v>1011</v>
      </c>
      <c r="O204" t="s">
        <v>354</v>
      </c>
      <c r="P204" t="s">
        <v>354</v>
      </c>
      <c r="Q204">
        <v>1</v>
      </c>
      <c r="W204">
        <v>0</v>
      </c>
      <c r="X204">
        <v>1761872854</v>
      </c>
      <c r="Y204">
        <v>2.2400000000000002</v>
      </c>
      <c r="AA204">
        <v>0</v>
      </c>
      <c r="AB204">
        <v>1364.77</v>
      </c>
      <c r="AC204">
        <v>610.30999999999995</v>
      </c>
      <c r="AD204">
        <v>0</v>
      </c>
      <c r="AE204">
        <v>0</v>
      </c>
      <c r="AF204">
        <v>1364.77</v>
      </c>
      <c r="AG204">
        <v>610.30999999999995</v>
      </c>
      <c r="AH204">
        <v>0</v>
      </c>
      <c r="AI204">
        <v>1</v>
      </c>
      <c r="AJ204">
        <v>1</v>
      </c>
      <c r="AK204">
        <v>1</v>
      </c>
      <c r="AL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S204" t="s">
        <v>3</v>
      </c>
      <c r="AT204">
        <v>2.2400000000000002</v>
      </c>
      <c r="AU204" t="s">
        <v>3</v>
      </c>
      <c r="AV204">
        <v>0</v>
      </c>
      <c r="AW204">
        <v>2</v>
      </c>
      <c r="AX204">
        <v>56442166</v>
      </c>
      <c r="AY204">
        <v>1</v>
      </c>
      <c r="AZ204">
        <v>0</v>
      </c>
      <c r="BA204">
        <v>191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CX204">
        <f>Y204*Source!I423</f>
        <v>0.55641600000000002</v>
      </c>
      <c r="CY204">
        <f t="shared" si="34"/>
        <v>1364.77</v>
      </c>
      <c r="CZ204">
        <f t="shared" si="35"/>
        <v>1364.77</v>
      </c>
      <c r="DA204">
        <f t="shared" si="36"/>
        <v>1</v>
      </c>
      <c r="DB204">
        <f t="shared" si="29"/>
        <v>3057.08</v>
      </c>
      <c r="DC204">
        <f t="shared" si="30"/>
        <v>1367.09</v>
      </c>
    </row>
    <row r="205" spans="1:107" x14ac:dyDescent="0.2">
      <c r="A205">
        <f>ROW(Source!A423)</f>
        <v>423</v>
      </c>
      <c r="B205">
        <v>56440881</v>
      </c>
      <c r="C205">
        <v>56442149</v>
      </c>
      <c r="D205">
        <v>52968962</v>
      </c>
      <c r="E205">
        <v>1</v>
      </c>
      <c r="F205">
        <v>1</v>
      </c>
      <c r="G205">
        <v>25</v>
      </c>
      <c r="H205">
        <v>2</v>
      </c>
      <c r="I205" t="s">
        <v>445</v>
      </c>
      <c r="J205" t="s">
        <v>446</v>
      </c>
      <c r="K205" t="s">
        <v>447</v>
      </c>
      <c r="L205">
        <v>1368</v>
      </c>
      <c r="N205">
        <v>1011</v>
      </c>
      <c r="O205" t="s">
        <v>354</v>
      </c>
      <c r="P205" t="s">
        <v>354</v>
      </c>
      <c r="Q205">
        <v>1</v>
      </c>
      <c r="W205">
        <v>0</v>
      </c>
      <c r="X205">
        <v>-421159572</v>
      </c>
      <c r="Y205">
        <v>0.65</v>
      </c>
      <c r="AA205">
        <v>0</v>
      </c>
      <c r="AB205">
        <v>1179.56</v>
      </c>
      <c r="AC205">
        <v>439.28</v>
      </c>
      <c r="AD205">
        <v>0</v>
      </c>
      <c r="AE205">
        <v>0</v>
      </c>
      <c r="AF205">
        <v>1179.56</v>
      </c>
      <c r="AG205">
        <v>439.28</v>
      </c>
      <c r="AH205">
        <v>0</v>
      </c>
      <c r="AI205">
        <v>1</v>
      </c>
      <c r="AJ205">
        <v>1</v>
      </c>
      <c r="AK205">
        <v>1</v>
      </c>
      <c r="AL205">
        <v>1</v>
      </c>
      <c r="AN205">
        <v>0</v>
      </c>
      <c r="AO205">
        <v>1</v>
      </c>
      <c r="AP205">
        <v>0</v>
      </c>
      <c r="AQ205">
        <v>0</v>
      </c>
      <c r="AR205">
        <v>0</v>
      </c>
      <c r="AS205" t="s">
        <v>3</v>
      </c>
      <c r="AT205">
        <v>0.65</v>
      </c>
      <c r="AU205" t="s">
        <v>3</v>
      </c>
      <c r="AV205">
        <v>0</v>
      </c>
      <c r="AW205">
        <v>2</v>
      </c>
      <c r="AX205">
        <v>56442167</v>
      </c>
      <c r="AY205">
        <v>1</v>
      </c>
      <c r="AZ205">
        <v>0</v>
      </c>
      <c r="BA205">
        <v>192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CX205">
        <f>Y205*Source!I423</f>
        <v>0.16146000000000002</v>
      </c>
      <c r="CY205">
        <f t="shared" si="34"/>
        <v>1179.56</v>
      </c>
      <c r="CZ205">
        <f t="shared" si="35"/>
        <v>1179.56</v>
      </c>
      <c r="DA205">
        <f t="shared" si="36"/>
        <v>1</v>
      </c>
      <c r="DB205">
        <f t="shared" ref="DB205:DB223" si="37">ROUND(ROUND(AT205*CZ205,2),2)</f>
        <v>766.71</v>
      </c>
      <c r="DC205">
        <f t="shared" ref="DC205:DC223" si="38">ROUND(ROUND(AT205*AG205,2),2)</f>
        <v>285.52999999999997</v>
      </c>
    </row>
    <row r="206" spans="1:107" x14ac:dyDescent="0.2">
      <c r="A206">
        <f>ROW(Source!A423)</f>
        <v>423</v>
      </c>
      <c r="B206">
        <v>56440881</v>
      </c>
      <c r="C206">
        <v>56442149</v>
      </c>
      <c r="D206">
        <v>52970930</v>
      </c>
      <c r="E206">
        <v>1</v>
      </c>
      <c r="F206">
        <v>1</v>
      </c>
      <c r="G206">
        <v>25</v>
      </c>
      <c r="H206">
        <v>3</v>
      </c>
      <c r="I206" t="s">
        <v>33</v>
      </c>
      <c r="J206" t="s">
        <v>35</v>
      </c>
      <c r="K206" t="s">
        <v>34</v>
      </c>
      <c r="L206">
        <v>1339</v>
      </c>
      <c r="N206">
        <v>1007</v>
      </c>
      <c r="O206" t="s">
        <v>26</v>
      </c>
      <c r="P206" t="s">
        <v>26</v>
      </c>
      <c r="Q206">
        <v>1</v>
      </c>
      <c r="W206">
        <v>0</v>
      </c>
      <c r="X206">
        <v>2025333854</v>
      </c>
      <c r="Y206">
        <v>126</v>
      </c>
      <c r="AA206">
        <v>1487.52</v>
      </c>
      <c r="AB206">
        <v>0</v>
      </c>
      <c r="AC206">
        <v>0</v>
      </c>
      <c r="AD206">
        <v>0</v>
      </c>
      <c r="AE206">
        <v>1487.52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 t="s">
        <v>3</v>
      </c>
      <c r="AT206">
        <v>126</v>
      </c>
      <c r="AU206" t="s">
        <v>3</v>
      </c>
      <c r="AV206">
        <v>0</v>
      </c>
      <c r="AW206">
        <v>1</v>
      </c>
      <c r="AX206">
        <v>-1</v>
      </c>
      <c r="AY206">
        <v>0</v>
      </c>
      <c r="AZ206">
        <v>0</v>
      </c>
      <c r="BA206" t="s">
        <v>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CX206">
        <f>Y206*Source!I423</f>
        <v>31.298400000000001</v>
      </c>
      <c r="CY206">
        <f>AA206</f>
        <v>1487.52</v>
      </c>
      <c r="CZ206">
        <f>AE206</f>
        <v>1487.52</v>
      </c>
      <c r="DA206">
        <f>AI206</f>
        <v>1</v>
      </c>
      <c r="DB206">
        <f t="shared" si="37"/>
        <v>187427.52</v>
      </c>
      <c r="DC206">
        <f t="shared" si="38"/>
        <v>0</v>
      </c>
    </row>
    <row r="207" spans="1:107" x14ac:dyDescent="0.2">
      <c r="A207">
        <f>ROW(Source!A423)</f>
        <v>423</v>
      </c>
      <c r="B207">
        <v>56440881</v>
      </c>
      <c r="C207">
        <v>56442149</v>
      </c>
      <c r="D207">
        <v>52970937</v>
      </c>
      <c r="E207">
        <v>1</v>
      </c>
      <c r="F207">
        <v>1</v>
      </c>
      <c r="G207">
        <v>25</v>
      </c>
      <c r="H207">
        <v>3</v>
      </c>
      <c r="I207" t="s">
        <v>29</v>
      </c>
      <c r="J207" t="s">
        <v>31</v>
      </c>
      <c r="K207" t="s">
        <v>30</v>
      </c>
      <c r="L207">
        <v>1339</v>
      </c>
      <c r="N207">
        <v>1007</v>
      </c>
      <c r="O207" t="s">
        <v>26</v>
      </c>
      <c r="P207" t="s">
        <v>26</v>
      </c>
      <c r="Q207">
        <v>1</v>
      </c>
      <c r="W207">
        <v>1</v>
      </c>
      <c r="X207">
        <v>407286016</v>
      </c>
      <c r="Y207">
        <v>-126</v>
      </c>
      <c r="AA207">
        <v>1806.27</v>
      </c>
      <c r="AB207">
        <v>0</v>
      </c>
      <c r="AC207">
        <v>0</v>
      </c>
      <c r="AD207">
        <v>0</v>
      </c>
      <c r="AE207">
        <v>1806.27</v>
      </c>
      <c r="AF207">
        <v>0</v>
      </c>
      <c r="AG207">
        <v>0</v>
      </c>
      <c r="AH207">
        <v>0</v>
      </c>
      <c r="AI207">
        <v>1</v>
      </c>
      <c r="AJ207">
        <v>1</v>
      </c>
      <c r="AK207">
        <v>1</v>
      </c>
      <c r="AL207">
        <v>1</v>
      </c>
      <c r="AN207">
        <v>0</v>
      </c>
      <c r="AO207">
        <v>1</v>
      </c>
      <c r="AP207">
        <v>0</v>
      </c>
      <c r="AQ207">
        <v>0</v>
      </c>
      <c r="AR207">
        <v>0</v>
      </c>
      <c r="AS207" t="s">
        <v>3</v>
      </c>
      <c r="AT207">
        <v>-126</v>
      </c>
      <c r="AU207" t="s">
        <v>3</v>
      </c>
      <c r="AV207">
        <v>0</v>
      </c>
      <c r="AW207">
        <v>2</v>
      </c>
      <c r="AX207">
        <v>56442168</v>
      </c>
      <c r="AY207">
        <v>1</v>
      </c>
      <c r="AZ207">
        <v>6144</v>
      </c>
      <c r="BA207">
        <v>193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CX207">
        <f>Y207*Source!I423</f>
        <v>-31.298400000000001</v>
      </c>
      <c r="CY207">
        <f>AA207</f>
        <v>1806.27</v>
      </c>
      <c r="CZ207">
        <f>AE207</f>
        <v>1806.27</v>
      </c>
      <c r="DA207">
        <f>AI207</f>
        <v>1</v>
      </c>
      <c r="DB207">
        <f t="shared" si="37"/>
        <v>-227590.02</v>
      </c>
      <c r="DC207">
        <f t="shared" si="38"/>
        <v>0</v>
      </c>
    </row>
    <row r="208" spans="1:107" x14ac:dyDescent="0.2">
      <c r="A208">
        <f>ROW(Source!A423)</f>
        <v>423</v>
      </c>
      <c r="B208">
        <v>56440881</v>
      </c>
      <c r="C208">
        <v>56442149</v>
      </c>
      <c r="D208">
        <v>52971654</v>
      </c>
      <c r="E208">
        <v>1</v>
      </c>
      <c r="F208">
        <v>1</v>
      </c>
      <c r="G208">
        <v>25</v>
      </c>
      <c r="H208">
        <v>3</v>
      </c>
      <c r="I208" t="s">
        <v>367</v>
      </c>
      <c r="J208" t="s">
        <v>368</v>
      </c>
      <c r="K208" t="s">
        <v>369</v>
      </c>
      <c r="L208">
        <v>1339</v>
      </c>
      <c r="N208">
        <v>1007</v>
      </c>
      <c r="O208" t="s">
        <v>26</v>
      </c>
      <c r="P208" t="s">
        <v>26</v>
      </c>
      <c r="Q208">
        <v>1</v>
      </c>
      <c r="W208">
        <v>0</v>
      </c>
      <c r="X208">
        <v>1964795396</v>
      </c>
      <c r="Y208">
        <v>7</v>
      </c>
      <c r="AA208">
        <v>33.729999999999997</v>
      </c>
      <c r="AB208">
        <v>0</v>
      </c>
      <c r="AC208">
        <v>0</v>
      </c>
      <c r="AD208">
        <v>0</v>
      </c>
      <c r="AE208">
        <v>33.729999999999997</v>
      </c>
      <c r="AF208">
        <v>0</v>
      </c>
      <c r="AG208">
        <v>0</v>
      </c>
      <c r="AH208">
        <v>0</v>
      </c>
      <c r="AI208">
        <v>1</v>
      </c>
      <c r="AJ208">
        <v>1</v>
      </c>
      <c r="AK208">
        <v>1</v>
      </c>
      <c r="AL208">
        <v>1</v>
      </c>
      <c r="AN208">
        <v>0</v>
      </c>
      <c r="AO208">
        <v>1</v>
      </c>
      <c r="AP208">
        <v>0</v>
      </c>
      <c r="AQ208">
        <v>0</v>
      </c>
      <c r="AR208">
        <v>0</v>
      </c>
      <c r="AS208" t="s">
        <v>3</v>
      </c>
      <c r="AT208">
        <v>7</v>
      </c>
      <c r="AU208" t="s">
        <v>3</v>
      </c>
      <c r="AV208">
        <v>0</v>
      </c>
      <c r="AW208">
        <v>2</v>
      </c>
      <c r="AX208">
        <v>56442169</v>
      </c>
      <c r="AY208">
        <v>1</v>
      </c>
      <c r="AZ208">
        <v>0</v>
      </c>
      <c r="BA208">
        <v>194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CX208">
        <f>Y208*Source!I423</f>
        <v>1.7388000000000001</v>
      </c>
      <c r="CY208">
        <f>AA208</f>
        <v>33.729999999999997</v>
      </c>
      <c r="CZ208">
        <f>AE208</f>
        <v>33.729999999999997</v>
      </c>
      <c r="DA208">
        <f>AI208</f>
        <v>1</v>
      </c>
      <c r="DB208">
        <f t="shared" si="37"/>
        <v>236.11</v>
      </c>
      <c r="DC208">
        <f t="shared" si="38"/>
        <v>0</v>
      </c>
    </row>
    <row r="209" spans="1:107" x14ac:dyDescent="0.2">
      <c r="A209">
        <f>ROW(Source!A426)</f>
        <v>426</v>
      </c>
      <c r="B209">
        <v>56440881</v>
      </c>
      <c r="C209">
        <v>56442173</v>
      </c>
      <c r="D209">
        <v>52956643</v>
      </c>
      <c r="E209">
        <v>25</v>
      </c>
      <c r="F209">
        <v>1</v>
      </c>
      <c r="G209">
        <v>25</v>
      </c>
      <c r="H209">
        <v>1</v>
      </c>
      <c r="I209" t="s">
        <v>348</v>
      </c>
      <c r="J209" t="s">
        <v>3</v>
      </c>
      <c r="K209" t="s">
        <v>349</v>
      </c>
      <c r="L209">
        <v>1191</v>
      </c>
      <c r="N209">
        <v>1013</v>
      </c>
      <c r="O209" t="s">
        <v>350</v>
      </c>
      <c r="P209" t="s">
        <v>350</v>
      </c>
      <c r="Q209">
        <v>1</v>
      </c>
      <c r="W209">
        <v>0</v>
      </c>
      <c r="X209">
        <v>476480486</v>
      </c>
      <c r="Y209">
        <v>13.57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1</v>
      </c>
      <c r="AK209">
        <v>1</v>
      </c>
      <c r="AL209">
        <v>1</v>
      </c>
      <c r="AN209">
        <v>0</v>
      </c>
      <c r="AO209">
        <v>1</v>
      </c>
      <c r="AP209">
        <v>0</v>
      </c>
      <c r="AQ209">
        <v>0</v>
      </c>
      <c r="AR209">
        <v>0</v>
      </c>
      <c r="AS209" t="s">
        <v>3</v>
      </c>
      <c r="AT209">
        <v>13.57</v>
      </c>
      <c r="AU209" t="s">
        <v>3</v>
      </c>
      <c r="AV209">
        <v>1</v>
      </c>
      <c r="AW209">
        <v>2</v>
      </c>
      <c r="AX209">
        <v>56442179</v>
      </c>
      <c r="AY209">
        <v>1</v>
      </c>
      <c r="AZ209">
        <v>0</v>
      </c>
      <c r="BA209">
        <v>195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CX209">
        <f>Y209*Source!I426</f>
        <v>112.3596</v>
      </c>
      <c r="CY209">
        <f>AD209</f>
        <v>0</v>
      </c>
      <c r="CZ209">
        <f>AH209</f>
        <v>0</v>
      </c>
      <c r="DA209">
        <f>AL209</f>
        <v>1</v>
      </c>
      <c r="DB209">
        <f t="shared" si="37"/>
        <v>0</v>
      </c>
      <c r="DC209">
        <f t="shared" si="38"/>
        <v>0</v>
      </c>
    </row>
    <row r="210" spans="1:107" x14ac:dyDescent="0.2">
      <c r="A210">
        <f>ROW(Source!A426)</f>
        <v>426</v>
      </c>
      <c r="B210">
        <v>56440881</v>
      </c>
      <c r="C210">
        <v>56442173</v>
      </c>
      <c r="D210">
        <v>52968959</v>
      </c>
      <c r="E210">
        <v>1</v>
      </c>
      <c r="F210">
        <v>1</v>
      </c>
      <c r="G210">
        <v>25</v>
      </c>
      <c r="H210">
        <v>2</v>
      </c>
      <c r="I210" t="s">
        <v>370</v>
      </c>
      <c r="J210" t="s">
        <v>371</v>
      </c>
      <c r="K210" t="s">
        <v>372</v>
      </c>
      <c r="L210">
        <v>1368</v>
      </c>
      <c r="N210">
        <v>1011</v>
      </c>
      <c r="O210" t="s">
        <v>354</v>
      </c>
      <c r="P210" t="s">
        <v>354</v>
      </c>
      <c r="Q210">
        <v>1</v>
      </c>
      <c r="W210">
        <v>0</v>
      </c>
      <c r="X210">
        <v>-444400480</v>
      </c>
      <c r="Y210">
        <v>0.46</v>
      </c>
      <c r="AA210">
        <v>0</v>
      </c>
      <c r="AB210">
        <v>790.63</v>
      </c>
      <c r="AC210">
        <v>491.94</v>
      </c>
      <c r="AD210">
        <v>0</v>
      </c>
      <c r="AE210">
        <v>0</v>
      </c>
      <c r="AF210">
        <v>790.63</v>
      </c>
      <c r="AG210">
        <v>491.94</v>
      </c>
      <c r="AH210">
        <v>0</v>
      </c>
      <c r="AI210">
        <v>1</v>
      </c>
      <c r="AJ210">
        <v>1</v>
      </c>
      <c r="AK210">
        <v>1</v>
      </c>
      <c r="AL210">
        <v>1</v>
      </c>
      <c r="AN210">
        <v>0</v>
      </c>
      <c r="AO210">
        <v>1</v>
      </c>
      <c r="AP210">
        <v>0</v>
      </c>
      <c r="AQ210">
        <v>0</v>
      </c>
      <c r="AR210">
        <v>0</v>
      </c>
      <c r="AS210" t="s">
        <v>3</v>
      </c>
      <c r="AT210">
        <v>0.46</v>
      </c>
      <c r="AU210" t="s">
        <v>3</v>
      </c>
      <c r="AV210">
        <v>0</v>
      </c>
      <c r="AW210">
        <v>2</v>
      </c>
      <c r="AX210">
        <v>56442180</v>
      </c>
      <c r="AY210">
        <v>1</v>
      </c>
      <c r="AZ210">
        <v>0</v>
      </c>
      <c r="BA210">
        <v>196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CX210">
        <f>Y210*Source!I426</f>
        <v>3.8087999999999997</v>
      </c>
      <c r="CY210">
        <f>AB210</f>
        <v>790.63</v>
      </c>
      <c r="CZ210">
        <f>AF210</f>
        <v>790.63</v>
      </c>
      <c r="DA210">
        <f>AJ210</f>
        <v>1</v>
      </c>
      <c r="DB210">
        <f t="shared" si="37"/>
        <v>363.69</v>
      </c>
      <c r="DC210">
        <f t="shared" si="38"/>
        <v>226.29</v>
      </c>
    </row>
    <row r="211" spans="1:107" x14ac:dyDescent="0.2">
      <c r="A211">
        <f>ROW(Source!A426)</f>
        <v>426</v>
      </c>
      <c r="B211">
        <v>56440881</v>
      </c>
      <c r="C211">
        <v>56442173</v>
      </c>
      <c r="D211">
        <v>52968960</v>
      </c>
      <c r="E211">
        <v>1</v>
      </c>
      <c r="F211">
        <v>1</v>
      </c>
      <c r="G211">
        <v>25</v>
      </c>
      <c r="H211">
        <v>2</v>
      </c>
      <c r="I211" t="s">
        <v>373</v>
      </c>
      <c r="J211" t="s">
        <v>374</v>
      </c>
      <c r="K211" t="s">
        <v>375</v>
      </c>
      <c r="L211">
        <v>1368</v>
      </c>
      <c r="N211">
        <v>1011</v>
      </c>
      <c r="O211" t="s">
        <v>354</v>
      </c>
      <c r="P211" t="s">
        <v>354</v>
      </c>
      <c r="Q211">
        <v>1</v>
      </c>
      <c r="W211">
        <v>0</v>
      </c>
      <c r="X211">
        <v>-984364401</v>
      </c>
      <c r="Y211">
        <v>1.39</v>
      </c>
      <c r="AA211">
        <v>0</v>
      </c>
      <c r="AB211">
        <v>845.77</v>
      </c>
      <c r="AC211">
        <v>508.2</v>
      </c>
      <c r="AD211">
        <v>0</v>
      </c>
      <c r="AE211">
        <v>0</v>
      </c>
      <c r="AF211">
        <v>845.77</v>
      </c>
      <c r="AG211">
        <v>508.2</v>
      </c>
      <c r="AH211">
        <v>0</v>
      </c>
      <c r="AI211">
        <v>1</v>
      </c>
      <c r="AJ211">
        <v>1</v>
      </c>
      <c r="AK211">
        <v>1</v>
      </c>
      <c r="AL211">
        <v>1</v>
      </c>
      <c r="AN211">
        <v>0</v>
      </c>
      <c r="AO211">
        <v>1</v>
      </c>
      <c r="AP211">
        <v>0</v>
      </c>
      <c r="AQ211">
        <v>0</v>
      </c>
      <c r="AR211">
        <v>0</v>
      </c>
      <c r="AS211" t="s">
        <v>3</v>
      </c>
      <c r="AT211">
        <v>1.39</v>
      </c>
      <c r="AU211" t="s">
        <v>3</v>
      </c>
      <c r="AV211">
        <v>0</v>
      </c>
      <c r="AW211">
        <v>2</v>
      </c>
      <c r="AX211">
        <v>56442181</v>
      </c>
      <c r="AY211">
        <v>1</v>
      </c>
      <c r="AZ211">
        <v>0</v>
      </c>
      <c r="BA211">
        <v>197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CX211">
        <f>Y211*Source!I426</f>
        <v>11.509199999999998</v>
      </c>
      <c r="CY211">
        <f>AB211</f>
        <v>845.77</v>
      </c>
      <c r="CZ211">
        <f>AF211</f>
        <v>845.77</v>
      </c>
      <c r="DA211">
        <f>AJ211</f>
        <v>1</v>
      </c>
      <c r="DB211">
        <f t="shared" si="37"/>
        <v>1175.6199999999999</v>
      </c>
      <c r="DC211">
        <f t="shared" si="38"/>
        <v>706.4</v>
      </c>
    </row>
    <row r="212" spans="1:107" x14ac:dyDescent="0.2">
      <c r="A212">
        <f>ROW(Source!A426)</f>
        <v>426</v>
      </c>
      <c r="B212">
        <v>56440881</v>
      </c>
      <c r="C212">
        <v>56442173</v>
      </c>
      <c r="D212">
        <v>52972806</v>
      </c>
      <c r="E212">
        <v>1</v>
      </c>
      <c r="F212">
        <v>1</v>
      </c>
      <c r="G212">
        <v>25</v>
      </c>
      <c r="H212">
        <v>3</v>
      </c>
      <c r="I212" t="s">
        <v>42</v>
      </c>
      <c r="J212" t="s">
        <v>45</v>
      </c>
      <c r="K212" t="s">
        <v>43</v>
      </c>
      <c r="L212">
        <v>1348</v>
      </c>
      <c r="N212">
        <v>1009</v>
      </c>
      <c r="O212" t="s">
        <v>44</v>
      </c>
      <c r="P212" t="s">
        <v>44</v>
      </c>
      <c r="Q212">
        <v>1000</v>
      </c>
      <c r="W212">
        <v>1</v>
      </c>
      <c r="X212">
        <v>-652642392</v>
      </c>
      <c r="Y212">
        <v>-9.58</v>
      </c>
      <c r="AA212">
        <v>2727.65</v>
      </c>
      <c r="AB212">
        <v>0</v>
      </c>
      <c r="AC212">
        <v>0</v>
      </c>
      <c r="AD212">
        <v>0</v>
      </c>
      <c r="AE212">
        <v>2727.65</v>
      </c>
      <c r="AF212">
        <v>0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N212">
        <v>0</v>
      </c>
      <c r="AO212">
        <v>1</v>
      </c>
      <c r="AP212">
        <v>0</v>
      </c>
      <c r="AQ212">
        <v>0</v>
      </c>
      <c r="AR212">
        <v>0</v>
      </c>
      <c r="AS212" t="s">
        <v>3</v>
      </c>
      <c r="AT212">
        <v>-9.58</v>
      </c>
      <c r="AU212" t="s">
        <v>3</v>
      </c>
      <c r="AV212">
        <v>0</v>
      </c>
      <c r="AW212">
        <v>2</v>
      </c>
      <c r="AX212">
        <v>56442182</v>
      </c>
      <c r="AY212">
        <v>1</v>
      </c>
      <c r="AZ212">
        <v>6144</v>
      </c>
      <c r="BA212">
        <v>198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CX212">
        <f>Y212*Source!I426</f>
        <v>-79.322399999999988</v>
      </c>
      <c r="CY212">
        <f>AA212</f>
        <v>2727.65</v>
      </c>
      <c r="CZ212">
        <f>AE212</f>
        <v>2727.65</v>
      </c>
      <c r="DA212">
        <f>AI212</f>
        <v>1</v>
      </c>
      <c r="DB212">
        <f t="shared" si="37"/>
        <v>-26130.89</v>
      </c>
      <c r="DC212">
        <f t="shared" si="38"/>
        <v>0</v>
      </c>
    </row>
    <row r="213" spans="1:107" x14ac:dyDescent="0.2">
      <c r="A213">
        <f>ROW(Source!A426)</f>
        <v>426</v>
      </c>
      <c r="B213">
        <v>56440881</v>
      </c>
      <c r="C213">
        <v>56442173</v>
      </c>
      <c r="D213">
        <v>52972822</v>
      </c>
      <c r="E213">
        <v>1</v>
      </c>
      <c r="F213">
        <v>1</v>
      </c>
      <c r="G213">
        <v>25</v>
      </c>
      <c r="H213">
        <v>3</v>
      </c>
      <c r="I213" t="s">
        <v>47</v>
      </c>
      <c r="J213" t="s">
        <v>49</v>
      </c>
      <c r="K213" t="s">
        <v>48</v>
      </c>
      <c r="L213">
        <v>1348</v>
      </c>
      <c r="N213">
        <v>1009</v>
      </c>
      <c r="O213" t="s">
        <v>44</v>
      </c>
      <c r="P213" t="s">
        <v>44</v>
      </c>
      <c r="Q213">
        <v>1000</v>
      </c>
      <c r="W213">
        <v>0</v>
      </c>
      <c r="X213">
        <v>2011161814</v>
      </c>
      <c r="Y213">
        <v>11.67</v>
      </c>
      <c r="AA213">
        <v>2628.2</v>
      </c>
      <c r="AB213">
        <v>0</v>
      </c>
      <c r="AC213">
        <v>0</v>
      </c>
      <c r="AD213">
        <v>0</v>
      </c>
      <c r="AE213">
        <v>2628.2</v>
      </c>
      <c r="AF213">
        <v>0</v>
      </c>
      <c r="AG213">
        <v>0</v>
      </c>
      <c r="AH213">
        <v>0</v>
      </c>
      <c r="AI213">
        <v>1</v>
      </c>
      <c r="AJ213">
        <v>1</v>
      </c>
      <c r="AK213">
        <v>1</v>
      </c>
      <c r="AL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 t="s">
        <v>3</v>
      </c>
      <c r="AT213">
        <v>11.67</v>
      </c>
      <c r="AU213" t="s">
        <v>3</v>
      </c>
      <c r="AV213">
        <v>0</v>
      </c>
      <c r="AW213">
        <v>1</v>
      </c>
      <c r="AX213">
        <v>-1</v>
      </c>
      <c r="AY213">
        <v>0</v>
      </c>
      <c r="AZ213">
        <v>0</v>
      </c>
      <c r="BA213" t="s">
        <v>3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CX213">
        <f>Y213*Source!I426</f>
        <v>96.627599999999987</v>
      </c>
      <c r="CY213">
        <f>AA213</f>
        <v>2628.2</v>
      </c>
      <c r="CZ213">
        <f>AE213</f>
        <v>2628.2</v>
      </c>
      <c r="DA213">
        <f>AI213</f>
        <v>1</v>
      </c>
      <c r="DB213">
        <f t="shared" si="37"/>
        <v>30671.09</v>
      </c>
      <c r="DC213">
        <f t="shared" si="38"/>
        <v>0</v>
      </c>
    </row>
    <row r="214" spans="1:107" x14ac:dyDescent="0.2">
      <c r="A214">
        <f>ROW(Source!A464)</f>
        <v>464</v>
      </c>
      <c r="B214">
        <v>56440881</v>
      </c>
      <c r="C214">
        <v>56442185</v>
      </c>
      <c r="D214">
        <v>52956643</v>
      </c>
      <c r="E214">
        <v>25</v>
      </c>
      <c r="F214">
        <v>1</v>
      </c>
      <c r="G214">
        <v>25</v>
      </c>
      <c r="H214">
        <v>1</v>
      </c>
      <c r="I214" t="s">
        <v>348</v>
      </c>
      <c r="J214" t="s">
        <v>3</v>
      </c>
      <c r="K214" t="s">
        <v>349</v>
      </c>
      <c r="L214">
        <v>1191</v>
      </c>
      <c r="N214">
        <v>1013</v>
      </c>
      <c r="O214" t="s">
        <v>350</v>
      </c>
      <c r="P214" t="s">
        <v>350</v>
      </c>
      <c r="Q214">
        <v>1</v>
      </c>
      <c r="W214">
        <v>0</v>
      </c>
      <c r="X214">
        <v>476480486</v>
      </c>
      <c r="Y214">
        <v>18.440000000000001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1</v>
      </c>
      <c r="AK214">
        <v>1</v>
      </c>
      <c r="AL214">
        <v>1</v>
      </c>
      <c r="AN214">
        <v>0</v>
      </c>
      <c r="AO214">
        <v>1</v>
      </c>
      <c r="AP214">
        <v>0</v>
      </c>
      <c r="AQ214">
        <v>0</v>
      </c>
      <c r="AR214">
        <v>0</v>
      </c>
      <c r="AS214" t="s">
        <v>3</v>
      </c>
      <c r="AT214">
        <v>18.440000000000001</v>
      </c>
      <c r="AU214" t="s">
        <v>3</v>
      </c>
      <c r="AV214">
        <v>1</v>
      </c>
      <c r="AW214">
        <v>2</v>
      </c>
      <c r="AX214">
        <v>56442196</v>
      </c>
      <c r="AY214">
        <v>1</v>
      </c>
      <c r="AZ214">
        <v>0</v>
      </c>
      <c r="BA214">
        <v>199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CX214">
        <f>Y214*Source!I464</f>
        <v>152.6832</v>
      </c>
      <c r="CY214">
        <f>AD214</f>
        <v>0</v>
      </c>
      <c r="CZ214">
        <f>AH214</f>
        <v>0</v>
      </c>
      <c r="DA214">
        <f>AL214</f>
        <v>1</v>
      </c>
      <c r="DB214">
        <f t="shared" si="37"/>
        <v>0</v>
      </c>
      <c r="DC214">
        <f t="shared" si="38"/>
        <v>0</v>
      </c>
    </row>
    <row r="215" spans="1:107" x14ac:dyDescent="0.2">
      <c r="A215">
        <f>ROW(Source!A464)</f>
        <v>464</v>
      </c>
      <c r="B215">
        <v>56440881</v>
      </c>
      <c r="C215">
        <v>56442185</v>
      </c>
      <c r="D215">
        <v>52969457</v>
      </c>
      <c r="E215">
        <v>1</v>
      </c>
      <c r="F215">
        <v>1</v>
      </c>
      <c r="G215">
        <v>25</v>
      </c>
      <c r="H215">
        <v>2</v>
      </c>
      <c r="I215" t="s">
        <v>412</v>
      </c>
      <c r="J215" t="s">
        <v>413</v>
      </c>
      <c r="K215" t="s">
        <v>414</v>
      </c>
      <c r="L215">
        <v>1368</v>
      </c>
      <c r="N215">
        <v>1011</v>
      </c>
      <c r="O215" t="s">
        <v>354</v>
      </c>
      <c r="P215" t="s">
        <v>354</v>
      </c>
      <c r="Q215">
        <v>1</v>
      </c>
      <c r="W215">
        <v>0</v>
      </c>
      <c r="X215">
        <v>1717121030</v>
      </c>
      <c r="Y215">
        <v>2.64</v>
      </c>
      <c r="AA215">
        <v>0</v>
      </c>
      <c r="AB215">
        <v>508.57</v>
      </c>
      <c r="AC215">
        <v>355.5</v>
      </c>
      <c r="AD215">
        <v>0</v>
      </c>
      <c r="AE215">
        <v>0</v>
      </c>
      <c r="AF215">
        <v>508.57</v>
      </c>
      <c r="AG215">
        <v>355.5</v>
      </c>
      <c r="AH215">
        <v>0</v>
      </c>
      <c r="AI215">
        <v>1</v>
      </c>
      <c r="AJ215">
        <v>1</v>
      </c>
      <c r="AK215">
        <v>1</v>
      </c>
      <c r="AL215">
        <v>1</v>
      </c>
      <c r="AN215">
        <v>0</v>
      </c>
      <c r="AO215">
        <v>1</v>
      </c>
      <c r="AP215">
        <v>0</v>
      </c>
      <c r="AQ215">
        <v>0</v>
      </c>
      <c r="AR215">
        <v>0</v>
      </c>
      <c r="AS215" t="s">
        <v>3</v>
      </c>
      <c r="AT215">
        <v>2.64</v>
      </c>
      <c r="AU215" t="s">
        <v>3</v>
      </c>
      <c r="AV215">
        <v>0</v>
      </c>
      <c r="AW215">
        <v>2</v>
      </c>
      <c r="AX215">
        <v>56442197</v>
      </c>
      <c r="AY215">
        <v>1</v>
      </c>
      <c r="AZ215">
        <v>0</v>
      </c>
      <c r="BA215">
        <v>200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CX215">
        <f>Y215*Source!I464</f>
        <v>21.859199999999998</v>
      </c>
      <c r="CY215">
        <f>AB215</f>
        <v>508.57</v>
      </c>
      <c r="CZ215">
        <f>AF215</f>
        <v>508.57</v>
      </c>
      <c r="DA215">
        <f>AJ215</f>
        <v>1</v>
      </c>
      <c r="DB215">
        <f t="shared" si="37"/>
        <v>1342.62</v>
      </c>
      <c r="DC215">
        <f t="shared" si="38"/>
        <v>938.52</v>
      </c>
    </row>
    <row r="216" spans="1:107" x14ac:dyDescent="0.2">
      <c r="A216">
        <f>ROW(Source!A464)</f>
        <v>464</v>
      </c>
      <c r="B216">
        <v>56440881</v>
      </c>
      <c r="C216">
        <v>56442185</v>
      </c>
      <c r="D216">
        <v>52969675</v>
      </c>
      <c r="E216">
        <v>1</v>
      </c>
      <c r="F216">
        <v>1</v>
      </c>
      <c r="G216">
        <v>25</v>
      </c>
      <c r="H216">
        <v>2</v>
      </c>
      <c r="I216" t="s">
        <v>415</v>
      </c>
      <c r="J216" t="s">
        <v>416</v>
      </c>
      <c r="K216" t="s">
        <v>417</v>
      </c>
      <c r="L216">
        <v>1368</v>
      </c>
      <c r="N216">
        <v>1011</v>
      </c>
      <c r="O216" t="s">
        <v>354</v>
      </c>
      <c r="P216" t="s">
        <v>354</v>
      </c>
      <c r="Q216">
        <v>1</v>
      </c>
      <c r="W216">
        <v>0</v>
      </c>
      <c r="X216">
        <v>1096362259</v>
      </c>
      <c r="Y216">
        <v>1.18</v>
      </c>
      <c r="AA216">
        <v>0</v>
      </c>
      <c r="AB216">
        <v>7.67</v>
      </c>
      <c r="AC216">
        <v>0.93</v>
      </c>
      <c r="AD216">
        <v>0</v>
      </c>
      <c r="AE216">
        <v>0</v>
      </c>
      <c r="AF216">
        <v>7.67</v>
      </c>
      <c r="AG216">
        <v>0.93</v>
      </c>
      <c r="AH216">
        <v>0</v>
      </c>
      <c r="AI216">
        <v>1</v>
      </c>
      <c r="AJ216">
        <v>1</v>
      </c>
      <c r="AK216">
        <v>1</v>
      </c>
      <c r="AL216">
        <v>1</v>
      </c>
      <c r="AN216">
        <v>0</v>
      </c>
      <c r="AO216">
        <v>1</v>
      </c>
      <c r="AP216">
        <v>0</v>
      </c>
      <c r="AQ216">
        <v>0</v>
      </c>
      <c r="AR216">
        <v>0</v>
      </c>
      <c r="AS216" t="s">
        <v>3</v>
      </c>
      <c r="AT216">
        <v>1.18</v>
      </c>
      <c r="AU216" t="s">
        <v>3</v>
      </c>
      <c r="AV216">
        <v>0</v>
      </c>
      <c r="AW216">
        <v>2</v>
      </c>
      <c r="AX216">
        <v>56442198</v>
      </c>
      <c r="AY216">
        <v>1</v>
      </c>
      <c r="AZ216">
        <v>0</v>
      </c>
      <c r="BA216">
        <v>201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CX216">
        <f>Y216*Source!I464</f>
        <v>9.7703999999999986</v>
      </c>
      <c r="CY216">
        <f>AB216</f>
        <v>7.67</v>
      </c>
      <c r="CZ216">
        <f>AF216</f>
        <v>7.67</v>
      </c>
      <c r="DA216">
        <f>AJ216</f>
        <v>1</v>
      </c>
      <c r="DB216">
        <f t="shared" si="37"/>
        <v>9.0500000000000007</v>
      </c>
      <c r="DC216">
        <f t="shared" si="38"/>
        <v>1.1000000000000001</v>
      </c>
    </row>
    <row r="217" spans="1:107" x14ac:dyDescent="0.2">
      <c r="A217">
        <f>ROW(Source!A464)</f>
        <v>464</v>
      </c>
      <c r="B217">
        <v>56440881</v>
      </c>
      <c r="C217">
        <v>56442185</v>
      </c>
      <c r="D217">
        <v>52968883</v>
      </c>
      <c r="E217">
        <v>1</v>
      </c>
      <c r="F217">
        <v>1</v>
      </c>
      <c r="G217">
        <v>25</v>
      </c>
      <c r="H217">
        <v>2</v>
      </c>
      <c r="I217" t="s">
        <v>418</v>
      </c>
      <c r="J217" t="s">
        <v>419</v>
      </c>
      <c r="K217" t="s">
        <v>420</v>
      </c>
      <c r="L217">
        <v>1368</v>
      </c>
      <c r="N217">
        <v>1011</v>
      </c>
      <c r="O217" t="s">
        <v>354</v>
      </c>
      <c r="P217" t="s">
        <v>354</v>
      </c>
      <c r="Q217">
        <v>1</v>
      </c>
      <c r="W217">
        <v>0</v>
      </c>
      <c r="X217">
        <v>-951517440</v>
      </c>
      <c r="Y217">
        <v>0.01</v>
      </c>
      <c r="AA217">
        <v>0</v>
      </c>
      <c r="AB217">
        <v>593.01</v>
      </c>
      <c r="AC217">
        <v>486.57</v>
      </c>
      <c r="AD217">
        <v>0</v>
      </c>
      <c r="AE217">
        <v>0</v>
      </c>
      <c r="AF217">
        <v>593.01</v>
      </c>
      <c r="AG217">
        <v>486.57</v>
      </c>
      <c r="AH217">
        <v>0</v>
      </c>
      <c r="AI217">
        <v>1</v>
      </c>
      <c r="AJ217">
        <v>1</v>
      </c>
      <c r="AK217">
        <v>1</v>
      </c>
      <c r="AL217">
        <v>1</v>
      </c>
      <c r="AN217">
        <v>0</v>
      </c>
      <c r="AO217">
        <v>1</v>
      </c>
      <c r="AP217">
        <v>0</v>
      </c>
      <c r="AQ217">
        <v>0</v>
      </c>
      <c r="AR217">
        <v>0</v>
      </c>
      <c r="AS217" t="s">
        <v>3</v>
      </c>
      <c r="AT217">
        <v>0.01</v>
      </c>
      <c r="AU217" t="s">
        <v>3</v>
      </c>
      <c r="AV217">
        <v>0</v>
      </c>
      <c r="AW217">
        <v>2</v>
      </c>
      <c r="AX217">
        <v>56442199</v>
      </c>
      <c r="AY217">
        <v>1</v>
      </c>
      <c r="AZ217">
        <v>0</v>
      </c>
      <c r="BA217">
        <v>202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CX217">
        <f>Y217*Source!I464</f>
        <v>8.2799999999999999E-2</v>
      </c>
      <c r="CY217">
        <f>AB217</f>
        <v>593.01</v>
      </c>
      <c r="CZ217">
        <f>AF217</f>
        <v>593.01</v>
      </c>
      <c r="DA217">
        <f>AJ217</f>
        <v>1</v>
      </c>
      <c r="DB217">
        <f t="shared" si="37"/>
        <v>5.93</v>
      </c>
      <c r="DC217">
        <f t="shared" si="38"/>
        <v>4.87</v>
      </c>
    </row>
    <row r="218" spans="1:107" x14ac:dyDescent="0.2">
      <c r="A218">
        <f>ROW(Source!A464)</f>
        <v>464</v>
      </c>
      <c r="B218">
        <v>56440881</v>
      </c>
      <c r="C218">
        <v>56442185</v>
      </c>
      <c r="D218">
        <v>52969067</v>
      </c>
      <c r="E218">
        <v>1</v>
      </c>
      <c r="F218">
        <v>1</v>
      </c>
      <c r="G218">
        <v>25</v>
      </c>
      <c r="H218">
        <v>2</v>
      </c>
      <c r="I218" t="s">
        <v>421</v>
      </c>
      <c r="J218" t="s">
        <v>422</v>
      </c>
      <c r="K218" t="s">
        <v>423</v>
      </c>
      <c r="L218">
        <v>1368</v>
      </c>
      <c r="N218">
        <v>1011</v>
      </c>
      <c r="O218" t="s">
        <v>354</v>
      </c>
      <c r="P218" t="s">
        <v>354</v>
      </c>
      <c r="Q218">
        <v>1</v>
      </c>
      <c r="W218">
        <v>0</v>
      </c>
      <c r="X218">
        <v>1978348804</v>
      </c>
      <c r="Y218">
        <v>2.64</v>
      </c>
      <c r="AA218">
        <v>0</v>
      </c>
      <c r="AB218">
        <v>434.82</v>
      </c>
      <c r="AC218">
        <v>386.07</v>
      </c>
      <c r="AD218">
        <v>0</v>
      </c>
      <c r="AE218">
        <v>0</v>
      </c>
      <c r="AF218">
        <v>434.82</v>
      </c>
      <c r="AG218">
        <v>386.07</v>
      </c>
      <c r="AH218">
        <v>0</v>
      </c>
      <c r="AI218">
        <v>1</v>
      </c>
      <c r="AJ218">
        <v>1</v>
      </c>
      <c r="AK218">
        <v>1</v>
      </c>
      <c r="AL218">
        <v>1</v>
      </c>
      <c r="AN218">
        <v>0</v>
      </c>
      <c r="AO218">
        <v>1</v>
      </c>
      <c r="AP218">
        <v>0</v>
      </c>
      <c r="AQ218">
        <v>0</v>
      </c>
      <c r="AR218">
        <v>0</v>
      </c>
      <c r="AS218" t="s">
        <v>3</v>
      </c>
      <c r="AT218">
        <v>2.64</v>
      </c>
      <c r="AU218" t="s">
        <v>3</v>
      </c>
      <c r="AV218">
        <v>0</v>
      </c>
      <c r="AW218">
        <v>2</v>
      </c>
      <c r="AX218">
        <v>56442200</v>
      </c>
      <c r="AY218">
        <v>1</v>
      </c>
      <c r="AZ218">
        <v>0</v>
      </c>
      <c r="BA218">
        <v>203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CX218">
        <f>Y218*Source!I464</f>
        <v>21.859199999999998</v>
      </c>
      <c r="CY218">
        <f>AB218</f>
        <v>434.82</v>
      </c>
      <c r="CZ218">
        <f>AF218</f>
        <v>434.82</v>
      </c>
      <c r="DA218">
        <f>AJ218</f>
        <v>1</v>
      </c>
      <c r="DB218">
        <f t="shared" si="37"/>
        <v>1147.92</v>
      </c>
      <c r="DC218">
        <f t="shared" si="38"/>
        <v>1019.22</v>
      </c>
    </row>
    <row r="219" spans="1:107" x14ac:dyDescent="0.2">
      <c r="A219">
        <f>ROW(Source!A464)</f>
        <v>464</v>
      </c>
      <c r="B219">
        <v>56440881</v>
      </c>
      <c r="C219">
        <v>56442185</v>
      </c>
      <c r="D219">
        <v>52971875</v>
      </c>
      <c r="E219">
        <v>1</v>
      </c>
      <c r="F219">
        <v>1</v>
      </c>
      <c r="G219">
        <v>25</v>
      </c>
      <c r="H219">
        <v>3</v>
      </c>
      <c r="I219" t="s">
        <v>424</v>
      </c>
      <c r="J219" t="s">
        <v>425</v>
      </c>
      <c r="K219" t="s">
        <v>426</v>
      </c>
      <c r="L219">
        <v>1327</v>
      </c>
      <c r="N219">
        <v>1005</v>
      </c>
      <c r="O219" t="s">
        <v>157</v>
      </c>
      <c r="P219" t="s">
        <v>157</v>
      </c>
      <c r="Q219">
        <v>1</v>
      </c>
      <c r="W219">
        <v>0</v>
      </c>
      <c r="X219">
        <v>-526069612</v>
      </c>
      <c r="Y219">
        <v>5.6</v>
      </c>
      <c r="AA219">
        <v>12.76</v>
      </c>
      <c r="AB219">
        <v>0</v>
      </c>
      <c r="AC219">
        <v>0</v>
      </c>
      <c r="AD219">
        <v>0</v>
      </c>
      <c r="AE219">
        <v>12.76</v>
      </c>
      <c r="AF219">
        <v>0</v>
      </c>
      <c r="AG219">
        <v>0</v>
      </c>
      <c r="AH219">
        <v>0</v>
      </c>
      <c r="AI219">
        <v>1</v>
      </c>
      <c r="AJ219">
        <v>1</v>
      </c>
      <c r="AK219">
        <v>1</v>
      </c>
      <c r="AL219">
        <v>1</v>
      </c>
      <c r="AN219">
        <v>0</v>
      </c>
      <c r="AO219">
        <v>1</v>
      </c>
      <c r="AP219">
        <v>0</v>
      </c>
      <c r="AQ219">
        <v>0</v>
      </c>
      <c r="AR219">
        <v>0</v>
      </c>
      <c r="AS219" t="s">
        <v>3</v>
      </c>
      <c r="AT219">
        <v>5.6</v>
      </c>
      <c r="AU219" t="s">
        <v>3</v>
      </c>
      <c r="AV219">
        <v>0</v>
      </c>
      <c r="AW219">
        <v>2</v>
      </c>
      <c r="AX219">
        <v>56442201</v>
      </c>
      <c r="AY219">
        <v>1</v>
      </c>
      <c r="AZ219">
        <v>0</v>
      </c>
      <c r="BA219">
        <v>204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CX219">
        <f>Y219*Source!I464</f>
        <v>46.367999999999995</v>
      </c>
      <c r="CY219">
        <f>AA219</f>
        <v>12.76</v>
      </c>
      <c r="CZ219">
        <f>AE219</f>
        <v>12.76</v>
      </c>
      <c r="DA219">
        <f>AI219</f>
        <v>1</v>
      </c>
      <c r="DB219">
        <f t="shared" si="37"/>
        <v>71.459999999999994</v>
      </c>
      <c r="DC219">
        <f t="shared" si="38"/>
        <v>0</v>
      </c>
    </row>
    <row r="220" spans="1:107" x14ac:dyDescent="0.2">
      <c r="A220">
        <f>ROW(Source!A464)</f>
        <v>464</v>
      </c>
      <c r="B220">
        <v>56440881</v>
      </c>
      <c r="C220">
        <v>56442185</v>
      </c>
      <c r="D220">
        <v>52971962</v>
      </c>
      <c r="E220">
        <v>1</v>
      </c>
      <c r="F220">
        <v>1</v>
      </c>
      <c r="G220">
        <v>25</v>
      </c>
      <c r="H220">
        <v>3</v>
      </c>
      <c r="I220" t="s">
        <v>427</v>
      </c>
      <c r="J220" t="s">
        <v>428</v>
      </c>
      <c r="K220" t="s">
        <v>429</v>
      </c>
      <c r="L220">
        <v>1348</v>
      </c>
      <c r="N220">
        <v>1009</v>
      </c>
      <c r="O220" t="s">
        <v>44</v>
      </c>
      <c r="P220" t="s">
        <v>44</v>
      </c>
      <c r="Q220">
        <v>1000</v>
      </c>
      <c r="W220">
        <v>0</v>
      </c>
      <c r="X220">
        <v>92064028</v>
      </c>
      <c r="Y220">
        <v>3.15E-3</v>
      </c>
      <c r="AA220">
        <v>349768.5</v>
      </c>
      <c r="AB220">
        <v>0</v>
      </c>
      <c r="AC220">
        <v>0</v>
      </c>
      <c r="AD220">
        <v>0</v>
      </c>
      <c r="AE220">
        <v>349768.5</v>
      </c>
      <c r="AF220">
        <v>0</v>
      </c>
      <c r="AG220">
        <v>0</v>
      </c>
      <c r="AH220">
        <v>0</v>
      </c>
      <c r="AI220">
        <v>1</v>
      </c>
      <c r="AJ220">
        <v>1</v>
      </c>
      <c r="AK220">
        <v>1</v>
      </c>
      <c r="AL220">
        <v>1</v>
      </c>
      <c r="AN220">
        <v>0</v>
      </c>
      <c r="AO220">
        <v>1</v>
      </c>
      <c r="AP220">
        <v>0</v>
      </c>
      <c r="AQ220">
        <v>0</v>
      </c>
      <c r="AR220">
        <v>0</v>
      </c>
      <c r="AS220" t="s">
        <v>3</v>
      </c>
      <c r="AT220">
        <v>3.15E-3</v>
      </c>
      <c r="AU220" t="s">
        <v>3</v>
      </c>
      <c r="AV220">
        <v>0</v>
      </c>
      <c r="AW220">
        <v>2</v>
      </c>
      <c r="AX220">
        <v>56442202</v>
      </c>
      <c r="AY220">
        <v>1</v>
      </c>
      <c r="AZ220">
        <v>0</v>
      </c>
      <c r="BA220">
        <v>205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CX220">
        <f>Y220*Source!I464</f>
        <v>2.6081999999999998E-2</v>
      </c>
      <c r="CY220">
        <f>AA220</f>
        <v>349768.5</v>
      </c>
      <c r="CZ220">
        <f>AE220</f>
        <v>349768.5</v>
      </c>
      <c r="DA220">
        <f>AI220</f>
        <v>1</v>
      </c>
      <c r="DB220">
        <f t="shared" si="37"/>
        <v>1101.77</v>
      </c>
      <c r="DC220">
        <f t="shared" si="38"/>
        <v>0</v>
      </c>
    </row>
    <row r="221" spans="1:107" x14ac:dyDescent="0.2">
      <c r="A221">
        <f>ROW(Source!A464)</f>
        <v>464</v>
      </c>
      <c r="B221">
        <v>56440881</v>
      </c>
      <c r="C221">
        <v>56442185</v>
      </c>
      <c r="D221">
        <v>52972179</v>
      </c>
      <c r="E221">
        <v>1</v>
      </c>
      <c r="F221">
        <v>1</v>
      </c>
      <c r="G221">
        <v>25</v>
      </c>
      <c r="H221">
        <v>3</v>
      </c>
      <c r="I221" t="s">
        <v>430</v>
      </c>
      <c r="J221" t="s">
        <v>431</v>
      </c>
      <c r="K221" t="s">
        <v>432</v>
      </c>
      <c r="L221">
        <v>1346</v>
      </c>
      <c r="N221">
        <v>1009</v>
      </c>
      <c r="O221" t="s">
        <v>210</v>
      </c>
      <c r="P221" t="s">
        <v>210</v>
      </c>
      <c r="Q221">
        <v>1</v>
      </c>
      <c r="W221">
        <v>0</v>
      </c>
      <c r="X221">
        <v>752941587</v>
      </c>
      <c r="Y221">
        <v>735</v>
      </c>
      <c r="AA221">
        <v>18.399999999999999</v>
      </c>
      <c r="AB221">
        <v>0</v>
      </c>
      <c r="AC221">
        <v>0</v>
      </c>
      <c r="AD221">
        <v>0</v>
      </c>
      <c r="AE221">
        <v>18.399999999999999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1</v>
      </c>
      <c r="AL221">
        <v>1</v>
      </c>
      <c r="AN221">
        <v>0</v>
      </c>
      <c r="AO221">
        <v>1</v>
      </c>
      <c r="AP221">
        <v>0</v>
      </c>
      <c r="AQ221">
        <v>0</v>
      </c>
      <c r="AR221">
        <v>0</v>
      </c>
      <c r="AS221" t="s">
        <v>3</v>
      </c>
      <c r="AT221">
        <v>735</v>
      </c>
      <c r="AU221" t="s">
        <v>3</v>
      </c>
      <c r="AV221">
        <v>0</v>
      </c>
      <c r="AW221">
        <v>2</v>
      </c>
      <c r="AX221">
        <v>56442203</v>
      </c>
      <c r="AY221">
        <v>1</v>
      </c>
      <c r="AZ221">
        <v>0</v>
      </c>
      <c r="BA221">
        <v>206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CX221">
        <f>Y221*Source!I464</f>
        <v>6085.7999999999993</v>
      </c>
      <c r="CY221">
        <f>AA221</f>
        <v>18.399999999999999</v>
      </c>
      <c r="CZ221">
        <f>AE221</f>
        <v>18.399999999999999</v>
      </c>
      <c r="DA221">
        <f>AI221</f>
        <v>1</v>
      </c>
      <c r="DB221">
        <f t="shared" si="37"/>
        <v>13524</v>
      </c>
      <c r="DC221">
        <f t="shared" si="38"/>
        <v>0</v>
      </c>
    </row>
    <row r="222" spans="1:107" x14ac:dyDescent="0.2">
      <c r="A222">
        <f>ROW(Source!A464)</f>
        <v>464</v>
      </c>
      <c r="B222">
        <v>56440881</v>
      </c>
      <c r="C222">
        <v>56442185</v>
      </c>
      <c r="D222">
        <v>52972186</v>
      </c>
      <c r="E222">
        <v>1</v>
      </c>
      <c r="F222">
        <v>1</v>
      </c>
      <c r="G222">
        <v>25</v>
      </c>
      <c r="H222">
        <v>3</v>
      </c>
      <c r="I222" t="s">
        <v>433</v>
      </c>
      <c r="J222" t="s">
        <v>434</v>
      </c>
      <c r="K222" t="s">
        <v>435</v>
      </c>
      <c r="L222">
        <v>1346</v>
      </c>
      <c r="N222">
        <v>1009</v>
      </c>
      <c r="O222" t="s">
        <v>210</v>
      </c>
      <c r="P222" t="s">
        <v>210</v>
      </c>
      <c r="Q222">
        <v>1</v>
      </c>
      <c r="W222">
        <v>0</v>
      </c>
      <c r="X222">
        <v>-1257349577</v>
      </c>
      <c r="Y222">
        <v>241.5</v>
      </c>
      <c r="AA222">
        <v>189.61</v>
      </c>
      <c r="AB222">
        <v>0</v>
      </c>
      <c r="AC222">
        <v>0</v>
      </c>
      <c r="AD222">
        <v>0</v>
      </c>
      <c r="AE222">
        <v>189.61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N222">
        <v>0</v>
      </c>
      <c r="AO222">
        <v>1</v>
      </c>
      <c r="AP222">
        <v>0</v>
      </c>
      <c r="AQ222">
        <v>0</v>
      </c>
      <c r="AR222">
        <v>0</v>
      </c>
      <c r="AS222" t="s">
        <v>3</v>
      </c>
      <c r="AT222">
        <v>241.5</v>
      </c>
      <c r="AU222" t="s">
        <v>3</v>
      </c>
      <c r="AV222">
        <v>0</v>
      </c>
      <c r="AW222">
        <v>2</v>
      </c>
      <c r="AX222">
        <v>56442204</v>
      </c>
      <c r="AY222">
        <v>1</v>
      </c>
      <c r="AZ222">
        <v>0</v>
      </c>
      <c r="BA222">
        <v>207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CX222">
        <f>Y222*Source!I464</f>
        <v>1999.62</v>
      </c>
      <c r="CY222">
        <f>AA222</f>
        <v>189.61</v>
      </c>
      <c r="CZ222">
        <f>AE222</f>
        <v>189.61</v>
      </c>
      <c r="DA222">
        <f>AI222</f>
        <v>1</v>
      </c>
      <c r="DB222">
        <f t="shared" si="37"/>
        <v>45790.82</v>
      </c>
      <c r="DC222">
        <f t="shared" si="38"/>
        <v>0</v>
      </c>
    </row>
    <row r="223" spans="1:107" x14ac:dyDescent="0.2">
      <c r="A223">
        <f>ROW(Source!A464)</f>
        <v>464</v>
      </c>
      <c r="B223">
        <v>56440881</v>
      </c>
      <c r="C223">
        <v>56442185</v>
      </c>
      <c r="D223">
        <v>52970162</v>
      </c>
      <c r="E223">
        <v>1</v>
      </c>
      <c r="F223">
        <v>1</v>
      </c>
      <c r="G223">
        <v>25</v>
      </c>
      <c r="H223">
        <v>3</v>
      </c>
      <c r="I223" t="s">
        <v>198</v>
      </c>
      <c r="J223" t="s">
        <v>200</v>
      </c>
      <c r="K223" t="s">
        <v>199</v>
      </c>
      <c r="L223">
        <v>1348</v>
      </c>
      <c r="N223">
        <v>1009</v>
      </c>
      <c r="O223" t="s">
        <v>44</v>
      </c>
      <c r="P223" t="s">
        <v>44</v>
      </c>
      <c r="Q223">
        <v>1000</v>
      </c>
      <c r="W223">
        <v>1</v>
      </c>
      <c r="X223">
        <v>-1486531542</v>
      </c>
      <c r="Y223">
        <v>-5.2499999999999998E-2</v>
      </c>
      <c r="AA223">
        <v>748288.41</v>
      </c>
      <c r="AB223">
        <v>0</v>
      </c>
      <c r="AC223">
        <v>0</v>
      </c>
      <c r="AD223">
        <v>0</v>
      </c>
      <c r="AE223">
        <v>748288.41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1</v>
      </c>
      <c r="AL223">
        <v>1</v>
      </c>
      <c r="AN223">
        <v>0</v>
      </c>
      <c r="AO223">
        <v>1</v>
      </c>
      <c r="AP223">
        <v>0</v>
      </c>
      <c r="AQ223">
        <v>0</v>
      </c>
      <c r="AR223">
        <v>0</v>
      </c>
      <c r="AS223" t="s">
        <v>3</v>
      </c>
      <c r="AT223">
        <v>-5.2499999999999998E-2</v>
      </c>
      <c r="AU223" t="s">
        <v>3</v>
      </c>
      <c r="AV223">
        <v>0</v>
      </c>
      <c r="AW223">
        <v>2</v>
      </c>
      <c r="AX223">
        <v>56442205</v>
      </c>
      <c r="AY223">
        <v>1</v>
      </c>
      <c r="AZ223">
        <v>6144</v>
      </c>
      <c r="BA223">
        <v>208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CX223">
        <f>Y223*Source!I464</f>
        <v>-0.43469999999999998</v>
      </c>
      <c r="CY223">
        <f>AA223</f>
        <v>748288.41</v>
      </c>
      <c r="CZ223">
        <f>AE223</f>
        <v>748288.41</v>
      </c>
      <c r="DA223">
        <f>AI223</f>
        <v>1</v>
      </c>
      <c r="DB223">
        <f t="shared" si="37"/>
        <v>-39285.14</v>
      </c>
      <c r="DC223">
        <f t="shared" si="38"/>
        <v>0</v>
      </c>
    </row>
    <row r="224" spans="1:107" x14ac:dyDescent="0.2">
      <c r="A224">
        <f>ROW(Source!A466)</f>
        <v>466</v>
      </c>
      <c r="B224">
        <v>56440881</v>
      </c>
      <c r="C224">
        <v>56442207</v>
      </c>
      <c r="D224">
        <v>52956643</v>
      </c>
      <c r="E224">
        <v>25</v>
      </c>
      <c r="F224">
        <v>1</v>
      </c>
      <c r="G224">
        <v>25</v>
      </c>
      <c r="H224">
        <v>1</v>
      </c>
      <c r="I224" t="s">
        <v>348</v>
      </c>
      <c r="J224" t="s">
        <v>3</v>
      </c>
      <c r="K224" t="s">
        <v>349</v>
      </c>
      <c r="L224">
        <v>1191</v>
      </c>
      <c r="N224">
        <v>1013</v>
      </c>
      <c r="O224" t="s">
        <v>350</v>
      </c>
      <c r="P224" t="s">
        <v>350</v>
      </c>
      <c r="Q224">
        <v>1</v>
      </c>
      <c r="W224">
        <v>0</v>
      </c>
      <c r="X224">
        <v>476480486</v>
      </c>
      <c r="Y224">
        <v>13.25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1</v>
      </c>
      <c r="AK224">
        <v>1</v>
      </c>
      <c r="AL224">
        <v>1</v>
      </c>
      <c r="AN224">
        <v>0</v>
      </c>
      <c r="AO224">
        <v>1</v>
      </c>
      <c r="AP224">
        <v>1</v>
      </c>
      <c r="AQ224">
        <v>0</v>
      </c>
      <c r="AR224">
        <v>0</v>
      </c>
      <c r="AS224" t="s">
        <v>3</v>
      </c>
      <c r="AT224">
        <v>2.65</v>
      </c>
      <c r="AU224" t="s">
        <v>205</v>
      </c>
      <c r="AV224">
        <v>1</v>
      </c>
      <c r="AW224">
        <v>2</v>
      </c>
      <c r="AX224">
        <v>56442215</v>
      </c>
      <c r="AY224">
        <v>1</v>
      </c>
      <c r="AZ224">
        <v>0</v>
      </c>
      <c r="BA224">
        <v>209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CX224">
        <f>Y224*Source!I466</f>
        <v>109.71</v>
      </c>
      <c r="CY224">
        <f>AD224</f>
        <v>0</v>
      </c>
      <c r="CZ224">
        <f>AH224</f>
        <v>0</v>
      </c>
      <c r="DA224">
        <f>AL224</f>
        <v>1</v>
      </c>
      <c r="DB224">
        <f t="shared" ref="DB224:DB229" si="39">ROUND((ROUND(AT224*CZ224,2)*5),2)</f>
        <v>0</v>
      </c>
      <c r="DC224">
        <f t="shared" ref="DC224:DC229" si="40">ROUND((ROUND(AT224*AG224,2)*5),2)</f>
        <v>0</v>
      </c>
    </row>
    <row r="225" spans="1:107" x14ac:dyDescent="0.2">
      <c r="A225">
        <f>ROW(Source!A466)</f>
        <v>466</v>
      </c>
      <c r="B225">
        <v>56440881</v>
      </c>
      <c r="C225">
        <v>56442207</v>
      </c>
      <c r="D225">
        <v>52969457</v>
      </c>
      <c r="E225">
        <v>1</v>
      </c>
      <c r="F225">
        <v>1</v>
      </c>
      <c r="G225">
        <v>25</v>
      </c>
      <c r="H225">
        <v>2</v>
      </c>
      <c r="I225" t="s">
        <v>412</v>
      </c>
      <c r="J225" t="s">
        <v>413</v>
      </c>
      <c r="K225" t="s">
        <v>414</v>
      </c>
      <c r="L225">
        <v>1368</v>
      </c>
      <c r="N225">
        <v>1011</v>
      </c>
      <c r="O225" t="s">
        <v>354</v>
      </c>
      <c r="P225" t="s">
        <v>354</v>
      </c>
      <c r="Q225">
        <v>1</v>
      </c>
      <c r="W225">
        <v>0</v>
      </c>
      <c r="X225">
        <v>1717121030</v>
      </c>
      <c r="Y225">
        <v>2.5</v>
      </c>
      <c r="AA225">
        <v>0</v>
      </c>
      <c r="AB225">
        <v>508.57</v>
      </c>
      <c r="AC225">
        <v>355.5</v>
      </c>
      <c r="AD225">
        <v>0</v>
      </c>
      <c r="AE225">
        <v>0</v>
      </c>
      <c r="AF225">
        <v>508.57</v>
      </c>
      <c r="AG225">
        <v>355.5</v>
      </c>
      <c r="AH225">
        <v>0</v>
      </c>
      <c r="AI225">
        <v>1</v>
      </c>
      <c r="AJ225">
        <v>1</v>
      </c>
      <c r="AK225">
        <v>1</v>
      </c>
      <c r="AL225">
        <v>1</v>
      </c>
      <c r="AN225">
        <v>0</v>
      </c>
      <c r="AO225">
        <v>1</v>
      </c>
      <c r="AP225">
        <v>1</v>
      </c>
      <c r="AQ225">
        <v>0</v>
      </c>
      <c r="AR225">
        <v>0</v>
      </c>
      <c r="AS225" t="s">
        <v>3</v>
      </c>
      <c r="AT225">
        <v>0.5</v>
      </c>
      <c r="AU225" t="s">
        <v>205</v>
      </c>
      <c r="AV225">
        <v>0</v>
      </c>
      <c r="AW225">
        <v>2</v>
      </c>
      <c r="AX225">
        <v>56442216</v>
      </c>
      <c r="AY225">
        <v>1</v>
      </c>
      <c r="AZ225">
        <v>0</v>
      </c>
      <c r="BA225">
        <v>210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CX225">
        <f>Y225*Source!I466</f>
        <v>20.7</v>
      </c>
      <c r="CY225">
        <f>AB225</f>
        <v>508.57</v>
      </c>
      <c r="CZ225">
        <f>AF225</f>
        <v>508.57</v>
      </c>
      <c r="DA225">
        <f>AJ225</f>
        <v>1</v>
      </c>
      <c r="DB225">
        <f t="shared" si="39"/>
        <v>1271.45</v>
      </c>
      <c r="DC225">
        <f t="shared" si="40"/>
        <v>888.75</v>
      </c>
    </row>
    <row r="226" spans="1:107" x14ac:dyDescent="0.2">
      <c r="A226">
        <f>ROW(Source!A466)</f>
        <v>466</v>
      </c>
      <c r="B226">
        <v>56440881</v>
      </c>
      <c r="C226">
        <v>56442207</v>
      </c>
      <c r="D226">
        <v>52969067</v>
      </c>
      <c r="E226">
        <v>1</v>
      </c>
      <c r="F226">
        <v>1</v>
      </c>
      <c r="G226">
        <v>25</v>
      </c>
      <c r="H226">
        <v>2</v>
      </c>
      <c r="I226" t="s">
        <v>421</v>
      </c>
      <c r="J226" t="s">
        <v>422</v>
      </c>
      <c r="K226" t="s">
        <v>423</v>
      </c>
      <c r="L226">
        <v>1368</v>
      </c>
      <c r="N226">
        <v>1011</v>
      </c>
      <c r="O226" t="s">
        <v>354</v>
      </c>
      <c r="P226" t="s">
        <v>354</v>
      </c>
      <c r="Q226">
        <v>1</v>
      </c>
      <c r="W226">
        <v>0</v>
      </c>
      <c r="X226">
        <v>1978348804</v>
      </c>
      <c r="Y226">
        <v>2.5</v>
      </c>
      <c r="AA226">
        <v>0</v>
      </c>
      <c r="AB226">
        <v>434.82</v>
      </c>
      <c r="AC226">
        <v>386.07</v>
      </c>
      <c r="AD226">
        <v>0</v>
      </c>
      <c r="AE226">
        <v>0</v>
      </c>
      <c r="AF226">
        <v>434.82</v>
      </c>
      <c r="AG226">
        <v>386.07</v>
      </c>
      <c r="AH226">
        <v>0</v>
      </c>
      <c r="AI226">
        <v>1</v>
      </c>
      <c r="AJ226">
        <v>1</v>
      </c>
      <c r="AK226">
        <v>1</v>
      </c>
      <c r="AL226">
        <v>1</v>
      </c>
      <c r="AN226">
        <v>0</v>
      </c>
      <c r="AO226">
        <v>1</v>
      </c>
      <c r="AP226">
        <v>1</v>
      </c>
      <c r="AQ226">
        <v>0</v>
      </c>
      <c r="AR226">
        <v>0</v>
      </c>
      <c r="AS226" t="s">
        <v>3</v>
      </c>
      <c r="AT226">
        <v>0.5</v>
      </c>
      <c r="AU226" t="s">
        <v>205</v>
      </c>
      <c r="AV226">
        <v>0</v>
      </c>
      <c r="AW226">
        <v>2</v>
      </c>
      <c r="AX226">
        <v>56442217</v>
      </c>
      <c r="AY226">
        <v>1</v>
      </c>
      <c r="AZ226">
        <v>0</v>
      </c>
      <c r="BA226">
        <v>211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CX226">
        <f>Y226*Source!I466</f>
        <v>20.7</v>
      </c>
      <c r="CY226">
        <f>AB226</f>
        <v>434.82</v>
      </c>
      <c r="CZ226">
        <f>AF226</f>
        <v>434.82</v>
      </c>
      <c r="DA226">
        <f>AJ226</f>
        <v>1</v>
      </c>
      <c r="DB226">
        <f t="shared" si="39"/>
        <v>1087.05</v>
      </c>
      <c r="DC226">
        <f t="shared" si="40"/>
        <v>965.2</v>
      </c>
    </row>
    <row r="227" spans="1:107" x14ac:dyDescent="0.2">
      <c r="A227">
        <f>ROW(Source!A466)</f>
        <v>466</v>
      </c>
      <c r="B227">
        <v>56440881</v>
      </c>
      <c r="C227">
        <v>56442207</v>
      </c>
      <c r="D227">
        <v>52972179</v>
      </c>
      <c r="E227">
        <v>1</v>
      </c>
      <c r="F227">
        <v>1</v>
      </c>
      <c r="G227">
        <v>25</v>
      </c>
      <c r="H227">
        <v>3</v>
      </c>
      <c r="I227" t="s">
        <v>430</v>
      </c>
      <c r="J227" t="s">
        <v>431</v>
      </c>
      <c r="K227" t="s">
        <v>432</v>
      </c>
      <c r="L227">
        <v>1346</v>
      </c>
      <c r="N227">
        <v>1009</v>
      </c>
      <c r="O227" t="s">
        <v>210</v>
      </c>
      <c r="P227" t="s">
        <v>210</v>
      </c>
      <c r="Q227">
        <v>1</v>
      </c>
      <c r="W227">
        <v>0</v>
      </c>
      <c r="X227">
        <v>752941587</v>
      </c>
      <c r="Y227">
        <v>735</v>
      </c>
      <c r="AA227">
        <v>18.399999999999999</v>
      </c>
      <c r="AB227">
        <v>0</v>
      </c>
      <c r="AC227">
        <v>0</v>
      </c>
      <c r="AD227">
        <v>0</v>
      </c>
      <c r="AE227">
        <v>18.399999999999999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</v>
      </c>
      <c r="AL227">
        <v>1</v>
      </c>
      <c r="AN227">
        <v>0</v>
      </c>
      <c r="AO227">
        <v>1</v>
      </c>
      <c r="AP227">
        <v>1</v>
      </c>
      <c r="AQ227">
        <v>0</v>
      </c>
      <c r="AR227">
        <v>0</v>
      </c>
      <c r="AS227" t="s">
        <v>3</v>
      </c>
      <c r="AT227">
        <v>147</v>
      </c>
      <c r="AU227" t="s">
        <v>205</v>
      </c>
      <c r="AV227">
        <v>0</v>
      </c>
      <c r="AW227">
        <v>2</v>
      </c>
      <c r="AX227">
        <v>56442218</v>
      </c>
      <c r="AY227">
        <v>1</v>
      </c>
      <c r="AZ227">
        <v>0</v>
      </c>
      <c r="BA227">
        <v>212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CX227">
        <f>Y227*Source!I466</f>
        <v>6085.7999999999993</v>
      </c>
      <c r="CY227">
        <f>AA227</f>
        <v>18.399999999999999</v>
      </c>
      <c r="CZ227">
        <f>AE227</f>
        <v>18.399999999999999</v>
      </c>
      <c r="DA227">
        <f>AI227</f>
        <v>1</v>
      </c>
      <c r="DB227">
        <f t="shared" si="39"/>
        <v>13524</v>
      </c>
      <c r="DC227">
        <f t="shared" si="40"/>
        <v>0</v>
      </c>
    </row>
    <row r="228" spans="1:107" x14ac:dyDescent="0.2">
      <c r="A228">
        <f>ROW(Source!A466)</f>
        <v>466</v>
      </c>
      <c r="B228">
        <v>56440881</v>
      </c>
      <c r="C228">
        <v>56442207</v>
      </c>
      <c r="D228">
        <v>52972186</v>
      </c>
      <c r="E228">
        <v>1</v>
      </c>
      <c r="F228">
        <v>1</v>
      </c>
      <c r="G228">
        <v>25</v>
      </c>
      <c r="H228">
        <v>3</v>
      </c>
      <c r="I228" t="s">
        <v>433</v>
      </c>
      <c r="J228" t="s">
        <v>434</v>
      </c>
      <c r="K228" t="s">
        <v>435</v>
      </c>
      <c r="L228">
        <v>1346</v>
      </c>
      <c r="N228">
        <v>1009</v>
      </c>
      <c r="O228" t="s">
        <v>210</v>
      </c>
      <c r="P228" t="s">
        <v>210</v>
      </c>
      <c r="Q228">
        <v>1</v>
      </c>
      <c r="W228">
        <v>0</v>
      </c>
      <c r="X228">
        <v>-1257349577</v>
      </c>
      <c r="Y228">
        <v>210</v>
      </c>
      <c r="AA228">
        <v>189.61</v>
      </c>
      <c r="AB228">
        <v>0</v>
      </c>
      <c r="AC228">
        <v>0</v>
      </c>
      <c r="AD228">
        <v>0</v>
      </c>
      <c r="AE228">
        <v>189.61</v>
      </c>
      <c r="AF228">
        <v>0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1</v>
      </c>
      <c r="AN228">
        <v>0</v>
      </c>
      <c r="AO228">
        <v>1</v>
      </c>
      <c r="AP228">
        <v>1</v>
      </c>
      <c r="AQ228">
        <v>0</v>
      </c>
      <c r="AR228">
        <v>0</v>
      </c>
      <c r="AS228" t="s">
        <v>3</v>
      </c>
      <c r="AT228">
        <v>42</v>
      </c>
      <c r="AU228" t="s">
        <v>205</v>
      </c>
      <c r="AV228">
        <v>0</v>
      </c>
      <c r="AW228">
        <v>2</v>
      </c>
      <c r="AX228">
        <v>56442219</v>
      </c>
      <c r="AY228">
        <v>1</v>
      </c>
      <c r="AZ228">
        <v>0</v>
      </c>
      <c r="BA228">
        <v>213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CX228">
        <f>Y228*Source!I466</f>
        <v>1738.8</v>
      </c>
      <c r="CY228">
        <f>AA228</f>
        <v>189.61</v>
      </c>
      <c r="CZ228">
        <f>AE228</f>
        <v>189.61</v>
      </c>
      <c r="DA228">
        <f>AI228</f>
        <v>1</v>
      </c>
      <c r="DB228">
        <f t="shared" si="39"/>
        <v>39818.1</v>
      </c>
      <c r="DC228">
        <f t="shared" si="40"/>
        <v>0</v>
      </c>
    </row>
    <row r="229" spans="1:107" x14ac:dyDescent="0.2">
      <c r="A229">
        <f>ROW(Source!A466)</f>
        <v>466</v>
      </c>
      <c r="B229">
        <v>56440881</v>
      </c>
      <c r="C229">
        <v>56442207</v>
      </c>
      <c r="D229">
        <v>52970162</v>
      </c>
      <c r="E229">
        <v>1</v>
      </c>
      <c r="F229">
        <v>1</v>
      </c>
      <c r="G229">
        <v>25</v>
      </c>
      <c r="H229">
        <v>3</v>
      </c>
      <c r="I229" t="s">
        <v>198</v>
      </c>
      <c r="J229" t="s">
        <v>200</v>
      </c>
      <c r="K229" t="s">
        <v>199</v>
      </c>
      <c r="L229">
        <v>1348</v>
      </c>
      <c r="N229">
        <v>1009</v>
      </c>
      <c r="O229" t="s">
        <v>44</v>
      </c>
      <c r="P229" t="s">
        <v>44</v>
      </c>
      <c r="Q229">
        <v>1000</v>
      </c>
      <c r="W229">
        <v>1</v>
      </c>
      <c r="X229">
        <v>-1486531542</v>
      </c>
      <c r="Y229">
        <v>-5.2500000000000005E-2</v>
      </c>
      <c r="AA229">
        <v>748288.41</v>
      </c>
      <c r="AB229">
        <v>0</v>
      </c>
      <c r="AC229">
        <v>0</v>
      </c>
      <c r="AD229">
        <v>0</v>
      </c>
      <c r="AE229">
        <v>748288.41</v>
      </c>
      <c r="AF229">
        <v>0</v>
      </c>
      <c r="AG229">
        <v>0</v>
      </c>
      <c r="AH229">
        <v>0</v>
      </c>
      <c r="AI229">
        <v>1</v>
      </c>
      <c r="AJ229">
        <v>1</v>
      </c>
      <c r="AK229">
        <v>1</v>
      </c>
      <c r="AL229">
        <v>1</v>
      </c>
      <c r="AN229">
        <v>0</v>
      </c>
      <c r="AO229">
        <v>1</v>
      </c>
      <c r="AP229">
        <v>1</v>
      </c>
      <c r="AQ229">
        <v>0</v>
      </c>
      <c r="AR229">
        <v>0</v>
      </c>
      <c r="AS229" t="s">
        <v>3</v>
      </c>
      <c r="AT229">
        <v>-1.0500000000000001E-2</v>
      </c>
      <c r="AU229" t="s">
        <v>205</v>
      </c>
      <c r="AV229">
        <v>0</v>
      </c>
      <c r="AW229">
        <v>2</v>
      </c>
      <c r="AX229">
        <v>56442220</v>
      </c>
      <c r="AY229">
        <v>1</v>
      </c>
      <c r="AZ229">
        <v>6144</v>
      </c>
      <c r="BA229">
        <v>214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CX229">
        <f>Y229*Source!I466</f>
        <v>-0.43470000000000003</v>
      </c>
      <c r="CY229">
        <f>AA229</f>
        <v>748288.41</v>
      </c>
      <c r="CZ229">
        <f>AE229</f>
        <v>748288.41</v>
      </c>
      <c r="DA229">
        <f>AI229</f>
        <v>1</v>
      </c>
      <c r="DB229">
        <f t="shared" si="39"/>
        <v>-39285.15</v>
      </c>
      <c r="DC229">
        <f t="shared" si="40"/>
        <v>0</v>
      </c>
    </row>
    <row r="230" spans="1:107" x14ac:dyDescent="0.2">
      <c r="A230">
        <f>ROW(Source!A466)</f>
        <v>466</v>
      </c>
      <c r="B230">
        <v>56440881</v>
      </c>
      <c r="C230">
        <v>56442207</v>
      </c>
      <c r="D230">
        <v>52970215</v>
      </c>
      <c r="E230">
        <v>1</v>
      </c>
      <c r="F230">
        <v>1</v>
      </c>
      <c r="G230">
        <v>25</v>
      </c>
      <c r="H230">
        <v>3</v>
      </c>
      <c r="I230" t="s">
        <v>208</v>
      </c>
      <c r="J230" t="s">
        <v>211</v>
      </c>
      <c r="K230" t="s">
        <v>209</v>
      </c>
      <c r="L230">
        <v>1346</v>
      </c>
      <c r="N230">
        <v>1009</v>
      </c>
      <c r="O230" t="s">
        <v>210</v>
      </c>
      <c r="P230" t="s">
        <v>210</v>
      </c>
      <c r="Q230">
        <v>1</v>
      </c>
      <c r="W230">
        <v>0</v>
      </c>
      <c r="X230">
        <v>-1858947663</v>
      </c>
      <c r="Y230">
        <v>52.5</v>
      </c>
      <c r="AA230">
        <v>124.48</v>
      </c>
      <c r="AB230">
        <v>0</v>
      </c>
      <c r="AC230">
        <v>0</v>
      </c>
      <c r="AD230">
        <v>0</v>
      </c>
      <c r="AE230">
        <v>124.48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1</v>
      </c>
      <c r="AN230">
        <v>0</v>
      </c>
      <c r="AO230">
        <v>0</v>
      </c>
      <c r="AP230">
        <v>1</v>
      </c>
      <c r="AQ230">
        <v>0</v>
      </c>
      <c r="AR230">
        <v>0</v>
      </c>
      <c r="AS230" t="s">
        <v>3</v>
      </c>
      <c r="AT230">
        <v>52.5</v>
      </c>
      <c r="AU230" t="s">
        <v>3</v>
      </c>
      <c r="AV230">
        <v>0</v>
      </c>
      <c r="AW230">
        <v>1</v>
      </c>
      <c r="AX230">
        <v>-1</v>
      </c>
      <c r="AY230">
        <v>0</v>
      </c>
      <c r="AZ230">
        <v>0</v>
      </c>
      <c r="BA230" t="s">
        <v>3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CX230">
        <f>Y230*Source!I466</f>
        <v>434.7</v>
      </c>
      <c r="CY230">
        <f>AA230</f>
        <v>124.48</v>
      </c>
      <c r="CZ230">
        <f>AE230</f>
        <v>124.48</v>
      </c>
      <c r="DA230">
        <f>AI230</f>
        <v>1</v>
      </c>
      <c r="DB230">
        <f>ROUND(ROUND(AT230*CZ230,2),2)</f>
        <v>6535.2</v>
      </c>
      <c r="DC230">
        <f>ROUND(ROUND(AT230*AG230,2),2)</f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21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56474709</v>
      </c>
      <c r="C1">
        <v>56450822</v>
      </c>
      <c r="D1">
        <v>52956643</v>
      </c>
      <c r="E1">
        <v>25</v>
      </c>
      <c r="F1">
        <v>1</v>
      </c>
      <c r="G1">
        <v>25</v>
      </c>
      <c r="H1">
        <v>1</v>
      </c>
      <c r="I1" t="s">
        <v>348</v>
      </c>
      <c r="J1" t="s">
        <v>3</v>
      </c>
      <c r="K1" t="s">
        <v>349</v>
      </c>
      <c r="L1">
        <v>1191</v>
      </c>
      <c r="N1">
        <v>1013</v>
      </c>
      <c r="O1" t="s">
        <v>350</v>
      </c>
      <c r="P1" t="s">
        <v>350</v>
      </c>
      <c r="Q1">
        <v>1</v>
      </c>
      <c r="X1">
        <v>87.29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87.29</v>
      </c>
      <c r="AH1">
        <v>2</v>
      </c>
      <c r="AI1">
        <v>56474709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ROW(Source!A28)</f>
        <v>28</v>
      </c>
      <c r="B2">
        <v>56474710</v>
      </c>
      <c r="C2">
        <v>56450822</v>
      </c>
      <c r="D2">
        <v>52968814</v>
      </c>
      <c r="E2">
        <v>1</v>
      </c>
      <c r="F2">
        <v>1</v>
      </c>
      <c r="G2">
        <v>25</v>
      </c>
      <c r="H2">
        <v>2</v>
      </c>
      <c r="I2" t="s">
        <v>351</v>
      </c>
      <c r="J2" t="s">
        <v>352</v>
      </c>
      <c r="K2" t="s">
        <v>353</v>
      </c>
      <c r="L2">
        <v>1368</v>
      </c>
      <c r="N2">
        <v>1011</v>
      </c>
      <c r="O2" t="s">
        <v>354</v>
      </c>
      <c r="P2" t="s">
        <v>354</v>
      </c>
      <c r="Q2">
        <v>1</v>
      </c>
      <c r="X2">
        <v>1.59</v>
      </c>
      <c r="Y2">
        <v>0</v>
      </c>
      <c r="Z2">
        <v>1159.46</v>
      </c>
      <c r="AA2">
        <v>525.74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1.59</v>
      </c>
      <c r="AH2">
        <v>2</v>
      </c>
      <c r="AI2">
        <v>56474710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ROW(Source!A28)</f>
        <v>28</v>
      </c>
      <c r="B3">
        <v>56474711</v>
      </c>
      <c r="C3">
        <v>56450822</v>
      </c>
      <c r="D3">
        <v>52968971</v>
      </c>
      <c r="E3">
        <v>1</v>
      </c>
      <c r="F3">
        <v>1</v>
      </c>
      <c r="G3">
        <v>25</v>
      </c>
      <c r="H3">
        <v>2</v>
      </c>
      <c r="I3" t="s">
        <v>355</v>
      </c>
      <c r="J3" t="s">
        <v>356</v>
      </c>
      <c r="K3" t="s">
        <v>357</v>
      </c>
      <c r="L3">
        <v>1368</v>
      </c>
      <c r="N3">
        <v>1011</v>
      </c>
      <c r="O3" t="s">
        <v>354</v>
      </c>
      <c r="P3" t="s">
        <v>354</v>
      </c>
      <c r="Q3">
        <v>1</v>
      </c>
      <c r="X3">
        <v>5.15</v>
      </c>
      <c r="Y3">
        <v>0</v>
      </c>
      <c r="Z3">
        <v>1236.3</v>
      </c>
      <c r="AA3">
        <v>469.98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5.15</v>
      </c>
      <c r="AH3">
        <v>2</v>
      </c>
      <c r="AI3">
        <v>56474711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ROW(Source!A28)</f>
        <v>28</v>
      </c>
      <c r="B4">
        <v>56474712</v>
      </c>
      <c r="C4">
        <v>56450822</v>
      </c>
      <c r="D4">
        <v>52968957</v>
      </c>
      <c r="E4">
        <v>1</v>
      </c>
      <c r="F4">
        <v>1</v>
      </c>
      <c r="G4">
        <v>25</v>
      </c>
      <c r="H4">
        <v>2</v>
      </c>
      <c r="I4" t="s">
        <v>358</v>
      </c>
      <c r="J4" t="s">
        <v>359</v>
      </c>
      <c r="K4" t="s">
        <v>360</v>
      </c>
      <c r="L4">
        <v>1368</v>
      </c>
      <c r="N4">
        <v>1011</v>
      </c>
      <c r="O4" t="s">
        <v>354</v>
      </c>
      <c r="P4" t="s">
        <v>354</v>
      </c>
      <c r="Q4">
        <v>1</v>
      </c>
      <c r="X4">
        <v>11.26</v>
      </c>
      <c r="Y4">
        <v>0</v>
      </c>
      <c r="Z4">
        <v>1207.81</v>
      </c>
      <c r="AA4">
        <v>504.4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11.26</v>
      </c>
      <c r="AH4">
        <v>2</v>
      </c>
      <c r="AI4">
        <v>56474712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ROW(Source!A28)</f>
        <v>28</v>
      </c>
      <c r="B5">
        <v>56474713</v>
      </c>
      <c r="C5">
        <v>56450822</v>
      </c>
      <c r="D5">
        <v>52968958</v>
      </c>
      <c r="E5">
        <v>1</v>
      </c>
      <c r="F5">
        <v>1</v>
      </c>
      <c r="G5">
        <v>25</v>
      </c>
      <c r="H5">
        <v>2</v>
      </c>
      <c r="I5" t="s">
        <v>361</v>
      </c>
      <c r="J5" t="s">
        <v>362</v>
      </c>
      <c r="K5" t="s">
        <v>363</v>
      </c>
      <c r="L5">
        <v>1368</v>
      </c>
      <c r="N5">
        <v>1011</v>
      </c>
      <c r="O5" t="s">
        <v>354</v>
      </c>
      <c r="P5" t="s">
        <v>354</v>
      </c>
      <c r="Q5">
        <v>1</v>
      </c>
      <c r="X5">
        <v>32.19</v>
      </c>
      <c r="Y5">
        <v>0</v>
      </c>
      <c r="Z5">
        <v>1741.23</v>
      </c>
      <c r="AA5">
        <v>685.71</v>
      </c>
      <c r="AB5">
        <v>0</v>
      </c>
      <c r="AC5">
        <v>0</v>
      </c>
      <c r="AD5">
        <v>1</v>
      </c>
      <c r="AE5">
        <v>0</v>
      </c>
      <c r="AF5" t="s">
        <v>3</v>
      </c>
      <c r="AG5">
        <v>32.19</v>
      </c>
      <c r="AH5">
        <v>2</v>
      </c>
      <c r="AI5">
        <v>56474713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ROW(Source!A28)</f>
        <v>28</v>
      </c>
      <c r="B6">
        <v>56474714</v>
      </c>
      <c r="C6">
        <v>56450822</v>
      </c>
      <c r="D6">
        <v>52968995</v>
      </c>
      <c r="E6">
        <v>1</v>
      </c>
      <c r="F6">
        <v>1</v>
      </c>
      <c r="G6">
        <v>25</v>
      </c>
      <c r="H6">
        <v>2</v>
      </c>
      <c r="I6" t="s">
        <v>364</v>
      </c>
      <c r="J6" t="s">
        <v>365</v>
      </c>
      <c r="K6" t="s">
        <v>366</v>
      </c>
      <c r="L6">
        <v>1368</v>
      </c>
      <c r="N6">
        <v>1011</v>
      </c>
      <c r="O6" t="s">
        <v>354</v>
      </c>
      <c r="P6" t="s">
        <v>354</v>
      </c>
      <c r="Q6">
        <v>1</v>
      </c>
      <c r="X6">
        <v>5.81</v>
      </c>
      <c r="Y6">
        <v>0</v>
      </c>
      <c r="Z6">
        <v>1467.62</v>
      </c>
      <c r="AA6">
        <v>682.01</v>
      </c>
      <c r="AB6">
        <v>0</v>
      </c>
      <c r="AC6">
        <v>0</v>
      </c>
      <c r="AD6">
        <v>1</v>
      </c>
      <c r="AE6">
        <v>0</v>
      </c>
      <c r="AF6" t="s">
        <v>3</v>
      </c>
      <c r="AG6">
        <v>5.81</v>
      </c>
      <c r="AH6">
        <v>2</v>
      </c>
      <c r="AI6">
        <v>56474714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ROW(Source!A28)</f>
        <v>28</v>
      </c>
      <c r="B7">
        <v>56474715</v>
      </c>
      <c r="C7">
        <v>56450822</v>
      </c>
      <c r="D7">
        <v>52970936</v>
      </c>
      <c r="E7">
        <v>1</v>
      </c>
      <c r="F7">
        <v>1</v>
      </c>
      <c r="G7">
        <v>25</v>
      </c>
      <c r="H7">
        <v>3</v>
      </c>
      <c r="I7" t="s">
        <v>24</v>
      </c>
      <c r="J7" t="s">
        <v>27</v>
      </c>
      <c r="K7" t="s">
        <v>25</v>
      </c>
      <c r="L7">
        <v>1339</v>
      </c>
      <c r="N7">
        <v>1007</v>
      </c>
      <c r="O7" t="s">
        <v>26</v>
      </c>
      <c r="P7" t="s">
        <v>26</v>
      </c>
      <c r="Q7">
        <v>1</v>
      </c>
      <c r="X7">
        <v>11.5</v>
      </c>
      <c r="Y7">
        <v>1908.27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3</v>
      </c>
      <c r="AG7">
        <v>11.5</v>
      </c>
      <c r="AH7">
        <v>2</v>
      </c>
      <c r="AI7">
        <v>56474715</v>
      </c>
      <c r="AJ7">
        <v>8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ROW(Source!A28)</f>
        <v>28</v>
      </c>
      <c r="B8">
        <v>56474716</v>
      </c>
      <c r="C8">
        <v>56450822</v>
      </c>
      <c r="D8">
        <v>52970937</v>
      </c>
      <c r="E8">
        <v>1</v>
      </c>
      <c r="F8">
        <v>1</v>
      </c>
      <c r="G8">
        <v>25</v>
      </c>
      <c r="H8">
        <v>3</v>
      </c>
      <c r="I8" t="s">
        <v>29</v>
      </c>
      <c r="J8" t="s">
        <v>31</v>
      </c>
      <c r="K8" t="s">
        <v>30</v>
      </c>
      <c r="L8">
        <v>1339</v>
      </c>
      <c r="N8">
        <v>1007</v>
      </c>
      <c r="O8" t="s">
        <v>26</v>
      </c>
      <c r="P8" t="s">
        <v>26</v>
      </c>
      <c r="Q8">
        <v>1</v>
      </c>
      <c r="X8">
        <v>55</v>
      </c>
      <c r="Y8">
        <v>1806.27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55</v>
      </c>
      <c r="AH8">
        <v>2</v>
      </c>
      <c r="AI8">
        <v>56474716</v>
      </c>
      <c r="AJ8">
        <v>9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ROW(Source!A28)</f>
        <v>28</v>
      </c>
      <c r="B9">
        <v>56474717</v>
      </c>
      <c r="C9">
        <v>56450822</v>
      </c>
      <c r="D9">
        <v>52971654</v>
      </c>
      <c r="E9">
        <v>1</v>
      </c>
      <c r="F9">
        <v>1</v>
      </c>
      <c r="G9">
        <v>25</v>
      </c>
      <c r="H9">
        <v>3</v>
      </c>
      <c r="I9" t="s">
        <v>367</v>
      </c>
      <c r="J9" t="s">
        <v>368</v>
      </c>
      <c r="K9" t="s">
        <v>369</v>
      </c>
      <c r="L9">
        <v>1339</v>
      </c>
      <c r="N9">
        <v>1007</v>
      </c>
      <c r="O9" t="s">
        <v>26</v>
      </c>
      <c r="P9" t="s">
        <v>26</v>
      </c>
      <c r="Q9">
        <v>1</v>
      </c>
      <c r="X9">
        <v>25</v>
      </c>
      <c r="Y9">
        <v>33.729999999999997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 t="s">
        <v>3</v>
      </c>
      <c r="AG9">
        <v>25</v>
      </c>
      <c r="AH9">
        <v>2</v>
      </c>
      <c r="AI9">
        <v>56474717</v>
      </c>
      <c r="AJ9">
        <v>10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ROW(Source!A32)</f>
        <v>32</v>
      </c>
      <c r="B10">
        <v>56441611</v>
      </c>
      <c r="C10">
        <v>56441605</v>
      </c>
      <c r="D10">
        <v>52956643</v>
      </c>
      <c r="E10">
        <v>25</v>
      </c>
      <c r="F10">
        <v>1</v>
      </c>
      <c r="G10">
        <v>25</v>
      </c>
      <c r="H10">
        <v>1</v>
      </c>
      <c r="I10" t="s">
        <v>348</v>
      </c>
      <c r="J10" t="s">
        <v>3</v>
      </c>
      <c r="K10" t="s">
        <v>349</v>
      </c>
      <c r="L10">
        <v>1191</v>
      </c>
      <c r="N10">
        <v>1013</v>
      </c>
      <c r="O10" t="s">
        <v>350</v>
      </c>
      <c r="P10" t="s">
        <v>350</v>
      </c>
      <c r="Q10">
        <v>1</v>
      </c>
      <c r="X10">
        <v>13.57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 t="s">
        <v>3</v>
      </c>
      <c r="AG10">
        <v>13.57</v>
      </c>
      <c r="AH10">
        <v>2</v>
      </c>
      <c r="AI10">
        <v>56441606</v>
      </c>
      <c r="AJ10">
        <v>11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ROW(Source!A32)</f>
        <v>32</v>
      </c>
      <c r="B11">
        <v>56441612</v>
      </c>
      <c r="C11">
        <v>56441605</v>
      </c>
      <c r="D11">
        <v>52968959</v>
      </c>
      <c r="E11">
        <v>1</v>
      </c>
      <c r="F11">
        <v>1</v>
      </c>
      <c r="G11">
        <v>25</v>
      </c>
      <c r="H11">
        <v>2</v>
      </c>
      <c r="I11" t="s">
        <v>370</v>
      </c>
      <c r="J11" t="s">
        <v>371</v>
      </c>
      <c r="K11" t="s">
        <v>372</v>
      </c>
      <c r="L11">
        <v>1368</v>
      </c>
      <c r="N11">
        <v>1011</v>
      </c>
      <c r="O11" t="s">
        <v>354</v>
      </c>
      <c r="P11" t="s">
        <v>354</v>
      </c>
      <c r="Q11">
        <v>1</v>
      </c>
      <c r="X11">
        <v>0.46</v>
      </c>
      <c r="Y11">
        <v>0</v>
      </c>
      <c r="Z11">
        <v>790.63</v>
      </c>
      <c r="AA11">
        <v>491.94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0.46</v>
      </c>
      <c r="AH11">
        <v>2</v>
      </c>
      <c r="AI11">
        <v>56441607</v>
      </c>
      <c r="AJ11">
        <v>12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ROW(Source!A32)</f>
        <v>32</v>
      </c>
      <c r="B12">
        <v>56441613</v>
      </c>
      <c r="C12">
        <v>56441605</v>
      </c>
      <c r="D12">
        <v>52968960</v>
      </c>
      <c r="E12">
        <v>1</v>
      </c>
      <c r="F12">
        <v>1</v>
      </c>
      <c r="G12">
        <v>25</v>
      </c>
      <c r="H12">
        <v>2</v>
      </c>
      <c r="I12" t="s">
        <v>373</v>
      </c>
      <c r="J12" t="s">
        <v>374</v>
      </c>
      <c r="K12" t="s">
        <v>375</v>
      </c>
      <c r="L12">
        <v>1368</v>
      </c>
      <c r="N12">
        <v>1011</v>
      </c>
      <c r="O12" t="s">
        <v>354</v>
      </c>
      <c r="P12" t="s">
        <v>354</v>
      </c>
      <c r="Q12">
        <v>1</v>
      </c>
      <c r="X12">
        <v>1.39</v>
      </c>
      <c r="Y12">
        <v>0</v>
      </c>
      <c r="Z12">
        <v>845.77</v>
      </c>
      <c r="AA12">
        <v>508.2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1.39</v>
      </c>
      <c r="AH12">
        <v>2</v>
      </c>
      <c r="AI12">
        <v>56441608</v>
      </c>
      <c r="AJ12">
        <v>13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ROW(Source!A32)</f>
        <v>32</v>
      </c>
      <c r="B13">
        <v>56441614</v>
      </c>
      <c r="C13">
        <v>56441605</v>
      </c>
      <c r="D13">
        <v>52972806</v>
      </c>
      <c r="E13">
        <v>1</v>
      </c>
      <c r="F13">
        <v>1</v>
      </c>
      <c r="G13">
        <v>25</v>
      </c>
      <c r="H13">
        <v>3</v>
      </c>
      <c r="I13" t="s">
        <v>42</v>
      </c>
      <c r="J13" t="s">
        <v>45</v>
      </c>
      <c r="K13" t="s">
        <v>43</v>
      </c>
      <c r="L13">
        <v>1348</v>
      </c>
      <c r="N13">
        <v>1009</v>
      </c>
      <c r="O13" t="s">
        <v>44</v>
      </c>
      <c r="P13" t="s">
        <v>44</v>
      </c>
      <c r="Q13">
        <v>1000</v>
      </c>
      <c r="X13">
        <v>9.58</v>
      </c>
      <c r="Y13">
        <v>2727.65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t="s">
        <v>3</v>
      </c>
      <c r="AG13">
        <v>9.58</v>
      </c>
      <c r="AH13">
        <v>2</v>
      </c>
      <c r="AI13">
        <v>56441609</v>
      </c>
      <c r="AJ13">
        <v>14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ROW(Source!A70)</f>
        <v>70</v>
      </c>
      <c r="B14">
        <v>56474733</v>
      </c>
      <c r="C14">
        <v>56474722</v>
      </c>
      <c r="D14">
        <v>52956643</v>
      </c>
      <c r="E14">
        <v>25</v>
      </c>
      <c r="F14">
        <v>1</v>
      </c>
      <c r="G14">
        <v>25</v>
      </c>
      <c r="H14">
        <v>1</v>
      </c>
      <c r="I14" t="s">
        <v>348</v>
      </c>
      <c r="J14" t="s">
        <v>3</v>
      </c>
      <c r="K14" t="s">
        <v>349</v>
      </c>
      <c r="L14">
        <v>1191</v>
      </c>
      <c r="N14">
        <v>1013</v>
      </c>
      <c r="O14" t="s">
        <v>350</v>
      </c>
      <c r="P14" t="s">
        <v>350</v>
      </c>
      <c r="Q14">
        <v>1</v>
      </c>
      <c r="X14">
        <v>87.29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 t="s">
        <v>3</v>
      </c>
      <c r="AG14">
        <v>87.29</v>
      </c>
      <c r="AH14">
        <v>2</v>
      </c>
      <c r="AI14">
        <v>56474723</v>
      </c>
      <c r="AJ14">
        <v>16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ROW(Source!A70)</f>
        <v>70</v>
      </c>
      <c r="B15">
        <v>56474734</v>
      </c>
      <c r="C15">
        <v>56474722</v>
      </c>
      <c r="D15">
        <v>52968814</v>
      </c>
      <c r="E15">
        <v>1</v>
      </c>
      <c r="F15">
        <v>1</v>
      </c>
      <c r="G15">
        <v>25</v>
      </c>
      <c r="H15">
        <v>2</v>
      </c>
      <c r="I15" t="s">
        <v>351</v>
      </c>
      <c r="J15" t="s">
        <v>352</v>
      </c>
      <c r="K15" t="s">
        <v>353</v>
      </c>
      <c r="L15">
        <v>1368</v>
      </c>
      <c r="N15">
        <v>1011</v>
      </c>
      <c r="O15" t="s">
        <v>354</v>
      </c>
      <c r="P15" t="s">
        <v>354</v>
      </c>
      <c r="Q15">
        <v>1</v>
      </c>
      <c r="X15">
        <v>1.59</v>
      </c>
      <c r="Y15">
        <v>0</v>
      </c>
      <c r="Z15">
        <v>1159.46</v>
      </c>
      <c r="AA15">
        <v>525.74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1.59</v>
      </c>
      <c r="AH15">
        <v>2</v>
      </c>
      <c r="AI15">
        <v>56474724</v>
      </c>
      <c r="AJ15">
        <v>17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ROW(Source!A70)</f>
        <v>70</v>
      </c>
      <c r="B16">
        <v>56474735</v>
      </c>
      <c r="C16">
        <v>56474722</v>
      </c>
      <c r="D16">
        <v>52968971</v>
      </c>
      <c r="E16">
        <v>1</v>
      </c>
      <c r="F16">
        <v>1</v>
      </c>
      <c r="G16">
        <v>25</v>
      </c>
      <c r="H16">
        <v>2</v>
      </c>
      <c r="I16" t="s">
        <v>355</v>
      </c>
      <c r="J16" t="s">
        <v>356</v>
      </c>
      <c r="K16" t="s">
        <v>357</v>
      </c>
      <c r="L16">
        <v>1368</v>
      </c>
      <c r="N16">
        <v>1011</v>
      </c>
      <c r="O16" t="s">
        <v>354</v>
      </c>
      <c r="P16" t="s">
        <v>354</v>
      </c>
      <c r="Q16">
        <v>1</v>
      </c>
      <c r="X16">
        <v>5.15</v>
      </c>
      <c r="Y16">
        <v>0</v>
      </c>
      <c r="Z16">
        <v>1236.3</v>
      </c>
      <c r="AA16">
        <v>469.98</v>
      </c>
      <c r="AB16">
        <v>0</v>
      </c>
      <c r="AC16">
        <v>0</v>
      </c>
      <c r="AD16">
        <v>1</v>
      </c>
      <c r="AE16">
        <v>0</v>
      </c>
      <c r="AF16" t="s">
        <v>3</v>
      </c>
      <c r="AG16">
        <v>5.15</v>
      </c>
      <c r="AH16">
        <v>2</v>
      </c>
      <c r="AI16">
        <v>56474725</v>
      </c>
      <c r="AJ16">
        <v>18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ROW(Source!A70)</f>
        <v>70</v>
      </c>
      <c r="B17">
        <v>56474736</v>
      </c>
      <c r="C17">
        <v>56474722</v>
      </c>
      <c r="D17">
        <v>52968957</v>
      </c>
      <c r="E17">
        <v>1</v>
      </c>
      <c r="F17">
        <v>1</v>
      </c>
      <c r="G17">
        <v>25</v>
      </c>
      <c r="H17">
        <v>2</v>
      </c>
      <c r="I17" t="s">
        <v>358</v>
      </c>
      <c r="J17" t="s">
        <v>359</v>
      </c>
      <c r="K17" t="s">
        <v>360</v>
      </c>
      <c r="L17">
        <v>1368</v>
      </c>
      <c r="N17">
        <v>1011</v>
      </c>
      <c r="O17" t="s">
        <v>354</v>
      </c>
      <c r="P17" t="s">
        <v>354</v>
      </c>
      <c r="Q17">
        <v>1</v>
      </c>
      <c r="X17">
        <v>11.26</v>
      </c>
      <c r="Y17">
        <v>0</v>
      </c>
      <c r="Z17">
        <v>1207.81</v>
      </c>
      <c r="AA17">
        <v>504.4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11.26</v>
      </c>
      <c r="AH17">
        <v>2</v>
      </c>
      <c r="AI17">
        <v>56474726</v>
      </c>
      <c r="AJ17">
        <v>19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ROW(Source!A70)</f>
        <v>70</v>
      </c>
      <c r="B18">
        <v>56474737</v>
      </c>
      <c r="C18">
        <v>56474722</v>
      </c>
      <c r="D18">
        <v>52968958</v>
      </c>
      <c r="E18">
        <v>1</v>
      </c>
      <c r="F18">
        <v>1</v>
      </c>
      <c r="G18">
        <v>25</v>
      </c>
      <c r="H18">
        <v>2</v>
      </c>
      <c r="I18" t="s">
        <v>361</v>
      </c>
      <c r="J18" t="s">
        <v>362</v>
      </c>
      <c r="K18" t="s">
        <v>363</v>
      </c>
      <c r="L18">
        <v>1368</v>
      </c>
      <c r="N18">
        <v>1011</v>
      </c>
      <c r="O18" t="s">
        <v>354</v>
      </c>
      <c r="P18" t="s">
        <v>354</v>
      </c>
      <c r="Q18">
        <v>1</v>
      </c>
      <c r="X18">
        <v>32.19</v>
      </c>
      <c r="Y18">
        <v>0</v>
      </c>
      <c r="Z18">
        <v>1741.23</v>
      </c>
      <c r="AA18">
        <v>685.71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32.19</v>
      </c>
      <c r="AH18">
        <v>2</v>
      </c>
      <c r="AI18">
        <v>56474727</v>
      </c>
      <c r="AJ18">
        <v>20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ROW(Source!A70)</f>
        <v>70</v>
      </c>
      <c r="B19">
        <v>56474738</v>
      </c>
      <c r="C19">
        <v>56474722</v>
      </c>
      <c r="D19">
        <v>52968995</v>
      </c>
      <c r="E19">
        <v>1</v>
      </c>
      <c r="F19">
        <v>1</v>
      </c>
      <c r="G19">
        <v>25</v>
      </c>
      <c r="H19">
        <v>2</v>
      </c>
      <c r="I19" t="s">
        <v>364</v>
      </c>
      <c r="J19" t="s">
        <v>365</v>
      </c>
      <c r="K19" t="s">
        <v>366</v>
      </c>
      <c r="L19">
        <v>1368</v>
      </c>
      <c r="N19">
        <v>1011</v>
      </c>
      <c r="O19" t="s">
        <v>354</v>
      </c>
      <c r="P19" t="s">
        <v>354</v>
      </c>
      <c r="Q19">
        <v>1</v>
      </c>
      <c r="X19">
        <v>5.81</v>
      </c>
      <c r="Y19">
        <v>0</v>
      </c>
      <c r="Z19">
        <v>1467.62</v>
      </c>
      <c r="AA19">
        <v>682.01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5.81</v>
      </c>
      <c r="AH19">
        <v>2</v>
      </c>
      <c r="AI19">
        <v>56474728</v>
      </c>
      <c r="AJ19">
        <v>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ROW(Source!A70)</f>
        <v>70</v>
      </c>
      <c r="B20">
        <v>56474739</v>
      </c>
      <c r="C20">
        <v>56474722</v>
      </c>
      <c r="D20">
        <v>52970936</v>
      </c>
      <c r="E20">
        <v>1</v>
      </c>
      <c r="F20">
        <v>1</v>
      </c>
      <c r="G20">
        <v>25</v>
      </c>
      <c r="H20">
        <v>3</v>
      </c>
      <c r="I20" t="s">
        <v>24</v>
      </c>
      <c r="J20" t="s">
        <v>27</v>
      </c>
      <c r="K20" t="s">
        <v>25</v>
      </c>
      <c r="L20">
        <v>1339</v>
      </c>
      <c r="N20">
        <v>1007</v>
      </c>
      <c r="O20" t="s">
        <v>26</v>
      </c>
      <c r="P20" t="s">
        <v>26</v>
      </c>
      <c r="Q20">
        <v>1</v>
      </c>
      <c r="X20">
        <v>11.5</v>
      </c>
      <c r="Y20">
        <v>1908.27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11.5</v>
      </c>
      <c r="AH20">
        <v>2</v>
      </c>
      <c r="AI20">
        <v>56474730</v>
      </c>
      <c r="AJ20">
        <v>23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ROW(Source!A70)</f>
        <v>70</v>
      </c>
      <c r="B21">
        <v>56474740</v>
      </c>
      <c r="C21">
        <v>56474722</v>
      </c>
      <c r="D21">
        <v>52970937</v>
      </c>
      <c r="E21">
        <v>1</v>
      </c>
      <c r="F21">
        <v>1</v>
      </c>
      <c r="G21">
        <v>25</v>
      </c>
      <c r="H21">
        <v>3</v>
      </c>
      <c r="I21" t="s">
        <v>29</v>
      </c>
      <c r="J21" t="s">
        <v>31</v>
      </c>
      <c r="K21" t="s">
        <v>30</v>
      </c>
      <c r="L21">
        <v>1339</v>
      </c>
      <c r="N21">
        <v>1007</v>
      </c>
      <c r="O21" t="s">
        <v>26</v>
      </c>
      <c r="P21" t="s">
        <v>26</v>
      </c>
      <c r="Q21">
        <v>1</v>
      </c>
      <c r="X21">
        <v>55</v>
      </c>
      <c r="Y21">
        <v>1806.27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55</v>
      </c>
      <c r="AH21">
        <v>2</v>
      </c>
      <c r="AI21">
        <v>56474731</v>
      </c>
      <c r="AJ21">
        <v>24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ROW(Source!A70)</f>
        <v>70</v>
      </c>
      <c r="B22">
        <v>56474741</v>
      </c>
      <c r="C22">
        <v>56474722</v>
      </c>
      <c r="D22">
        <v>52971654</v>
      </c>
      <c r="E22">
        <v>1</v>
      </c>
      <c r="F22">
        <v>1</v>
      </c>
      <c r="G22">
        <v>25</v>
      </c>
      <c r="H22">
        <v>3</v>
      </c>
      <c r="I22" t="s">
        <v>367</v>
      </c>
      <c r="J22" t="s">
        <v>368</v>
      </c>
      <c r="K22" t="s">
        <v>369</v>
      </c>
      <c r="L22">
        <v>1339</v>
      </c>
      <c r="N22">
        <v>1007</v>
      </c>
      <c r="O22" t="s">
        <v>26</v>
      </c>
      <c r="P22" t="s">
        <v>26</v>
      </c>
      <c r="Q22">
        <v>1</v>
      </c>
      <c r="X22">
        <v>25</v>
      </c>
      <c r="Y22">
        <v>33.729999999999997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25</v>
      </c>
      <c r="AH22">
        <v>2</v>
      </c>
      <c r="AI22">
        <v>56474732</v>
      </c>
      <c r="AJ22">
        <v>25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ROW(Source!A74)</f>
        <v>74</v>
      </c>
      <c r="B23">
        <v>56441648</v>
      </c>
      <c r="C23">
        <v>56441642</v>
      </c>
      <c r="D23">
        <v>52956643</v>
      </c>
      <c r="E23">
        <v>25</v>
      </c>
      <c r="F23">
        <v>1</v>
      </c>
      <c r="G23">
        <v>25</v>
      </c>
      <c r="H23">
        <v>1</v>
      </c>
      <c r="I23" t="s">
        <v>348</v>
      </c>
      <c r="J23" t="s">
        <v>3</v>
      </c>
      <c r="K23" t="s">
        <v>349</v>
      </c>
      <c r="L23">
        <v>1191</v>
      </c>
      <c r="N23">
        <v>1013</v>
      </c>
      <c r="O23" t="s">
        <v>350</v>
      </c>
      <c r="P23" t="s">
        <v>350</v>
      </c>
      <c r="Q23">
        <v>1</v>
      </c>
      <c r="X23">
        <v>13.57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 t="s">
        <v>3</v>
      </c>
      <c r="AG23">
        <v>13.57</v>
      </c>
      <c r="AH23">
        <v>2</v>
      </c>
      <c r="AI23">
        <v>56441643</v>
      </c>
      <c r="AJ23">
        <v>26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ROW(Source!A74)</f>
        <v>74</v>
      </c>
      <c r="B24">
        <v>56441649</v>
      </c>
      <c r="C24">
        <v>56441642</v>
      </c>
      <c r="D24">
        <v>52968959</v>
      </c>
      <c r="E24">
        <v>1</v>
      </c>
      <c r="F24">
        <v>1</v>
      </c>
      <c r="G24">
        <v>25</v>
      </c>
      <c r="H24">
        <v>2</v>
      </c>
      <c r="I24" t="s">
        <v>370</v>
      </c>
      <c r="J24" t="s">
        <v>371</v>
      </c>
      <c r="K24" t="s">
        <v>372</v>
      </c>
      <c r="L24">
        <v>1368</v>
      </c>
      <c r="N24">
        <v>1011</v>
      </c>
      <c r="O24" t="s">
        <v>354</v>
      </c>
      <c r="P24" t="s">
        <v>354</v>
      </c>
      <c r="Q24">
        <v>1</v>
      </c>
      <c r="X24">
        <v>0.46</v>
      </c>
      <c r="Y24">
        <v>0</v>
      </c>
      <c r="Z24">
        <v>790.63</v>
      </c>
      <c r="AA24">
        <v>491.94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0.46</v>
      </c>
      <c r="AH24">
        <v>2</v>
      </c>
      <c r="AI24">
        <v>56441644</v>
      </c>
      <c r="AJ24">
        <v>27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ROW(Source!A74)</f>
        <v>74</v>
      </c>
      <c r="B25">
        <v>56441650</v>
      </c>
      <c r="C25">
        <v>56441642</v>
      </c>
      <c r="D25">
        <v>52968960</v>
      </c>
      <c r="E25">
        <v>1</v>
      </c>
      <c r="F25">
        <v>1</v>
      </c>
      <c r="G25">
        <v>25</v>
      </c>
      <c r="H25">
        <v>2</v>
      </c>
      <c r="I25" t="s">
        <v>373</v>
      </c>
      <c r="J25" t="s">
        <v>374</v>
      </c>
      <c r="K25" t="s">
        <v>375</v>
      </c>
      <c r="L25">
        <v>1368</v>
      </c>
      <c r="N25">
        <v>1011</v>
      </c>
      <c r="O25" t="s">
        <v>354</v>
      </c>
      <c r="P25" t="s">
        <v>354</v>
      </c>
      <c r="Q25">
        <v>1</v>
      </c>
      <c r="X25">
        <v>1.39</v>
      </c>
      <c r="Y25">
        <v>0</v>
      </c>
      <c r="Z25">
        <v>845.77</v>
      </c>
      <c r="AA25">
        <v>508.2</v>
      </c>
      <c r="AB25">
        <v>0</v>
      </c>
      <c r="AC25">
        <v>0</v>
      </c>
      <c r="AD25">
        <v>1</v>
      </c>
      <c r="AE25">
        <v>0</v>
      </c>
      <c r="AF25" t="s">
        <v>3</v>
      </c>
      <c r="AG25">
        <v>1.39</v>
      </c>
      <c r="AH25">
        <v>2</v>
      </c>
      <c r="AI25">
        <v>56441645</v>
      </c>
      <c r="AJ25">
        <v>28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ROW(Source!A74)</f>
        <v>74</v>
      </c>
      <c r="B26">
        <v>56441651</v>
      </c>
      <c r="C26">
        <v>56441642</v>
      </c>
      <c r="D26">
        <v>52972806</v>
      </c>
      <c r="E26">
        <v>1</v>
      </c>
      <c r="F26">
        <v>1</v>
      </c>
      <c r="G26">
        <v>25</v>
      </c>
      <c r="H26">
        <v>3</v>
      </c>
      <c r="I26" t="s">
        <v>42</v>
      </c>
      <c r="J26" t="s">
        <v>45</v>
      </c>
      <c r="K26" t="s">
        <v>43</v>
      </c>
      <c r="L26">
        <v>1348</v>
      </c>
      <c r="N26">
        <v>1009</v>
      </c>
      <c r="O26" t="s">
        <v>44</v>
      </c>
      <c r="P26" t="s">
        <v>44</v>
      </c>
      <c r="Q26">
        <v>1000</v>
      </c>
      <c r="X26">
        <v>9.58</v>
      </c>
      <c r="Y26">
        <v>2727.65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 t="s">
        <v>3</v>
      </c>
      <c r="AG26">
        <v>9.58</v>
      </c>
      <c r="AH26">
        <v>2</v>
      </c>
      <c r="AI26">
        <v>56441646</v>
      </c>
      <c r="AJ26">
        <v>29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ROW(Source!A112)</f>
        <v>112</v>
      </c>
      <c r="B27">
        <v>56441657</v>
      </c>
      <c r="C27">
        <v>56441654</v>
      </c>
      <c r="D27">
        <v>52956643</v>
      </c>
      <c r="E27">
        <v>25</v>
      </c>
      <c r="F27">
        <v>1</v>
      </c>
      <c r="G27">
        <v>25</v>
      </c>
      <c r="H27">
        <v>1</v>
      </c>
      <c r="I27" t="s">
        <v>348</v>
      </c>
      <c r="J27" t="s">
        <v>3</v>
      </c>
      <c r="K27" t="s">
        <v>349</v>
      </c>
      <c r="L27">
        <v>1191</v>
      </c>
      <c r="N27">
        <v>1013</v>
      </c>
      <c r="O27" t="s">
        <v>350</v>
      </c>
      <c r="P27" t="s">
        <v>350</v>
      </c>
      <c r="Q27">
        <v>1</v>
      </c>
      <c r="X27">
        <v>33.6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 t="s">
        <v>3</v>
      </c>
      <c r="AG27">
        <v>33.6</v>
      </c>
      <c r="AH27">
        <v>2</v>
      </c>
      <c r="AI27">
        <v>56441655</v>
      </c>
      <c r="AJ27">
        <v>31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ROW(Source!A112)</f>
        <v>112</v>
      </c>
      <c r="B28">
        <v>56441658</v>
      </c>
      <c r="C28">
        <v>56441654</v>
      </c>
      <c r="D28">
        <v>52958455</v>
      </c>
      <c r="E28">
        <v>25</v>
      </c>
      <c r="F28">
        <v>1</v>
      </c>
      <c r="G28">
        <v>25</v>
      </c>
      <c r="H28">
        <v>3</v>
      </c>
      <c r="I28" t="s">
        <v>118</v>
      </c>
      <c r="J28" t="s">
        <v>3</v>
      </c>
      <c r="K28" t="s">
        <v>119</v>
      </c>
      <c r="L28">
        <v>1348</v>
      </c>
      <c r="N28">
        <v>1009</v>
      </c>
      <c r="O28" t="s">
        <v>44</v>
      </c>
      <c r="P28" t="s">
        <v>44</v>
      </c>
      <c r="Q28">
        <v>1000</v>
      </c>
      <c r="X28">
        <v>0.8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0.8</v>
      </c>
      <c r="AH28">
        <v>2</v>
      </c>
      <c r="AI28">
        <v>56441656</v>
      </c>
      <c r="AJ28">
        <v>32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ROW(Source!A114)</f>
        <v>114</v>
      </c>
      <c r="B29">
        <v>56441662</v>
      </c>
      <c r="C29">
        <v>56441660</v>
      </c>
      <c r="D29">
        <v>52968770</v>
      </c>
      <c r="E29">
        <v>1</v>
      </c>
      <c r="F29">
        <v>1</v>
      </c>
      <c r="G29">
        <v>25</v>
      </c>
      <c r="H29">
        <v>2</v>
      </c>
      <c r="I29" t="s">
        <v>376</v>
      </c>
      <c r="J29" t="s">
        <v>377</v>
      </c>
      <c r="K29" t="s">
        <v>378</v>
      </c>
      <c r="L29">
        <v>1368</v>
      </c>
      <c r="N29">
        <v>1011</v>
      </c>
      <c r="O29" t="s">
        <v>354</v>
      </c>
      <c r="P29" t="s">
        <v>354</v>
      </c>
      <c r="Q29">
        <v>1</v>
      </c>
      <c r="X29">
        <v>5.3699999999999998E-2</v>
      </c>
      <c r="Y29">
        <v>0</v>
      </c>
      <c r="Z29">
        <v>1451.71</v>
      </c>
      <c r="AA29">
        <v>457.95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5.3699999999999998E-2</v>
      </c>
      <c r="AH29">
        <v>2</v>
      </c>
      <c r="AI29">
        <v>56441661</v>
      </c>
      <c r="AJ29">
        <v>33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ROW(Source!A115)</f>
        <v>115</v>
      </c>
      <c r="B30">
        <v>56441666</v>
      </c>
      <c r="C30">
        <v>56441663</v>
      </c>
      <c r="D30">
        <v>52956643</v>
      </c>
      <c r="E30">
        <v>25</v>
      </c>
      <c r="F30">
        <v>1</v>
      </c>
      <c r="G30">
        <v>25</v>
      </c>
      <c r="H30">
        <v>1</v>
      </c>
      <c r="I30" t="s">
        <v>348</v>
      </c>
      <c r="J30" t="s">
        <v>3</v>
      </c>
      <c r="K30" t="s">
        <v>349</v>
      </c>
      <c r="L30">
        <v>1191</v>
      </c>
      <c r="N30">
        <v>1013</v>
      </c>
      <c r="O30" t="s">
        <v>350</v>
      </c>
      <c r="P30" t="s">
        <v>350</v>
      </c>
      <c r="Q30">
        <v>1</v>
      </c>
      <c r="X30">
        <v>1.1200000000000001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 t="s">
        <v>3</v>
      </c>
      <c r="AG30">
        <v>1.1200000000000001</v>
      </c>
      <c r="AH30">
        <v>2</v>
      </c>
      <c r="AI30">
        <v>56441664</v>
      </c>
      <c r="AJ30">
        <v>34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ROW(Source!A115)</f>
        <v>115</v>
      </c>
      <c r="B31">
        <v>56441667</v>
      </c>
      <c r="C31">
        <v>56441663</v>
      </c>
      <c r="D31">
        <v>52969396</v>
      </c>
      <c r="E31">
        <v>1</v>
      </c>
      <c r="F31">
        <v>1</v>
      </c>
      <c r="G31">
        <v>25</v>
      </c>
      <c r="H31">
        <v>2</v>
      </c>
      <c r="I31" t="s">
        <v>379</v>
      </c>
      <c r="J31" t="s">
        <v>380</v>
      </c>
      <c r="K31" t="s">
        <v>381</v>
      </c>
      <c r="L31">
        <v>1368</v>
      </c>
      <c r="N31">
        <v>1011</v>
      </c>
      <c r="O31" t="s">
        <v>354</v>
      </c>
      <c r="P31" t="s">
        <v>354</v>
      </c>
      <c r="Q31">
        <v>1</v>
      </c>
      <c r="X31">
        <v>0.38</v>
      </c>
      <c r="Y31">
        <v>0</v>
      </c>
      <c r="Z31">
        <v>1350.45</v>
      </c>
      <c r="AA31">
        <v>448.79</v>
      </c>
      <c r="AB31">
        <v>0</v>
      </c>
      <c r="AC31">
        <v>0</v>
      </c>
      <c r="AD31">
        <v>1</v>
      </c>
      <c r="AE31">
        <v>0</v>
      </c>
      <c r="AF31" t="s">
        <v>3</v>
      </c>
      <c r="AG31">
        <v>0.38</v>
      </c>
      <c r="AH31">
        <v>2</v>
      </c>
      <c r="AI31">
        <v>56441665</v>
      </c>
      <c r="AJ31">
        <v>35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ROW(Source!A116)</f>
        <v>116</v>
      </c>
      <c r="B32">
        <v>56441671</v>
      </c>
      <c r="C32">
        <v>56441668</v>
      </c>
      <c r="D32">
        <v>52969562</v>
      </c>
      <c r="E32">
        <v>1</v>
      </c>
      <c r="F32">
        <v>1</v>
      </c>
      <c r="G32">
        <v>25</v>
      </c>
      <c r="H32">
        <v>2</v>
      </c>
      <c r="I32" t="s">
        <v>382</v>
      </c>
      <c r="J32" t="s">
        <v>383</v>
      </c>
      <c r="K32" t="s">
        <v>384</v>
      </c>
      <c r="L32">
        <v>1368</v>
      </c>
      <c r="N32">
        <v>1011</v>
      </c>
      <c r="O32" t="s">
        <v>354</v>
      </c>
      <c r="P32" t="s">
        <v>354</v>
      </c>
      <c r="Q32">
        <v>1</v>
      </c>
      <c r="X32">
        <v>0.02</v>
      </c>
      <c r="Y32">
        <v>0</v>
      </c>
      <c r="Z32">
        <v>952.49</v>
      </c>
      <c r="AA32">
        <v>301.5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0.02</v>
      </c>
      <c r="AH32">
        <v>2</v>
      </c>
      <c r="AI32">
        <v>56441669</v>
      </c>
      <c r="AJ32">
        <v>36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ROW(Source!A116)</f>
        <v>116</v>
      </c>
      <c r="B33">
        <v>56441672</v>
      </c>
      <c r="C33">
        <v>56441668</v>
      </c>
      <c r="D33">
        <v>52969563</v>
      </c>
      <c r="E33">
        <v>1</v>
      </c>
      <c r="F33">
        <v>1</v>
      </c>
      <c r="G33">
        <v>25</v>
      </c>
      <c r="H33">
        <v>2</v>
      </c>
      <c r="I33" t="s">
        <v>385</v>
      </c>
      <c r="J33" t="s">
        <v>386</v>
      </c>
      <c r="K33" t="s">
        <v>387</v>
      </c>
      <c r="L33">
        <v>1368</v>
      </c>
      <c r="N33">
        <v>1011</v>
      </c>
      <c r="O33" t="s">
        <v>354</v>
      </c>
      <c r="P33" t="s">
        <v>354</v>
      </c>
      <c r="Q33">
        <v>1</v>
      </c>
      <c r="X33">
        <v>1.7999999999999999E-2</v>
      </c>
      <c r="Y33">
        <v>0</v>
      </c>
      <c r="Z33">
        <v>993.6</v>
      </c>
      <c r="AA33">
        <v>301.8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1.7999999999999999E-2</v>
      </c>
      <c r="AH33">
        <v>2</v>
      </c>
      <c r="AI33">
        <v>56441670</v>
      </c>
      <c r="AJ33">
        <v>37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ROW(Source!A117)</f>
        <v>117</v>
      </c>
      <c r="B34">
        <v>56441676</v>
      </c>
      <c r="C34">
        <v>56441673</v>
      </c>
      <c r="D34">
        <v>52969562</v>
      </c>
      <c r="E34">
        <v>1</v>
      </c>
      <c r="F34">
        <v>1</v>
      </c>
      <c r="G34">
        <v>25</v>
      </c>
      <c r="H34">
        <v>2</v>
      </c>
      <c r="I34" t="s">
        <v>382</v>
      </c>
      <c r="J34" t="s">
        <v>383</v>
      </c>
      <c r="K34" t="s">
        <v>384</v>
      </c>
      <c r="L34">
        <v>1368</v>
      </c>
      <c r="N34">
        <v>1011</v>
      </c>
      <c r="O34" t="s">
        <v>354</v>
      </c>
      <c r="P34" t="s">
        <v>354</v>
      </c>
      <c r="Q34">
        <v>1</v>
      </c>
      <c r="X34">
        <v>5.3999999999999999E-2</v>
      </c>
      <c r="Y34">
        <v>0</v>
      </c>
      <c r="Z34">
        <v>952.49</v>
      </c>
      <c r="AA34">
        <v>301.5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5.3999999999999999E-2</v>
      </c>
      <c r="AH34">
        <v>2</v>
      </c>
      <c r="AI34">
        <v>56441674</v>
      </c>
      <c r="AJ34">
        <v>38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ROW(Source!A117)</f>
        <v>117</v>
      </c>
      <c r="B35">
        <v>56441677</v>
      </c>
      <c r="C35">
        <v>56441673</v>
      </c>
      <c r="D35">
        <v>52969563</v>
      </c>
      <c r="E35">
        <v>1</v>
      </c>
      <c r="F35">
        <v>1</v>
      </c>
      <c r="G35">
        <v>25</v>
      </c>
      <c r="H35">
        <v>2</v>
      </c>
      <c r="I35" t="s">
        <v>385</v>
      </c>
      <c r="J35" t="s">
        <v>386</v>
      </c>
      <c r="K35" t="s">
        <v>387</v>
      </c>
      <c r="L35">
        <v>1368</v>
      </c>
      <c r="N35">
        <v>1011</v>
      </c>
      <c r="O35" t="s">
        <v>354</v>
      </c>
      <c r="P35" t="s">
        <v>354</v>
      </c>
      <c r="Q35">
        <v>1</v>
      </c>
      <c r="X35">
        <v>5.5E-2</v>
      </c>
      <c r="Y35">
        <v>0</v>
      </c>
      <c r="Z35">
        <v>993.6</v>
      </c>
      <c r="AA35">
        <v>301.8</v>
      </c>
      <c r="AB35">
        <v>0</v>
      </c>
      <c r="AC35">
        <v>0</v>
      </c>
      <c r="AD35">
        <v>1</v>
      </c>
      <c r="AE35">
        <v>0</v>
      </c>
      <c r="AF35" t="s">
        <v>3</v>
      </c>
      <c r="AG35">
        <v>5.5E-2</v>
      </c>
      <c r="AH35">
        <v>2</v>
      </c>
      <c r="AI35">
        <v>56441675</v>
      </c>
      <c r="AJ35">
        <v>39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ROW(Source!A118)</f>
        <v>118</v>
      </c>
      <c r="B36">
        <v>56441681</v>
      </c>
      <c r="C36">
        <v>56441678</v>
      </c>
      <c r="D36">
        <v>52969562</v>
      </c>
      <c r="E36">
        <v>1</v>
      </c>
      <c r="F36">
        <v>1</v>
      </c>
      <c r="G36">
        <v>25</v>
      </c>
      <c r="H36">
        <v>2</v>
      </c>
      <c r="I36" t="s">
        <v>382</v>
      </c>
      <c r="J36" t="s">
        <v>383</v>
      </c>
      <c r="K36" t="s">
        <v>384</v>
      </c>
      <c r="L36">
        <v>1368</v>
      </c>
      <c r="N36">
        <v>1011</v>
      </c>
      <c r="O36" t="s">
        <v>354</v>
      </c>
      <c r="P36" t="s">
        <v>354</v>
      </c>
      <c r="Q36">
        <v>1</v>
      </c>
      <c r="X36">
        <v>0.01</v>
      </c>
      <c r="Y36">
        <v>0</v>
      </c>
      <c r="Z36">
        <v>952.49</v>
      </c>
      <c r="AA36">
        <v>301.5</v>
      </c>
      <c r="AB36">
        <v>0</v>
      </c>
      <c r="AC36">
        <v>0</v>
      </c>
      <c r="AD36">
        <v>1</v>
      </c>
      <c r="AE36">
        <v>0</v>
      </c>
      <c r="AF36" t="s">
        <v>141</v>
      </c>
      <c r="AG36">
        <v>0.51</v>
      </c>
      <c r="AH36">
        <v>2</v>
      </c>
      <c r="AI36">
        <v>56441679</v>
      </c>
      <c r="AJ36">
        <v>40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ROW(Source!A118)</f>
        <v>118</v>
      </c>
      <c r="B37">
        <v>56441682</v>
      </c>
      <c r="C37">
        <v>56441678</v>
      </c>
      <c r="D37">
        <v>52969563</v>
      </c>
      <c r="E37">
        <v>1</v>
      </c>
      <c r="F37">
        <v>1</v>
      </c>
      <c r="G37">
        <v>25</v>
      </c>
      <c r="H37">
        <v>2</v>
      </c>
      <c r="I37" t="s">
        <v>385</v>
      </c>
      <c r="J37" t="s">
        <v>386</v>
      </c>
      <c r="K37" t="s">
        <v>387</v>
      </c>
      <c r="L37">
        <v>1368</v>
      </c>
      <c r="N37">
        <v>1011</v>
      </c>
      <c r="O37" t="s">
        <v>354</v>
      </c>
      <c r="P37" t="s">
        <v>354</v>
      </c>
      <c r="Q37">
        <v>1</v>
      </c>
      <c r="X37">
        <v>8.0000000000000002E-3</v>
      </c>
      <c r="Y37">
        <v>0</v>
      </c>
      <c r="Z37">
        <v>993.6</v>
      </c>
      <c r="AA37">
        <v>301.8</v>
      </c>
      <c r="AB37">
        <v>0</v>
      </c>
      <c r="AC37">
        <v>0</v>
      </c>
      <c r="AD37">
        <v>1</v>
      </c>
      <c r="AE37">
        <v>0</v>
      </c>
      <c r="AF37" t="s">
        <v>141</v>
      </c>
      <c r="AG37">
        <v>0.40800000000000003</v>
      </c>
      <c r="AH37">
        <v>2</v>
      </c>
      <c r="AI37">
        <v>56441680</v>
      </c>
      <c r="AJ37">
        <v>41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ROW(Source!A120)</f>
        <v>120</v>
      </c>
      <c r="B38">
        <v>56441692</v>
      </c>
      <c r="C38">
        <v>56441684</v>
      </c>
      <c r="D38">
        <v>52956643</v>
      </c>
      <c r="E38">
        <v>25</v>
      </c>
      <c r="F38">
        <v>1</v>
      </c>
      <c r="G38">
        <v>25</v>
      </c>
      <c r="H38">
        <v>1</v>
      </c>
      <c r="I38" t="s">
        <v>348</v>
      </c>
      <c r="J38" t="s">
        <v>3</v>
      </c>
      <c r="K38" t="s">
        <v>349</v>
      </c>
      <c r="L38">
        <v>1191</v>
      </c>
      <c r="N38">
        <v>1013</v>
      </c>
      <c r="O38" t="s">
        <v>350</v>
      </c>
      <c r="P38" t="s">
        <v>350</v>
      </c>
      <c r="Q38">
        <v>1</v>
      </c>
      <c r="X38">
        <v>62.9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 t="s">
        <v>3</v>
      </c>
      <c r="AG38">
        <v>62.9</v>
      </c>
      <c r="AH38">
        <v>2</v>
      </c>
      <c r="AI38">
        <v>56441685</v>
      </c>
      <c r="AJ38">
        <v>42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ROW(Source!A120)</f>
        <v>120</v>
      </c>
      <c r="B39">
        <v>56441693</v>
      </c>
      <c r="C39">
        <v>56441684</v>
      </c>
      <c r="D39">
        <v>52969614</v>
      </c>
      <c r="E39">
        <v>1</v>
      </c>
      <c r="F39">
        <v>1</v>
      </c>
      <c r="G39">
        <v>25</v>
      </c>
      <c r="H39">
        <v>2</v>
      </c>
      <c r="I39" t="s">
        <v>388</v>
      </c>
      <c r="J39" t="s">
        <v>389</v>
      </c>
      <c r="K39" t="s">
        <v>390</v>
      </c>
      <c r="L39">
        <v>1368</v>
      </c>
      <c r="N39">
        <v>1011</v>
      </c>
      <c r="O39" t="s">
        <v>354</v>
      </c>
      <c r="P39" t="s">
        <v>354</v>
      </c>
      <c r="Q39">
        <v>1</v>
      </c>
      <c r="X39">
        <v>4.3099999999999996</v>
      </c>
      <c r="Y39">
        <v>0</v>
      </c>
      <c r="Z39">
        <v>6.28</v>
      </c>
      <c r="AA39">
        <v>0.01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4.3099999999999996</v>
      </c>
      <c r="AH39">
        <v>2</v>
      </c>
      <c r="AI39">
        <v>56441686</v>
      </c>
      <c r="AJ39">
        <v>43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ROW(Source!A120)</f>
        <v>120</v>
      </c>
      <c r="B40">
        <v>56441694</v>
      </c>
      <c r="C40">
        <v>56441684</v>
      </c>
      <c r="D40">
        <v>52970732</v>
      </c>
      <c r="E40">
        <v>1</v>
      </c>
      <c r="F40">
        <v>1</v>
      </c>
      <c r="G40">
        <v>25</v>
      </c>
      <c r="H40">
        <v>3</v>
      </c>
      <c r="I40" t="s">
        <v>161</v>
      </c>
      <c r="J40" t="s">
        <v>163</v>
      </c>
      <c r="K40" t="s">
        <v>162</v>
      </c>
      <c r="L40">
        <v>1348</v>
      </c>
      <c r="N40">
        <v>1009</v>
      </c>
      <c r="O40" t="s">
        <v>44</v>
      </c>
      <c r="P40" t="s">
        <v>44</v>
      </c>
      <c r="Q40">
        <v>1000</v>
      </c>
      <c r="X40">
        <v>1.23E-2</v>
      </c>
      <c r="Y40">
        <v>52914.53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1.23E-2</v>
      </c>
      <c r="AH40">
        <v>2</v>
      </c>
      <c r="AI40">
        <v>56441687</v>
      </c>
      <c r="AJ40">
        <v>44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ROW(Source!A120)</f>
        <v>120</v>
      </c>
      <c r="B41">
        <v>56441695</v>
      </c>
      <c r="C41">
        <v>56441684</v>
      </c>
      <c r="D41">
        <v>52974778</v>
      </c>
      <c r="E41">
        <v>1</v>
      </c>
      <c r="F41">
        <v>1</v>
      </c>
      <c r="G41">
        <v>25</v>
      </c>
      <c r="H41">
        <v>3</v>
      </c>
      <c r="I41" t="s">
        <v>151</v>
      </c>
      <c r="J41" t="s">
        <v>153</v>
      </c>
      <c r="K41" t="s">
        <v>152</v>
      </c>
      <c r="L41">
        <v>1339</v>
      </c>
      <c r="N41">
        <v>1007</v>
      </c>
      <c r="O41" t="s">
        <v>26</v>
      </c>
      <c r="P41" t="s">
        <v>26</v>
      </c>
      <c r="Q41">
        <v>1</v>
      </c>
      <c r="X41">
        <v>2.88</v>
      </c>
      <c r="Y41">
        <v>17674.48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 t="s">
        <v>3</v>
      </c>
      <c r="AG41">
        <v>2.88</v>
      </c>
      <c r="AH41">
        <v>2</v>
      </c>
      <c r="AI41">
        <v>56441688</v>
      </c>
      <c r="AJ41">
        <v>45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ROW(Source!A161)</f>
        <v>161</v>
      </c>
      <c r="B42">
        <v>56441768</v>
      </c>
      <c r="C42">
        <v>56441766</v>
      </c>
      <c r="D42">
        <v>52956643</v>
      </c>
      <c r="E42">
        <v>25</v>
      </c>
      <c r="F42">
        <v>1</v>
      </c>
      <c r="G42">
        <v>25</v>
      </c>
      <c r="H42">
        <v>1</v>
      </c>
      <c r="I42" t="s">
        <v>348</v>
      </c>
      <c r="J42" t="s">
        <v>3</v>
      </c>
      <c r="K42" t="s">
        <v>349</v>
      </c>
      <c r="L42">
        <v>1191</v>
      </c>
      <c r="N42">
        <v>1013</v>
      </c>
      <c r="O42" t="s">
        <v>350</v>
      </c>
      <c r="P42" t="s">
        <v>350</v>
      </c>
      <c r="Q42">
        <v>1</v>
      </c>
      <c r="X42">
        <v>0.6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 t="s">
        <v>3</v>
      </c>
      <c r="AG42">
        <v>0.6</v>
      </c>
      <c r="AH42">
        <v>2</v>
      </c>
      <c r="AI42">
        <v>56441767</v>
      </c>
      <c r="AJ42">
        <v>49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ROW(Source!A162)</f>
        <v>162</v>
      </c>
      <c r="B43">
        <v>56441773</v>
      </c>
      <c r="C43">
        <v>56441769</v>
      </c>
      <c r="D43">
        <v>52956643</v>
      </c>
      <c r="E43">
        <v>25</v>
      </c>
      <c r="F43">
        <v>1</v>
      </c>
      <c r="G43">
        <v>25</v>
      </c>
      <c r="H43">
        <v>1</v>
      </c>
      <c r="I43" t="s">
        <v>348</v>
      </c>
      <c r="J43" t="s">
        <v>3</v>
      </c>
      <c r="K43" t="s">
        <v>349</v>
      </c>
      <c r="L43">
        <v>1191</v>
      </c>
      <c r="N43">
        <v>1013</v>
      </c>
      <c r="O43" t="s">
        <v>350</v>
      </c>
      <c r="P43" t="s">
        <v>350</v>
      </c>
      <c r="Q43">
        <v>1</v>
      </c>
      <c r="X43">
        <v>73.8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 t="s">
        <v>3</v>
      </c>
      <c r="AG43">
        <v>73.8</v>
      </c>
      <c r="AH43">
        <v>2</v>
      </c>
      <c r="AI43">
        <v>56441770</v>
      </c>
      <c r="AJ43">
        <v>50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ROW(Source!A162)</f>
        <v>162</v>
      </c>
      <c r="B44">
        <v>56441774</v>
      </c>
      <c r="C44">
        <v>56441769</v>
      </c>
      <c r="D44">
        <v>52970109</v>
      </c>
      <c r="E44">
        <v>1</v>
      </c>
      <c r="F44">
        <v>1</v>
      </c>
      <c r="G44">
        <v>25</v>
      </c>
      <c r="H44">
        <v>3</v>
      </c>
      <c r="I44" t="s">
        <v>391</v>
      </c>
      <c r="J44" t="s">
        <v>392</v>
      </c>
      <c r="K44" t="s">
        <v>393</v>
      </c>
      <c r="L44">
        <v>1348</v>
      </c>
      <c r="N44">
        <v>1009</v>
      </c>
      <c r="O44" t="s">
        <v>44</v>
      </c>
      <c r="P44" t="s">
        <v>44</v>
      </c>
      <c r="Q44">
        <v>1000</v>
      </c>
      <c r="X44">
        <v>1.1299999999999999E-2</v>
      </c>
      <c r="Y44">
        <v>74598.09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 t="s">
        <v>3</v>
      </c>
      <c r="AG44">
        <v>1.1299999999999999E-2</v>
      </c>
      <c r="AH44">
        <v>2</v>
      </c>
      <c r="AI44">
        <v>56441771</v>
      </c>
      <c r="AJ44">
        <v>51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ROW(Source!A162)</f>
        <v>162</v>
      </c>
      <c r="B45">
        <v>56441775</v>
      </c>
      <c r="C45">
        <v>56441769</v>
      </c>
      <c r="D45">
        <v>52970152</v>
      </c>
      <c r="E45">
        <v>1</v>
      </c>
      <c r="F45">
        <v>1</v>
      </c>
      <c r="G45">
        <v>25</v>
      </c>
      <c r="H45">
        <v>3</v>
      </c>
      <c r="I45" t="s">
        <v>394</v>
      </c>
      <c r="J45" t="s">
        <v>395</v>
      </c>
      <c r="K45" t="s">
        <v>396</v>
      </c>
      <c r="L45">
        <v>1346</v>
      </c>
      <c r="N45">
        <v>1009</v>
      </c>
      <c r="O45" t="s">
        <v>210</v>
      </c>
      <c r="P45" t="s">
        <v>210</v>
      </c>
      <c r="Q45">
        <v>1</v>
      </c>
      <c r="X45">
        <v>6.8</v>
      </c>
      <c r="Y45">
        <v>80.150000000000006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6.8</v>
      </c>
      <c r="AH45">
        <v>2</v>
      </c>
      <c r="AI45">
        <v>56441772</v>
      </c>
      <c r="AJ45">
        <v>52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ROW(Source!A198)</f>
        <v>198</v>
      </c>
      <c r="B46">
        <v>56474756</v>
      </c>
      <c r="C46">
        <v>56474745</v>
      </c>
      <c r="D46">
        <v>52956643</v>
      </c>
      <c r="E46">
        <v>25</v>
      </c>
      <c r="F46">
        <v>1</v>
      </c>
      <c r="G46">
        <v>25</v>
      </c>
      <c r="H46">
        <v>1</v>
      </c>
      <c r="I46" t="s">
        <v>348</v>
      </c>
      <c r="J46" t="s">
        <v>3</v>
      </c>
      <c r="K46" t="s">
        <v>349</v>
      </c>
      <c r="L46">
        <v>1191</v>
      </c>
      <c r="N46">
        <v>1013</v>
      </c>
      <c r="O46" t="s">
        <v>350</v>
      </c>
      <c r="P46" t="s">
        <v>350</v>
      </c>
      <c r="Q46">
        <v>1</v>
      </c>
      <c r="X46">
        <v>87.29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 t="s">
        <v>3</v>
      </c>
      <c r="AG46">
        <v>87.29</v>
      </c>
      <c r="AH46">
        <v>2</v>
      </c>
      <c r="AI46">
        <v>56474746</v>
      </c>
      <c r="AJ46">
        <v>53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ROW(Source!A198)</f>
        <v>198</v>
      </c>
      <c r="B47">
        <v>56474757</v>
      </c>
      <c r="C47">
        <v>56474745</v>
      </c>
      <c r="D47">
        <v>52968814</v>
      </c>
      <c r="E47">
        <v>1</v>
      </c>
      <c r="F47">
        <v>1</v>
      </c>
      <c r="G47">
        <v>25</v>
      </c>
      <c r="H47">
        <v>2</v>
      </c>
      <c r="I47" t="s">
        <v>351</v>
      </c>
      <c r="J47" t="s">
        <v>352</v>
      </c>
      <c r="K47" t="s">
        <v>353</v>
      </c>
      <c r="L47">
        <v>1368</v>
      </c>
      <c r="N47">
        <v>1011</v>
      </c>
      <c r="O47" t="s">
        <v>354</v>
      </c>
      <c r="P47" t="s">
        <v>354</v>
      </c>
      <c r="Q47">
        <v>1</v>
      </c>
      <c r="X47">
        <v>1.59</v>
      </c>
      <c r="Y47">
        <v>0</v>
      </c>
      <c r="Z47">
        <v>1159.46</v>
      </c>
      <c r="AA47">
        <v>525.74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1.59</v>
      </c>
      <c r="AH47">
        <v>2</v>
      </c>
      <c r="AI47">
        <v>56474747</v>
      </c>
      <c r="AJ47">
        <v>54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ROW(Source!A198)</f>
        <v>198</v>
      </c>
      <c r="B48">
        <v>56474758</v>
      </c>
      <c r="C48">
        <v>56474745</v>
      </c>
      <c r="D48">
        <v>52968971</v>
      </c>
      <c r="E48">
        <v>1</v>
      </c>
      <c r="F48">
        <v>1</v>
      </c>
      <c r="G48">
        <v>25</v>
      </c>
      <c r="H48">
        <v>2</v>
      </c>
      <c r="I48" t="s">
        <v>355</v>
      </c>
      <c r="J48" t="s">
        <v>356</v>
      </c>
      <c r="K48" t="s">
        <v>357</v>
      </c>
      <c r="L48">
        <v>1368</v>
      </c>
      <c r="N48">
        <v>1011</v>
      </c>
      <c r="O48" t="s">
        <v>354</v>
      </c>
      <c r="P48" t="s">
        <v>354</v>
      </c>
      <c r="Q48">
        <v>1</v>
      </c>
      <c r="X48">
        <v>5.15</v>
      </c>
      <c r="Y48">
        <v>0</v>
      </c>
      <c r="Z48">
        <v>1236.3</v>
      </c>
      <c r="AA48">
        <v>469.98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5.15</v>
      </c>
      <c r="AH48">
        <v>2</v>
      </c>
      <c r="AI48">
        <v>56474748</v>
      </c>
      <c r="AJ48">
        <v>55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ROW(Source!A198)</f>
        <v>198</v>
      </c>
      <c r="B49">
        <v>56474759</v>
      </c>
      <c r="C49">
        <v>56474745</v>
      </c>
      <c r="D49">
        <v>52968957</v>
      </c>
      <c r="E49">
        <v>1</v>
      </c>
      <c r="F49">
        <v>1</v>
      </c>
      <c r="G49">
        <v>25</v>
      </c>
      <c r="H49">
        <v>2</v>
      </c>
      <c r="I49" t="s">
        <v>358</v>
      </c>
      <c r="J49" t="s">
        <v>359</v>
      </c>
      <c r="K49" t="s">
        <v>360</v>
      </c>
      <c r="L49">
        <v>1368</v>
      </c>
      <c r="N49">
        <v>1011</v>
      </c>
      <c r="O49" t="s">
        <v>354</v>
      </c>
      <c r="P49" t="s">
        <v>354</v>
      </c>
      <c r="Q49">
        <v>1</v>
      </c>
      <c r="X49">
        <v>11.26</v>
      </c>
      <c r="Y49">
        <v>0</v>
      </c>
      <c r="Z49">
        <v>1207.81</v>
      </c>
      <c r="AA49">
        <v>504.4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11.26</v>
      </c>
      <c r="AH49">
        <v>2</v>
      </c>
      <c r="AI49">
        <v>56474749</v>
      </c>
      <c r="AJ49">
        <v>56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ROW(Source!A198)</f>
        <v>198</v>
      </c>
      <c r="B50">
        <v>56474760</v>
      </c>
      <c r="C50">
        <v>56474745</v>
      </c>
      <c r="D50">
        <v>52968958</v>
      </c>
      <c r="E50">
        <v>1</v>
      </c>
      <c r="F50">
        <v>1</v>
      </c>
      <c r="G50">
        <v>25</v>
      </c>
      <c r="H50">
        <v>2</v>
      </c>
      <c r="I50" t="s">
        <v>361</v>
      </c>
      <c r="J50" t="s">
        <v>362</v>
      </c>
      <c r="K50" t="s">
        <v>363</v>
      </c>
      <c r="L50">
        <v>1368</v>
      </c>
      <c r="N50">
        <v>1011</v>
      </c>
      <c r="O50" t="s">
        <v>354</v>
      </c>
      <c r="P50" t="s">
        <v>354</v>
      </c>
      <c r="Q50">
        <v>1</v>
      </c>
      <c r="X50">
        <v>32.19</v>
      </c>
      <c r="Y50">
        <v>0</v>
      </c>
      <c r="Z50">
        <v>1741.23</v>
      </c>
      <c r="AA50">
        <v>685.71</v>
      </c>
      <c r="AB50">
        <v>0</v>
      </c>
      <c r="AC50">
        <v>0</v>
      </c>
      <c r="AD50">
        <v>1</v>
      </c>
      <c r="AE50">
        <v>0</v>
      </c>
      <c r="AF50" t="s">
        <v>3</v>
      </c>
      <c r="AG50">
        <v>32.19</v>
      </c>
      <c r="AH50">
        <v>2</v>
      </c>
      <c r="AI50">
        <v>56474750</v>
      </c>
      <c r="AJ50">
        <v>57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ROW(Source!A198)</f>
        <v>198</v>
      </c>
      <c r="B51">
        <v>56474761</v>
      </c>
      <c r="C51">
        <v>56474745</v>
      </c>
      <c r="D51">
        <v>52968995</v>
      </c>
      <c r="E51">
        <v>1</v>
      </c>
      <c r="F51">
        <v>1</v>
      </c>
      <c r="G51">
        <v>25</v>
      </c>
      <c r="H51">
        <v>2</v>
      </c>
      <c r="I51" t="s">
        <v>364</v>
      </c>
      <c r="J51" t="s">
        <v>365</v>
      </c>
      <c r="K51" t="s">
        <v>366</v>
      </c>
      <c r="L51">
        <v>1368</v>
      </c>
      <c r="N51">
        <v>1011</v>
      </c>
      <c r="O51" t="s">
        <v>354</v>
      </c>
      <c r="P51" t="s">
        <v>354</v>
      </c>
      <c r="Q51">
        <v>1</v>
      </c>
      <c r="X51">
        <v>5.81</v>
      </c>
      <c r="Y51">
        <v>0</v>
      </c>
      <c r="Z51">
        <v>1467.62</v>
      </c>
      <c r="AA51">
        <v>682.01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5.81</v>
      </c>
      <c r="AH51">
        <v>2</v>
      </c>
      <c r="AI51">
        <v>56474751</v>
      </c>
      <c r="AJ51">
        <v>58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ROW(Source!A198)</f>
        <v>198</v>
      </c>
      <c r="B52">
        <v>56474762</v>
      </c>
      <c r="C52">
        <v>56474745</v>
      </c>
      <c r="D52">
        <v>52970936</v>
      </c>
      <c r="E52">
        <v>1</v>
      </c>
      <c r="F52">
        <v>1</v>
      </c>
      <c r="G52">
        <v>25</v>
      </c>
      <c r="H52">
        <v>3</v>
      </c>
      <c r="I52" t="s">
        <v>24</v>
      </c>
      <c r="J52" t="s">
        <v>27</v>
      </c>
      <c r="K52" t="s">
        <v>25</v>
      </c>
      <c r="L52">
        <v>1339</v>
      </c>
      <c r="N52">
        <v>1007</v>
      </c>
      <c r="O52" t="s">
        <v>26</v>
      </c>
      <c r="P52" t="s">
        <v>26</v>
      </c>
      <c r="Q52">
        <v>1</v>
      </c>
      <c r="X52">
        <v>11.5</v>
      </c>
      <c r="Y52">
        <v>1908.27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 t="s">
        <v>3</v>
      </c>
      <c r="AG52">
        <v>11.5</v>
      </c>
      <c r="AH52">
        <v>2</v>
      </c>
      <c r="AI52">
        <v>56474753</v>
      </c>
      <c r="AJ52">
        <v>60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ROW(Source!A198)</f>
        <v>198</v>
      </c>
      <c r="B53">
        <v>56474763</v>
      </c>
      <c r="C53">
        <v>56474745</v>
      </c>
      <c r="D53">
        <v>52970937</v>
      </c>
      <c r="E53">
        <v>1</v>
      </c>
      <c r="F53">
        <v>1</v>
      </c>
      <c r="G53">
        <v>25</v>
      </c>
      <c r="H53">
        <v>3</v>
      </c>
      <c r="I53" t="s">
        <v>29</v>
      </c>
      <c r="J53" t="s">
        <v>31</v>
      </c>
      <c r="K53" t="s">
        <v>30</v>
      </c>
      <c r="L53">
        <v>1339</v>
      </c>
      <c r="N53">
        <v>1007</v>
      </c>
      <c r="O53" t="s">
        <v>26</v>
      </c>
      <c r="P53" t="s">
        <v>26</v>
      </c>
      <c r="Q53">
        <v>1</v>
      </c>
      <c r="X53">
        <v>55</v>
      </c>
      <c r="Y53">
        <v>1806.27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 t="s">
        <v>3</v>
      </c>
      <c r="AG53">
        <v>55</v>
      </c>
      <c r="AH53">
        <v>2</v>
      </c>
      <c r="AI53">
        <v>56474754</v>
      </c>
      <c r="AJ53">
        <v>61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ROW(Source!A198)</f>
        <v>198</v>
      </c>
      <c r="B54">
        <v>56474764</v>
      </c>
      <c r="C54">
        <v>56474745</v>
      </c>
      <c r="D54">
        <v>52971654</v>
      </c>
      <c r="E54">
        <v>1</v>
      </c>
      <c r="F54">
        <v>1</v>
      </c>
      <c r="G54">
        <v>25</v>
      </c>
      <c r="H54">
        <v>3</v>
      </c>
      <c r="I54" t="s">
        <v>367</v>
      </c>
      <c r="J54" t="s">
        <v>368</v>
      </c>
      <c r="K54" t="s">
        <v>369</v>
      </c>
      <c r="L54">
        <v>1339</v>
      </c>
      <c r="N54">
        <v>1007</v>
      </c>
      <c r="O54" t="s">
        <v>26</v>
      </c>
      <c r="P54" t="s">
        <v>26</v>
      </c>
      <c r="Q54">
        <v>1</v>
      </c>
      <c r="X54">
        <v>25</v>
      </c>
      <c r="Y54">
        <v>33.729999999999997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 t="s">
        <v>3</v>
      </c>
      <c r="AG54">
        <v>25</v>
      </c>
      <c r="AH54">
        <v>2</v>
      </c>
      <c r="AI54">
        <v>56474755</v>
      </c>
      <c r="AJ54">
        <v>62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ROW(Source!A202)</f>
        <v>202</v>
      </c>
      <c r="B55">
        <v>56441807</v>
      </c>
      <c r="C55">
        <v>56441799</v>
      </c>
      <c r="D55">
        <v>52956643</v>
      </c>
      <c r="E55">
        <v>25</v>
      </c>
      <c r="F55">
        <v>1</v>
      </c>
      <c r="G55">
        <v>25</v>
      </c>
      <c r="H55">
        <v>1</v>
      </c>
      <c r="I55" t="s">
        <v>348</v>
      </c>
      <c r="J55" t="s">
        <v>3</v>
      </c>
      <c r="K55" t="s">
        <v>349</v>
      </c>
      <c r="L55">
        <v>1191</v>
      </c>
      <c r="N55">
        <v>1013</v>
      </c>
      <c r="O55" t="s">
        <v>350</v>
      </c>
      <c r="P55" t="s">
        <v>350</v>
      </c>
      <c r="Q55">
        <v>1</v>
      </c>
      <c r="X55">
        <v>134.08000000000001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 t="s">
        <v>3</v>
      </c>
      <c r="AG55">
        <v>134.08000000000001</v>
      </c>
      <c r="AH55">
        <v>2</v>
      </c>
      <c r="AI55">
        <v>56441800</v>
      </c>
      <c r="AJ55">
        <v>63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ROW(Source!A202)</f>
        <v>202</v>
      </c>
      <c r="B56">
        <v>56441808</v>
      </c>
      <c r="C56">
        <v>56441799</v>
      </c>
      <c r="D56">
        <v>52969401</v>
      </c>
      <c r="E56">
        <v>1</v>
      </c>
      <c r="F56">
        <v>1</v>
      </c>
      <c r="G56">
        <v>25</v>
      </c>
      <c r="H56">
        <v>2</v>
      </c>
      <c r="I56" t="s">
        <v>397</v>
      </c>
      <c r="J56" t="s">
        <v>398</v>
      </c>
      <c r="K56" t="s">
        <v>399</v>
      </c>
      <c r="L56">
        <v>1368</v>
      </c>
      <c r="N56">
        <v>1011</v>
      </c>
      <c r="O56" t="s">
        <v>354</v>
      </c>
      <c r="P56" t="s">
        <v>354</v>
      </c>
      <c r="Q56">
        <v>1</v>
      </c>
      <c r="X56">
        <v>4.0999999999999996</v>
      </c>
      <c r="Y56">
        <v>0</v>
      </c>
      <c r="Z56">
        <v>88.33</v>
      </c>
      <c r="AA56">
        <v>4.1399999999999997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4.0999999999999996</v>
      </c>
      <c r="AH56">
        <v>2</v>
      </c>
      <c r="AI56">
        <v>56441801</v>
      </c>
      <c r="AJ56">
        <v>64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ROW(Source!A202)</f>
        <v>202</v>
      </c>
      <c r="B57">
        <v>56441809</v>
      </c>
      <c r="C57">
        <v>56441799</v>
      </c>
      <c r="D57">
        <v>52969611</v>
      </c>
      <c r="E57">
        <v>1</v>
      </c>
      <c r="F57">
        <v>1</v>
      </c>
      <c r="G57">
        <v>25</v>
      </c>
      <c r="H57">
        <v>2</v>
      </c>
      <c r="I57" t="s">
        <v>400</v>
      </c>
      <c r="J57" t="s">
        <v>401</v>
      </c>
      <c r="K57" t="s">
        <v>402</v>
      </c>
      <c r="L57">
        <v>1368</v>
      </c>
      <c r="N57">
        <v>1011</v>
      </c>
      <c r="O57" t="s">
        <v>354</v>
      </c>
      <c r="P57" t="s">
        <v>354</v>
      </c>
      <c r="Q57">
        <v>1</v>
      </c>
      <c r="X57">
        <v>2.1800000000000002</v>
      </c>
      <c r="Y57">
        <v>0</v>
      </c>
      <c r="Z57">
        <v>3.96</v>
      </c>
      <c r="AA57">
        <v>0.01</v>
      </c>
      <c r="AB57">
        <v>0</v>
      </c>
      <c r="AC57">
        <v>0</v>
      </c>
      <c r="AD57">
        <v>1</v>
      </c>
      <c r="AE57">
        <v>0</v>
      </c>
      <c r="AF57" t="s">
        <v>3</v>
      </c>
      <c r="AG57">
        <v>2.1800000000000002</v>
      </c>
      <c r="AH57">
        <v>2</v>
      </c>
      <c r="AI57">
        <v>56441802</v>
      </c>
      <c r="AJ57">
        <v>65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ROW(Source!A202)</f>
        <v>202</v>
      </c>
      <c r="B58">
        <v>56441810</v>
      </c>
      <c r="C58">
        <v>56441799</v>
      </c>
      <c r="D58">
        <v>52970912</v>
      </c>
      <c r="E58">
        <v>1</v>
      </c>
      <c r="F58">
        <v>1</v>
      </c>
      <c r="G58">
        <v>25</v>
      </c>
      <c r="H58">
        <v>3</v>
      </c>
      <c r="I58" t="s">
        <v>403</v>
      </c>
      <c r="J58" t="s">
        <v>404</v>
      </c>
      <c r="K58" t="s">
        <v>405</v>
      </c>
      <c r="L58">
        <v>1339</v>
      </c>
      <c r="N58">
        <v>1007</v>
      </c>
      <c r="O58" t="s">
        <v>26</v>
      </c>
      <c r="P58" t="s">
        <v>26</v>
      </c>
      <c r="Q58">
        <v>1</v>
      </c>
      <c r="X58">
        <v>0.21</v>
      </c>
      <c r="Y58">
        <v>590.78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0.21</v>
      </c>
      <c r="AH58">
        <v>2</v>
      </c>
      <c r="AI58">
        <v>56441803</v>
      </c>
      <c r="AJ58">
        <v>66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ROW(Source!A202)</f>
        <v>202</v>
      </c>
      <c r="B59">
        <v>56441811</v>
      </c>
      <c r="C59">
        <v>56441799</v>
      </c>
      <c r="D59">
        <v>52972701</v>
      </c>
      <c r="E59">
        <v>1</v>
      </c>
      <c r="F59">
        <v>1</v>
      </c>
      <c r="G59">
        <v>25</v>
      </c>
      <c r="H59">
        <v>3</v>
      </c>
      <c r="I59" t="s">
        <v>406</v>
      </c>
      <c r="J59" t="s">
        <v>407</v>
      </c>
      <c r="K59" t="s">
        <v>408</v>
      </c>
      <c r="L59">
        <v>1348</v>
      </c>
      <c r="N59">
        <v>1009</v>
      </c>
      <c r="O59" t="s">
        <v>44</v>
      </c>
      <c r="P59" t="s">
        <v>44</v>
      </c>
      <c r="Q59">
        <v>1000</v>
      </c>
      <c r="X59">
        <v>8.5299999999999994</v>
      </c>
      <c r="Y59">
        <v>3130.47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 t="s">
        <v>3</v>
      </c>
      <c r="AG59">
        <v>8.5299999999999994</v>
      </c>
      <c r="AH59">
        <v>2</v>
      </c>
      <c r="AI59">
        <v>56441804</v>
      </c>
      <c r="AJ59">
        <v>67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ROW(Source!A202)</f>
        <v>202</v>
      </c>
      <c r="B60">
        <v>56441812</v>
      </c>
      <c r="C60">
        <v>56441799</v>
      </c>
      <c r="D60">
        <v>52973861</v>
      </c>
      <c r="E60">
        <v>1</v>
      </c>
      <c r="F60">
        <v>1</v>
      </c>
      <c r="G60">
        <v>25</v>
      </c>
      <c r="H60">
        <v>3</v>
      </c>
      <c r="I60" t="s">
        <v>409</v>
      </c>
      <c r="J60" t="s">
        <v>410</v>
      </c>
      <c r="K60" t="s">
        <v>411</v>
      </c>
      <c r="L60">
        <v>1354</v>
      </c>
      <c r="N60">
        <v>1010</v>
      </c>
      <c r="O60" t="s">
        <v>166</v>
      </c>
      <c r="P60" t="s">
        <v>166</v>
      </c>
      <c r="Q60">
        <v>1</v>
      </c>
      <c r="X60">
        <v>1.5</v>
      </c>
      <c r="Y60">
        <v>4170.97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 t="s">
        <v>3</v>
      </c>
      <c r="AG60">
        <v>1.5</v>
      </c>
      <c r="AH60">
        <v>2</v>
      </c>
      <c r="AI60">
        <v>56441805</v>
      </c>
      <c r="AJ60">
        <v>69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ROW(Source!A202)</f>
        <v>202</v>
      </c>
      <c r="B61">
        <v>56441813</v>
      </c>
      <c r="C61">
        <v>56441799</v>
      </c>
      <c r="D61">
        <v>52957450</v>
      </c>
      <c r="E61">
        <v>25</v>
      </c>
      <c r="F61">
        <v>1</v>
      </c>
      <c r="G61">
        <v>25</v>
      </c>
      <c r="H61">
        <v>3</v>
      </c>
      <c r="I61" t="s">
        <v>508</v>
      </c>
      <c r="J61" t="s">
        <v>3</v>
      </c>
      <c r="K61" t="s">
        <v>509</v>
      </c>
      <c r="L61">
        <v>1327</v>
      </c>
      <c r="N61">
        <v>1005</v>
      </c>
      <c r="O61" t="s">
        <v>157</v>
      </c>
      <c r="P61" t="s">
        <v>157</v>
      </c>
      <c r="Q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3</v>
      </c>
      <c r="AG61">
        <v>0</v>
      </c>
      <c r="AH61">
        <v>3</v>
      </c>
      <c r="AI61">
        <v>-1</v>
      </c>
      <c r="AJ61" t="s">
        <v>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ROW(Source!A239)</f>
        <v>239</v>
      </c>
      <c r="B62">
        <v>56441826</v>
      </c>
      <c r="C62">
        <v>56441815</v>
      </c>
      <c r="D62">
        <v>52956643</v>
      </c>
      <c r="E62">
        <v>25</v>
      </c>
      <c r="F62">
        <v>1</v>
      </c>
      <c r="G62">
        <v>25</v>
      </c>
      <c r="H62">
        <v>1</v>
      </c>
      <c r="I62" t="s">
        <v>348</v>
      </c>
      <c r="J62" t="s">
        <v>3</v>
      </c>
      <c r="K62" t="s">
        <v>349</v>
      </c>
      <c r="L62">
        <v>1191</v>
      </c>
      <c r="N62">
        <v>1013</v>
      </c>
      <c r="O62" t="s">
        <v>350</v>
      </c>
      <c r="P62" t="s">
        <v>350</v>
      </c>
      <c r="Q62">
        <v>1</v>
      </c>
      <c r="X62">
        <v>18.440000000000001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 t="s">
        <v>3</v>
      </c>
      <c r="AG62">
        <v>18.440000000000001</v>
      </c>
      <c r="AH62">
        <v>2</v>
      </c>
      <c r="AI62">
        <v>56441816</v>
      </c>
      <c r="AJ62">
        <v>70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ROW(Source!A239)</f>
        <v>239</v>
      </c>
      <c r="B63">
        <v>56441827</v>
      </c>
      <c r="C63">
        <v>56441815</v>
      </c>
      <c r="D63">
        <v>52969457</v>
      </c>
      <c r="E63">
        <v>1</v>
      </c>
      <c r="F63">
        <v>1</v>
      </c>
      <c r="G63">
        <v>25</v>
      </c>
      <c r="H63">
        <v>2</v>
      </c>
      <c r="I63" t="s">
        <v>412</v>
      </c>
      <c r="J63" t="s">
        <v>413</v>
      </c>
      <c r="K63" t="s">
        <v>414</v>
      </c>
      <c r="L63">
        <v>1368</v>
      </c>
      <c r="N63">
        <v>1011</v>
      </c>
      <c r="O63" t="s">
        <v>354</v>
      </c>
      <c r="P63" t="s">
        <v>354</v>
      </c>
      <c r="Q63">
        <v>1</v>
      </c>
      <c r="X63">
        <v>2.64</v>
      </c>
      <c r="Y63">
        <v>0</v>
      </c>
      <c r="Z63">
        <v>508.57</v>
      </c>
      <c r="AA63">
        <v>355.5</v>
      </c>
      <c r="AB63">
        <v>0</v>
      </c>
      <c r="AC63">
        <v>0</v>
      </c>
      <c r="AD63">
        <v>1</v>
      </c>
      <c r="AE63">
        <v>0</v>
      </c>
      <c r="AF63" t="s">
        <v>3</v>
      </c>
      <c r="AG63">
        <v>2.64</v>
      </c>
      <c r="AH63">
        <v>2</v>
      </c>
      <c r="AI63">
        <v>56441817</v>
      </c>
      <c r="AJ63">
        <v>71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ROW(Source!A239)</f>
        <v>239</v>
      </c>
      <c r="B64">
        <v>56441828</v>
      </c>
      <c r="C64">
        <v>56441815</v>
      </c>
      <c r="D64">
        <v>52969675</v>
      </c>
      <c r="E64">
        <v>1</v>
      </c>
      <c r="F64">
        <v>1</v>
      </c>
      <c r="G64">
        <v>25</v>
      </c>
      <c r="H64">
        <v>2</v>
      </c>
      <c r="I64" t="s">
        <v>415</v>
      </c>
      <c r="J64" t="s">
        <v>416</v>
      </c>
      <c r="K64" t="s">
        <v>417</v>
      </c>
      <c r="L64">
        <v>1368</v>
      </c>
      <c r="N64">
        <v>1011</v>
      </c>
      <c r="O64" t="s">
        <v>354</v>
      </c>
      <c r="P64" t="s">
        <v>354</v>
      </c>
      <c r="Q64">
        <v>1</v>
      </c>
      <c r="X64">
        <v>1.18</v>
      </c>
      <c r="Y64">
        <v>0</v>
      </c>
      <c r="Z64">
        <v>7.67</v>
      </c>
      <c r="AA64">
        <v>0.93</v>
      </c>
      <c r="AB64">
        <v>0</v>
      </c>
      <c r="AC64">
        <v>0</v>
      </c>
      <c r="AD64">
        <v>1</v>
      </c>
      <c r="AE64">
        <v>0</v>
      </c>
      <c r="AF64" t="s">
        <v>3</v>
      </c>
      <c r="AG64">
        <v>1.18</v>
      </c>
      <c r="AH64">
        <v>2</v>
      </c>
      <c r="AI64">
        <v>56441818</v>
      </c>
      <c r="AJ64">
        <v>72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ROW(Source!A239)</f>
        <v>239</v>
      </c>
      <c r="B65">
        <v>56441829</v>
      </c>
      <c r="C65">
        <v>56441815</v>
      </c>
      <c r="D65">
        <v>52968883</v>
      </c>
      <c r="E65">
        <v>1</v>
      </c>
      <c r="F65">
        <v>1</v>
      </c>
      <c r="G65">
        <v>25</v>
      </c>
      <c r="H65">
        <v>2</v>
      </c>
      <c r="I65" t="s">
        <v>418</v>
      </c>
      <c r="J65" t="s">
        <v>419</v>
      </c>
      <c r="K65" t="s">
        <v>420</v>
      </c>
      <c r="L65">
        <v>1368</v>
      </c>
      <c r="N65">
        <v>1011</v>
      </c>
      <c r="O65" t="s">
        <v>354</v>
      </c>
      <c r="P65" t="s">
        <v>354</v>
      </c>
      <c r="Q65">
        <v>1</v>
      </c>
      <c r="X65">
        <v>0.01</v>
      </c>
      <c r="Y65">
        <v>0</v>
      </c>
      <c r="Z65">
        <v>593.01</v>
      </c>
      <c r="AA65">
        <v>486.57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0.01</v>
      </c>
      <c r="AH65">
        <v>2</v>
      </c>
      <c r="AI65">
        <v>56441819</v>
      </c>
      <c r="AJ65">
        <v>73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ROW(Source!A239)</f>
        <v>239</v>
      </c>
      <c r="B66">
        <v>56441830</v>
      </c>
      <c r="C66">
        <v>56441815</v>
      </c>
      <c r="D66">
        <v>52969067</v>
      </c>
      <c r="E66">
        <v>1</v>
      </c>
      <c r="F66">
        <v>1</v>
      </c>
      <c r="G66">
        <v>25</v>
      </c>
      <c r="H66">
        <v>2</v>
      </c>
      <c r="I66" t="s">
        <v>421</v>
      </c>
      <c r="J66" t="s">
        <v>422</v>
      </c>
      <c r="K66" t="s">
        <v>423</v>
      </c>
      <c r="L66">
        <v>1368</v>
      </c>
      <c r="N66">
        <v>1011</v>
      </c>
      <c r="O66" t="s">
        <v>354</v>
      </c>
      <c r="P66" t="s">
        <v>354</v>
      </c>
      <c r="Q66">
        <v>1</v>
      </c>
      <c r="X66">
        <v>2.64</v>
      </c>
      <c r="Y66">
        <v>0</v>
      </c>
      <c r="Z66">
        <v>434.82</v>
      </c>
      <c r="AA66">
        <v>386.07</v>
      </c>
      <c r="AB66">
        <v>0</v>
      </c>
      <c r="AC66">
        <v>0</v>
      </c>
      <c r="AD66">
        <v>1</v>
      </c>
      <c r="AE66">
        <v>0</v>
      </c>
      <c r="AF66" t="s">
        <v>3</v>
      </c>
      <c r="AG66">
        <v>2.64</v>
      </c>
      <c r="AH66">
        <v>2</v>
      </c>
      <c r="AI66">
        <v>56441820</v>
      </c>
      <c r="AJ66">
        <v>74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ROW(Source!A239)</f>
        <v>239</v>
      </c>
      <c r="B67">
        <v>56441831</v>
      </c>
      <c r="C67">
        <v>56441815</v>
      </c>
      <c r="D67">
        <v>52971875</v>
      </c>
      <c r="E67">
        <v>1</v>
      </c>
      <c r="F67">
        <v>1</v>
      </c>
      <c r="G67">
        <v>25</v>
      </c>
      <c r="H67">
        <v>3</v>
      </c>
      <c r="I67" t="s">
        <v>424</v>
      </c>
      <c r="J67" t="s">
        <v>425</v>
      </c>
      <c r="K67" t="s">
        <v>426</v>
      </c>
      <c r="L67">
        <v>1327</v>
      </c>
      <c r="N67">
        <v>1005</v>
      </c>
      <c r="O67" t="s">
        <v>157</v>
      </c>
      <c r="P67" t="s">
        <v>157</v>
      </c>
      <c r="Q67">
        <v>1</v>
      </c>
      <c r="X67">
        <v>5.6</v>
      </c>
      <c r="Y67">
        <v>12.76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5.6</v>
      </c>
      <c r="AH67">
        <v>2</v>
      </c>
      <c r="AI67">
        <v>56441821</v>
      </c>
      <c r="AJ67">
        <v>75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ROW(Source!A239)</f>
        <v>239</v>
      </c>
      <c r="B68">
        <v>56441832</v>
      </c>
      <c r="C68">
        <v>56441815</v>
      </c>
      <c r="D68">
        <v>52971962</v>
      </c>
      <c r="E68">
        <v>1</v>
      </c>
      <c r="F68">
        <v>1</v>
      </c>
      <c r="G68">
        <v>25</v>
      </c>
      <c r="H68">
        <v>3</v>
      </c>
      <c r="I68" t="s">
        <v>427</v>
      </c>
      <c r="J68" t="s">
        <v>428</v>
      </c>
      <c r="K68" t="s">
        <v>429</v>
      </c>
      <c r="L68">
        <v>1348</v>
      </c>
      <c r="N68">
        <v>1009</v>
      </c>
      <c r="O68" t="s">
        <v>44</v>
      </c>
      <c r="P68" t="s">
        <v>44</v>
      </c>
      <c r="Q68">
        <v>1000</v>
      </c>
      <c r="X68">
        <v>3.15E-3</v>
      </c>
      <c r="Y68">
        <v>349768.5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 t="s">
        <v>3</v>
      </c>
      <c r="AG68">
        <v>3.15E-3</v>
      </c>
      <c r="AH68">
        <v>2</v>
      </c>
      <c r="AI68">
        <v>56441822</v>
      </c>
      <c r="AJ68">
        <v>76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ROW(Source!A239)</f>
        <v>239</v>
      </c>
      <c r="B69">
        <v>56441833</v>
      </c>
      <c r="C69">
        <v>56441815</v>
      </c>
      <c r="D69">
        <v>52972179</v>
      </c>
      <c r="E69">
        <v>1</v>
      </c>
      <c r="F69">
        <v>1</v>
      </c>
      <c r="G69">
        <v>25</v>
      </c>
      <c r="H69">
        <v>3</v>
      </c>
      <c r="I69" t="s">
        <v>430</v>
      </c>
      <c r="J69" t="s">
        <v>431</v>
      </c>
      <c r="K69" t="s">
        <v>432</v>
      </c>
      <c r="L69">
        <v>1346</v>
      </c>
      <c r="N69">
        <v>1009</v>
      </c>
      <c r="O69" t="s">
        <v>210</v>
      </c>
      <c r="P69" t="s">
        <v>210</v>
      </c>
      <c r="Q69">
        <v>1</v>
      </c>
      <c r="X69">
        <v>735</v>
      </c>
      <c r="Y69">
        <v>18.399999999999999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 t="s">
        <v>3</v>
      </c>
      <c r="AG69">
        <v>735</v>
      </c>
      <c r="AH69">
        <v>2</v>
      </c>
      <c r="AI69">
        <v>56441823</v>
      </c>
      <c r="AJ69">
        <v>77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ROW(Source!A239)</f>
        <v>239</v>
      </c>
      <c r="B70">
        <v>56441834</v>
      </c>
      <c r="C70">
        <v>56441815</v>
      </c>
      <c r="D70">
        <v>52972186</v>
      </c>
      <c r="E70">
        <v>1</v>
      </c>
      <c r="F70">
        <v>1</v>
      </c>
      <c r="G70">
        <v>25</v>
      </c>
      <c r="H70">
        <v>3</v>
      </c>
      <c r="I70" t="s">
        <v>433</v>
      </c>
      <c r="J70" t="s">
        <v>434</v>
      </c>
      <c r="K70" t="s">
        <v>435</v>
      </c>
      <c r="L70">
        <v>1346</v>
      </c>
      <c r="N70">
        <v>1009</v>
      </c>
      <c r="O70" t="s">
        <v>210</v>
      </c>
      <c r="P70" t="s">
        <v>210</v>
      </c>
      <c r="Q70">
        <v>1</v>
      </c>
      <c r="X70">
        <v>241.5</v>
      </c>
      <c r="Y70">
        <v>189.61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241.5</v>
      </c>
      <c r="AH70">
        <v>2</v>
      </c>
      <c r="AI70">
        <v>56441824</v>
      </c>
      <c r="AJ70">
        <v>78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ROW(Source!A239)</f>
        <v>239</v>
      </c>
      <c r="B71">
        <v>56441835</v>
      </c>
      <c r="C71">
        <v>56441815</v>
      </c>
      <c r="D71">
        <v>52970162</v>
      </c>
      <c r="E71">
        <v>1</v>
      </c>
      <c r="F71">
        <v>1</v>
      </c>
      <c r="G71">
        <v>25</v>
      </c>
      <c r="H71">
        <v>3</v>
      </c>
      <c r="I71" t="s">
        <v>198</v>
      </c>
      <c r="J71" t="s">
        <v>200</v>
      </c>
      <c r="K71" t="s">
        <v>199</v>
      </c>
      <c r="L71">
        <v>1348</v>
      </c>
      <c r="N71">
        <v>1009</v>
      </c>
      <c r="O71" t="s">
        <v>44</v>
      </c>
      <c r="P71" t="s">
        <v>44</v>
      </c>
      <c r="Q71">
        <v>1000</v>
      </c>
      <c r="X71">
        <v>5.2499999999999998E-2</v>
      </c>
      <c r="Y71">
        <v>748288.41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5.2499999999999998E-2</v>
      </c>
      <c r="AH71">
        <v>2</v>
      </c>
      <c r="AI71">
        <v>56441825</v>
      </c>
      <c r="AJ71">
        <v>79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ROW(Source!A241)</f>
        <v>241</v>
      </c>
      <c r="B72">
        <v>56441845</v>
      </c>
      <c r="C72">
        <v>56441837</v>
      </c>
      <c r="D72">
        <v>52956643</v>
      </c>
      <c r="E72">
        <v>25</v>
      </c>
      <c r="F72">
        <v>1</v>
      </c>
      <c r="G72">
        <v>25</v>
      </c>
      <c r="H72">
        <v>1</v>
      </c>
      <c r="I72" t="s">
        <v>348</v>
      </c>
      <c r="J72" t="s">
        <v>3</v>
      </c>
      <c r="K72" t="s">
        <v>349</v>
      </c>
      <c r="L72">
        <v>1191</v>
      </c>
      <c r="N72">
        <v>1013</v>
      </c>
      <c r="O72" t="s">
        <v>350</v>
      </c>
      <c r="P72" t="s">
        <v>350</v>
      </c>
      <c r="Q72">
        <v>1</v>
      </c>
      <c r="X72">
        <v>2.65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 t="s">
        <v>205</v>
      </c>
      <c r="AG72">
        <v>13.25</v>
      </c>
      <c r="AH72">
        <v>2</v>
      </c>
      <c r="AI72">
        <v>56441838</v>
      </c>
      <c r="AJ72">
        <v>80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ROW(Source!A241)</f>
        <v>241</v>
      </c>
      <c r="B73">
        <v>56441846</v>
      </c>
      <c r="C73">
        <v>56441837</v>
      </c>
      <c r="D73">
        <v>52969457</v>
      </c>
      <c r="E73">
        <v>1</v>
      </c>
      <c r="F73">
        <v>1</v>
      </c>
      <c r="G73">
        <v>25</v>
      </c>
      <c r="H73">
        <v>2</v>
      </c>
      <c r="I73" t="s">
        <v>412</v>
      </c>
      <c r="J73" t="s">
        <v>413</v>
      </c>
      <c r="K73" t="s">
        <v>414</v>
      </c>
      <c r="L73">
        <v>1368</v>
      </c>
      <c r="N73">
        <v>1011</v>
      </c>
      <c r="O73" t="s">
        <v>354</v>
      </c>
      <c r="P73" t="s">
        <v>354</v>
      </c>
      <c r="Q73">
        <v>1</v>
      </c>
      <c r="X73">
        <v>0.5</v>
      </c>
      <c r="Y73">
        <v>0</v>
      </c>
      <c r="Z73">
        <v>508.57</v>
      </c>
      <c r="AA73">
        <v>355.5</v>
      </c>
      <c r="AB73">
        <v>0</v>
      </c>
      <c r="AC73">
        <v>0</v>
      </c>
      <c r="AD73">
        <v>1</v>
      </c>
      <c r="AE73">
        <v>0</v>
      </c>
      <c r="AF73" t="s">
        <v>205</v>
      </c>
      <c r="AG73">
        <v>2.5</v>
      </c>
      <c r="AH73">
        <v>2</v>
      </c>
      <c r="AI73">
        <v>56441839</v>
      </c>
      <c r="AJ73">
        <v>81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ROW(Source!A241)</f>
        <v>241</v>
      </c>
      <c r="B74">
        <v>56441847</v>
      </c>
      <c r="C74">
        <v>56441837</v>
      </c>
      <c r="D74">
        <v>52969067</v>
      </c>
      <c r="E74">
        <v>1</v>
      </c>
      <c r="F74">
        <v>1</v>
      </c>
      <c r="G74">
        <v>25</v>
      </c>
      <c r="H74">
        <v>2</v>
      </c>
      <c r="I74" t="s">
        <v>421</v>
      </c>
      <c r="J74" t="s">
        <v>422</v>
      </c>
      <c r="K74" t="s">
        <v>423</v>
      </c>
      <c r="L74">
        <v>1368</v>
      </c>
      <c r="N74">
        <v>1011</v>
      </c>
      <c r="O74" t="s">
        <v>354</v>
      </c>
      <c r="P74" t="s">
        <v>354</v>
      </c>
      <c r="Q74">
        <v>1</v>
      </c>
      <c r="X74">
        <v>0.5</v>
      </c>
      <c r="Y74">
        <v>0</v>
      </c>
      <c r="Z74">
        <v>434.82</v>
      </c>
      <c r="AA74">
        <v>386.07</v>
      </c>
      <c r="AB74">
        <v>0</v>
      </c>
      <c r="AC74">
        <v>0</v>
      </c>
      <c r="AD74">
        <v>1</v>
      </c>
      <c r="AE74">
        <v>0</v>
      </c>
      <c r="AF74" t="s">
        <v>205</v>
      </c>
      <c r="AG74">
        <v>2.5</v>
      </c>
      <c r="AH74">
        <v>2</v>
      </c>
      <c r="AI74">
        <v>56441840</v>
      </c>
      <c r="AJ74">
        <v>82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ROW(Source!A241)</f>
        <v>241</v>
      </c>
      <c r="B75">
        <v>56441848</v>
      </c>
      <c r="C75">
        <v>56441837</v>
      </c>
      <c r="D75">
        <v>52972179</v>
      </c>
      <c r="E75">
        <v>1</v>
      </c>
      <c r="F75">
        <v>1</v>
      </c>
      <c r="G75">
        <v>25</v>
      </c>
      <c r="H75">
        <v>3</v>
      </c>
      <c r="I75" t="s">
        <v>430</v>
      </c>
      <c r="J75" t="s">
        <v>431</v>
      </c>
      <c r="K75" t="s">
        <v>432</v>
      </c>
      <c r="L75">
        <v>1346</v>
      </c>
      <c r="N75">
        <v>1009</v>
      </c>
      <c r="O75" t="s">
        <v>210</v>
      </c>
      <c r="P75" t="s">
        <v>210</v>
      </c>
      <c r="Q75">
        <v>1</v>
      </c>
      <c r="X75">
        <v>147</v>
      </c>
      <c r="Y75">
        <v>18.399999999999999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 t="s">
        <v>205</v>
      </c>
      <c r="AG75">
        <v>735</v>
      </c>
      <c r="AH75">
        <v>2</v>
      </c>
      <c r="AI75">
        <v>56441841</v>
      </c>
      <c r="AJ75">
        <v>83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ROW(Source!A241)</f>
        <v>241</v>
      </c>
      <c r="B76">
        <v>56441849</v>
      </c>
      <c r="C76">
        <v>56441837</v>
      </c>
      <c r="D76">
        <v>52972186</v>
      </c>
      <c r="E76">
        <v>1</v>
      </c>
      <c r="F76">
        <v>1</v>
      </c>
      <c r="G76">
        <v>25</v>
      </c>
      <c r="H76">
        <v>3</v>
      </c>
      <c r="I76" t="s">
        <v>433</v>
      </c>
      <c r="J76" t="s">
        <v>434</v>
      </c>
      <c r="K76" t="s">
        <v>435</v>
      </c>
      <c r="L76">
        <v>1346</v>
      </c>
      <c r="N76">
        <v>1009</v>
      </c>
      <c r="O76" t="s">
        <v>210</v>
      </c>
      <c r="P76" t="s">
        <v>210</v>
      </c>
      <c r="Q76">
        <v>1</v>
      </c>
      <c r="X76">
        <v>42</v>
      </c>
      <c r="Y76">
        <v>189.61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 t="s">
        <v>205</v>
      </c>
      <c r="AG76">
        <v>210</v>
      </c>
      <c r="AH76">
        <v>2</v>
      </c>
      <c r="AI76">
        <v>56441842</v>
      </c>
      <c r="AJ76">
        <v>84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ROW(Source!A241)</f>
        <v>241</v>
      </c>
      <c r="B77">
        <v>56441850</v>
      </c>
      <c r="C77">
        <v>56441837</v>
      </c>
      <c r="D77">
        <v>52970162</v>
      </c>
      <c r="E77">
        <v>1</v>
      </c>
      <c r="F77">
        <v>1</v>
      </c>
      <c r="G77">
        <v>25</v>
      </c>
      <c r="H77">
        <v>3</v>
      </c>
      <c r="I77" t="s">
        <v>198</v>
      </c>
      <c r="J77" t="s">
        <v>200</v>
      </c>
      <c r="K77" t="s">
        <v>199</v>
      </c>
      <c r="L77">
        <v>1348</v>
      </c>
      <c r="N77">
        <v>1009</v>
      </c>
      <c r="O77" t="s">
        <v>44</v>
      </c>
      <c r="P77" t="s">
        <v>44</v>
      </c>
      <c r="Q77">
        <v>1000</v>
      </c>
      <c r="X77">
        <v>1.0500000000000001E-2</v>
      </c>
      <c r="Y77">
        <v>748288.41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 t="s">
        <v>205</v>
      </c>
      <c r="AG77">
        <v>5.2500000000000005E-2</v>
      </c>
      <c r="AH77">
        <v>2</v>
      </c>
      <c r="AI77">
        <v>56441843</v>
      </c>
      <c r="AJ77">
        <v>85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ROW(Source!A279)</f>
        <v>279</v>
      </c>
      <c r="B78">
        <v>56441862</v>
      </c>
      <c r="C78">
        <v>56441853</v>
      </c>
      <c r="D78">
        <v>52956643</v>
      </c>
      <c r="E78">
        <v>25</v>
      </c>
      <c r="F78">
        <v>1</v>
      </c>
      <c r="G78">
        <v>25</v>
      </c>
      <c r="H78">
        <v>1</v>
      </c>
      <c r="I78" t="s">
        <v>348</v>
      </c>
      <c r="J78" t="s">
        <v>3</v>
      </c>
      <c r="K78" t="s">
        <v>349</v>
      </c>
      <c r="L78">
        <v>1191</v>
      </c>
      <c r="N78">
        <v>1013</v>
      </c>
      <c r="O78" t="s">
        <v>350</v>
      </c>
      <c r="P78" t="s">
        <v>350</v>
      </c>
      <c r="Q78">
        <v>1</v>
      </c>
      <c r="X78">
        <v>16.559999999999999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 t="s">
        <v>3</v>
      </c>
      <c r="AG78">
        <v>16.559999999999999</v>
      </c>
      <c r="AH78">
        <v>2</v>
      </c>
      <c r="AI78">
        <v>56441854</v>
      </c>
      <c r="AJ78">
        <v>87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ROW(Source!A279)</f>
        <v>279</v>
      </c>
      <c r="B79">
        <v>56441863</v>
      </c>
      <c r="C79">
        <v>56441853</v>
      </c>
      <c r="D79">
        <v>52968814</v>
      </c>
      <c r="E79">
        <v>1</v>
      </c>
      <c r="F79">
        <v>1</v>
      </c>
      <c r="G79">
        <v>25</v>
      </c>
      <c r="H79">
        <v>2</v>
      </c>
      <c r="I79" t="s">
        <v>351</v>
      </c>
      <c r="J79" t="s">
        <v>352</v>
      </c>
      <c r="K79" t="s">
        <v>353</v>
      </c>
      <c r="L79">
        <v>1368</v>
      </c>
      <c r="N79">
        <v>1011</v>
      </c>
      <c r="O79" t="s">
        <v>354</v>
      </c>
      <c r="P79" t="s">
        <v>354</v>
      </c>
      <c r="Q79">
        <v>1</v>
      </c>
      <c r="X79">
        <v>2.08</v>
      </c>
      <c r="Y79">
        <v>0</v>
      </c>
      <c r="Z79">
        <v>1159.46</v>
      </c>
      <c r="AA79">
        <v>525.74</v>
      </c>
      <c r="AB79">
        <v>0</v>
      </c>
      <c r="AC79">
        <v>0</v>
      </c>
      <c r="AD79">
        <v>1</v>
      </c>
      <c r="AE79">
        <v>0</v>
      </c>
      <c r="AF79" t="s">
        <v>3</v>
      </c>
      <c r="AG79">
        <v>2.08</v>
      </c>
      <c r="AH79">
        <v>2</v>
      </c>
      <c r="AI79">
        <v>56441855</v>
      </c>
      <c r="AJ79">
        <v>88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ROW(Source!A279)</f>
        <v>279</v>
      </c>
      <c r="B80">
        <v>56441864</v>
      </c>
      <c r="C80">
        <v>56441853</v>
      </c>
      <c r="D80">
        <v>52968969</v>
      </c>
      <c r="E80">
        <v>1</v>
      </c>
      <c r="F80">
        <v>1</v>
      </c>
      <c r="G80">
        <v>25</v>
      </c>
      <c r="H80">
        <v>2</v>
      </c>
      <c r="I80" t="s">
        <v>436</v>
      </c>
      <c r="J80" t="s">
        <v>437</v>
      </c>
      <c r="K80" t="s">
        <v>438</v>
      </c>
      <c r="L80">
        <v>1368</v>
      </c>
      <c r="N80">
        <v>1011</v>
      </c>
      <c r="O80" t="s">
        <v>354</v>
      </c>
      <c r="P80" t="s">
        <v>354</v>
      </c>
      <c r="Q80">
        <v>1</v>
      </c>
      <c r="X80">
        <v>2.08</v>
      </c>
      <c r="Y80">
        <v>0</v>
      </c>
      <c r="Z80">
        <v>416.25</v>
      </c>
      <c r="AA80">
        <v>204.9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2.08</v>
      </c>
      <c r="AH80">
        <v>2</v>
      </c>
      <c r="AI80">
        <v>56441856</v>
      </c>
      <c r="AJ80">
        <v>89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ROW(Source!A279)</f>
        <v>279</v>
      </c>
      <c r="B81">
        <v>56441865</v>
      </c>
      <c r="C81">
        <v>56441853</v>
      </c>
      <c r="D81">
        <v>52968972</v>
      </c>
      <c r="E81">
        <v>1</v>
      </c>
      <c r="F81">
        <v>1</v>
      </c>
      <c r="G81">
        <v>25</v>
      </c>
      <c r="H81">
        <v>2</v>
      </c>
      <c r="I81" t="s">
        <v>439</v>
      </c>
      <c r="J81" t="s">
        <v>440</v>
      </c>
      <c r="K81" t="s">
        <v>441</v>
      </c>
      <c r="L81">
        <v>1368</v>
      </c>
      <c r="N81">
        <v>1011</v>
      </c>
      <c r="O81" t="s">
        <v>354</v>
      </c>
      <c r="P81" t="s">
        <v>354</v>
      </c>
      <c r="Q81">
        <v>1</v>
      </c>
      <c r="X81">
        <v>0.81</v>
      </c>
      <c r="Y81">
        <v>0</v>
      </c>
      <c r="Z81">
        <v>1942.21</v>
      </c>
      <c r="AA81">
        <v>436.39</v>
      </c>
      <c r="AB81">
        <v>0</v>
      </c>
      <c r="AC81">
        <v>0</v>
      </c>
      <c r="AD81">
        <v>1</v>
      </c>
      <c r="AE81">
        <v>0</v>
      </c>
      <c r="AF81" t="s">
        <v>3</v>
      </c>
      <c r="AG81">
        <v>0.81</v>
      </c>
      <c r="AH81">
        <v>2</v>
      </c>
      <c r="AI81">
        <v>56441857</v>
      </c>
      <c r="AJ81">
        <v>90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ROW(Source!A279)</f>
        <v>279</v>
      </c>
      <c r="B82">
        <v>56441866</v>
      </c>
      <c r="C82">
        <v>56441853</v>
      </c>
      <c r="D82">
        <v>52968996</v>
      </c>
      <c r="E82">
        <v>1</v>
      </c>
      <c r="F82">
        <v>1</v>
      </c>
      <c r="G82">
        <v>25</v>
      </c>
      <c r="H82">
        <v>2</v>
      </c>
      <c r="I82" t="s">
        <v>442</v>
      </c>
      <c r="J82" t="s">
        <v>443</v>
      </c>
      <c r="K82" t="s">
        <v>444</v>
      </c>
      <c r="L82">
        <v>1368</v>
      </c>
      <c r="N82">
        <v>1011</v>
      </c>
      <c r="O82" t="s">
        <v>354</v>
      </c>
      <c r="P82" t="s">
        <v>354</v>
      </c>
      <c r="Q82">
        <v>1</v>
      </c>
      <c r="X82">
        <v>1.94</v>
      </c>
      <c r="Y82">
        <v>0</v>
      </c>
      <c r="Z82">
        <v>1364.77</v>
      </c>
      <c r="AA82">
        <v>610.30999999999995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1.94</v>
      </c>
      <c r="AH82">
        <v>2</v>
      </c>
      <c r="AI82">
        <v>56441858</v>
      </c>
      <c r="AJ82">
        <v>91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ROW(Source!A279)</f>
        <v>279</v>
      </c>
      <c r="B83">
        <v>56441867</v>
      </c>
      <c r="C83">
        <v>56441853</v>
      </c>
      <c r="D83">
        <v>52968962</v>
      </c>
      <c r="E83">
        <v>1</v>
      </c>
      <c r="F83">
        <v>1</v>
      </c>
      <c r="G83">
        <v>25</v>
      </c>
      <c r="H83">
        <v>2</v>
      </c>
      <c r="I83" t="s">
        <v>445</v>
      </c>
      <c r="J83" t="s">
        <v>446</v>
      </c>
      <c r="K83" t="s">
        <v>447</v>
      </c>
      <c r="L83">
        <v>1368</v>
      </c>
      <c r="N83">
        <v>1011</v>
      </c>
      <c r="O83" t="s">
        <v>354</v>
      </c>
      <c r="P83" t="s">
        <v>354</v>
      </c>
      <c r="Q83">
        <v>1</v>
      </c>
      <c r="X83">
        <v>0.65</v>
      </c>
      <c r="Y83">
        <v>0</v>
      </c>
      <c r="Z83">
        <v>1179.56</v>
      </c>
      <c r="AA83">
        <v>439.28</v>
      </c>
      <c r="AB83">
        <v>0</v>
      </c>
      <c r="AC83">
        <v>0</v>
      </c>
      <c r="AD83">
        <v>1</v>
      </c>
      <c r="AE83">
        <v>0</v>
      </c>
      <c r="AF83" t="s">
        <v>3</v>
      </c>
      <c r="AG83">
        <v>0.65</v>
      </c>
      <c r="AH83">
        <v>2</v>
      </c>
      <c r="AI83">
        <v>56441859</v>
      </c>
      <c r="AJ83">
        <v>92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ROW(Source!A279)</f>
        <v>279</v>
      </c>
      <c r="B84">
        <v>56441868</v>
      </c>
      <c r="C84">
        <v>56441853</v>
      </c>
      <c r="D84">
        <v>52970911</v>
      </c>
      <c r="E84">
        <v>1</v>
      </c>
      <c r="F84">
        <v>1</v>
      </c>
      <c r="G84">
        <v>25</v>
      </c>
      <c r="H84">
        <v>3</v>
      </c>
      <c r="I84" t="s">
        <v>448</v>
      </c>
      <c r="J84" t="s">
        <v>449</v>
      </c>
      <c r="K84" t="s">
        <v>450</v>
      </c>
      <c r="L84">
        <v>1339</v>
      </c>
      <c r="N84">
        <v>1007</v>
      </c>
      <c r="O84" t="s">
        <v>26</v>
      </c>
      <c r="P84" t="s">
        <v>26</v>
      </c>
      <c r="Q84">
        <v>1</v>
      </c>
      <c r="X84">
        <v>110</v>
      </c>
      <c r="Y84">
        <v>590.78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 t="s">
        <v>3</v>
      </c>
      <c r="AG84">
        <v>110</v>
      </c>
      <c r="AH84">
        <v>2</v>
      </c>
      <c r="AI84">
        <v>56441860</v>
      </c>
      <c r="AJ84">
        <v>93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ROW(Source!A279)</f>
        <v>279</v>
      </c>
      <c r="B85">
        <v>56441869</v>
      </c>
      <c r="C85">
        <v>56441853</v>
      </c>
      <c r="D85">
        <v>52971654</v>
      </c>
      <c r="E85">
        <v>1</v>
      </c>
      <c r="F85">
        <v>1</v>
      </c>
      <c r="G85">
        <v>25</v>
      </c>
      <c r="H85">
        <v>3</v>
      </c>
      <c r="I85" t="s">
        <v>367</v>
      </c>
      <c r="J85" t="s">
        <v>368</v>
      </c>
      <c r="K85" t="s">
        <v>369</v>
      </c>
      <c r="L85">
        <v>1339</v>
      </c>
      <c r="N85">
        <v>1007</v>
      </c>
      <c r="O85" t="s">
        <v>26</v>
      </c>
      <c r="P85" t="s">
        <v>26</v>
      </c>
      <c r="Q85">
        <v>1</v>
      </c>
      <c r="X85">
        <v>5</v>
      </c>
      <c r="Y85">
        <v>33.729999999999997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5</v>
      </c>
      <c r="AH85">
        <v>2</v>
      </c>
      <c r="AI85">
        <v>56441861</v>
      </c>
      <c r="AJ85">
        <v>94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ROW(Source!A280)</f>
        <v>280</v>
      </c>
      <c r="B86">
        <v>56441881</v>
      </c>
      <c r="C86">
        <v>56441870</v>
      </c>
      <c r="D86">
        <v>52956643</v>
      </c>
      <c r="E86">
        <v>25</v>
      </c>
      <c r="F86">
        <v>1</v>
      </c>
      <c r="G86">
        <v>25</v>
      </c>
      <c r="H86">
        <v>1</v>
      </c>
      <c r="I86" t="s">
        <v>348</v>
      </c>
      <c r="J86" t="s">
        <v>3</v>
      </c>
      <c r="K86" t="s">
        <v>349</v>
      </c>
      <c r="L86">
        <v>1191</v>
      </c>
      <c r="N86">
        <v>1013</v>
      </c>
      <c r="O86" t="s">
        <v>350</v>
      </c>
      <c r="P86" t="s">
        <v>350</v>
      </c>
      <c r="Q86">
        <v>1</v>
      </c>
      <c r="X86">
        <v>24.84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 t="s">
        <v>3</v>
      </c>
      <c r="AG86">
        <v>24.84</v>
      </c>
      <c r="AH86">
        <v>2</v>
      </c>
      <c r="AI86">
        <v>56441871</v>
      </c>
      <c r="AJ86">
        <v>95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ROW(Source!A280)</f>
        <v>280</v>
      </c>
      <c r="B87">
        <v>56441882</v>
      </c>
      <c r="C87">
        <v>56441870</v>
      </c>
      <c r="D87">
        <v>52968791</v>
      </c>
      <c r="E87">
        <v>1</v>
      </c>
      <c r="F87">
        <v>1</v>
      </c>
      <c r="G87">
        <v>25</v>
      </c>
      <c r="H87">
        <v>2</v>
      </c>
      <c r="I87" t="s">
        <v>451</v>
      </c>
      <c r="J87" t="s">
        <v>452</v>
      </c>
      <c r="K87" t="s">
        <v>453</v>
      </c>
      <c r="L87">
        <v>1368</v>
      </c>
      <c r="N87">
        <v>1011</v>
      </c>
      <c r="O87" t="s">
        <v>354</v>
      </c>
      <c r="P87" t="s">
        <v>354</v>
      </c>
      <c r="Q87">
        <v>1</v>
      </c>
      <c r="X87">
        <v>2.94</v>
      </c>
      <c r="Y87">
        <v>0</v>
      </c>
      <c r="Z87">
        <v>923.83</v>
      </c>
      <c r="AA87">
        <v>342.06</v>
      </c>
      <c r="AB87">
        <v>0</v>
      </c>
      <c r="AC87">
        <v>0</v>
      </c>
      <c r="AD87">
        <v>1</v>
      </c>
      <c r="AE87">
        <v>0</v>
      </c>
      <c r="AF87" t="s">
        <v>3</v>
      </c>
      <c r="AG87">
        <v>2.94</v>
      </c>
      <c r="AH87">
        <v>2</v>
      </c>
      <c r="AI87">
        <v>56441872</v>
      </c>
      <c r="AJ87">
        <v>96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ROW(Source!A280)</f>
        <v>280</v>
      </c>
      <c r="B88">
        <v>56441883</v>
      </c>
      <c r="C88">
        <v>56441870</v>
      </c>
      <c r="D88">
        <v>52968972</v>
      </c>
      <c r="E88">
        <v>1</v>
      </c>
      <c r="F88">
        <v>1</v>
      </c>
      <c r="G88">
        <v>25</v>
      </c>
      <c r="H88">
        <v>2</v>
      </c>
      <c r="I88" t="s">
        <v>439</v>
      </c>
      <c r="J88" t="s">
        <v>440</v>
      </c>
      <c r="K88" t="s">
        <v>441</v>
      </c>
      <c r="L88">
        <v>1368</v>
      </c>
      <c r="N88">
        <v>1011</v>
      </c>
      <c r="O88" t="s">
        <v>354</v>
      </c>
      <c r="P88" t="s">
        <v>354</v>
      </c>
      <c r="Q88">
        <v>1</v>
      </c>
      <c r="X88">
        <v>1.1399999999999999</v>
      </c>
      <c r="Y88">
        <v>0</v>
      </c>
      <c r="Z88">
        <v>1942.21</v>
      </c>
      <c r="AA88">
        <v>436.39</v>
      </c>
      <c r="AB88">
        <v>0</v>
      </c>
      <c r="AC88">
        <v>0</v>
      </c>
      <c r="AD88">
        <v>1</v>
      </c>
      <c r="AE88">
        <v>0</v>
      </c>
      <c r="AF88" t="s">
        <v>3</v>
      </c>
      <c r="AG88">
        <v>1.1399999999999999</v>
      </c>
      <c r="AH88">
        <v>2</v>
      </c>
      <c r="AI88">
        <v>56441873</v>
      </c>
      <c r="AJ88">
        <v>97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ROW(Source!A280)</f>
        <v>280</v>
      </c>
      <c r="B89">
        <v>56441884</v>
      </c>
      <c r="C89">
        <v>56441870</v>
      </c>
      <c r="D89">
        <v>52968957</v>
      </c>
      <c r="E89">
        <v>1</v>
      </c>
      <c r="F89">
        <v>1</v>
      </c>
      <c r="G89">
        <v>25</v>
      </c>
      <c r="H89">
        <v>2</v>
      </c>
      <c r="I89" t="s">
        <v>358</v>
      </c>
      <c r="J89" t="s">
        <v>359</v>
      </c>
      <c r="K89" t="s">
        <v>360</v>
      </c>
      <c r="L89">
        <v>1368</v>
      </c>
      <c r="N89">
        <v>1011</v>
      </c>
      <c r="O89" t="s">
        <v>354</v>
      </c>
      <c r="P89" t="s">
        <v>354</v>
      </c>
      <c r="Q89">
        <v>1</v>
      </c>
      <c r="X89">
        <v>8.9600000000000009</v>
      </c>
      <c r="Y89">
        <v>0</v>
      </c>
      <c r="Z89">
        <v>1207.81</v>
      </c>
      <c r="AA89">
        <v>504.4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8.9600000000000009</v>
      </c>
      <c r="AH89">
        <v>2</v>
      </c>
      <c r="AI89">
        <v>56441874</v>
      </c>
      <c r="AJ89">
        <v>98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ROW(Source!A280)</f>
        <v>280</v>
      </c>
      <c r="B90">
        <v>56441885</v>
      </c>
      <c r="C90">
        <v>56441870</v>
      </c>
      <c r="D90">
        <v>52968958</v>
      </c>
      <c r="E90">
        <v>1</v>
      </c>
      <c r="F90">
        <v>1</v>
      </c>
      <c r="G90">
        <v>25</v>
      </c>
      <c r="H90">
        <v>2</v>
      </c>
      <c r="I90" t="s">
        <v>361</v>
      </c>
      <c r="J90" t="s">
        <v>362</v>
      </c>
      <c r="K90" t="s">
        <v>363</v>
      </c>
      <c r="L90">
        <v>1368</v>
      </c>
      <c r="N90">
        <v>1011</v>
      </c>
      <c r="O90" t="s">
        <v>354</v>
      </c>
      <c r="P90" t="s">
        <v>354</v>
      </c>
      <c r="Q90">
        <v>1</v>
      </c>
      <c r="X90">
        <v>18.25</v>
      </c>
      <c r="Y90">
        <v>0</v>
      </c>
      <c r="Z90">
        <v>1741.23</v>
      </c>
      <c r="AA90">
        <v>685.71</v>
      </c>
      <c r="AB90">
        <v>0</v>
      </c>
      <c r="AC90">
        <v>0</v>
      </c>
      <c r="AD90">
        <v>1</v>
      </c>
      <c r="AE90">
        <v>0</v>
      </c>
      <c r="AF90" t="s">
        <v>3</v>
      </c>
      <c r="AG90">
        <v>18.25</v>
      </c>
      <c r="AH90">
        <v>2</v>
      </c>
      <c r="AI90">
        <v>56441875</v>
      </c>
      <c r="AJ90">
        <v>99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ROW(Source!A280)</f>
        <v>280</v>
      </c>
      <c r="B91">
        <v>56441886</v>
      </c>
      <c r="C91">
        <v>56441870</v>
      </c>
      <c r="D91">
        <v>52968996</v>
      </c>
      <c r="E91">
        <v>1</v>
      </c>
      <c r="F91">
        <v>1</v>
      </c>
      <c r="G91">
        <v>25</v>
      </c>
      <c r="H91">
        <v>2</v>
      </c>
      <c r="I91" t="s">
        <v>442</v>
      </c>
      <c r="J91" t="s">
        <v>443</v>
      </c>
      <c r="K91" t="s">
        <v>444</v>
      </c>
      <c r="L91">
        <v>1368</v>
      </c>
      <c r="N91">
        <v>1011</v>
      </c>
      <c r="O91" t="s">
        <v>354</v>
      </c>
      <c r="P91" t="s">
        <v>354</v>
      </c>
      <c r="Q91">
        <v>1</v>
      </c>
      <c r="X91">
        <v>2.2400000000000002</v>
      </c>
      <c r="Y91">
        <v>0</v>
      </c>
      <c r="Z91">
        <v>1364.77</v>
      </c>
      <c r="AA91">
        <v>610.30999999999995</v>
      </c>
      <c r="AB91">
        <v>0</v>
      </c>
      <c r="AC91">
        <v>0</v>
      </c>
      <c r="AD91">
        <v>1</v>
      </c>
      <c r="AE91">
        <v>0</v>
      </c>
      <c r="AF91" t="s">
        <v>3</v>
      </c>
      <c r="AG91">
        <v>2.2400000000000002</v>
      </c>
      <c r="AH91">
        <v>2</v>
      </c>
      <c r="AI91">
        <v>56441876</v>
      </c>
      <c r="AJ91">
        <v>100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ROW(Source!A280)</f>
        <v>280</v>
      </c>
      <c r="B92">
        <v>56441887</v>
      </c>
      <c r="C92">
        <v>56441870</v>
      </c>
      <c r="D92">
        <v>52968962</v>
      </c>
      <c r="E92">
        <v>1</v>
      </c>
      <c r="F92">
        <v>1</v>
      </c>
      <c r="G92">
        <v>25</v>
      </c>
      <c r="H92">
        <v>2</v>
      </c>
      <c r="I92" t="s">
        <v>445</v>
      </c>
      <c r="J92" t="s">
        <v>446</v>
      </c>
      <c r="K92" t="s">
        <v>447</v>
      </c>
      <c r="L92">
        <v>1368</v>
      </c>
      <c r="N92">
        <v>1011</v>
      </c>
      <c r="O92" t="s">
        <v>354</v>
      </c>
      <c r="P92" t="s">
        <v>354</v>
      </c>
      <c r="Q92">
        <v>1</v>
      </c>
      <c r="X92">
        <v>0.65</v>
      </c>
      <c r="Y92">
        <v>0</v>
      </c>
      <c r="Z92">
        <v>1179.56</v>
      </c>
      <c r="AA92">
        <v>439.28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0.65</v>
      </c>
      <c r="AH92">
        <v>2</v>
      </c>
      <c r="AI92">
        <v>56441877</v>
      </c>
      <c r="AJ92">
        <v>101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ROW(Source!A280)</f>
        <v>280</v>
      </c>
      <c r="B93">
        <v>56441888</v>
      </c>
      <c r="C93">
        <v>56441870</v>
      </c>
      <c r="D93">
        <v>52970937</v>
      </c>
      <c r="E93">
        <v>1</v>
      </c>
      <c r="F93">
        <v>1</v>
      </c>
      <c r="G93">
        <v>25</v>
      </c>
      <c r="H93">
        <v>3</v>
      </c>
      <c r="I93" t="s">
        <v>29</v>
      </c>
      <c r="J93" t="s">
        <v>31</v>
      </c>
      <c r="K93" t="s">
        <v>30</v>
      </c>
      <c r="L93">
        <v>1339</v>
      </c>
      <c r="N93">
        <v>1007</v>
      </c>
      <c r="O93" t="s">
        <v>26</v>
      </c>
      <c r="P93" t="s">
        <v>26</v>
      </c>
      <c r="Q93">
        <v>1</v>
      </c>
      <c r="X93">
        <v>126</v>
      </c>
      <c r="Y93">
        <v>1806.27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126</v>
      </c>
      <c r="AH93">
        <v>2</v>
      </c>
      <c r="AI93">
        <v>56441878</v>
      </c>
      <c r="AJ93">
        <v>103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ROW(Source!A280)</f>
        <v>280</v>
      </c>
      <c r="B94">
        <v>56441889</v>
      </c>
      <c r="C94">
        <v>56441870</v>
      </c>
      <c r="D94">
        <v>52971654</v>
      </c>
      <c r="E94">
        <v>1</v>
      </c>
      <c r="F94">
        <v>1</v>
      </c>
      <c r="G94">
        <v>25</v>
      </c>
      <c r="H94">
        <v>3</v>
      </c>
      <c r="I94" t="s">
        <v>367</v>
      </c>
      <c r="J94" t="s">
        <v>368</v>
      </c>
      <c r="K94" t="s">
        <v>369</v>
      </c>
      <c r="L94">
        <v>1339</v>
      </c>
      <c r="N94">
        <v>1007</v>
      </c>
      <c r="O94" t="s">
        <v>26</v>
      </c>
      <c r="P94" t="s">
        <v>26</v>
      </c>
      <c r="Q94">
        <v>1</v>
      </c>
      <c r="X94">
        <v>7</v>
      </c>
      <c r="Y94">
        <v>33.729999999999997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7</v>
      </c>
      <c r="AH94">
        <v>2</v>
      </c>
      <c r="AI94">
        <v>56441879</v>
      </c>
      <c r="AJ94">
        <v>104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ROW(Source!A283)</f>
        <v>283</v>
      </c>
      <c r="B95">
        <v>56473025</v>
      </c>
      <c r="C95">
        <v>56473022</v>
      </c>
      <c r="D95">
        <v>52956643</v>
      </c>
      <c r="E95">
        <v>25</v>
      </c>
      <c r="F95">
        <v>1</v>
      </c>
      <c r="G95">
        <v>25</v>
      </c>
      <c r="H95">
        <v>1</v>
      </c>
      <c r="I95" t="s">
        <v>348</v>
      </c>
      <c r="J95" t="s">
        <v>3</v>
      </c>
      <c r="K95" t="s">
        <v>349</v>
      </c>
      <c r="L95">
        <v>1191</v>
      </c>
      <c r="N95">
        <v>1013</v>
      </c>
      <c r="O95" t="s">
        <v>350</v>
      </c>
      <c r="P95" t="s">
        <v>350</v>
      </c>
      <c r="Q95">
        <v>1</v>
      </c>
      <c r="X95">
        <v>76.7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1</v>
      </c>
      <c r="AF95" t="s">
        <v>3</v>
      </c>
      <c r="AG95">
        <v>76.7</v>
      </c>
      <c r="AH95">
        <v>2</v>
      </c>
      <c r="AI95">
        <v>56473023</v>
      </c>
      <c r="AJ95">
        <v>105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ROW(Source!A285)</f>
        <v>285</v>
      </c>
      <c r="B96">
        <v>56473033</v>
      </c>
      <c r="C96">
        <v>56473027</v>
      </c>
      <c r="D96">
        <v>52956643</v>
      </c>
      <c r="E96">
        <v>25</v>
      </c>
      <c r="F96">
        <v>1</v>
      </c>
      <c r="G96">
        <v>25</v>
      </c>
      <c r="H96">
        <v>1</v>
      </c>
      <c r="I96" t="s">
        <v>348</v>
      </c>
      <c r="J96" t="s">
        <v>3</v>
      </c>
      <c r="K96" t="s">
        <v>349</v>
      </c>
      <c r="L96">
        <v>1191</v>
      </c>
      <c r="N96">
        <v>1013</v>
      </c>
      <c r="O96" t="s">
        <v>350</v>
      </c>
      <c r="P96" t="s">
        <v>350</v>
      </c>
      <c r="Q96">
        <v>1</v>
      </c>
      <c r="X96">
        <v>72.95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 t="s">
        <v>3</v>
      </c>
      <c r="AG96">
        <v>72.95</v>
      </c>
      <c r="AH96">
        <v>2</v>
      </c>
      <c r="AI96">
        <v>56473028</v>
      </c>
      <c r="AJ96">
        <v>107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ROW(Source!A285)</f>
        <v>285</v>
      </c>
      <c r="B97">
        <v>56473034</v>
      </c>
      <c r="C97">
        <v>56473027</v>
      </c>
      <c r="D97">
        <v>52968886</v>
      </c>
      <c r="E97">
        <v>1</v>
      </c>
      <c r="F97">
        <v>1</v>
      </c>
      <c r="G97">
        <v>25</v>
      </c>
      <c r="H97">
        <v>2</v>
      </c>
      <c r="I97" t="s">
        <v>454</v>
      </c>
      <c r="J97" t="s">
        <v>455</v>
      </c>
      <c r="K97" t="s">
        <v>456</v>
      </c>
      <c r="L97">
        <v>1368</v>
      </c>
      <c r="N97">
        <v>1011</v>
      </c>
      <c r="O97" t="s">
        <v>354</v>
      </c>
      <c r="P97" t="s">
        <v>354</v>
      </c>
      <c r="Q97">
        <v>1</v>
      </c>
      <c r="X97">
        <v>0.26</v>
      </c>
      <c r="Y97">
        <v>0</v>
      </c>
      <c r="Z97">
        <v>662.01</v>
      </c>
      <c r="AA97">
        <v>353.32</v>
      </c>
      <c r="AB97">
        <v>0</v>
      </c>
      <c r="AC97">
        <v>0</v>
      </c>
      <c r="AD97">
        <v>1</v>
      </c>
      <c r="AE97">
        <v>0</v>
      </c>
      <c r="AF97" t="s">
        <v>3</v>
      </c>
      <c r="AG97">
        <v>0.26</v>
      </c>
      <c r="AH97">
        <v>2</v>
      </c>
      <c r="AI97">
        <v>56473029</v>
      </c>
      <c r="AJ97">
        <v>108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ROW(Source!A285)</f>
        <v>285</v>
      </c>
      <c r="B98">
        <v>56473035</v>
      </c>
      <c r="C98">
        <v>56473027</v>
      </c>
      <c r="D98">
        <v>52972593</v>
      </c>
      <c r="E98">
        <v>1</v>
      </c>
      <c r="F98">
        <v>1</v>
      </c>
      <c r="G98">
        <v>25</v>
      </c>
      <c r="H98">
        <v>3</v>
      </c>
      <c r="I98" t="s">
        <v>457</v>
      </c>
      <c r="J98" t="s">
        <v>458</v>
      </c>
      <c r="K98" t="s">
        <v>459</v>
      </c>
      <c r="L98">
        <v>1339</v>
      </c>
      <c r="N98">
        <v>1007</v>
      </c>
      <c r="O98" t="s">
        <v>26</v>
      </c>
      <c r="P98" t="s">
        <v>26</v>
      </c>
      <c r="Q98">
        <v>1</v>
      </c>
      <c r="X98">
        <v>4.3</v>
      </c>
      <c r="Y98">
        <v>3869.68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 t="s">
        <v>3</v>
      </c>
      <c r="AG98">
        <v>4.3</v>
      </c>
      <c r="AH98">
        <v>2</v>
      </c>
      <c r="AI98">
        <v>56473030</v>
      </c>
      <c r="AJ98">
        <v>109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ROW(Source!A285)</f>
        <v>285</v>
      </c>
      <c r="B99">
        <v>56473036</v>
      </c>
      <c r="C99">
        <v>56473027</v>
      </c>
      <c r="D99">
        <v>52972669</v>
      </c>
      <c r="E99">
        <v>1</v>
      </c>
      <c r="F99">
        <v>1</v>
      </c>
      <c r="G99">
        <v>25</v>
      </c>
      <c r="H99">
        <v>3</v>
      </c>
      <c r="I99" t="s">
        <v>460</v>
      </c>
      <c r="J99" t="s">
        <v>461</v>
      </c>
      <c r="K99" t="s">
        <v>462</v>
      </c>
      <c r="L99">
        <v>1339</v>
      </c>
      <c r="N99">
        <v>1007</v>
      </c>
      <c r="O99" t="s">
        <v>26</v>
      </c>
      <c r="P99" t="s">
        <v>26</v>
      </c>
      <c r="Q99">
        <v>1</v>
      </c>
      <c r="X99">
        <v>0.02</v>
      </c>
      <c r="Y99">
        <v>3003.56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 t="s">
        <v>3</v>
      </c>
      <c r="AG99">
        <v>0.02</v>
      </c>
      <c r="AH99">
        <v>2</v>
      </c>
      <c r="AI99">
        <v>56473031</v>
      </c>
      <c r="AJ99">
        <v>110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ROW(Source!A285)</f>
        <v>285</v>
      </c>
      <c r="B100">
        <v>56473037</v>
      </c>
      <c r="C100">
        <v>56473027</v>
      </c>
      <c r="D100">
        <v>52973408</v>
      </c>
      <c r="E100">
        <v>1</v>
      </c>
      <c r="F100">
        <v>1</v>
      </c>
      <c r="G100">
        <v>25</v>
      </c>
      <c r="H100">
        <v>3</v>
      </c>
      <c r="I100" t="s">
        <v>463</v>
      </c>
      <c r="J100" t="s">
        <v>464</v>
      </c>
      <c r="K100" t="s">
        <v>465</v>
      </c>
      <c r="L100">
        <v>1339</v>
      </c>
      <c r="N100">
        <v>1007</v>
      </c>
      <c r="O100" t="s">
        <v>26</v>
      </c>
      <c r="P100" t="s">
        <v>26</v>
      </c>
      <c r="Q100">
        <v>1</v>
      </c>
      <c r="X100">
        <v>1.6</v>
      </c>
      <c r="Y100">
        <v>8977.86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1.6</v>
      </c>
      <c r="AH100">
        <v>2</v>
      </c>
      <c r="AI100">
        <v>56473032</v>
      </c>
      <c r="AJ100">
        <v>111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ROW(Source!A286)</f>
        <v>286</v>
      </c>
      <c r="B101">
        <v>56441929</v>
      </c>
      <c r="C101">
        <v>56441926</v>
      </c>
      <c r="D101">
        <v>52969562</v>
      </c>
      <c r="E101">
        <v>1</v>
      </c>
      <c r="F101">
        <v>1</v>
      </c>
      <c r="G101">
        <v>25</v>
      </c>
      <c r="H101">
        <v>2</v>
      </c>
      <c r="I101" t="s">
        <v>382</v>
      </c>
      <c r="J101" t="s">
        <v>383</v>
      </c>
      <c r="K101" t="s">
        <v>384</v>
      </c>
      <c r="L101">
        <v>1368</v>
      </c>
      <c r="N101">
        <v>1011</v>
      </c>
      <c r="O101" t="s">
        <v>354</v>
      </c>
      <c r="P101" t="s">
        <v>354</v>
      </c>
      <c r="Q101">
        <v>1</v>
      </c>
      <c r="X101">
        <v>0.02</v>
      </c>
      <c r="Y101">
        <v>0</v>
      </c>
      <c r="Z101">
        <v>952.49</v>
      </c>
      <c r="AA101">
        <v>301.5</v>
      </c>
      <c r="AB101">
        <v>0</v>
      </c>
      <c r="AC101">
        <v>0</v>
      </c>
      <c r="AD101">
        <v>1</v>
      </c>
      <c r="AE101">
        <v>0</v>
      </c>
      <c r="AF101" t="s">
        <v>3</v>
      </c>
      <c r="AG101">
        <v>0.02</v>
      </c>
      <c r="AH101">
        <v>2</v>
      </c>
      <c r="AI101">
        <v>56441927</v>
      </c>
      <c r="AJ101">
        <v>112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ROW(Source!A286)</f>
        <v>286</v>
      </c>
      <c r="B102">
        <v>56441930</v>
      </c>
      <c r="C102">
        <v>56441926</v>
      </c>
      <c r="D102">
        <v>52969563</v>
      </c>
      <c r="E102">
        <v>1</v>
      </c>
      <c r="F102">
        <v>1</v>
      </c>
      <c r="G102">
        <v>25</v>
      </c>
      <c r="H102">
        <v>2</v>
      </c>
      <c r="I102" t="s">
        <v>385</v>
      </c>
      <c r="J102" t="s">
        <v>386</v>
      </c>
      <c r="K102" t="s">
        <v>387</v>
      </c>
      <c r="L102">
        <v>1368</v>
      </c>
      <c r="N102">
        <v>1011</v>
      </c>
      <c r="O102" t="s">
        <v>354</v>
      </c>
      <c r="P102" t="s">
        <v>354</v>
      </c>
      <c r="Q102">
        <v>1</v>
      </c>
      <c r="X102">
        <v>1.7999999999999999E-2</v>
      </c>
      <c r="Y102">
        <v>0</v>
      </c>
      <c r="Z102">
        <v>993.6</v>
      </c>
      <c r="AA102">
        <v>301.8</v>
      </c>
      <c r="AB102">
        <v>0</v>
      </c>
      <c r="AC102">
        <v>0</v>
      </c>
      <c r="AD102">
        <v>1</v>
      </c>
      <c r="AE102">
        <v>0</v>
      </c>
      <c r="AF102" t="s">
        <v>3</v>
      </c>
      <c r="AG102">
        <v>1.7999999999999999E-2</v>
      </c>
      <c r="AH102">
        <v>2</v>
      </c>
      <c r="AI102">
        <v>56441928</v>
      </c>
      <c r="AJ102">
        <v>113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ROW(Source!A287)</f>
        <v>287</v>
      </c>
      <c r="B103">
        <v>56441934</v>
      </c>
      <c r="C103">
        <v>56441931</v>
      </c>
      <c r="D103">
        <v>52969562</v>
      </c>
      <c r="E103">
        <v>1</v>
      </c>
      <c r="F103">
        <v>1</v>
      </c>
      <c r="G103">
        <v>25</v>
      </c>
      <c r="H103">
        <v>2</v>
      </c>
      <c r="I103" t="s">
        <v>382</v>
      </c>
      <c r="J103" t="s">
        <v>383</v>
      </c>
      <c r="K103" t="s">
        <v>384</v>
      </c>
      <c r="L103">
        <v>1368</v>
      </c>
      <c r="N103">
        <v>1011</v>
      </c>
      <c r="O103" t="s">
        <v>354</v>
      </c>
      <c r="P103" t="s">
        <v>354</v>
      </c>
      <c r="Q103">
        <v>1</v>
      </c>
      <c r="X103">
        <v>5.3999999999999999E-2</v>
      </c>
      <c r="Y103">
        <v>0</v>
      </c>
      <c r="Z103">
        <v>952.49</v>
      </c>
      <c r="AA103">
        <v>301.5</v>
      </c>
      <c r="AB103">
        <v>0</v>
      </c>
      <c r="AC103">
        <v>0</v>
      </c>
      <c r="AD103">
        <v>1</v>
      </c>
      <c r="AE103">
        <v>0</v>
      </c>
      <c r="AF103" t="s">
        <v>3</v>
      </c>
      <c r="AG103">
        <v>5.3999999999999999E-2</v>
      </c>
      <c r="AH103">
        <v>2</v>
      </c>
      <c r="AI103">
        <v>56441932</v>
      </c>
      <c r="AJ103">
        <v>114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ROW(Source!A287)</f>
        <v>287</v>
      </c>
      <c r="B104">
        <v>56441935</v>
      </c>
      <c r="C104">
        <v>56441931</v>
      </c>
      <c r="D104">
        <v>52969563</v>
      </c>
      <c r="E104">
        <v>1</v>
      </c>
      <c r="F104">
        <v>1</v>
      </c>
      <c r="G104">
        <v>25</v>
      </c>
      <c r="H104">
        <v>2</v>
      </c>
      <c r="I104" t="s">
        <v>385</v>
      </c>
      <c r="J104" t="s">
        <v>386</v>
      </c>
      <c r="K104" t="s">
        <v>387</v>
      </c>
      <c r="L104">
        <v>1368</v>
      </c>
      <c r="N104">
        <v>1011</v>
      </c>
      <c r="O104" t="s">
        <v>354</v>
      </c>
      <c r="P104" t="s">
        <v>354</v>
      </c>
      <c r="Q104">
        <v>1</v>
      </c>
      <c r="X104">
        <v>5.5E-2</v>
      </c>
      <c r="Y104">
        <v>0</v>
      </c>
      <c r="Z104">
        <v>993.6</v>
      </c>
      <c r="AA104">
        <v>301.8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5.5E-2</v>
      </c>
      <c r="AH104">
        <v>2</v>
      </c>
      <c r="AI104">
        <v>56441933</v>
      </c>
      <c r="AJ104">
        <v>115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ROW(Source!A288)</f>
        <v>288</v>
      </c>
      <c r="B105">
        <v>56441939</v>
      </c>
      <c r="C105">
        <v>56441936</v>
      </c>
      <c r="D105">
        <v>52969562</v>
      </c>
      <c r="E105">
        <v>1</v>
      </c>
      <c r="F105">
        <v>1</v>
      </c>
      <c r="G105">
        <v>25</v>
      </c>
      <c r="H105">
        <v>2</v>
      </c>
      <c r="I105" t="s">
        <v>382</v>
      </c>
      <c r="J105" t="s">
        <v>383</v>
      </c>
      <c r="K105" t="s">
        <v>384</v>
      </c>
      <c r="L105">
        <v>1368</v>
      </c>
      <c r="N105">
        <v>1011</v>
      </c>
      <c r="O105" t="s">
        <v>354</v>
      </c>
      <c r="P105" t="s">
        <v>354</v>
      </c>
      <c r="Q105">
        <v>1</v>
      </c>
      <c r="X105">
        <v>0.01</v>
      </c>
      <c r="Y105">
        <v>0</v>
      </c>
      <c r="Z105">
        <v>952.49</v>
      </c>
      <c r="AA105">
        <v>301.5</v>
      </c>
      <c r="AB105">
        <v>0</v>
      </c>
      <c r="AC105">
        <v>0</v>
      </c>
      <c r="AD105">
        <v>1</v>
      </c>
      <c r="AE105">
        <v>0</v>
      </c>
      <c r="AF105" t="s">
        <v>141</v>
      </c>
      <c r="AG105">
        <v>0.51</v>
      </c>
      <c r="AH105">
        <v>2</v>
      </c>
      <c r="AI105">
        <v>56441937</v>
      </c>
      <c r="AJ105">
        <v>116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ROW(Source!A288)</f>
        <v>288</v>
      </c>
      <c r="B106">
        <v>56441940</v>
      </c>
      <c r="C106">
        <v>56441936</v>
      </c>
      <c r="D106">
        <v>52969563</v>
      </c>
      <c r="E106">
        <v>1</v>
      </c>
      <c r="F106">
        <v>1</v>
      </c>
      <c r="G106">
        <v>25</v>
      </c>
      <c r="H106">
        <v>2</v>
      </c>
      <c r="I106" t="s">
        <v>385</v>
      </c>
      <c r="J106" t="s">
        <v>386</v>
      </c>
      <c r="K106" t="s">
        <v>387</v>
      </c>
      <c r="L106">
        <v>1368</v>
      </c>
      <c r="N106">
        <v>1011</v>
      </c>
      <c r="O106" t="s">
        <v>354</v>
      </c>
      <c r="P106" t="s">
        <v>354</v>
      </c>
      <c r="Q106">
        <v>1</v>
      </c>
      <c r="X106">
        <v>8.0000000000000002E-3</v>
      </c>
      <c r="Y106">
        <v>0</v>
      </c>
      <c r="Z106">
        <v>993.6</v>
      </c>
      <c r="AA106">
        <v>301.8</v>
      </c>
      <c r="AB106">
        <v>0</v>
      </c>
      <c r="AC106">
        <v>0</v>
      </c>
      <c r="AD106">
        <v>1</v>
      </c>
      <c r="AE106">
        <v>0</v>
      </c>
      <c r="AF106" t="s">
        <v>141</v>
      </c>
      <c r="AG106">
        <v>0.40800000000000003</v>
      </c>
      <c r="AH106">
        <v>2</v>
      </c>
      <c r="AI106">
        <v>56441938</v>
      </c>
      <c r="AJ106">
        <v>117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ROW(Source!A325)</f>
        <v>325</v>
      </c>
      <c r="B107">
        <v>56441962</v>
      </c>
      <c r="C107">
        <v>56441953</v>
      </c>
      <c r="D107">
        <v>52956643</v>
      </c>
      <c r="E107">
        <v>25</v>
      </c>
      <c r="F107">
        <v>1</v>
      </c>
      <c r="G107">
        <v>25</v>
      </c>
      <c r="H107">
        <v>1</v>
      </c>
      <c r="I107" t="s">
        <v>348</v>
      </c>
      <c r="J107" t="s">
        <v>3</v>
      </c>
      <c r="K107" t="s">
        <v>349</v>
      </c>
      <c r="L107">
        <v>1191</v>
      </c>
      <c r="N107">
        <v>1013</v>
      </c>
      <c r="O107" t="s">
        <v>350</v>
      </c>
      <c r="P107" t="s">
        <v>350</v>
      </c>
      <c r="Q107">
        <v>1</v>
      </c>
      <c r="X107">
        <v>16.559999999999999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 t="s">
        <v>3</v>
      </c>
      <c r="AG107">
        <v>16.559999999999999</v>
      </c>
      <c r="AH107">
        <v>2</v>
      </c>
      <c r="AI107">
        <v>56441954</v>
      </c>
      <c r="AJ107">
        <v>118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ROW(Source!A325)</f>
        <v>325</v>
      </c>
      <c r="B108">
        <v>56441963</v>
      </c>
      <c r="C108">
        <v>56441953</v>
      </c>
      <c r="D108">
        <v>52968814</v>
      </c>
      <c r="E108">
        <v>1</v>
      </c>
      <c r="F108">
        <v>1</v>
      </c>
      <c r="G108">
        <v>25</v>
      </c>
      <c r="H108">
        <v>2</v>
      </c>
      <c r="I108" t="s">
        <v>351</v>
      </c>
      <c r="J108" t="s">
        <v>352</v>
      </c>
      <c r="K108" t="s">
        <v>353</v>
      </c>
      <c r="L108">
        <v>1368</v>
      </c>
      <c r="N108">
        <v>1011</v>
      </c>
      <c r="O108" t="s">
        <v>354</v>
      </c>
      <c r="P108" t="s">
        <v>354</v>
      </c>
      <c r="Q108">
        <v>1</v>
      </c>
      <c r="X108">
        <v>2.08</v>
      </c>
      <c r="Y108">
        <v>0</v>
      </c>
      <c r="Z108">
        <v>1159.46</v>
      </c>
      <c r="AA108">
        <v>525.74</v>
      </c>
      <c r="AB108">
        <v>0</v>
      </c>
      <c r="AC108">
        <v>0</v>
      </c>
      <c r="AD108">
        <v>1</v>
      </c>
      <c r="AE108">
        <v>0</v>
      </c>
      <c r="AF108" t="s">
        <v>3</v>
      </c>
      <c r="AG108">
        <v>2.08</v>
      </c>
      <c r="AH108">
        <v>2</v>
      </c>
      <c r="AI108">
        <v>56441955</v>
      </c>
      <c r="AJ108">
        <v>119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ROW(Source!A325)</f>
        <v>325</v>
      </c>
      <c r="B109">
        <v>56441964</v>
      </c>
      <c r="C109">
        <v>56441953</v>
      </c>
      <c r="D109">
        <v>52968969</v>
      </c>
      <c r="E109">
        <v>1</v>
      </c>
      <c r="F109">
        <v>1</v>
      </c>
      <c r="G109">
        <v>25</v>
      </c>
      <c r="H109">
        <v>2</v>
      </c>
      <c r="I109" t="s">
        <v>436</v>
      </c>
      <c r="J109" t="s">
        <v>437</v>
      </c>
      <c r="K109" t="s">
        <v>438</v>
      </c>
      <c r="L109">
        <v>1368</v>
      </c>
      <c r="N109">
        <v>1011</v>
      </c>
      <c r="O109" t="s">
        <v>354</v>
      </c>
      <c r="P109" t="s">
        <v>354</v>
      </c>
      <c r="Q109">
        <v>1</v>
      </c>
      <c r="X109">
        <v>2.08</v>
      </c>
      <c r="Y109">
        <v>0</v>
      </c>
      <c r="Z109">
        <v>416.25</v>
      </c>
      <c r="AA109">
        <v>204.9</v>
      </c>
      <c r="AB109">
        <v>0</v>
      </c>
      <c r="AC109">
        <v>0</v>
      </c>
      <c r="AD109">
        <v>1</v>
      </c>
      <c r="AE109">
        <v>0</v>
      </c>
      <c r="AF109" t="s">
        <v>3</v>
      </c>
      <c r="AG109">
        <v>2.08</v>
      </c>
      <c r="AH109">
        <v>2</v>
      </c>
      <c r="AI109">
        <v>56441956</v>
      </c>
      <c r="AJ109">
        <v>120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ROW(Source!A325)</f>
        <v>325</v>
      </c>
      <c r="B110">
        <v>56441965</v>
      </c>
      <c r="C110">
        <v>56441953</v>
      </c>
      <c r="D110">
        <v>52968972</v>
      </c>
      <c r="E110">
        <v>1</v>
      </c>
      <c r="F110">
        <v>1</v>
      </c>
      <c r="G110">
        <v>25</v>
      </c>
      <c r="H110">
        <v>2</v>
      </c>
      <c r="I110" t="s">
        <v>439</v>
      </c>
      <c r="J110" t="s">
        <v>440</v>
      </c>
      <c r="K110" t="s">
        <v>441</v>
      </c>
      <c r="L110">
        <v>1368</v>
      </c>
      <c r="N110">
        <v>1011</v>
      </c>
      <c r="O110" t="s">
        <v>354</v>
      </c>
      <c r="P110" t="s">
        <v>354</v>
      </c>
      <c r="Q110">
        <v>1</v>
      </c>
      <c r="X110">
        <v>0.81</v>
      </c>
      <c r="Y110">
        <v>0</v>
      </c>
      <c r="Z110">
        <v>1942.21</v>
      </c>
      <c r="AA110">
        <v>436.39</v>
      </c>
      <c r="AB110">
        <v>0</v>
      </c>
      <c r="AC110">
        <v>0</v>
      </c>
      <c r="AD110">
        <v>1</v>
      </c>
      <c r="AE110">
        <v>0</v>
      </c>
      <c r="AF110" t="s">
        <v>3</v>
      </c>
      <c r="AG110">
        <v>0.81</v>
      </c>
      <c r="AH110">
        <v>2</v>
      </c>
      <c r="AI110">
        <v>56441957</v>
      </c>
      <c r="AJ110">
        <v>121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ROW(Source!A325)</f>
        <v>325</v>
      </c>
      <c r="B111">
        <v>56441966</v>
      </c>
      <c r="C111">
        <v>56441953</v>
      </c>
      <c r="D111">
        <v>52968996</v>
      </c>
      <c r="E111">
        <v>1</v>
      </c>
      <c r="F111">
        <v>1</v>
      </c>
      <c r="G111">
        <v>25</v>
      </c>
      <c r="H111">
        <v>2</v>
      </c>
      <c r="I111" t="s">
        <v>442</v>
      </c>
      <c r="J111" t="s">
        <v>443</v>
      </c>
      <c r="K111" t="s">
        <v>444</v>
      </c>
      <c r="L111">
        <v>1368</v>
      </c>
      <c r="N111">
        <v>1011</v>
      </c>
      <c r="O111" t="s">
        <v>354</v>
      </c>
      <c r="P111" t="s">
        <v>354</v>
      </c>
      <c r="Q111">
        <v>1</v>
      </c>
      <c r="X111">
        <v>1.94</v>
      </c>
      <c r="Y111">
        <v>0</v>
      </c>
      <c r="Z111">
        <v>1364.77</v>
      </c>
      <c r="AA111">
        <v>610.30999999999995</v>
      </c>
      <c r="AB111">
        <v>0</v>
      </c>
      <c r="AC111">
        <v>0</v>
      </c>
      <c r="AD111">
        <v>1</v>
      </c>
      <c r="AE111">
        <v>0</v>
      </c>
      <c r="AF111" t="s">
        <v>3</v>
      </c>
      <c r="AG111">
        <v>1.94</v>
      </c>
      <c r="AH111">
        <v>2</v>
      </c>
      <c r="AI111">
        <v>56441958</v>
      </c>
      <c r="AJ111">
        <v>122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ROW(Source!A325)</f>
        <v>325</v>
      </c>
      <c r="B112">
        <v>56441967</v>
      </c>
      <c r="C112">
        <v>56441953</v>
      </c>
      <c r="D112">
        <v>52968962</v>
      </c>
      <c r="E112">
        <v>1</v>
      </c>
      <c r="F112">
        <v>1</v>
      </c>
      <c r="G112">
        <v>25</v>
      </c>
      <c r="H112">
        <v>2</v>
      </c>
      <c r="I112" t="s">
        <v>445</v>
      </c>
      <c r="J112" t="s">
        <v>446</v>
      </c>
      <c r="K112" t="s">
        <v>447</v>
      </c>
      <c r="L112">
        <v>1368</v>
      </c>
      <c r="N112">
        <v>1011</v>
      </c>
      <c r="O112" t="s">
        <v>354</v>
      </c>
      <c r="P112" t="s">
        <v>354</v>
      </c>
      <c r="Q112">
        <v>1</v>
      </c>
      <c r="X112">
        <v>0.65</v>
      </c>
      <c r="Y112">
        <v>0</v>
      </c>
      <c r="Z112">
        <v>1179.56</v>
      </c>
      <c r="AA112">
        <v>439.28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0.65</v>
      </c>
      <c r="AH112">
        <v>2</v>
      </c>
      <c r="AI112">
        <v>56441959</v>
      </c>
      <c r="AJ112">
        <v>123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ROW(Source!A325)</f>
        <v>325</v>
      </c>
      <c r="B113">
        <v>56441968</v>
      </c>
      <c r="C113">
        <v>56441953</v>
      </c>
      <c r="D113">
        <v>52970911</v>
      </c>
      <c r="E113">
        <v>1</v>
      </c>
      <c r="F113">
        <v>1</v>
      </c>
      <c r="G113">
        <v>25</v>
      </c>
      <c r="H113">
        <v>3</v>
      </c>
      <c r="I113" t="s">
        <v>448</v>
      </c>
      <c r="J113" t="s">
        <v>449</v>
      </c>
      <c r="K113" t="s">
        <v>450</v>
      </c>
      <c r="L113">
        <v>1339</v>
      </c>
      <c r="N113">
        <v>1007</v>
      </c>
      <c r="O113" t="s">
        <v>26</v>
      </c>
      <c r="P113" t="s">
        <v>26</v>
      </c>
      <c r="Q113">
        <v>1</v>
      </c>
      <c r="X113">
        <v>110</v>
      </c>
      <c r="Y113">
        <v>590.78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 t="s">
        <v>3</v>
      </c>
      <c r="AG113">
        <v>110</v>
      </c>
      <c r="AH113">
        <v>2</v>
      </c>
      <c r="AI113">
        <v>56441960</v>
      </c>
      <c r="AJ113">
        <v>124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ROW(Source!A325)</f>
        <v>325</v>
      </c>
      <c r="B114">
        <v>56441969</v>
      </c>
      <c r="C114">
        <v>56441953</v>
      </c>
      <c r="D114">
        <v>52971654</v>
      </c>
      <c r="E114">
        <v>1</v>
      </c>
      <c r="F114">
        <v>1</v>
      </c>
      <c r="G114">
        <v>25</v>
      </c>
      <c r="H114">
        <v>3</v>
      </c>
      <c r="I114" t="s">
        <v>367</v>
      </c>
      <c r="J114" t="s">
        <v>368</v>
      </c>
      <c r="K114" t="s">
        <v>369</v>
      </c>
      <c r="L114">
        <v>1339</v>
      </c>
      <c r="N114">
        <v>1007</v>
      </c>
      <c r="O114" t="s">
        <v>26</v>
      </c>
      <c r="P114" t="s">
        <v>26</v>
      </c>
      <c r="Q114">
        <v>1</v>
      </c>
      <c r="X114">
        <v>5</v>
      </c>
      <c r="Y114">
        <v>33.729999999999997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 t="s">
        <v>3</v>
      </c>
      <c r="AG114">
        <v>5</v>
      </c>
      <c r="AH114">
        <v>2</v>
      </c>
      <c r="AI114">
        <v>56441961</v>
      </c>
      <c r="AJ114">
        <v>125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ROW(Source!A326)</f>
        <v>326</v>
      </c>
      <c r="B115">
        <v>56441981</v>
      </c>
      <c r="C115">
        <v>56441970</v>
      </c>
      <c r="D115">
        <v>52956643</v>
      </c>
      <c r="E115">
        <v>25</v>
      </c>
      <c r="F115">
        <v>1</v>
      </c>
      <c r="G115">
        <v>25</v>
      </c>
      <c r="H115">
        <v>1</v>
      </c>
      <c r="I115" t="s">
        <v>348</v>
      </c>
      <c r="J115" t="s">
        <v>3</v>
      </c>
      <c r="K115" t="s">
        <v>349</v>
      </c>
      <c r="L115">
        <v>1191</v>
      </c>
      <c r="N115">
        <v>1013</v>
      </c>
      <c r="O115" t="s">
        <v>350</v>
      </c>
      <c r="P115" t="s">
        <v>350</v>
      </c>
      <c r="Q115">
        <v>1</v>
      </c>
      <c r="X115">
        <v>24.84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 t="s">
        <v>3</v>
      </c>
      <c r="AG115">
        <v>24.84</v>
      </c>
      <c r="AH115">
        <v>2</v>
      </c>
      <c r="AI115">
        <v>56441971</v>
      </c>
      <c r="AJ115">
        <v>126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ROW(Source!A326)</f>
        <v>326</v>
      </c>
      <c r="B116">
        <v>56441982</v>
      </c>
      <c r="C116">
        <v>56441970</v>
      </c>
      <c r="D116">
        <v>52968791</v>
      </c>
      <c r="E116">
        <v>1</v>
      </c>
      <c r="F116">
        <v>1</v>
      </c>
      <c r="G116">
        <v>25</v>
      </c>
      <c r="H116">
        <v>2</v>
      </c>
      <c r="I116" t="s">
        <v>451</v>
      </c>
      <c r="J116" t="s">
        <v>452</v>
      </c>
      <c r="K116" t="s">
        <v>453</v>
      </c>
      <c r="L116">
        <v>1368</v>
      </c>
      <c r="N116">
        <v>1011</v>
      </c>
      <c r="O116" t="s">
        <v>354</v>
      </c>
      <c r="P116" t="s">
        <v>354</v>
      </c>
      <c r="Q116">
        <v>1</v>
      </c>
      <c r="X116">
        <v>2.94</v>
      </c>
      <c r="Y116">
        <v>0</v>
      </c>
      <c r="Z116">
        <v>923.83</v>
      </c>
      <c r="AA116">
        <v>342.06</v>
      </c>
      <c r="AB116">
        <v>0</v>
      </c>
      <c r="AC116">
        <v>0</v>
      </c>
      <c r="AD116">
        <v>1</v>
      </c>
      <c r="AE116">
        <v>0</v>
      </c>
      <c r="AF116" t="s">
        <v>3</v>
      </c>
      <c r="AG116">
        <v>2.94</v>
      </c>
      <c r="AH116">
        <v>2</v>
      </c>
      <c r="AI116">
        <v>56441972</v>
      </c>
      <c r="AJ116">
        <v>127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ROW(Source!A326)</f>
        <v>326</v>
      </c>
      <c r="B117">
        <v>56441983</v>
      </c>
      <c r="C117">
        <v>56441970</v>
      </c>
      <c r="D117">
        <v>52968972</v>
      </c>
      <c r="E117">
        <v>1</v>
      </c>
      <c r="F117">
        <v>1</v>
      </c>
      <c r="G117">
        <v>25</v>
      </c>
      <c r="H117">
        <v>2</v>
      </c>
      <c r="I117" t="s">
        <v>439</v>
      </c>
      <c r="J117" t="s">
        <v>440</v>
      </c>
      <c r="K117" t="s">
        <v>441</v>
      </c>
      <c r="L117">
        <v>1368</v>
      </c>
      <c r="N117">
        <v>1011</v>
      </c>
      <c r="O117" t="s">
        <v>354</v>
      </c>
      <c r="P117" t="s">
        <v>354</v>
      </c>
      <c r="Q117">
        <v>1</v>
      </c>
      <c r="X117">
        <v>1.1399999999999999</v>
      </c>
      <c r="Y117">
        <v>0</v>
      </c>
      <c r="Z117">
        <v>1942.21</v>
      </c>
      <c r="AA117">
        <v>436.39</v>
      </c>
      <c r="AB117">
        <v>0</v>
      </c>
      <c r="AC117">
        <v>0</v>
      </c>
      <c r="AD117">
        <v>1</v>
      </c>
      <c r="AE117">
        <v>0</v>
      </c>
      <c r="AF117" t="s">
        <v>3</v>
      </c>
      <c r="AG117">
        <v>1.1399999999999999</v>
      </c>
      <c r="AH117">
        <v>2</v>
      </c>
      <c r="AI117">
        <v>56441973</v>
      </c>
      <c r="AJ117">
        <v>128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ROW(Source!A326)</f>
        <v>326</v>
      </c>
      <c r="B118">
        <v>56441984</v>
      </c>
      <c r="C118">
        <v>56441970</v>
      </c>
      <c r="D118">
        <v>52968957</v>
      </c>
      <c r="E118">
        <v>1</v>
      </c>
      <c r="F118">
        <v>1</v>
      </c>
      <c r="G118">
        <v>25</v>
      </c>
      <c r="H118">
        <v>2</v>
      </c>
      <c r="I118" t="s">
        <v>358</v>
      </c>
      <c r="J118" t="s">
        <v>359</v>
      </c>
      <c r="K118" t="s">
        <v>360</v>
      </c>
      <c r="L118">
        <v>1368</v>
      </c>
      <c r="N118">
        <v>1011</v>
      </c>
      <c r="O118" t="s">
        <v>354</v>
      </c>
      <c r="P118" t="s">
        <v>354</v>
      </c>
      <c r="Q118">
        <v>1</v>
      </c>
      <c r="X118">
        <v>8.9600000000000009</v>
      </c>
      <c r="Y118">
        <v>0</v>
      </c>
      <c r="Z118">
        <v>1207.81</v>
      </c>
      <c r="AA118">
        <v>504.4</v>
      </c>
      <c r="AB118">
        <v>0</v>
      </c>
      <c r="AC118">
        <v>0</v>
      </c>
      <c r="AD118">
        <v>1</v>
      </c>
      <c r="AE118">
        <v>0</v>
      </c>
      <c r="AF118" t="s">
        <v>3</v>
      </c>
      <c r="AG118">
        <v>8.9600000000000009</v>
      </c>
      <c r="AH118">
        <v>2</v>
      </c>
      <c r="AI118">
        <v>56441974</v>
      </c>
      <c r="AJ118">
        <v>129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ROW(Source!A326)</f>
        <v>326</v>
      </c>
      <c r="B119">
        <v>56441985</v>
      </c>
      <c r="C119">
        <v>56441970</v>
      </c>
      <c r="D119">
        <v>52968958</v>
      </c>
      <c r="E119">
        <v>1</v>
      </c>
      <c r="F119">
        <v>1</v>
      </c>
      <c r="G119">
        <v>25</v>
      </c>
      <c r="H119">
        <v>2</v>
      </c>
      <c r="I119" t="s">
        <v>361</v>
      </c>
      <c r="J119" t="s">
        <v>362</v>
      </c>
      <c r="K119" t="s">
        <v>363</v>
      </c>
      <c r="L119">
        <v>1368</v>
      </c>
      <c r="N119">
        <v>1011</v>
      </c>
      <c r="O119" t="s">
        <v>354</v>
      </c>
      <c r="P119" t="s">
        <v>354</v>
      </c>
      <c r="Q119">
        <v>1</v>
      </c>
      <c r="X119">
        <v>18.25</v>
      </c>
      <c r="Y119">
        <v>0</v>
      </c>
      <c r="Z119">
        <v>1741.23</v>
      </c>
      <c r="AA119">
        <v>685.71</v>
      </c>
      <c r="AB119">
        <v>0</v>
      </c>
      <c r="AC119">
        <v>0</v>
      </c>
      <c r="AD119">
        <v>1</v>
      </c>
      <c r="AE119">
        <v>0</v>
      </c>
      <c r="AF119" t="s">
        <v>3</v>
      </c>
      <c r="AG119">
        <v>18.25</v>
      </c>
      <c r="AH119">
        <v>2</v>
      </c>
      <c r="AI119">
        <v>56441975</v>
      </c>
      <c r="AJ119">
        <v>130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ROW(Source!A326)</f>
        <v>326</v>
      </c>
      <c r="B120">
        <v>56441986</v>
      </c>
      <c r="C120">
        <v>56441970</v>
      </c>
      <c r="D120">
        <v>52968996</v>
      </c>
      <c r="E120">
        <v>1</v>
      </c>
      <c r="F120">
        <v>1</v>
      </c>
      <c r="G120">
        <v>25</v>
      </c>
      <c r="H120">
        <v>2</v>
      </c>
      <c r="I120" t="s">
        <v>442</v>
      </c>
      <c r="J120" t="s">
        <v>443</v>
      </c>
      <c r="K120" t="s">
        <v>444</v>
      </c>
      <c r="L120">
        <v>1368</v>
      </c>
      <c r="N120">
        <v>1011</v>
      </c>
      <c r="O120" t="s">
        <v>354</v>
      </c>
      <c r="P120" t="s">
        <v>354</v>
      </c>
      <c r="Q120">
        <v>1</v>
      </c>
      <c r="X120">
        <v>2.2400000000000002</v>
      </c>
      <c r="Y120">
        <v>0</v>
      </c>
      <c r="Z120">
        <v>1364.77</v>
      </c>
      <c r="AA120">
        <v>610.30999999999995</v>
      </c>
      <c r="AB120">
        <v>0</v>
      </c>
      <c r="AC120">
        <v>0</v>
      </c>
      <c r="AD120">
        <v>1</v>
      </c>
      <c r="AE120">
        <v>0</v>
      </c>
      <c r="AF120" t="s">
        <v>3</v>
      </c>
      <c r="AG120">
        <v>2.2400000000000002</v>
      </c>
      <c r="AH120">
        <v>2</v>
      </c>
      <c r="AI120">
        <v>56441976</v>
      </c>
      <c r="AJ120">
        <v>131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ROW(Source!A326)</f>
        <v>326</v>
      </c>
      <c r="B121">
        <v>56441987</v>
      </c>
      <c r="C121">
        <v>56441970</v>
      </c>
      <c r="D121">
        <v>52968962</v>
      </c>
      <c r="E121">
        <v>1</v>
      </c>
      <c r="F121">
        <v>1</v>
      </c>
      <c r="G121">
        <v>25</v>
      </c>
      <c r="H121">
        <v>2</v>
      </c>
      <c r="I121" t="s">
        <v>445</v>
      </c>
      <c r="J121" t="s">
        <v>446</v>
      </c>
      <c r="K121" t="s">
        <v>447</v>
      </c>
      <c r="L121">
        <v>1368</v>
      </c>
      <c r="N121">
        <v>1011</v>
      </c>
      <c r="O121" t="s">
        <v>354</v>
      </c>
      <c r="P121" t="s">
        <v>354</v>
      </c>
      <c r="Q121">
        <v>1</v>
      </c>
      <c r="X121">
        <v>0.65</v>
      </c>
      <c r="Y121">
        <v>0</v>
      </c>
      <c r="Z121">
        <v>1179.56</v>
      </c>
      <c r="AA121">
        <v>439.28</v>
      </c>
      <c r="AB121">
        <v>0</v>
      </c>
      <c r="AC121">
        <v>0</v>
      </c>
      <c r="AD121">
        <v>1</v>
      </c>
      <c r="AE121">
        <v>0</v>
      </c>
      <c r="AF121" t="s">
        <v>3</v>
      </c>
      <c r="AG121">
        <v>0.65</v>
      </c>
      <c r="AH121">
        <v>2</v>
      </c>
      <c r="AI121">
        <v>56441977</v>
      </c>
      <c r="AJ121">
        <v>132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ROW(Source!A326)</f>
        <v>326</v>
      </c>
      <c r="B122">
        <v>56441988</v>
      </c>
      <c r="C122">
        <v>56441970</v>
      </c>
      <c r="D122">
        <v>52970937</v>
      </c>
      <c r="E122">
        <v>1</v>
      </c>
      <c r="F122">
        <v>1</v>
      </c>
      <c r="G122">
        <v>25</v>
      </c>
      <c r="H122">
        <v>3</v>
      </c>
      <c r="I122" t="s">
        <v>29</v>
      </c>
      <c r="J122" t="s">
        <v>31</v>
      </c>
      <c r="K122" t="s">
        <v>30</v>
      </c>
      <c r="L122">
        <v>1339</v>
      </c>
      <c r="N122">
        <v>1007</v>
      </c>
      <c r="O122" t="s">
        <v>26</v>
      </c>
      <c r="P122" t="s">
        <v>26</v>
      </c>
      <c r="Q122">
        <v>1</v>
      </c>
      <c r="X122">
        <v>126</v>
      </c>
      <c r="Y122">
        <v>1806.27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 t="s">
        <v>3</v>
      </c>
      <c r="AG122">
        <v>126</v>
      </c>
      <c r="AH122">
        <v>2</v>
      </c>
      <c r="AI122">
        <v>56441979</v>
      </c>
      <c r="AJ122">
        <v>134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ROW(Source!A326)</f>
        <v>326</v>
      </c>
      <c r="B123">
        <v>56441989</v>
      </c>
      <c r="C123">
        <v>56441970</v>
      </c>
      <c r="D123">
        <v>52971654</v>
      </c>
      <c r="E123">
        <v>1</v>
      </c>
      <c r="F123">
        <v>1</v>
      </c>
      <c r="G123">
        <v>25</v>
      </c>
      <c r="H123">
        <v>3</v>
      </c>
      <c r="I123" t="s">
        <v>367</v>
      </c>
      <c r="J123" t="s">
        <v>368</v>
      </c>
      <c r="K123" t="s">
        <v>369</v>
      </c>
      <c r="L123">
        <v>1339</v>
      </c>
      <c r="N123">
        <v>1007</v>
      </c>
      <c r="O123" t="s">
        <v>26</v>
      </c>
      <c r="P123" t="s">
        <v>26</v>
      </c>
      <c r="Q123">
        <v>1</v>
      </c>
      <c r="X123">
        <v>7</v>
      </c>
      <c r="Y123">
        <v>33.729999999999997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 t="s">
        <v>3</v>
      </c>
      <c r="AG123">
        <v>7</v>
      </c>
      <c r="AH123">
        <v>2</v>
      </c>
      <c r="AI123">
        <v>56441980</v>
      </c>
      <c r="AJ123">
        <v>135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ROW(Source!A329)</f>
        <v>329</v>
      </c>
      <c r="B124">
        <v>56442002</v>
      </c>
      <c r="C124">
        <v>56441992</v>
      </c>
      <c r="D124">
        <v>52956643</v>
      </c>
      <c r="E124">
        <v>25</v>
      </c>
      <c r="F124">
        <v>1</v>
      </c>
      <c r="G124">
        <v>25</v>
      </c>
      <c r="H124">
        <v>1</v>
      </c>
      <c r="I124" t="s">
        <v>348</v>
      </c>
      <c r="J124" t="s">
        <v>3</v>
      </c>
      <c r="K124" t="s">
        <v>349</v>
      </c>
      <c r="L124">
        <v>1191</v>
      </c>
      <c r="N124">
        <v>1013</v>
      </c>
      <c r="O124" t="s">
        <v>350</v>
      </c>
      <c r="P124" t="s">
        <v>350</v>
      </c>
      <c r="Q124">
        <v>1</v>
      </c>
      <c r="X124">
        <v>0.66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1</v>
      </c>
      <c r="AF124" t="s">
        <v>3</v>
      </c>
      <c r="AG124">
        <v>0.66</v>
      </c>
      <c r="AH124">
        <v>2</v>
      </c>
      <c r="AI124">
        <v>56441993</v>
      </c>
      <c r="AJ124">
        <v>136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ROW(Source!A329)</f>
        <v>329</v>
      </c>
      <c r="B125">
        <v>56442003</v>
      </c>
      <c r="C125">
        <v>56441992</v>
      </c>
      <c r="D125">
        <v>52969125</v>
      </c>
      <c r="E125">
        <v>1</v>
      </c>
      <c r="F125">
        <v>1</v>
      </c>
      <c r="G125">
        <v>25</v>
      </c>
      <c r="H125">
        <v>2</v>
      </c>
      <c r="I125" t="s">
        <v>466</v>
      </c>
      <c r="J125" t="s">
        <v>467</v>
      </c>
      <c r="K125" t="s">
        <v>468</v>
      </c>
      <c r="L125">
        <v>1368</v>
      </c>
      <c r="N125">
        <v>1011</v>
      </c>
      <c r="O125" t="s">
        <v>354</v>
      </c>
      <c r="P125" t="s">
        <v>354</v>
      </c>
      <c r="Q125">
        <v>1</v>
      </c>
      <c r="X125">
        <v>0.13200000000000001</v>
      </c>
      <c r="Y125">
        <v>0</v>
      </c>
      <c r="Z125">
        <v>450.89</v>
      </c>
      <c r="AA125">
        <v>342.41</v>
      </c>
      <c r="AB125">
        <v>0</v>
      </c>
      <c r="AC125">
        <v>0</v>
      </c>
      <c r="AD125">
        <v>1</v>
      </c>
      <c r="AE125">
        <v>0</v>
      </c>
      <c r="AF125" t="s">
        <v>3</v>
      </c>
      <c r="AG125">
        <v>0.13200000000000001</v>
      </c>
      <c r="AH125">
        <v>2</v>
      </c>
      <c r="AI125">
        <v>56441994</v>
      </c>
      <c r="AJ125">
        <v>137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ROW(Source!A329)</f>
        <v>329</v>
      </c>
      <c r="B126">
        <v>56442004</v>
      </c>
      <c r="C126">
        <v>56441992</v>
      </c>
      <c r="D126">
        <v>52969573</v>
      </c>
      <c r="E126">
        <v>1</v>
      </c>
      <c r="F126">
        <v>1</v>
      </c>
      <c r="G126">
        <v>25</v>
      </c>
      <c r="H126">
        <v>2</v>
      </c>
      <c r="I126" t="s">
        <v>469</v>
      </c>
      <c r="J126" t="s">
        <v>470</v>
      </c>
      <c r="K126" t="s">
        <v>471</v>
      </c>
      <c r="L126">
        <v>1368</v>
      </c>
      <c r="N126">
        <v>1011</v>
      </c>
      <c r="O126" t="s">
        <v>354</v>
      </c>
      <c r="P126" t="s">
        <v>354</v>
      </c>
      <c r="Q126">
        <v>1</v>
      </c>
      <c r="X126">
        <v>0.05</v>
      </c>
      <c r="Y126">
        <v>0</v>
      </c>
      <c r="Z126">
        <v>1056.5999999999999</v>
      </c>
      <c r="AA126">
        <v>370.46</v>
      </c>
      <c r="AB126">
        <v>0</v>
      </c>
      <c r="AC126">
        <v>0</v>
      </c>
      <c r="AD126">
        <v>1</v>
      </c>
      <c r="AE126">
        <v>0</v>
      </c>
      <c r="AF126" t="s">
        <v>3</v>
      </c>
      <c r="AG126">
        <v>0.05</v>
      </c>
      <c r="AH126">
        <v>2</v>
      </c>
      <c r="AI126">
        <v>56441995</v>
      </c>
      <c r="AJ126">
        <v>138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ROW(Source!A329)</f>
        <v>329</v>
      </c>
      <c r="B127">
        <v>56442005</v>
      </c>
      <c r="C127">
        <v>56441992</v>
      </c>
      <c r="D127">
        <v>52969635</v>
      </c>
      <c r="E127">
        <v>1</v>
      </c>
      <c r="F127">
        <v>1</v>
      </c>
      <c r="G127">
        <v>25</v>
      </c>
      <c r="H127">
        <v>2</v>
      </c>
      <c r="I127" t="s">
        <v>472</v>
      </c>
      <c r="J127" t="s">
        <v>473</v>
      </c>
      <c r="K127" t="s">
        <v>474</v>
      </c>
      <c r="L127">
        <v>1368</v>
      </c>
      <c r="N127">
        <v>1011</v>
      </c>
      <c r="O127" t="s">
        <v>354</v>
      </c>
      <c r="P127" t="s">
        <v>354</v>
      </c>
      <c r="Q127">
        <v>1</v>
      </c>
      <c r="X127">
        <v>0.13200000000000001</v>
      </c>
      <c r="Y127">
        <v>0</v>
      </c>
      <c r="Z127">
        <v>5.41</v>
      </c>
      <c r="AA127">
        <v>0.02</v>
      </c>
      <c r="AB127">
        <v>0</v>
      </c>
      <c r="AC127">
        <v>0</v>
      </c>
      <c r="AD127">
        <v>1</v>
      </c>
      <c r="AE127">
        <v>0</v>
      </c>
      <c r="AF127" t="s">
        <v>3</v>
      </c>
      <c r="AG127">
        <v>0.13200000000000001</v>
      </c>
      <c r="AH127">
        <v>2</v>
      </c>
      <c r="AI127">
        <v>56441996</v>
      </c>
      <c r="AJ127">
        <v>139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ROW(Source!A329)</f>
        <v>329</v>
      </c>
      <c r="B128">
        <v>56442006</v>
      </c>
      <c r="C128">
        <v>56441992</v>
      </c>
      <c r="D128">
        <v>52968880</v>
      </c>
      <c r="E128">
        <v>1</v>
      </c>
      <c r="F128">
        <v>1</v>
      </c>
      <c r="G128">
        <v>25</v>
      </c>
      <c r="H128">
        <v>2</v>
      </c>
      <c r="I128" t="s">
        <v>475</v>
      </c>
      <c r="J128" t="s">
        <v>476</v>
      </c>
      <c r="K128" t="s">
        <v>477</v>
      </c>
      <c r="L128">
        <v>1368</v>
      </c>
      <c r="N128">
        <v>1011</v>
      </c>
      <c r="O128" t="s">
        <v>354</v>
      </c>
      <c r="P128" t="s">
        <v>354</v>
      </c>
      <c r="Q128">
        <v>1</v>
      </c>
      <c r="X128">
        <v>8.8999999999999996E-2</v>
      </c>
      <c r="Y128">
        <v>0</v>
      </c>
      <c r="Z128">
        <v>799.15</v>
      </c>
      <c r="AA128">
        <v>434.92</v>
      </c>
      <c r="AB128">
        <v>0</v>
      </c>
      <c r="AC128">
        <v>0</v>
      </c>
      <c r="AD128">
        <v>1</v>
      </c>
      <c r="AE128">
        <v>0</v>
      </c>
      <c r="AF128" t="s">
        <v>3</v>
      </c>
      <c r="AG128">
        <v>8.8999999999999996E-2</v>
      </c>
      <c r="AH128">
        <v>2</v>
      </c>
      <c r="AI128">
        <v>56441997</v>
      </c>
      <c r="AJ128">
        <v>140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ROW(Source!A329)</f>
        <v>329</v>
      </c>
      <c r="B129">
        <v>56442007</v>
      </c>
      <c r="C129">
        <v>56441992</v>
      </c>
      <c r="D129">
        <v>52972560</v>
      </c>
      <c r="E129">
        <v>1</v>
      </c>
      <c r="F129">
        <v>1</v>
      </c>
      <c r="G129">
        <v>25</v>
      </c>
      <c r="H129">
        <v>3</v>
      </c>
      <c r="I129" t="s">
        <v>478</v>
      </c>
      <c r="J129" t="s">
        <v>479</v>
      </c>
      <c r="K129" t="s">
        <v>480</v>
      </c>
      <c r="L129">
        <v>1339</v>
      </c>
      <c r="N129">
        <v>1007</v>
      </c>
      <c r="O129" t="s">
        <v>26</v>
      </c>
      <c r="P129" t="s">
        <v>26</v>
      </c>
      <c r="Q129">
        <v>1</v>
      </c>
      <c r="X129">
        <v>5.8999999999999997E-2</v>
      </c>
      <c r="Y129">
        <v>3791.18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 t="s">
        <v>3</v>
      </c>
      <c r="AG129">
        <v>5.8999999999999997E-2</v>
      </c>
      <c r="AH129">
        <v>2</v>
      </c>
      <c r="AI129">
        <v>56441998</v>
      </c>
      <c r="AJ129">
        <v>141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ROW(Source!A329)</f>
        <v>329</v>
      </c>
      <c r="B130">
        <v>56442008</v>
      </c>
      <c r="C130">
        <v>56441992</v>
      </c>
      <c r="D130">
        <v>52972669</v>
      </c>
      <c r="E130">
        <v>1</v>
      </c>
      <c r="F130">
        <v>1</v>
      </c>
      <c r="G130">
        <v>25</v>
      </c>
      <c r="H130">
        <v>3</v>
      </c>
      <c r="I130" t="s">
        <v>460</v>
      </c>
      <c r="J130" t="s">
        <v>461</v>
      </c>
      <c r="K130" t="s">
        <v>462</v>
      </c>
      <c r="L130">
        <v>1339</v>
      </c>
      <c r="N130">
        <v>1007</v>
      </c>
      <c r="O130" t="s">
        <v>26</v>
      </c>
      <c r="P130" t="s">
        <v>26</v>
      </c>
      <c r="Q130">
        <v>1</v>
      </c>
      <c r="X130">
        <v>5.9999999999999995E-4</v>
      </c>
      <c r="Y130">
        <v>3003.56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 t="s">
        <v>3</v>
      </c>
      <c r="AG130">
        <v>5.9999999999999995E-4</v>
      </c>
      <c r="AH130">
        <v>2</v>
      </c>
      <c r="AI130">
        <v>56441999</v>
      </c>
      <c r="AJ130">
        <v>142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ROW(Source!A329)</f>
        <v>329</v>
      </c>
      <c r="B131">
        <v>56442009</v>
      </c>
      <c r="C131">
        <v>56441992</v>
      </c>
      <c r="D131">
        <v>52973409</v>
      </c>
      <c r="E131">
        <v>1</v>
      </c>
      <c r="F131">
        <v>1</v>
      </c>
      <c r="G131">
        <v>25</v>
      </c>
      <c r="H131">
        <v>3</v>
      </c>
      <c r="I131" t="s">
        <v>481</v>
      </c>
      <c r="J131" t="s">
        <v>482</v>
      </c>
      <c r="K131" t="s">
        <v>483</v>
      </c>
      <c r="L131">
        <v>1339</v>
      </c>
      <c r="N131">
        <v>1007</v>
      </c>
      <c r="O131" t="s">
        <v>26</v>
      </c>
      <c r="P131" t="s">
        <v>26</v>
      </c>
      <c r="Q131">
        <v>1</v>
      </c>
      <c r="X131">
        <v>4.36E-2</v>
      </c>
      <c r="Y131">
        <v>6544.04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 t="s">
        <v>3</v>
      </c>
      <c r="AG131">
        <v>4.36E-2</v>
      </c>
      <c r="AH131">
        <v>2</v>
      </c>
      <c r="AI131">
        <v>56442000</v>
      </c>
      <c r="AJ131">
        <v>143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ROW(Source!A329)</f>
        <v>329</v>
      </c>
      <c r="B132">
        <v>56442010</v>
      </c>
      <c r="C132">
        <v>56441992</v>
      </c>
      <c r="D132">
        <v>52958455</v>
      </c>
      <c r="E132">
        <v>25</v>
      </c>
      <c r="F132">
        <v>1</v>
      </c>
      <c r="G132">
        <v>25</v>
      </c>
      <c r="H132">
        <v>3</v>
      </c>
      <c r="I132" t="s">
        <v>118</v>
      </c>
      <c r="J132" t="s">
        <v>3</v>
      </c>
      <c r="K132" t="s">
        <v>119</v>
      </c>
      <c r="L132">
        <v>1348</v>
      </c>
      <c r="N132">
        <v>1009</v>
      </c>
      <c r="O132" t="s">
        <v>44</v>
      </c>
      <c r="P132" t="s">
        <v>44</v>
      </c>
      <c r="Q132">
        <v>1000</v>
      </c>
      <c r="X132">
        <v>0.246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 t="s">
        <v>3</v>
      </c>
      <c r="AG132">
        <v>0.246</v>
      </c>
      <c r="AH132">
        <v>2</v>
      </c>
      <c r="AI132">
        <v>56442001</v>
      </c>
      <c r="AJ132">
        <v>144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ROW(Source!A331)</f>
        <v>331</v>
      </c>
      <c r="B133">
        <v>56442023</v>
      </c>
      <c r="C133">
        <v>56442020</v>
      </c>
      <c r="D133">
        <v>52969562</v>
      </c>
      <c r="E133">
        <v>1</v>
      </c>
      <c r="F133">
        <v>1</v>
      </c>
      <c r="G133">
        <v>25</v>
      </c>
      <c r="H133">
        <v>2</v>
      </c>
      <c r="I133" t="s">
        <v>382</v>
      </c>
      <c r="J133" t="s">
        <v>383</v>
      </c>
      <c r="K133" t="s">
        <v>384</v>
      </c>
      <c r="L133">
        <v>1368</v>
      </c>
      <c r="N133">
        <v>1011</v>
      </c>
      <c r="O133" t="s">
        <v>354</v>
      </c>
      <c r="P133" t="s">
        <v>354</v>
      </c>
      <c r="Q133">
        <v>1</v>
      </c>
      <c r="X133">
        <v>0.02</v>
      </c>
      <c r="Y133">
        <v>0</v>
      </c>
      <c r="Z133">
        <v>952.49</v>
      </c>
      <c r="AA133">
        <v>301.5</v>
      </c>
      <c r="AB133">
        <v>0</v>
      </c>
      <c r="AC133">
        <v>0</v>
      </c>
      <c r="AD133">
        <v>1</v>
      </c>
      <c r="AE133">
        <v>0</v>
      </c>
      <c r="AF133" t="s">
        <v>3</v>
      </c>
      <c r="AG133">
        <v>0.02</v>
      </c>
      <c r="AH133">
        <v>2</v>
      </c>
      <c r="AI133">
        <v>56442021</v>
      </c>
      <c r="AJ133">
        <v>145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ROW(Source!A331)</f>
        <v>331</v>
      </c>
      <c r="B134">
        <v>56442024</v>
      </c>
      <c r="C134">
        <v>56442020</v>
      </c>
      <c r="D134">
        <v>52969563</v>
      </c>
      <c r="E134">
        <v>1</v>
      </c>
      <c r="F134">
        <v>1</v>
      </c>
      <c r="G134">
        <v>25</v>
      </c>
      <c r="H134">
        <v>2</v>
      </c>
      <c r="I134" t="s">
        <v>385</v>
      </c>
      <c r="J134" t="s">
        <v>386</v>
      </c>
      <c r="K134" t="s">
        <v>387</v>
      </c>
      <c r="L134">
        <v>1368</v>
      </c>
      <c r="N134">
        <v>1011</v>
      </c>
      <c r="O134" t="s">
        <v>354</v>
      </c>
      <c r="P134" t="s">
        <v>354</v>
      </c>
      <c r="Q134">
        <v>1</v>
      </c>
      <c r="X134">
        <v>1.7999999999999999E-2</v>
      </c>
      <c r="Y134">
        <v>0</v>
      </c>
      <c r="Z134">
        <v>993.6</v>
      </c>
      <c r="AA134">
        <v>301.8</v>
      </c>
      <c r="AB134">
        <v>0</v>
      </c>
      <c r="AC134">
        <v>0</v>
      </c>
      <c r="AD134">
        <v>1</v>
      </c>
      <c r="AE134">
        <v>0</v>
      </c>
      <c r="AF134" t="s">
        <v>3</v>
      </c>
      <c r="AG134">
        <v>1.7999999999999999E-2</v>
      </c>
      <c r="AH134">
        <v>2</v>
      </c>
      <c r="AI134">
        <v>56442022</v>
      </c>
      <c r="AJ134">
        <v>146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ROW(Source!A332)</f>
        <v>332</v>
      </c>
      <c r="B135">
        <v>56442028</v>
      </c>
      <c r="C135">
        <v>56442025</v>
      </c>
      <c r="D135">
        <v>52969562</v>
      </c>
      <c r="E135">
        <v>1</v>
      </c>
      <c r="F135">
        <v>1</v>
      </c>
      <c r="G135">
        <v>25</v>
      </c>
      <c r="H135">
        <v>2</v>
      </c>
      <c r="I135" t="s">
        <v>382</v>
      </c>
      <c r="J135" t="s">
        <v>383</v>
      </c>
      <c r="K135" t="s">
        <v>384</v>
      </c>
      <c r="L135">
        <v>1368</v>
      </c>
      <c r="N135">
        <v>1011</v>
      </c>
      <c r="O135" t="s">
        <v>354</v>
      </c>
      <c r="P135" t="s">
        <v>354</v>
      </c>
      <c r="Q135">
        <v>1</v>
      </c>
      <c r="X135">
        <v>5.3999999999999999E-2</v>
      </c>
      <c r="Y135">
        <v>0</v>
      </c>
      <c r="Z135">
        <v>952.49</v>
      </c>
      <c r="AA135">
        <v>301.5</v>
      </c>
      <c r="AB135">
        <v>0</v>
      </c>
      <c r="AC135">
        <v>0</v>
      </c>
      <c r="AD135">
        <v>1</v>
      </c>
      <c r="AE135">
        <v>0</v>
      </c>
      <c r="AF135" t="s">
        <v>3</v>
      </c>
      <c r="AG135">
        <v>5.3999999999999999E-2</v>
      </c>
      <c r="AH135">
        <v>2</v>
      </c>
      <c r="AI135">
        <v>56442026</v>
      </c>
      <c r="AJ135">
        <v>147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ROW(Source!A332)</f>
        <v>332</v>
      </c>
      <c r="B136">
        <v>56442029</v>
      </c>
      <c r="C136">
        <v>56442025</v>
      </c>
      <c r="D136">
        <v>52969563</v>
      </c>
      <c r="E136">
        <v>1</v>
      </c>
      <c r="F136">
        <v>1</v>
      </c>
      <c r="G136">
        <v>25</v>
      </c>
      <c r="H136">
        <v>2</v>
      </c>
      <c r="I136" t="s">
        <v>385</v>
      </c>
      <c r="J136" t="s">
        <v>386</v>
      </c>
      <c r="K136" t="s">
        <v>387</v>
      </c>
      <c r="L136">
        <v>1368</v>
      </c>
      <c r="N136">
        <v>1011</v>
      </c>
      <c r="O136" t="s">
        <v>354</v>
      </c>
      <c r="P136" t="s">
        <v>354</v>
      </c>
      <c r="Q136">
        <v>1</v>
      </c>
      <c r="X136">
        <v>5.5E-2</v>
      </c>
      <c r="Y136">
        <v>0</v>
      </c>
      <c r="Z136">
        <v>993.6</v>
      </c>
      <c r="AA136">
        <v>301.8</v>
      </c>
      <c r="AB136">
        <v>0</v>
      </c>
      <c r="AC136">
        <v>0</v>
      </c>
      <c r="AD136">
        <v>1</v>
      </c>
      <c r="AE136">
        <v>0</v>
      </c>
      <c r="AF136" t="s">
        <v>3</v>
      </c>
      <c r="AG136">
        <v>5.5E-2</v>
      </c>
      <c r="AH136">
        <v>2</v>
      </c>
      <c r="AI136">
        <v>56442027</v>
      </c>
      <c r="AJ136">
        <v>148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ROW(Source!A333)</f>
        <v>333</v>
      </c>
      <c r="B137">
        <v>56442033</v>
      </c>
      <c r="C137">
        <v>56442030</v>
      </c>
      <c r="D137">
        <v>52969562</v>
      </c>
      <c r="E137">
        <v>1</v>
      </c>
      <c r="F137">
        <v>1</v>
      </c>
      <c r="G137">
        <v>25</v>
      </c>
      <c r="H137">
        <v>2</v>
      </c>
      <c r="I137" t="s">
        <v>382</v>
      </c>
      <c r="J137" t="s">
        <v>383</v>
      </c>
      <c r="K137" t="s">
        <v>384</v>
      </c>
      <c r="L137">
        <v>1368</v>
      </c>
      <c r="N137">
        <v>1011</v>
      </c>
      <c r="O137" t="s">
        <v>354</v>
      </c>
      <c r="P137" t="s">
        <v>354</v>
      </c>
      <c r="Q137">
        <v>1</v>
      </c>
      <c r="X137">
        <v>0.01</v>
      </c>
      <c r="Y137">
        <v>0</v>
      </c>
      <c r="Z137">
        <v>952.49</v>
      </c>
      <c r="AA137">
        <v>301.5</v>
      </c>
      <c r="AB137">
        <v>0</v>
      </c>
      <c r="AC137">
        <v>0</v>
      </c>
      <c r="AD137">
        <v>1</v>
      </c>
      <c r="AE137">
        <v>0</v>
      </c>
      <c r="AF137" t="s">
        <v>141</v>
      </c>
      <c r="AG137">
        <v>0.51</v>
      </c>
      <c r="AH137">
        <v>2</v>
      </c>
      <c r="AI137">
        <v>56442031</v>
      </c>
      <c r="AJ137">
        <v>149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ROW(Source!A333)</f>
        <v>333</v>
      </c>
      <c r="B138">
        <v>56442034</v>
      </c>
      <c r="C138">
        <v>56442030</v>
      </c>
      <c r="D138">
        <v>52969563</v>
      </c>
      <c r="E138">
        <v>1</v>
      </c>
      <c r="F138">
        <v>1</v>
      </c>
      <c r="G138">
        <v>25</v>
      </c>
      <c r="H138">
        <v>2</v>
      </c>
      <c r="I138" t="s">
        <v>385</v>
      </c>
      <c r="J138" t="s">
        <v>386</v>
      </c>
      <c r="K138" t="s">
        <v>387</v>
      </c>
      <c r="L138">
        <v>1368</v>
      </c>
      <c r="N138">
        <v>1011</v>
      </c>
      <c r="O138" t="s">
        <v>354</v>
      </c>
      <c r="P138" t="s">
        <v>354</v>
      </c>
      <c r="Q138">
        <v>1</v>
      </c>
      <c r="X138">
        <v>8.0000000000000002E-3</v>
      </c>
      <c r="Y138">
        <v>0</v>
      </c>
      <c r="Z138">
        <v>993.6</v>
      </c>
      <c r="AA138">
        <v>301.8</v>
      </c>
      <c r="AB138">
        <v>0</v>
      </c>
      <c r="AC138">
        <v>0</v>
      </c>
      <c r="AD138">
        <v>1</v>
      </c>
      <c r="AE138">
        <v>0</v>
      </c>
      <c r="AF138" t="s">
        <v>141</v>
      </c>
      <c r="AG138">
        <v>0.40800000000000003</v>
      </c>
      <c r="AH138">
        <v>2</v>
      </c>
      <c r="AI138">
        <v>56442032</v>
      </c>
      <c r="AJ138">
        <v>150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ROW(Source!A335)</f>
        <v>335</v>
      </c>
      <c r="B139">
        <v>56442041</v>
      </c>
      <c r="C139">
        <v>56442036</v>
      </c>
      <c r="D139">
        <v>52956643</v>
      </c>
      <c r="E139">
        <v>25</v>
      </c>
      <c r="F139">
        <v>1</v>
      </c>
      <c r="G139">
        <v>25</v>
      </c>
      <c r="H139">
        <v>1</v>
      </c>
      <c r="I139" t="s">
        <v>348</v>
      </c>
      <c r="J139" t="s">
        <v>3</v>
      </c>
      <c r="K139" t="s">
        <v>349</v>
      </c>
      <c r="L139">
        <v>1191</v>
      </c>
      <c r="N139">
        <v>1013</v>
      </c>
      <c r="O139" t="s">
        <v>350</v>
      </c>
      <c r="P139" t="s">
        <v>350</v>
      </c>
      <c r="Q139">
        <v>1</v>
      </c>
      <c r="X139">
        <v>80.27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  <c r="AF139" t="s">
        <v>3</v>
      </c>
      <c r="AG139">
        <v>80.27</v>
      </c>
      <c r="AH139">
        <v>2</v>
      </c>
      <c r="AI139">
        <v>56442037</v>
      </c>
      <c r="AJ139">
        <v>151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ROW(Source!A335)</f>
        <v>335</v>
      </c>
      <c r="B140">
        <v>56442042</v>
      </c>
      <c r="C140">
        <v>56442036</v>
      </c>
      <c r="D140">
        <v>52972593</v>
      </c>
      <c r="E140">
        <v>1</v>
      </c>
      <c r="F140">
        <v>1</v>
      </c>
      <c r="G140">
        <v>25</v>
      </c>
      <c r="H140">
        <v>3</v>
      </c>
      <c r="I140" t="s">
        <v>457</v>
      </c>
      <c r="J140" t="s">
        <v>458</v>
      </c>
      <c r="K140" t="s">
        <v>459</v>
      </c>
      <c r="L140">
        <v>1339</v>
      </c>
      <c r="N140">
        <v>1007</v>
      </c>
      <c r="O140" t="s">
        <v>26</v>
      </c>
      <c r="P140" t="s">
        <v>26</v>
      </c>
      <c r="Q140">
        <v>1</v>
      </c>
      <c r="X140">
        <v>5.9</v>
      </c>
      <c r="Y140">
        <v>3869.68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 t="s">
        <v>3</v>
      </c>
      <c r="AG140">
        <v>5.9</v>
      </c>
      <c r="AH140">
        <v>2</v>
      </c>
      <c r="AI140">
        <v>56442038</v>
      </c>
      <c r="AJ140">
        <v>152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ROW(Source!A335)</f>
        <v>335</v>
      </c>
      <c r="B141">
        <v>56442043</v>
      </c>
      <c r="C141">
        <v>56442036</v>
      </c>
      <c r="D141">
        <v>52972669</v>
      </c>
      <c r="E141">
        <v>1</v>
      </c>
      <c r="F141">
        <v>1</v>
      </c>
      <c r="G141">
        <v>25</v>
      </c>
      <c r="H141">
        <v>3</v>
      </c>
      <c r="I141" t="s">
        <v>460</v>
      </c>
      <c r="J141" t="s">
        <v>461</v>
      </c>
      <c r="K141" t="s">
        <v>462</v>
      </c>
      <c r="L141">
        <v>1339</v>
      </c>
      <c r="N141">
        <v>1007</v>
      </c>
      <c r="O141" t="s">
        <v>26</v>
      </c>
      <c r="P141" t="s">
        <v>26</v>
      </c>
      <c r="Q141">
        <v>1</v>
      </c>
      <c r="X141">
        <v>0.06</v>
      </c>
      <c r="Y141">
        <v>3003.56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 t="s">
        <v>3</v>
      </c>
      <c r="AG141">
        <v>0.06</v>
      </c>
      <c r="AH141">
        <v>2</v>
      </c>
      <c r="AI141">
        <v>56442039</v>
      </c>
      <c r="AJ141">
        <v>153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ROW(Source!A335)</f>
        <v>335</v>
      </c>
      <c r="B142">
        <v>56442044</v>
      </c>
      <c r="C142">
        <v>56442036</v>
      </c>
      <c r="D142">
        <v>52973409</v>
      </c>
      <c r="E142">
        <v>1</v>
      </c>
      <c r="F142">
        <v>1</v>
      </c>
      <c r="G142">
        <v>25</v>
      </c>
      <c r="H142">
        <v>3</v>
      </c>
      <c r="I142" t="s">
        <v>481</v>
      </c>
      <c r="J142" t="s">
        <v>482</v>
      </c>
      <c r="K142" t="s">
        <v>483</v>
      </c>
      <c r="L142">
        <v>1339</v>
      </c>
      <c r="N142">
        <v>1007</v>
      </c>
      <c r="O142" t="s">
        <v>26</v>
      </c>
      <c r="P142" t="s">
        <v>26</v>
      </c>
      <c r="Q142">
        <v>1</v>
      </c>
      <c r="X142">
        <v>4.3</v>
      </c>
      <c r="Y142">
        <v>6544.04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 t="s">
        <v>3</v>
      </c>
      <c r="AG142">
        <v>4.3</v>
      </c>
      <c r="AH142">
        <v>2</v>
      </c>
      <c r="AI142">
        <v>56442040</v>
      </c>
      <c r="AJ142">
        <v>154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ROW(Source!A371)</f>
        <v>371</v>
      </c>
      <c r="B143">
        <v>56442049</v>
      </c>
      <c r="C143">
        <v>56442045</v>
      </c>
      <c r="D143">
        <v>52956643</v>
      </c>
      <c r="E143">
        <v>25</v>
      </c>
      <c r="F143">
        <v>1</v>
      </c>
      <c r="G143">
        <v>25</v>
      </c>
      <c r="H143">
        <v>1</v>
      </c>
      <c r="I143" t="s">
        <v>348</v>
      </c>
      <c r="J143" t="s">
        <v>3</v>
      </c>
      <c r="K143" t="s">
        <v>349</v>
      </c>
      <c r="L143">
        <v>1191</v>
      </c>
      <c r="N143">
        <v>1013</v>
      </c>
      <c r="O143" t="s">
        <v>350</v>
      </c>
      <c r="P143" t="s">
        <v>350</v>
      </c>
      <c r="Q143">
        <v>1</v>
      </c>
      <c r="X143">
        <v>1.59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1</v>
      </c>
      <c r="AF143" t="s">
        <v>3</v>
      </c>
      <c r="AG143">
        <v>1.59</v>
      </c>
      <c r="AH143">
        <v>2</v>
      </c>
      <c r="AI143">
        <v>56442046</v>
      </c>
      <c r="AJ143">
        <v>155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ROW(Source!A371)</f>
        <v>371</v>
      </c>
      <c r="B144">
        <v>56442050</v>
      </c>
      <c r="C144">
        <v>56442045</v>
      </c>
      <c r="D144">
        <v>52968769</v>
      </c>
      <c r="E144">
        <v>1</v>
      </c>
      <c r="F144">
        <v>1</v>
      </c>
      <c r="G144">
        <v>25</v>
      </c>
      <c r="H144">
        <v>2</v>
      </c>
      <c r="I144" t="s">
        <v>484</v>
      </c>
      <c r="J144" t="s">
        <v>485</v>
      </c>
      <c r="K144" t="s">
        <v>486</v>
      </c>
      <c r="L144">
        <v>1368</v>
      </c>
      <c r="N144">
        <v>1011</v>
      </c>
      <c r="O144" t="s">
        <v>354</v>
      </c>
      <c r="P144" t="s">
        <v>354</v>
      </c>
      <c r="Q144">
        <v>1</v>
      </c>
      <c r="X144">
        <v>4.9800000000000004</v>
      </c>
      <c r="Y144">
        <v>0</v>
      </c>
      <c r="Z144">
        <v>1447.46</v>
      </c>
      <c r="AA144">
        <v>537.96</v>
      </c>
      <c r="AB144">
        <v>0</v>
      </c>
      <c r="AC144">
        <v>0</v>
      </c>
      <c r="AD144">
        <v>1</v>
      </c>
      <c r="AE144">
        <v>0</v>
      </c>
      <c r="AF144" t="s">
        <v>3</v>
      </c>
      <c r="AG144">
        <v>4.9800000000000004</v>
      </c>
      <c r="AH144">
        <v>2</v>
      </c>
      <c r="AI144">
        <v>56442047</v>
      </c>
      <c r="AJ144">
        <v>156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ROW(Source!A371)</f>
        <v>371</v>
      </c>
      <c r="B145">
        <v>56442051</v>
      </c>
      <c r="C145">
        <v>56442045</v>
      </c>
      <c r="D145">
        <v>52968792</v>
      </c>
      <c r="E145">
        <v>1</v>
      </c>
      <c r="F145">
        <v>1</v>
      </c>
      <c r="G145">
        <v>25</v>
      </c>
      <c r="H145">
        <v>2</v>
      </c>
      <c r="I145" t="s">
        <v>487</v>
      </c>
      <c r="J145" t="s">
        <v>488</v>
      </c>
      <c r="K145" t="s">
        <v>489</v>
      </c>
      <c r="L145">
        <v>1368</v>
      </c>
      <c r="N145">
        <v>1011</v>
      </c>
      <c r="O145" t="s">
        <v>354</v>
      </c>
      <c r="P145" t="s">
        <v>354</v>
      </c>
      <c r="Q145">
        <v>1</v>
      </c>
      <c r="X145">
        <v>1.25</v>
      </c>
      <c r="Y145">
        <v>0</v>
      </c>
      <c r="Z145">
        <v>1035.49</v>
      </c>
      <c r="AA145">
        <v>465.1</v>
      </c>
      <c r="AB145">
        <v>0</v>
      </c>
      <c r="AC145">
        <v>0</v>
      </c>
      <c r="AD145">
        <v>1</v>
      </c>
      <c r="AE145">
        <v>0</v>
      </c>
      <c r="AF145" t="s">
        <v>3</v>
      </c>
      <c r="AG145">
        <v>1.25</v>
      </c>
      <c r="AH145">
        <v>2</v>
      </c>
      <c r="AI145">
        <v>56442048</v>
      </c>
      <c r="AJ145">
        <v>157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ROW(Source!A372)</f>
        <v>372</v>
      </c>
      <c r="B146">
        <v>56442054</v>
      </c>
      <c r="C146">
        <v>56442052</v>
      </c>
      <c r="D146">
        <v>52956643</v>
      </c>
      <c r="E146">
        <v>25</v>
      </c>
      <c r="F146">
        <v>1</v>
      </c>
      <c r="G146">
        <v>25</v>
      </c>
      <c r="H146">
        <v>1</v>
      </c>
      <c r="I146" t="s">
        <v>348</v>
      </c>
      <c r="J146" t="s">
        <v>3</v>
      </c>
      <c r="K146" t="s">
        <v>349</v>
      </c>
      <c r="L146">
        <v>1191</v>
      </c>
      <c r="N146">
        <v>1013</v>
      </c>
      <c r="O146" t="s">
        <v>350</v>
      </c>
      <c r="P146" t="s">
        <v>350</v>
      </c>
      <c r="Q146">
        <v>1</v>
      </c>
      <c r="X146">
        <v>221.6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</v>
      </c>
      <c r="AF146" t="s">
        <v>3</v>
      </c>
      <c r="AG146">
        <v>221.6</v>
      </c>
      <c r="AH146">
        <v>2</v>
      </c>
      <c r="AI146">
        <v>56442053</v>
      </c>
      <c r="AJ146">
        <v>158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ROW(Source!A373)</f>
        <v>373</v>
      </c>
      <c r="B147">
        <v>56473711</v>
      </c>
      <c r="C147">
        <v>56473707</v>
      </c>
      <c r="D147">
        <v>52956643</v>
      </c>
      <c r="E147">
        <v>25</v>
      </c>
      <c r="F147">
        <v>1</v>
      </c>
      <c r="G147">
        <v>25</v>
      </c>
      <c r="H147">
        <v>1</v>
      </c>
      <c r="I147" t="s">
        <v>348</v>
      </c>
      <c r="J147" t="s">
        <v>3</v>
      </c>
      <c r="K147" t="s">
        <v>349</v>
      </c>
      <c r="L147">
        <v>1191</v>
      </c>
      <c r="N147">
        <v>1013</v>
      </c>
      <c r="O147" t="s">
        <v>350</v>
      </c>
      <c r="P147" t="s">
        <v>350</v>
      </c>
      <c r="Q147">
        <v>1</v>
      </c>
      <c r="X147">
        <v>1.59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 t="s">
        <v>3</v>
      </c>
      <c r="AG147">
        <v>1.59</v>
      </c>
      <c r="AH147">
        <v>2</v>
      </c>
      <c r="AI147">
        <v>56473708</v>
      </c>
      <c r="AJ147">
        <v>159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ROW(Source!A373)</f>
        <v>373</v>
      </c>
      <c r="B148">
        <v>56473712</v>
      </c>
      <c r="C148">
        <v>56473707</v>
      </c>
      <c r="D148">
        <v>52968769</v>
      </c>
      <c r="E148">
        <v>1</v>
      </c>
      <c r="F148">
        <v>1</v>
      </c>
      <c r="G148">
        <v>25</v>
      </c>
      <c r="H148">
        <v>2</v>
      </c>
      <c r="I148" t="s">
        <v>484</v>
      </c>
      <c r="J148" t="s">
        <v>485</v>
      </c>
      <c r="K148" t="s">
        <v>486</v>
      </c>
      <c r="L148">
        <v>1368</v>
      </c>
      <c r="N148">
        <v>1011</v>
      </c>
      <c r="O148" t="s">
        <v>354</v>
      </c>
      <c r="P148" t="s">
        <v>354</v>
      </c>
      <c r="Q148">
        <v>1</v>
      </c>
      <c r="X148">
        <v>4.9800000000000004</v>
      </c>
      <c r="Y148">
        <v>0</v>
      </c>
      <c r="Z148">
        <v>1447.46</v>
      </c>
      <c r="AA148">
        <v>537.96</v>
      </c>
      <c r="AB148">
        <v>0</v>
      </c>
      <c r="AC148">
        <v>0</v>
      </c>
      <c r="AD148">
        <v>1</v>
      </c>
      <c r="AE148">
        <v>0</v>
      </c>
      <c r="AF148" t="s">
        <v>3</v>
      </c>
      <c r="AG148">
        <v>4.9800000000000004</v>
      </c>
      <c r="AH148">
        <v>2</v>
      </c>
      <c r="AI148">
        <v>56473709</v>
      </c>
      <c r="AJ148">
        <v>160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ROW(Source!A373)</f>
        <v>373</v>
      </c>
      <c r="B149">
        <v>56473713</v>
      </c>
      <c r="C149">
        <v>56473707</v>
      </c>
      <c r="D149">
        <v>52968792</v>
      </c>
      <c r="E149">
        <v>1</v>
      </c>
      <c r="F149">
        <v>1</v>
      </c>
      <c r="G149">
        <v>25</v>
      </c>
      <c r="H149">
        <v>2</v>
      </c>
      <c r="I149" t="s">
        <v>487</v>
      </c>
      <c r="J149" t="s">
        <v>488</v>
      </c>
      <c r="K149" t="s">
        <v>489</v>
      </c>
      <c r="L149">
        <v>1368</v>
      </c>
      <c r="N149">
        <v>1011</v>
      </c>
      <c r="O149" t="s">
        <v>354</v>
      </c>
      <c r="P149" t="s">
        <v>354</v>
      </c>
      <c r="Q149">
        <v>1</v>
      </c>
      <c r="X149">
        <v>1.25</v>
      </c>
      <c r="Y149">
        <v>0</v>
      </c>
      <c r="Z149">
        <v>1035.49</v>
      </c>
      <c r="AA149">
        <v>465.1</v>
      </c>
      <c r="AB149">
        <v>0</v>
      </c>
      <c r="AC149">
        <v>0</v>
      </c>
      <c r="AD149">
        <v>1</v>
      </c>
      <c r="AE149">
        <v>0</v>
      </c>
      <c r="AF149" t="s">
        <v>3</v>
      </c>
      <c r="AG149">
        <v>1.25</v>
      </c>
      <c r="AH149">
        <v>2</v>
      </c>
      <c r="AI149">
        <v>56473710</v>
      </c>
      <c r="AJ149">
        <v>161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ROW(Source!A374)</f>
        <v>374</v>
      </c>
      <c r="B150">
        <v>56442057</v>
      </c>
      <c r="C150">
        <v>56442055</v>
      </c>
      <c r="D150">
        <v>52956643</v>
      </c>
      <c r="E150">
        <v>25</v>
      </c>
      <c r="F150">
        <v>1</v>
      </c>
      <c r="G150">
        <v>25</v>
      </c>
      <c r="H150">
        <v>1</v>
      </c>
      <c r="I150" t="s">
        <v>348</v>
      </c>
      <c r="J150" t="s">
        <v>3</v>
      </c>
      <c r="K150" t="s">
        <v>349</v>
      </c>
      <c r="L150">
        <v>1191</v>
      </c>
      <c r="N150">
        <v>1013</v>
      </c>
      <c r="O150" t="s">
        <v>350</v>
      </c>
      <c r="P150" t="s">
        <v>350</v>
      </c>
      <c r="Q150">
        <v>1</v>
      </c>
      <c r="X150">
        <v>83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1</v>
      </c>
      <c r="AF150" t="s">
        <v>3</v>
      </c>
      <c r="AG150">
        <v>83</v>
      </c>
      <c r="AH150">
        <v>2</v>
      </c>
      <c r="AI150">
        <v>56442056</v>
      </c>
      <c r="AJ150">
        <v>162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ROW(Source!A375)</f>
        <v>375</v>
      </c>
      <c r="B151">
        <v>56442060</v>
      </c>
      <c r="C151">
        <v>56442058</v>
      </c>
      <c r="D151">
        <v>52969563</v>
      </c>
      <c r="E151">
        <v>1</v>
      </c>
      <c r="F151">
        <v>1</v>
      </c>
      <c r="G151">
        <v>25</v>
      </c>
      <c r="H151">
        <v>2</v>
      </c>
      <c r="I151" t="s">
        <v>385</v>
      </c>
      <c r="J151" t="s">
        <v>386</v>
      </c>
      <c r="K151" t="s">
        <v>387</v>
      </c>
      <c r="L151">
        <v>1368</v>
      </c>
      <c r="N151">
        <v>1011</v>
      </c>
      <c r="O151" t="s">
        <v>354</v>
      </c>
      <c r="P151" t="s">
        <v>354</v>
      </c>
      <c r="Q151">
        <v>1</v>
      </c>
      <c r="X151">
        <v>3.1E-2</v>
      </c>
      <c r="Y151">
        <v>0</v>
      </c>
      <c r="Z151">
        <v>993.6</v>
      </c>
      <c r="AA151">
        <v>301.8</v>
      </c>
      <c r="AB151">
        <v>0</v>
      </c>
      <c r="AC151">
        <v>0</v>
      </c>
      <c r="AD151">
        <v>1</v>
      </c>
      <c r="AE151">
        <v>0</v>
      </c>
      <c r="AF151" t="s">
        <v>3</v>
      </c>
      <c r="AG151">
        <v>3.1E-2</v>
      </c>
      <c r="AH151">
        <v>2</v>
      </c>
      <c r="AI151">
        <v>56442059</v>
      </c>
      <c r="AJ151">
        <v>163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ROW(Source!A376)</f>
        <v>376</v>
      </c>
      <c r="B152">
        <v>56442063</v>
      </c>
      <c r="C152">
        <v>56442061</v>
      </c>
      <c r="D152">
        <v>52969563</v>
      </c>
      <c r="E152">
        <v>1</v>
      </c>
      <c r="F152">
        <v>1</v>
      </c>
      <c r="G152">
        <v>25</v>
      </c>
      <c r="H152">
        <v>2</v>
      </c>
      <c r="I152" t="s">
        <v>385</v>
      </c>
      <c r="J152" t="s">
        <v>386</v>
      </c>
      <c r="K152" t="s">
        <v>387</v>
      </c>
      <c r="L152">
        <v>1368</v>
      </c>
      <c r="N152">
        <v>1011</v>
      </c>
      <c r="O152" t="s">
        <v>354</v>
      </c>
      <c r="P152" t="s">
        <v>354</v>
      </c>
      <c r="Q152">
        <v>1</v>
      </c>
      <c r="X152">
        <v>0.01</v>
      </c>
      <c r="Y152">
        <v>0</v>
      </c>
      <c r="Z152">
        <v>993.6</v>
      </c>
      <c r="AA152">
        <v>301.8</v>
      </c>
      <c r="AB152">
        <v>0</v>
      </c>
      <c r="AC152">
        <v>0</v>
      </c>
      <c r="AD152">
        <v>1</v>
      </c>
      <c r="AE152">
        <v>0</v>
      </c>
      <c r="AF152" t="s">
        <v>286</v>
      </c>
      <c r="AG152">
        <v>0.53</v>
      </c>
      <c r="AH152">
        <v>2</v>
      </c>
      <c r="AI152">
        <v>56442062</v>
      </c>
      <c r="AJ152">
        <v>164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ROW(Source!A378)</f>
        <v>378</v>
      </c>
      <c r="B153">
        <v>56442070</v>
      </c>
      <c r="C153">
        <v>56442065</v>
      </c>
      <c r="D153">
        <v>52956643</v>
      </c>
      <c r="E153">
        <v>25</v>
      </c>
      <c r="F153">
        <v>1</v>
      </c>
      <c r="G153">
        <v>25</v>
      </c>
      <c r="H153">
        <v>1</v>
      </c>
      <c r="I153" t="s">
        <v>348</v>
      </c>
      <c r="J153" t="s">
        <v>3</v>
      </c>
      <c r="K153" t="s">
        <v>349</v>
      </c>
      <c r="L153">
        <v>1191</v>
      </c>
      <c r="N153">
        <v>1013</v>
      </c>
      <c r="O153" t="s">
        <v>350</v>
      </c>
      <c r="P153" t="s">
        <v>350</v>
      </c>
      <c r="Q153">
        <v>1</v>
      </c>
      <c r="X153">
        <v>30.8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1</v>
      </c>
      <c r="AF153" t="s">
        <v>3</v>
      </c>
      <c r="AG153">
        <v>30.8</v>
      </c>
      <c r="AH153">
        <v>2</v>
      </c>
      <c r="AI153">
        <v>56442066</v>
      </c>
      <c r="AJ153">
        <v>165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ROW(Source!A378)</f>
        <v>378</v>
      </c>
      <c r="B154">
        <v>56442071</v>
      </c>
      <c r="C154">
        <v>56442065</v>
      </c>
      <c r="D154">
        <v>52969369</v>
      </c>
      <c r="E154">
        <v>1</v>
      </c>
      <c r="F154">
        <v>1</v>
      </c>
      <c r="G154">
        <v>25</v>
      </c>
      <c r="H154">
        <v>2</v>
      </c>
      <c r="I154" t="s">
        <v>490</v>
      </c>
      <c r="J154" t="s">
        <v>491</v>
      </c>
      <c r="K154" t="s">
        <v>492</v>
      </c>
      <c r="L154">
        <v>1368</v>
      </c>
      <c r="N154">
        <v>1011</v>
      </c>
      <c r="O154" t="s">
        <v>354</v>
      </c>
      <c r="P154" t="s">
        <v>354</v>
      </c>
      <c r="Q154">
        <v>1</v>
      </c>
      <c r="X154">
        <v>0.06</v>
      </c>
      <c r="Y154">
        <v>0</v>
      </c>
      <c r="Z154">
        <v>20.03</v>
      </c>
      <c r="AA154">
        <v>9.27</v>
      </c>
      <c r="AB154">
        <v>0</v>
      </c>
      <c r="AC154">
        <v>0</v>
      </c>
      <c r="AD154">
        <v>1</v>
      </c>
      <c r="AE154">
        <v>0</v>
      </c>
      <c r="AF154" t="s">
        <v>3</v>
      </c>
      <c r="AG154">
        <v>0.06</v>
      </c>
      <c r="AH154">
        <v>2</v>
      </c>
      <c r="AI154">
        <v>56442067</v>
      </c>
      <c r="AJ154">
        <v>166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ROW(Source!A378)</f>
        <v>378</v>
      </c>
      <c r="B155">
        <v>56442072</v>
      </c>
      <c r="C155">
        <v>56442065</v>
      </c>
      <c r="D155">
        <v>52968820</v>
      </c>
      <c r="E155">
        <v>1</v>
      </c>
      <c r="F155">
        <v>1</v>
      </c>
      <c r="G155">
        <v>25</v>
      </c>
      <c r="H155">
        <v>2</v>
      </c>
      <c r="I155" t="s">
        <v>493</v>
      </c>
      <c r="J155" t="s">
        <v>494</v>
      </c>
      <c r="K155" t="s">
        <v>495</v>
      </c>
      <c r="L155">
        <v>1368</v>
      </c>
      <c r="N155">
        <v>1011</v>
      </c>
      <c r="O155" t="s">
        <v>354</v>
      </c>
      <c r="P155" t="s">
        <v>354</v>
      </c>
      <c r="Q155">
        <v>1</v>
      </c>
      <c r="X155">
        <v>0.06</v>
      </c>
      <c r="Y155">
        <v>0</v>
      </c>
      <c r="Z155">
        <v>857.8</v>
      </c>
      <c r="AA155">
        <v>417.21</v>
      </c>
      <c r="AB155">
        <v>0</v>
      </c>
      <c r="AC155">
        <v>0</v>
      </c>
      <c r="AD155">
        <v>1</v>
      </c>
      <c r="AE155">
        <v>0</v>
      </c>
      <c r="AF155" t="s">
        <v>3</v>
      </c>
      <c r="AG155">
        <v>0.06</v>
      </c>
      <c r="AH155">
        <v>2</v>
      </c>
      <c r="AI155">
        <v>56442068</v>
      </c>
      <c r="AJ155">
        <v>167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ROW(Source!A378)</f>
        <v>378</v>
      </c>
      <c r="B156">
        <v>56442073</v>
      </c>
      <c r="C156">
        <v>56442065</v>
      </c>
      <c r="D156">
        <v>52973354</v>
      </c>
      <c r="E156">
        <v>1</v>
      </c>
      <c r="F156">
        <v>1</v>
      </c>
      <c r="G156">
        <v>25</v>
      </c>
      <c r="H156">
        <v>3</v>
      </c>
      <c r="I156" t="s">
        <v>496</v>
      </c>
      <c r="J156" t="s">
        <v>497</v>
      </c>
      <c r="K156" t="s">
        <v>498</v>
      </c>
      <c r="L156">
        <v>1339</v>
      </c>
      <c r="N156">
        <v>1007</v>
      </c>
      <c r="O156" t="s">
        <v>26</v>
      </c>
      <c r="P156" t="s">
        <v>26</v>
      </c>
      <c r="Q156">
        <v>1</v>
      </c>
      <c r="X156">
        <v>15</v>
      </c>
      <c r="Y156">
        <v>753.67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 t="s">
        <v>3</v>
      </c>
      <c r="AG156">
        <v>15</v>
      </c>
      <c r="AH156">
        <v>2</v>
      </c>
      <c r="AI156">
        <v>56442069</v>
      </c>
      <c r="AJ156">
        <v>168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ROW(Source!A379)</f>
        <v>379</v>
      </c>
      <c r="B157">
        <v>56442077</v>
      </c>
      <c r="C157">
        <v>56442074</v>
      </c>
      <c r="D157">
        <v>52956643</v>
      </c>
      <c r="E157">
        <v>25</v>
      </c>
      <c r="F157">
        <v>1</v>
      </c>
      <c r="G157">
        <v>25</v>
      </c>
      <c r="H157">
        <v>1</v>
      </c>
      <c r="I157" t="s">
        <v>348</v>
      </c>
      <c r="J157" t="s">
        <v>3</v>
      </c>
      <c r="K157" t="s">
        <v>349</v>
      </c>
      <c r="L157">
        <v>1191</v>
      </c>
      <c r="N157">
        <v>1013</v>
      </c>
      <c r="O157" t="s">
        <v>350</v>
      </c>
      <c r="P157" t="s">
        <v>350</v>
      </c>
      <c r="Q157">
        <v>1</v>
      </c>
      <c r="X157">
        <v>46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1</v>
      </c>
      <c r="AF157" t="s">
        <v>3</v>
      </c>
      <c r="AG157">
        <v>46</v>
      </c>
      <c r="AH157">
        <v>2</v>
      </c>
      <c r="AI157">
        <v>56442075</v>
      </c>
      <c r="AJ157">
        <v>169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ROW(Source!A379)</f>
        <v>379</v>
      </c>
      <c r="B158">
        <v>56442078</v>
      </c>
      <c r="C158">
        <v>56442074</v>
      </c>
      <c r="D158">
        <v>52973354</v>
      </c>
      <c r="E158">
        <v>1</v>
      </c>
      <c r="F158">
        <v>1</v>
      </c>
      <c r="G158">
        <v>25</v>
      </c>
      <c r="H158">
        <v>3</v>
      </c>
      <c r="I158" t="s">
        <v>496</v>
      </c>
      <c r="J158" t="s">
        <v>497</v>
      </c>
      <c r="K158" t="s">
        <v>498</v>
      </c>
      <c r="L158">
        <v>1339</v>
      </c>
      <c r="N158">
        <v>1007</v>
      </c>
      <c r="O158" t="s">
        <v>26</v>
      </c>
      <c r="P158" t="s">
        <v>26</v>
      </c>
      <c r="Q158">
        <v>1</v>
      </c>
      <c r="X158">
        <v>15</v>
      </c>
      <c r="Y158">
        <v>753.67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 t="s">
        <v>3</v>
      </c>
      <c r="AG158">
        <v>15</v>
      </c>
      <c r="AH158">
        <v>2</v>
      </c>
      <c r="AI158">
        <v>56442076</v>
      </c>
      <c r="AJ158">
        <v>170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ROW(Source!A380)</f>
        <v>380</v>
      </c>
      <c r="B159">
        <v>56442082</v>
      </c>
      <c r="C159">
        <v>56442079</v>
      </c>
      <c r="D159">
        <v>52956643</v>
      </c>
      <c r="E159">
        <v>25</v>
      </c>
      <c r="F159">
        <v>1</v>
      </c>
      <c r="G159">
        <v>25</v>
      </c>
      <c r="H159">
        <v>1</v>
      </c>
      <c r="I159" t="s">
        <v>348</v>
      </c>
      <c r="J159" t="s">
        <v>3</v>
      </c>
      <c r="K159" t="s">
        <v>349</v>
      </c>
      <c r="L159">
        <v>1191</v>
      </c>
      <c r="N159">
        <v>1013</v>
      </c>
      <c r="O159" t="s">
        <v>350</v>
      </c>
      <c r="P159" t="s">
        <v>350</v>
      </c>
      <c r="Q159">
        <v>1</v>
      </c>
      <c r="X159">
        <v>6.29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1</v>
      </c>
      <c r="AF159" t="s">
        <v>303</v>
      </c>
      <c r="AG159">
        <v>-6.29</v>
      </c>
      <c r="AH159">
        <v>2</v>
      </c>
      <c r="AI159">
        <v>56442080</v>
      </c>
      <c r="AJ159">
        <v>171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ROW(Source!A380)</f>
        <v>380</v>
      </c>
      <c r="B160">
        <v>56442083</v>
      </c>
      <c r="C160">
        <v>56442079</v>
      </c>
      <c r="D160">
        <v>52973354</v>
      </c>
      <c r="E160">
        <v>1</v>
      </c>
      <c r="F160">
        <v>1</v>
      </c>
      <c r="G160">
        <v>25</v>
      </c>
      <c r="H160">
        <v>3</v>
      </c>
      <c r="I160" t="s">
        <v>496</v>
      </c>
      <c r="J160" t="s">
        <v>497</v>
      </c>
      <c r="K160" t="s">
        <v>498</v>
      </c>
      <c r="L160">
        <v>1339</v>
      </c>
      <c r="N160">
        <v>1007</v>
      </c>
      <c r="O160" t="s">
        <v>26</v>
      </c>
      <c r="P160" t="s">
        <v>26</v>
      </c>
      <c r="Q160">
        <v>1</v>
      </c>
      <c r="X160">
        <v>5</v>
      </c>
      <c r="Y160">
        <v>753.67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 t="s">
        <v>303</v>
      </c>
      <c r="AG160">
        <v>-5</v>
      </c>
      <c r="AH160">
        <v>2</v>
      </c>
      <c r="AI160">
        <v>56442081</v>
      </c>
      <c r="AJ160">
        <v>172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ROW(Source!A381)</f>
        <v>381</v>
      </c>
      <c r="B161">
        <v>56442088</v>
      </c>
      <c r="C161">
        <v>56442084</v>
      </c>
      <c r="D161">
        <v>52956643</v>
      </c>
      <c r="E161">
        <v>25</v>
      </c>
      <c r="F161">
        <v>1</v>
      </c>
      <c r="G161">
        <v>25</v>
      </c>
      <c r="H161">
        <v>1</v>
      </c>
      <c r="I161" t="s">
        <v>348</v>
      </c>
      <c r="J161" t="s">
        <v>3</v>
      </c>
      <c r="K161" t="s">
        <v>349</v>
      </c>
      <c r="L161">
        <v>1191</v>
      </c>
      <c r="N161">
        <v>1013</v>
      </c>
      <c r="O161" t="s">
        <v>350</v>
      </c>
      <c r="P161" t="s">
        <v>350</v>
      </c>
      <c r="Q161">
        <v>1</v>
      </c>
      <c r="X161">
        <v>13.42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 t="s">
        <v>3</v>
      </c>
      <c r="AG161">
        <v>13.42</v>
      </c>
      <c r="AH161">
        <v>2</v>
      </c>
      <c r="AI161">
        <v>56442085</v>
      </c>
      <c r="AJ161">
        <v>173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ROW(Source!A381)</f>
        <v>381</v>
      </c>
      <c r="B162">
        <v>56442089</v>
      </c>
      <c r="C162">
        <v>56442084</v>
      </c>
      <c r="D162">
        <v>52970341</v>
      </c>
      <c r="E162">
        <v>1</v>
      </c>
      <c r="F162">
        <v>1</v>
      </c>
      <c r="G162">
        <v>25</v>
      </c>
      <c r="H162">
        <v>3</v>
      </c>
      <c r="I162" t="s">
        <v>499</v>
      </c>
      <c r="J162" t="s">
        <v>500</v>
      </c>
      <c r="K162" t="s">
        <v>501</v>
      </c>
      <c r="L162">
        <v>1339</v>
      </c>
      <c r="N162">
        <v>1007</v>
      </c>
      <c r="O162" t="s">
        <v>26</v>
      </c>
      <c r="P162" t="s">
        <v>26</v>
      </c>
      <c r="Q162">
        <v>1</v>
      </c>
      <c r="X162">
        <v>1.4E-2</v>
      </c>
      <c r="Y162">
        <v>7084.08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 t="s">
        <v>3</v>
      </c>
      <c r="AG162">
        <v>1.4E-2</v>
      </c>
      <c r="AH162">
        <v>2</v>
      </c>
      <c r="AI162">
        <v>56442086</v>
      </c>
      <c r="AJ162">
        <v>174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ROW(Source!A381)</f>
        <v>381</v>
      </c>
      <c r="B163">
        <v>56442090</v>
      </c>
      <c r="C163">
        <v>56442084</v>
      </c>
      <c r="D163">
        <v>52973352</v>
      </c>
      <c r="E163">
        <v>1</v>
      </c>
      <c r="F163">
        <v>1</v>
      </c>
      <c r="G163">
        <v>25</v>
      </c>
      <c r="H163">
        <v>3</v>
      </c>
      <c r="I163" t="s">
        <v>502</v>
      </c>
      <c r="J163" t="s">
        <v>503</v>
      </c>
      <c r="K163" t="s">
        <v>504</v>
      </c>
      <c r="L163">
        <v>1327</v>
      </c>
      <c r="N163">
        <v>1005</v>
      </c>
      <c r="O163" t="s">
        <v>157</v>
      </c>
      <c r="P163" t="s">
        <v>157</v>
      </c>
      <c r="Q163">
        <v>1</v>
      </c>
      <c r="X163">
        <v>107</v>
      </c>
      <c r="Y163">
        <v>131.28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 t="s">
        <v>3</v>
      </c>
      <c r="AG163">
        <v>107</v>
      </c>
      <c r="AH163">
        <v>2</v>
      </c>
      <c r="AI163">
        <v>56442087</v>
      </c>
      <c r="AJ163">
        <v>175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>
        <f>ROW(Source!A417)</f>
        <v>417</v>
      </c>
      <c r="B164">
        <v>56442104</v>
      </c>
      <c r="C164">
        <v>56442098</v>
      </c>
      <c r="D164">
        <v>52956643</v>
      </c>
      <c r="E164">
        <v>25</v>
      </c>
      <c r="F164">
        <v>1</v>
      </c>
      <c r="G164">
        <v>25</v>
      </c>
      <c r="H164">
        <v>1</v>
      </c>
      <c r="I164" t="s">
        <v>348</v>
      </c>
      <c r="J164" t="s">
        <v>3</v>
      </c>
      <c r="K164" t="s">
        <v>349</v>
      </c>
      <c r="L164">
        <v>1191</v>
      </c>
      <c r="N164">
        <v>1013</v>
      </c>
      <c r="O164" t="s">
        <v>350</v>
      </c>
      <c r="P164" t="s">
        <v>350</v>
      </c>
      <c r="Q164">
        <v>1</v>
      </c>
      <c r="X164">
        <v>31.86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 t="s">
        <v>3</v>
      </c>
      <c r="AG164">
        <v>31.86</v>
      </c>
      <c r="AH164">
        <v>2</v>
      </c>
      <c r="AI164">
        <v>56442099</v>
      </c>
      <c r="AJ164">
        <v>176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>
        <f>ROW(Source!A417)</f>
        <v>417</v>
      </c>
      <c r="B165">
        <v>56442105</v>
      </c>
      <c r="C165">
        <v>56442098</v>
      </c>
      <c r="D165">
        <v>52968792</v>
      </c>
      <c r="E165">
        <v>1</v>
      </c>
      <c r="F165">
        <v>1</v>
      </c>
      <c r="G165">
        <v>25</v>
      </c>
      <c r="H165">
        <v>2</v>
      </c>
      <c r="I165" t="s">
        <v>487</v>
      </c>
      <c r="J165" t="s">
        <v>488</v>
      </c>
      <c r="K165" t="s">
        <v>489</v>
      </c>
      <c r="L165">
        <v>1368</v>
      </c>
      <c r="N165">
        <v>1011</v>
      </c>
      <c r="O165" t="s">
        <v>354</v>
      </c>
      <c r="P165" t="s">
        <v>354</v>
      </c>
      <c r="Q165">
        <v>1</v>
      </c>
      <c r="X165">
        <v>3.15</v>
      </c>
      <c r="Y165">
        <v>0</v>
      </c>
      <c r="Z165">
        <v>1035.49</v>
      </c>
      <c r="AA165">
        <v>465.1</v>
      </c>
      <c r="AB165">
        <v>0</v>
      </c>
      <c r="AC165">
        <v>0</v>
      </c>
      <c r="AD165">
        <v>1</v>
      </c>
      <c r="AE165">
        <v>0</v>
      </c>
      <c r="AF165" t="s">
        <v>3</v>
      </c>
      <c r="AG165">
        <v>3.15</v>
      </c>
      <c r="AH165">
        <v>2</v>
      </c>
      <c r="AI165">
        <v>56442100</v>
      </c>
      <c r="AJ165">
        <v>177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>
        <f>ROW(Source!A417)</f>
        <v>417</v>
      </c>
      <c r="B166">
        <v>56442106</v>
      </c>
      <c r="C166">
        <v>56442098</v>
      </c>
      <c r="D166">
        <v>52968962</v>
      </c>
      <c r="E166">
        <v>1</v>
      </c>
      <c r="F166">
        <v>1</v>
      </c>
      <c r="G166">
        <v>25</v>
      </c>
      <c r="H166">
        <v>2</v>
      </c>
      <c r="I166" t="s">
        <v>445</v>
      </c>
      <c r="J166" t="s">
        <v>446</v>
      </c>
      <c r="K166" t="s">
        <v>447</v>
      </c>
      <c r="L166">
        <v>1368</v>
      </c>
      <c r="N166">
        <v>1011</v>
      </c>
      <c r="O166" t="s">
        <v>354</v>
      </c>
      <c r="P166" t="s">
        <v>354</v>
      </c>
      <c r="Q166">
        <v>1</v>
      </c>
      <c r="X166">
        <v>1.28</v>
      </c>
      <c r="Y166">
        <v>0</v>
      </c>
      <c r="Z166">
        <v>1179.56</v>
      </c>
      <c r="AA166">
        <v>439.28</v>
      </c>
      <c r="AB166">
        <v>0</v>
      </c>
      <c r="AC166">
        <v>0</v>
      </c>
      <c r="AD166">
        <v>1</v>
      </c>
      <c r="AE166">
        <v>0</v>
      </c>
      <c r="AF166" t="s">
        <v>3</v>
      </c>
      <c r="AG166">
        <v>1.28</v>
      </c>
      <c r="AH166">
        <v>2</v>
      </c>
      <c r="AI166">
        <v>56442101</v>
      </c>
      <c r="AJ166">
        <v>178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>
        <f>ROW(Source!A417)</f>
        <v>417</v>
      </c>
      <c r="B167">
        <v>56442107</v>
      </c>
      <c r="C167">
        <v>56442098</v>
      </c>
      <c r="D167">
        <v>52970770</v>
      </c>
      <c r="E167">
        <v>1</v>
      </c>
      <c r="F167">
        <v>1</v>
      </c>
      <c r="G167">
        <v>25</v>
      </c>
      <c r="H167">
        <v>3</v>
      </c>
      <c r="I167" t="s">
        <v>505</v>
      </c>
      <c r="J167" t="s">
        <v>506</v>
      </c>
      <c r="K167" t="s">
        <v>507</v>
      </c>
      <c r="L167">
        <v>1348</v>
      </c>
      <c r="N167">
        <v>1009</v>
      </c>
      <c r="O167" t="s">
        <v>44</v>
      </c>
      <c r="P167" t="s">
        <v>44</v>
      </c>
      <c r="Q167">
        <v>1000</v>
      </c>
      <c r="X167">
        <v>1.2999999999999999E-4</v>
      </c>
      <c r="Y167">
        <v>43768.57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 t="s">
        <v>3</v>
      </c>
      <c r="AG167">
        <v>1.2999999999999999E-4</v>
      </c>
      <c r="AH167">
        <v>2</v>
      </c>
      <c r="AI167">
        <v>56442102</v>
      </c>
      <c r="AJ167">
        <v>179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>
        <f>ROW(Source!A417)</f>
        <v>417</v>
      </c>
      <c r="B168">
        <v>56442108</v>
      </c>
      <c r="C168">
        <v>56442098</v>
      </c>
      <c r="D168">
        <v>52957436</v>
      </c>
      <c r="E168">
        <v>25</v>
      </c>
      <c r="F168">
        <v>1</v>
      </c>
      <c r="G168">
        <v>25</v>
      </c>
      <c r="H168">
        <v>3</v>
      </c>
      <c r="I168" t="s">
        <v>510</v>
      </c>
      <c r="J168" t="s">
        <v>3</v>
      </c>
      <c r="K168" t="s">
        <v>511</v>
      </c>
      <c r="L168">
        <v>1330</v>
      </c>
      <c r="N168">
        <v>1005</v>
      </c>
      <c r="O168" t="s">
        <v>512</v>
      </c>
      <c r="P168" t="s">
        <v>512</v>
      </c>
      <c r="Q168">
        <v>10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t="s">
        <v>3</v>
      </c>
      <c r="AG168">
        <v>0</v>
      </c>
      <c r="AH168">
        <v>3</v>
      </c>
      <c r="AI168">
        <v>-1</v>
      </c>
      <c r="AJ168" t="s">
        <v>3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f>ROW(Source!A419)</f>
        <v>419</v>
      </c>
      <c r="B169">
        <v>56442119</v>
      </c>
      <c r="C169">
        <v>56442110</v>
      </c>
      <c r="D169">
        <v>52956643</v>
      </c>
      <c r="E169">
        <v>25</v>
      </c>
      <c r="F169">
        <v>1</v>
      </c>
      <c r="G169">
        <v>25</v>
      </c>
      <c r="H169">
        <v>1</v>
      </c>
      <c r="I169" t="s">
        <v>348</v>
      </c>
      <c r="J169" t="s">
        <v>3</v>
      </c>
      <c r="K169" t="s">
        <v>349</v>
      </c>
      <c r="L169">
        <v>1191</v>
      </c>
      <c r="N169">
        <v>1013</v>
      </c>
      <c r="O169" t="s">
        <v>350</v>
      </c>
      <c r="P169" t="s">
        <v>350</v>
      </c>
      <c r="Q169">
        <v>1</v>
      </c>
      <c r="X169">
        <v>16.559999999999999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 t="s">
        <v>3</v>
      </c>
      <c r="AG169">
        <v>16.559999999999999</v>
      </c>
      <c r="AH169">
        <v>2</v>
      </c>
      <c r="AI169">
        <v>56442111</v>
      </c>
      <c r="AJ169">
        <v>181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f>ROW(Source!A419)</f>
        <v>419</v>
      </c>
      <c r="B170">
        <v>56442120</v>
      </c>
      <c r="C170">
        <v>56442110</v>
      </c>
      <c r="D170">
        <v>52968814</v>
      </c>
      <c r="E170">
        <v>1</v>
      </c>
      <c r="F170">
        <v>1</v>
      </c>
      <c r="G170">
        <v>25</v>
      </c>
      <c r="H170">
        <v>2</v>
      </c>
      <c r="I170" t="s">
        <v>351</v>
      </c>
      <c r="J170" t="s">
        <v>352</v>
      </c>
      <c r="K170" t="s">
        <v>353</v>
      </c>
      <c r="L170">
        <v>1368</v>
      </c>
      <c r="N170">
        <v>1011</v>
      </c>
      <c r="O170" t="s">
        <v>354</v>
      </c>
      <c r="P170" t="s">
        <v>354</v>
      </c>
      <c r="Q170">
        <v>1</v>
      </c>
      <c r="X170">
        <v>2.08</v>
      </c>
      <c r="Y170">
        <v>0</v>
      </c>
      <c r="Z170">
        <v>1159.46</v>
      </c>
      <c r="AA170">
        <v>525.74</v>
      </c>
      <c r="AB170">
        <v>0</v>
      </c>
      <c r="AC170">
        <v>0</v>
      </c>
      <c r="AD170">
        <v>1</v>
      </c>
      <c r="AE170">
        <v>0</v>
      </c>
      <c r="AF170" t="s">
        <v>3</v>
      </c>
      <c r="AG170">
        <v>2.08</v>
      </c>
      <c r="AH170">
        <v>2</v>
      </c>
      <c r="AI170">
        <v>56442112</v>
      </c>
      <c r="AJ170">
        <v>182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f>ROW(Source!A419)</f>
        <v>419</v>
      </c>
      <c r="B171">
        <v>56442121</v>
      </c>
      <c r="C171">
        <v>56442110</v>
      </c>
      <c r="D171">
        <v>52968969</v>
      </c>
      <c r="E171">
        <v>1</v>
      </c>
      <c r="F171">
        <v>1</v>
      </c>
      <c r="G171">
        <v>25</v>
      </c>
      <c r="H171">
        <v>2</v>
      </c>
      <c r="I171" t="s">
        <v>436</v>
      </c>
      <c r="J171" t="s">
        <v>437</v>
      </c>
      <c r="K171" t="s">
        <v>438</v>
      </c>
      <c r="L171">
        <v>1368</v>
      </c>
      <c r="N171">
        <v>1011</v>
      </c>
      <c r="O171" t="s">
        <v>354</v>
      </c>
      <c r="P171" t="s">
        <v>354</v>
      </c>
      <c r="Q171">
        <v>1</v>
      </c>
      <c r="X171">
        <v>2.08</v>
      </c>
      <c r="Y171">
        <v>0</v>
      </c>
      <c r="Z171">
        <v>416.25</v>
      </c>
      <c r="AA171">
        <v>204.9</v>
      </c>
      <c r="AB171">
        <v>0</v>
      </c>
      <c r="AC171">
        <v>0</v>
      </c>
      <c r="AD171">
        <v>1</v>
      </c>
      <c r="AE171">
        <v>0</v>
      </c>
      <c r="AF171" t="s">
        <v>3</v>
      </c>
      <c r="AG171">
        <v>2.08</v>
      </c>
      <c r="AH171">
        <v>2</v>
      </c>
      <c r="AI171">
        <v>56442113</v>
      </c>
      <c r="AJ171">
        <v>183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f>ROW(Source!A419)</f>
        <v>419</v>
      </c>
      <c r="B172">
        <v>56442122</v>
      </c>
      <c r="C172">
        <v>56442110</v>
      </c>
      <c r="D172">
        <v>52968972</v>
      </c>
      <c r="E172">
        <v>1</v>
      </c>
      <c r="F172">
        <v>1</v>
      </c>
      <c r="G172">
        <v>25</v>
      </c>
      <c r="H172">
        <v>2</v>
      </c>
      <c r="I172" t="s">
        <v>439</v>
      </c>
      <c r="J172" t="s">
        <v>440</v>
      </c>
      <c r="K172" t="s">
        <v>441</v>
      </c>
      <c r="L172">
        <v>1368</v>
      </c>
      <c r="N172">
        <v>1011</v>
      </c>
      <c r="O172" t="s">
        <v>354</v>
      </c>
      <c r="P172" t="s">
        <v>354</v>
      </c>
      <c r="Q172">
        <v>1</v>
      </c>
      <c r="X172">
        <v>0.81</v>
      </c>
      <c r="Y172">
        <v>0</v>
      </c>
      <c r="Z172">
        <v>1942.21</v>
      </c>
      <c r="AA172">
        <v>436.39</v>
      </c>
      <c r="AB172">
        <v>0</v>
      </c>
      <c r="AC172">
        <v>0</v>
      </c>
      <c r="AD172">
        <v>1</v>
      </c>
      <c r="AE172">
        <v>0</v>
      </c>
      <c r="AF172" t="s">
        <v>3</v>
      </c>
      <c r="AG172">
        <v>0.81</v>
      </c>
      <c r="AH172">
        <v>2</v>
      </c>
      <c r="AI172">
        <v>56442114</v>
      </c>
      <c r="AJ172">
        <v>184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f>ROW(Source!A419)</f>
        <v>419</v>
      </c>
      <c r="B173">
        <v>56442123</v>
      </c>
      <c r="C173">
        <v>56442110</v>
      </c>
      <c r="D173">
        <v>52968996</v>
      </c>
      <c r="E173">
        <v>1</v>
      </c>
      <c r="F173">
        <v>1</v>
      </c>
      <c r="G173">
        <v>25</v>
      </c>
      <c r="H173">
        <v>2</v>
      </c>
      <c r="I173" t="s">
        <v>442</v>
      </c>
      <c r="J173" t="s">
        <v>443</v>
      </c>
      <c r="K173" t="s">
        <v>444</v>
      </c>
      <c r="L173">
        <v>1368</v>
      </c>
      <c r="N173">
        <v>1011</v>
      </c>
      <c r="O173" t="s">
        <v>354</v>
      </c>
      <c r="P173" t="s">
        <v>354</v>
      </c>
      <c r="Q173">
        <v>1</v>
      </c>
      <c r="X173">
        <v>1.94</v>
      </c>
      <c r="Y173">
        <v>0</v>
      </c>
      <c r="Z173">
        <v>1364.77</v>
      </c>
      <c r="AA173">
        <v>610.30999999999995</v>
      </c>
      <c r="AB173">
        <v>0</v>
      </c>
      <c r="AC173">
        <v>0</v>
      </c>
      <c r="AD173">
        <v>1</v>
      </c>
      <c r="AE173">
        <v>0</v>
      </c>
      <c r="AF173" t="s">
        <v>3</v>
      </c>
      <c r="AG173">
        <v>1.94</v>
      </c>
      <c r="AH173">
        <v>2</v>
      </c>
      <c r="AI173">
        <v>56442115</v>
      </c>
      <c r="AJ173">
        <v>185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f>ROW(Source!A419)</f>
        <v>419</v>
      </c>
      <c r="B174">
        <v>56442124</v>
      </c>
      <c r="C174">
        <v>56442110</v>
      </c>
      <c r="D174">
        <v>52968962</v>
      </c>
      <c r="E174">
        <v>1</v>
      </c>
      <c r="F174">
        <v>1</v>
      </c>
      <c r="G174">
        <v>25</v>
      </c>
      <c r="H174">
        <v>2</v>
      </c>
      <c r="I174" t="s">
        <v>445</v>
      </c>
      <c r="J174" t="s">
        <v>446</v>
      </c>
      <c r="K174" t="s">
        <v>447</v>
      </c>
      <c r="L174">
        <v>1368</v>
      </c>
      <c r="N174">
        <v>1011</v>
      </c>
      <c r="O174" t="s">
        <v>354</v>
      </c>
      <c r="P174" t="s">
        <v>354</v>
      </c>
      <c r="Q174">
        <v>1</v>
      </c>
      <c r="X174">
        <v>0.65</v>
      </c>
      <c r="Y174">
        <v>0</v>
      </c>
      <c r="Z174">
        <v>1179.56</v>
      </c>
      <c r="AA174">
        <v>439.28</v>
      </c>
      <c r="AB174">
        <v>0</v>
      </c>
      <c r="AC174">
        <v>0</v>
      </c>
      <c r="AD174">
        <v>1</v>
      </c>
      <c r="AE174">
        <v>0</v>
      </c>
      <c r="AF174" t="s">
        <v>3</v>
      </c>
      <c r="AG174">
        <v>0.65</v>
      </c>
      <c r="AH174">
        <v>2</v>
      </c>
      <c r="AI174">
        <v>56442116</v>
      </c>
      <c r="AJ174">
        <v>186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f>ROW(Source!A419)</f>
        <v>419</v>
      </c>
      <c r="B175">
        <v>56442125</v>
      </c>
      <c r="C175">
        <v>56442110</v>
      </c>
      <c r="D175">
        <v>52970911</v>
      </c>
      <c r="E175">
        <v>1</v>
      </c>
      <c r="F175">
        <v>1</v>
      </c>
      <c r="G175">
        <v>25</v>
      </c>
      <c r="H175">
        <v>3</v>
      </c>
      <c r="I175" t="s">
        <v>448</v>
      </c>
      <c r="J175" t="s">
        <v>449</v>
      </c>
      <c r="K175" t="s">
        <v>450</v>
      </c>
      <c r="L175">
        <v>1339</v>
      </c>
      <c r="N175">
        <v>1007</v>
      </c>
      <c r="O175" t="s">
        <v>26</v>
      </c>
      <c r="P175" t="s">
        <v>26</v>
      </c>
      <c r="Q175">
        <v>1</v>
      </c>
      <c r="X175">
        <v>110</v>
      </c>
      <c r="Y175">
        <v>590.78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 t="s">
        <v>3</v>
      </c>
      <c r="AG175">
        <v>110</v>
      </c>
      <c r="AH175">
        <v>2</v>
      </c>
      <c r="AI175">
        <v>56442117</v>
      </c>
      <c r="AJ175">
        <v>187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f>ROW(Source!A419)</f>
        <v>419</v>
      </c>
      <c r="B176">
        <v>56442126</v>
      </c>
      <c r="C176">
        <v>56442110</v>
      </c>
      <c r="D176">
        <v>52971654</v>
      </c>
      <c r="E176">
        <v>1</v>
      </c>
      <c r="F176">
        <v>1</v>
      </c>
      <c r="G176">
        <v>25</v>
      </c>
      <c r="H176">
        <v>3</v>
      </c>
      <c r="I176" t="s">
        <v>367</v>
      </c>
      <c r="J176" t="s">
        <v>368</v>
      </c>
      <c r="K176" t="s">
        <v>369</v>
      </c>
      <c r="L176">
        <v>1339</v>
      </c>
      <c r="N176">
        <v>1007</v>
      </c>
      <c r="O176" t="s">
        <v>26</v>
      </c>
      <c r="P176" t="s">
        <v>26</v>
      </c>
      <c r="Q176">
        <v>1</v>
      </c>
      <c r="X176">
        <v>5</v>
      </c>
      <c r="Y176">
        <v>33.729999999999997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 t="s">
        <v>3</v>
      </c>
      <c r="AG176">
        <v>5</v>
      </c>
      <c r="AH176">
        <v>2</v>
      </c>
      <c r="AI176">
        <v>56442118</v>
      </c>
      <c r="AJ176">
        <v>188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f>ROW(Source!A420)</f>
        <v>420</v>
      </c>
      <c r="B177">
        <v>56442138</v>
      </c>
      <c r="C177">
        <v>56442127</v>
      </c>
      <c r="D177">
        <v>52956643</v>
      </c>
      <c r="E177">
        <v>25</v>
      </c>
      <c r="F177">
        <v>1</v>
      </c>
      <c r="G177">
        <v>25</v>
      </c>
      <c r="H177">
        <v>1</v>
      </c>
      <c r="I177" t="s">
        <v>348</v>
      </c>
      <c r="J177" t="s">
        <v>3</v>
      </c>
      <c r="K177" t="s">
        <v>349</v>
      </c>
      <c r="L177">
        <v>1191</v>
      </c>
      <c r="N177">
        <v>1013</v>
      </c>
      <c r="O177" t="s">
        <v>350</v>
      </c>
      <c r="P177" t="s">
        <v>350</v>
      </c>
      <c r="Q177">
        <v>1</v>
      </c>
      <c r="X177">
        <v>24.84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1</v>
      </c>
      <c r="AF177" t="s">
        <v>3</v>
      </c>
      <c r="AG177">
        <v>24.84</v>
      </c>
      <c r="AH177">
        <v>2</v>
      </c>
      <c r="AI177">
        <v>56442128</v>
      </c>
      <c r="AJ177">
        <v>189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f>ROW(Source!A420)</f>
        <v>420</v>
      </c>
      <c r="B178">
        <v>56442139</v>
      </c>
      <c r="C178">
        <v>56442127</v>
      </c>
      <c r="D178">
        <v>52968791</v>
      </c>
      <c r="E178">
        <v>1</v>
      </c>
      <c r="F178">
        <v>1</v>
      </c>
      <c r="G178">
        <v>25</v>
      </c>
      <c r="H178">
        <v>2</v>
      </c>
      <c r="I178" t="s">
        <v>451</v>
      </c>
      <c r="J178" t="s">
        <v>452</v>
      </c>
      <c r="K178" t="s">
        <v>453</v>
      </c>
      <c r="L178">
        <v>1368</v>
      </c>
      <c r="N178">
        <v>1011</v>
      </c>
      <c r="O178" t="s">
        <v>354</v>
      </c>
      <c r="P178" t="s">
        <v>354</v>
      </c>
      <c r="Q178">
        <v>1</v>
      </c>
      <c r="X178">
        <v>2.94</v>
      </c>
      <c r="Y178">
        <v>0</v>
      </c>
      <c r="Z178">
        <v>923.83</v>
      </c>
      <c r="AA178">
        <v>342.06</v>
      </c>
      <c r="AB178">
        <v>0</v>
      </c>
      <c r="AC178">
        <v>0</v>
      </c>
      <c r="AD178">
        <v>1</v>
      </c>
      <c r="AE178">
        <v>0</v>
      </c>
      <c r="AF178" t="s">
        <v>3</v>
      </c>
      <c r="AG178">
        <v>2.94</v>
      </c>
      <c r="AH178">
        <v>2</v>
      </c>
      <c r="AI178">
        <v>56442129</v>
      </c>
      <c r="AJ178">
        <v>190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f>ROW(Source!A420)</f>
        <v>420</v>
      </c>
      <c r="B179">
        <v>56442140</v>
      </c>
      <c r="C179">
        <v>56442127</v>
      </c>
      <c r="D179">
        <v>52968972</v>
      </c>
      <c r="E179">
        <v>1</v>
      </c>
      <c r="F179">
        <v>1</v>
      </c>
      <c r="G179">
        <v>25</v>
      </c>
      <c r="H179">
        <v>2</v>
      </c>
      <c r="I179" t="s">
        <v>439</v>
      </c>
      <c r="J179" t="s">
        <v>440</v>
      </c>
      <c r="K179" t="s">
        <v>441</v>
      </c>
      <c r="L179">
        <v>1368</v>
      </c>
      <c r="N179">
        <v>1011</v>
      </c>
      <c r="O179" t="s">
        <v>354</v>
      </c>
      <c r="P179" t="s">
        <v>354</v>
      </c>
      <c r="Q179">
        <v>1</v>
      </c>
      <c r="X179">
        <v>1.1399999999999999</v>
      </c>
      <c r="Y179">
        <v>0</v>
      </c>
      <c r="Z179">
        <v>1942.21</v>
      </c>
      <c r="AA179">
        <v>436.39</v>
      </c>
      <c r="AB179">
        <v>0</v>
      </c>
      <c r="AC179">
        <v>0</v>
      </c>
      <c r="AD179">
        <v>1</v>
      </c>
      <c r="AE179">
        <v>0</v>
      </c>
      <c r="AF179" t="s">
        <v>3</v>
      </c>
      <c r="AG179">
        <v>1.1399999999999999</v>
      </c>
      <c r="AH179">
        <v>2</v>
      </c>
      <c r="AI179">
        <v>56442130</v>
      </c>
      <c r="AJ179">
        <v>191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f>ROW(Source!A420)</f>
        <v>420</v>
      </c>
      <c r="B180">
        <v>56442141</v>
      </c>
      <c r="C180">
        <v>56442127</v>
      </c>
      <c r="D180">
        <v>52968957</v>
      </c>
      <c r="E180">
        <v>1</v>
      </c>
      <c r="F180">
        <v>1</v>
      </c>
      <c r="G180">
        <v>25</v>
      </c>
      <c r="H180">
        <v>2</v>
      </c>
      <c r="I180" t="s">
        <v>358</v>
      </c>
      <c r="J180" t="s">
        <v>359</v>
      </c>
      <c r="K180" t="s">
        <v>360</v>
      </c>
      <c r="L180">
        <v>1368</v>
      </c>
      <c r="N180">
        <v>1011</v>
      </c>
      <c r="O180" t="s">
        <v>354</v>
      </c>
      <c r="P180" t="s">
        <v>354</v>
      </c>
      <c r="Q180">
        <v>1</v>
      </c>
      <c r="X180">
        <v>8.9600000000000009</v>
      </c>
      <c r="Y180">
        <v>0</v>
      </c>
      <c r="Z180">
        <v>1207.81</v>
      </c>
      <c r="AA180">
        <v>504.4</v>
      </c>
      <c r="AB180">
        <v>0</v>
      </c>
      <c r="AC180">
        <v>0</v>
      </c>
      <c r="AD180">
        <v>1</v>
      </c>
      <c r="AE180">
        <v>0</v>
      </c>
      <c r="AF180" t="s">
        <v>3</v>
      </c>
      <c r="AG180">
        <v>8.9600000000000009</v>
      </c>
      <c r="AH180">
        <v>2</v>
      </c>
      <c r="AI180">
        <v>56442131</v>
      </c>
      <c r="AJ180">
        <v>192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f>ROW(Source!A420)</f>
        <v>420</v>
      </c>
      <c r="B181">
        <v>56442142</v>
      </c>
      <c r="C181">
        <v>56442127</v>
      </c>
      <c r="D181">
        <v>52968958</v>
      </c>
      <c r="E181">
        <v>1</v>
      </c>
      <c r="F181">
        <v>1</v>
      </c>
      <c r="G181">
        <v>25</v>
      </c>
      <c r="H181">
        <v>2</v>
      </c>
      <c r="I181" t="s">
        <v>361</v>
      </c>
      <c r="J181" t="s">
        <v>362</v>
      </c>
      <c r="K181" t="s">
        <v>363</v>
      </c>
      <c r="L181">
        <v>1368</v>
      </c>
      <c r="N181">
        <v>1011</v>
      </c>
      <c r="O181" t="s">
        <v>354</v>
      </c>
      <c r="P181" t="s">
        <v>354</v>
      </c>
      <c r="Q181">
        <v>1</v>
      </c>
      <c r="X181">
        <v>18.25</v>
      </c>
      <c r="Y181">
        <v>0</v>
      </c>
      <c r="Z181">
        <v>1741.23</v>
      </c>
      <c r="AA181">
        <v>685.71</v>
      </c>
      <c r="AB181">
        <v>0</v>
      </c>
      <c r="AC181">
        <v>0</v>
      </c>
      <c r="AD181">
        <v>1</v>
      </c>
      <c r="AE181">
        <v>0</v>
      </c>
      <c r="AF181" t="s">
        <v>3</v>
      </c>
      <c r="AG181">
        <v>18.25</v>
      </c>
      <c r="AH181">
        <v>2</v>
      </c>
      <c r="AI181">
        <v>56442132</v>
      </c>
      <c r="AJ181">
        <v>193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f>ROW(Source!A420)</f>
        <v>420</v>
      </c>
      <c r="B182">
        <v>56442143</v>
      </c>
      <c r="C182">
        <v>56442127</v>
      </c>
      <c r="D182">
        <v>52968996</v>
      </c>
      <c r="E182">
        <v>1</v>
      </c>
      <c r="F182">
        <v>1</v>
      </c>
      <c r="G182">
        <v>25</v>
      </c>
      <c r="H182">
        <v>2</v>
      </c>
      <c r="I182" t="s">
        <v>442</v>
      </c>
      <c r="J182" t="s">
        <v>443</v>
      </c>
      <c r="K182" t="s">
        <v>444</v>
      </c>
      <c r="L182">
        <v>1368</v>
      </c>
      <c r="N182">
        <v>1011</v>
      </c>
      <c r="O182" t="s">
        <v>354</v>
      </c>
      <c r="P182" t="s">
        <v>354</v>
      </c>
      <c r="Q182">
        <v>1</v>
      </c>
      <c r="X182">
        <v>2.2400000000000002</v>
      </c>
      <c r="Y182">
        <v>0</v>
      </c>
      <c r="Z182">
        <v>1364.77</v>
      </c>
      <c r="AA182">
        <v>610.30999999999995</v>
      </c>
      <c r="AB182">
        <v>0</v>
      </c>
      <c r="AC182">
        <v>0</v>
      </c>
      <c r="AD182">
        <v>1</v>
      </c>
      <c r="AE182">
        <v>0</v>
      </c>
      <c r="AF182" t="s">
        <v>3</v>
      </c>
      <c r="AG182">
        <v>2.2400000000000002</v>
      </c>
      <c r="AH182">
        <v>2</v>
      </c>
      <c r="AI182">
        <v>56442133</v>
      </c>
      <c r="AJ182">
        <v>194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f>ROW(Source!A420)</f>
        <v>420</v>
      </c>
      <c r="B183">
        <v>56442144</v>
      </c>
      <c r="C183">
        <v>56442127</v>
      </c>
      <c r="D183">
        <v>52968962</v>
      </c>
      <c r="E183">
        <v>1</v>
      </c>
      <c r="F183">
        <v>1</v>
      </c>
      <c r="G183">
        <v>25</v>
      </c>
      <c r="H183">
        <v>2</v>
      </c>
      <c r="I183" t="s">
        <v>445</v>
      </c>
      <c r="J183" t="s">
        <v>446</v>
      </c>
      <c r="K183" t="s">
        <v>447</v>
      </c>
      <c r="L183">
        <v>1368</v>
      </c>
      <c r="N183">
        <v>1011</v>
      </c>
      <c r="O183" t="s">
        <v>354</v>
      </c>
      <c r="P183" t="s">
        <v>354</v>
      </c>
      <c r="Q183">
        <v>1</v>
      </c>
      <c r="X183">
        <v>0.65</v>
      </c>
      <c r="Y183">
        <v>0</v>
      </c>
      <c r="Z183">
        <v>1179.56</v>
      </c>
      <c r="AA183">
        <v>439.28</v>
      </c>
      <c r="AB183">
        <v>0</v>
      </c>
      <c r="AC183">
        <v>0</v>
      </c>
      <c r="AD183">
        <v>1</v>
      </c>
      <c r="AE183">
        <v>0</v>
      </c>
      <c r="AF183" t="s">
        <v>3</v>
      </c>
      <c r="AG183">
        <v>0.65</v>
      </c>
      <c r="AH183">
        <v>2</v>
      </c>
      <c r="AI183">
        <v>56442134</v>
      </c>
      <c r="AJ183">
        <v>195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f>ROW(Source!A420)</f>
        <v>420</v>
      </c>
      <c r="B184">
        <v>56442145</v>
      </c>
      <c r="C184">
        <v>56442127</v>
      </c>
      <c r="D184">
        <v>52970937</v>
      </c>
      <c r="E184">
        <v>1</v>
      </c>
      <c r="F184">
        <v>1</v>
      </c>
      <c r="G184">
        <v>25</v>
      </c>
      <c r="H184">
        <v>3</v>
      </c>
      <c r="I184" t="s">
        <v>29</v>
      </c>
      <c r="J184" t="s">
        <v>31</v>
      </c>
      <c r="K184" t="s">
        <v>30</v>
      </c>
      <c r="L184">
        <v>1339</v>
      </c>
      <c r="N184">
        <v>1007</v>
      </c>
      <c r="O184" t="s">
        <v>26</v>
      </c>
      <c r="P184" t="s">
        <v>26</v>
      </c>
      <c r="Q184">
        <v>1</v>
      </c>
      <c r="X184">
        <v>126</v>
      </c>
      <c r="Y184">
        <v>1806.27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 t="s">
        <v>3</v>
      </c>
      <c r="AG184">
        <v>126</v>
      </c>
      <c r="AH184">
        <v>2</v>
      </c>
      <c r="AI184">
        <v>56442135</v>
      </c>
      <c r="AJ184">
        <v>197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f>ROW(Source!A420)</f>
        <v>420</v>
      </c>
      <c r="B185">
        <v>56442146</v>
      </c>
      <c r="C185">
        <v>56442127</v>
      </c>
      <c r="D185">
        <v>52971654</v>
      </c>
      <c r="E185">
        <v>1</v>
      </c>
      <c r="F185">
        <v>1</v>
      </c>
      <c r="G185">
        <v>25</v>
      </c>
      <c r="H185">
        <v>3</v>
      </c>
      <c r="I185" t="s">
        <v>367</v>
      </c>
      <c r="J185" t="s">
        <v>368</v>
      </c>
      <c r="K185" t="s">
        <v>369</v>
      </c>
      <c r="L185">
        <v>1339</v>
      </c>
      <c r="N185">
        <v>1007</v>
      </c>
      <c r="O185" t="s">
        <v>26</v>
      </c>
      <c r="P185" t="s">
        <v>26</v>
      </c>
      <c r="Q185">
        <v>1</v>
      </c>
      <c r="X185">
        <v>7</v>
      </c>
      <c r="Y185">
        <v>33.729999999999997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 t="s">
        <v>3</v>
      </c>
      <c r="AG185">
        <v>7</v>
      </c>
      <c r="AH185">
        <v>2</v>
      </c>
      <c r="AI185">
        <v>56442136</v>
      </c>
      <c r="AJ185">
        <v>198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f>ROW(Source!A423)</f>
        <v>423</v>
      </c>
      <c r="B186">
        <v>56442161</v>
      </c>
      <c r="C186">
        <v>56442149</v>
      </c>
      <c r="D186">
        <v>52956643</v>
      </c>
      <c r="E186">
        <v>25</v>
      </c>
      <c r="F186">
        <v>1</v>
      </c>
      <c r="G186">
        <v>25</v>
      </c>
      <c r="H186">
        <v>1</v>
      </c>
      <c r="I186" t="s">
        <v>348</v>
      </c>
      <c r="J186" t="s">
        <v>3</v>
      </c>
      <c r="K186" t="s">
        <v>349</v>
      </c>
      <c r="L186">
        <v>1191</v>
      </c>
      <c r="N186">
        <v>1013</v>
      </c>
      <c r="O186" t="s">
        <v>350</v>
      </c>
      <c r="P186" t="s">
        <v>350</v>
      </c>
      <c r="Q186">
        <v>1</v>
      </c>
      <c r="X186">
        <v>24.84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 t="s">
        <v>3</v>
      </c>
      <c r="AG186">
        <v>24.84</v>
      </c>
      <c r="AH186">
        <v>2</v>
      </c>
      <c r="AI186">
        <v>56442151</v>
      </c>
      <c r="AJ186">
        <v>199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f>ROW(Source!A423)</f>
        <v>423</v>
      </c>
      <c r="B187">
        <v>56442162</v>
      </c>
      <c r="C187">
        <v>56442149</v>
      </c>
      <c r="D187">
        <v>52968791</v>
      </c>
      <c r="E187">
        <v>1</v>
      </c>
      <c r="F187">
        <v>1</v>
      </c>
      <c r="G187">
        <v>25</v>
      </c>
      <c r="H187">
        <v>2</v>
      </c>
      <c r="I187" t="s">
        <v>451</v>
      </c>
      <c r="J187" t="s">
        <v>452</v>
      </c>
      <c r="K187" t="s">
        <v>453</v>
      </c>
      <c r="L187">
        <v>1368</v>
      </c>
      <c r="N187">
        <v>1011</v>
      </c>
      <c r="O187" t="s">
        <v>354</v>
      </c>
      <c r="P187" t="s">
        <v>354</v>
      </c>
      <c r="Q187">
        <v>1</v>
      </c>
      <c r="X187">
        <v>2.94</v>
      </c>
      <c r="Y187">
        <v>0</v>
      </c>
      <c r="Z187">
        <v>923.83</v>
      </c>
      <c r="AA187">
        <v>342.06</v>
      </c>
      <c r="AB187">
        <v>0</v>
      </c>
      <c r="AC187">
        <v>0</v>
      </c>
      <c r="AD187">
        <v>1</v>
      </c>
      <c r="AE187">
        <v>0</v>
      </c>
      <c r="AF187" t="s">
        <v>3</v>
      </c>
      <c r="AG187">
        <v>2.94</v>
      </c>
      <c r="AH187">
        <v>2</v>
      </c>
      <c r="AI187">
        <v>56442152</v>
      </c>
      <c r="AJ187">
        <v>200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f>ROW(Source!A423)</f>
        <v>423</v>
      </c>
      <c r="B188">
        <v>56442163</v>
      </c>
      <c r="C188">
        <v>56442149</v>
      </c>
      <c r="D188">
        <v>52968972</v>
      </c>
      <c r="E188">
        <v>1</v>
      </c>
      <c r="F188">
        <v>1</v>
      </c>
      <c r="G188">
        <v>25</v>
      </c>
      <c r="H188">
        <v>2</v>
      </c>
      <c r="I188" t="s">
        <v>439</v>
      </c>
      <c r="J188" t="s">
        <v>440</v>
      </c>
      <c r="K188" t="s">
        <v>441</v>
      </c>
      <c r="L188">
        <v>1368</v>
      </c>
      <c r="N188">
        <v>1011</v>
      </c>
      <c r="O188" t="s">
        <v>354</v>
      </c>
      <c r="P188" t="s">
        <v>354</v>
      </c>
      <c r="Q188">
        <v>1</v>
      </c>
      <c r="X188">
        <v>1.1399999999999999</v>
      </c>
      <c r="Y188">
        <v>0</v>
      </c>
      <c r="Z188">
        <v>1942.21</v>
      </c>
      <c r="AA188">
        <v>436.39</v>
      </c>
      <c r="AB188">
        <v>0</v>
      </c>
      <c r="AC188">
        <v>0</v>
      </c>
      <c r="AD188">
        <v>1</v>
      </c>
      <c r="AE188">
        <v>0</v>
      </c>
      <c r="AF188" t="s">
        <v>3</v>
      </c>
      <c r="AG188">
        <v>1.1399999999999999</v>
      </c>
      <c r="AH188">
        <v>2</v>
      </c>
      <c r="AI188">
        <v>56442153</v>
      </c>
      <c r="AJ188">
        <v>201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f>ROW(Source!A423)</f>
        <v>423</v>
      </c>
      <c r="B189">
        <v>56442164</v>
      </c>
      <c r="C189">
        <v>56442149</v>
      </c>
      <c r="D189">
        <v>52968957</v>
      </c>
      <c r="E189">
        <v>1</v>
      </c>
      <c r="F189">
        <v>1</v>
      </c>
      <c r="G189">
        <v>25</v>
      </c>
      <c r="H189">
        <v>2</v>
      </c>
      <c r="I189" t="s">
        <v>358</v>
      </c>
      <c r="J189" t="s">
        <v>359</v>
      </c>
      <c r="K189" t="s">
        <v>360</v>
      </c>
      <c r="L189">
        <v>1368</v>
      </c>
      <c r="N189">
        <v>1011</v>
      </c>
      <c r="O189" t="s">
        <v>354</v>
      </c>
      <c r="P189" t="s">
        <v>354</v>
      </c>
      <c r="Q189">
        <v>1</v>
      </c>
      <c r="X189">
        <v>8.9600000000000009</v>
      </c>
      <c r="Y189">
        <v>0</v>
      </c>
      <c r="Z189">
        <v>1207.81</v>
      </c>
      <c r="AA189">
        <v>504.4</v>
      </c>
      <c r="AB189">
        <v>0</v>
      </c>
      <c r="AC189">
        <v>0</v>
      </c>
      <c r="AD189">
        <v>1</v>
      </c>
      <c r="AE189">
        <v>0</v>
      </c>
      <c r="AF189" t="s">
        <v>3</v>
      </c>
      <c r="AG189">
        <v>8.9600000000000009</v>
      </c>
      <c r="AH189">
        <v>2</v>
      </c>
      <c r="AI189">
        <v>56442154</v>
      </c>
      <c r="AJ189">
        <v>202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f>ROW(Source!A423)</f>
        <v>423</v>
      </c>
      <c r="B190">
        <v>56442165</v>
      </c>
      <c r="C190">
        <v>56442149</v>
      </c>
      <c r="D190">
        <v>52968958</v>
      </c>
      <c r="E190">
        <v>1</v>
      </c>
      <c r="F190">
        <v>1</v>
      </c>
      <c r="G190">
        <v>25</v>
      </c>
      <c r="H190">
        <v>2</v>
      </c>
      <c r="I190" t="s">
        <v>361</v>
      </c>
      <c r="J190" t="s">
        <v>362</v>
      </c>
      <c r="K190" t="s">
        <v>363</v>
      </c>
      <c r="L190">
        <v>1368</v>
      </c>
      <c r="N190">
        <v>1011</v>
      </c>
      <c r="O190" t="s">
        <v>354</v>
      </c>
      <c r="P190" t="s">
        <v>354</v>
      </c>
      <c r="Q190">
        <v>1</v>
      </c>
      <c r="X190">
        <v>18.25</v>
      </c>
      <c r="Y190">
        <v>0</v>
      </c>
      <c r="Z190">
        <v>1741.23</v>
      </c>
      <c r="AA190">
        <v>685.71</v>
      </c>
      <c r="AB190">
        <v>0</v>
      </c>
      <c r="AC190">
        <v>0</v>
      </c>
      <c r="AD190">
        <v>1</v>
      </c>
      <c r="AE190">
        <v>0</v>
      </c>
      <c r="AF190" t="s">
        <v>3</v>
      </c>
      <c r="AG190">
        <v>18.25</v>
      </c>
      <c r="AH190">
        <v>2</v>
      </c>
      <c r="AI190">
        <v>56442155</v>
      </c>
      <c r="AJ190">
        <v>203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f>ROW(Source!A423)</f>
        <v>423</v>
      </c>
      <c r="B191">
        <v>56442166</v>
      </c>
      <c r="C191">
        <v>56442149</v>
      </c>
      <c r="D191">
        <v>52968996</v>
      </c>
      <c r="E191">
        <v>1</v>
      </c>
      <c r="F191">
        <v>1</v>
      </c>
      <c r="G191">
        <v>25</v>
      </c>
      <c r="H191">
        <v>2</v>
      </c>
      <c r="I191" t="s">
        <v>442</v>
      </c>
      <c r="J191" t="s">
        <v>443</v>
      </c>
      <c r="K191" t="s">
        <v>444</v>
      </c>
      <c r="L191">
        <v>1368</v>
      </c>
      <c r="N191">
        <v>1011</v>
      </c>
      <c r="O191" t="s">
        <v>354</v>
      </c>
      <c r="P191" t="s">
        <v>354</v>
      </c>
      <c r="Q191">
        <v>1</v>
      </c>
      <c r="X191">
        <v>2.2400000000000002</v>
      </c>
      <c r="Y191">
        <v>0</v>
      </c>
      <c r="Z191">
        <v>1364.77</v>
      </c>
      <c r="AA191">
        <v>610.30999999999995</v>
      </c>
      <c r="AB191">
        <v>0</v>
      </c>
      <c r="AC191">
        <v>0</v>
      </c>
      <c r="AD191">
        <v>1</v>
      </c>
      <c r="AE191">
        <v>0</v>
      </c>
      <c r="AF191" t="s">
        <v>3</v>
      </c>
      <c r="AG191">
        <v>2.2400000000000002</v>
      </c>
      <c r="AH191">
        <v>2</v>
      </c>
      <c r="AI191">
        <v>56442156</v>
      </c>
      <c r="AJ191">
        <v>204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f>ROW(Source!A423)</f>
        <v>423</v>
      </c>
      <c r="B192">
        <v>56442167</v>
      </c>
      <c r="C192">
        <v>56442149</v>
      </c>
      <c r="D192">
        <v>52968962</v>
      </c>
      <c r="E192">
        <v>1</v>
      </c>
      <c r="F192">
        <v>1</v>
      </c>
      <c r="G192">
        <v>25</v>
      </c>
      <c r="H192">
        <v>2</v>
      </c>
      <c r="I192" t="s">
        <v>445</v>
      </c>
      <c r="J192" t="s">
        <v>446</v>
      </c>
      <c r="K192" t="s">
        <v>447</v>
      </c>
      <c r="L192">
        <v>1368</v>
      </c>
      <c r="N192">
        <v>1011</v>
      </c>
      <c r="O192" t="s">
        <v>354</v>
      </c>
      <c r="P192" t="s">
        <v>354</v>
      </c>
      <c r="Q192">
        <v>1</v>
      </c>
      <c r="X192">
        <v>0.65</v>
      </c>
      <c r="Y192">
        <v>0</v>
      </c>
      <c r="Z192">
        <v>1179.56</v>
      </c>
      <c r="AA192">
        <v>439.28</v>
      </c>
      <c r="AB192">
        <v>0</v>
      </c>
      <c r="AC192">
        <v>0</v>
      </c>
      <c r="AD192">
        <v>1</v>
      </c>
      <c r="AE192">
        <v>0</v>
      </c>
      <c r="AF192" t="s">
        <v>3</v>
      </c>
      <c r="AG192">
        <v>0.65</v>
      </c>
      <c r="AH192">
        <v>2</v>
      </c>
      <c r="AI192">
        <v>56442157</v>
      </c>
      <c r="AJ192">
        <v>205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f>ROW(Source!A423)</f>
        <v>423</v>
      </c>
      <c r="B193">
        <v>56442168</v>
      </c>
      <c r="C193">
        <v>56442149</v>
      </c>
      <c r="D193">
        <v>52970937</v>
      </c>
      <c r="E193">
        <v>1</v>
      </c>
      <c r="F193">
        <v>1</v>
      </c>
      <c r="G193">
        <v>25</v>
      </c>
      <c r="H193">
        <v>3</v>
      </c>
      <c r="I193" t="s">
        <v>29</v>
      </c>
      <c r="J193" t="s">
        <v>31</v>
      </c>
      <c r="K193" t="s">
        <v>30</v>
      </c>
      <c r="L193">
        <v>1339</v>
      </c>
      <c r="N193">
        <v>1007</v>
      </c>
      <c r="O193" t="s">
        <v>26</v>
      </c>
      <c r="P193" t="s">
        <v>26</v>
      </c>
      <c r="Q193">
        <v>1</v>
      </c>
      <c r="X193">
        <v>126</v>
      </c>
      <c r="Y193">
        <v>1806.27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 t="s">
        <v>3</v>
      </c>
      <c r="AG193">
        <v>126</v>
      </c>
      <c r="AH193">
        <v>2</v>
      </c>
      <c r="AI193">
        <v>56442158</v>
      </c>
      <c r="AJ193">
        <v>207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f>ROW(Source!A423)</f>
        <v>423</v>
      </c>
      <c r="B194">
        <v>56442169</v>
      </c>
      <c r="C194">
        <v>56442149</v>
      </c>
      <c r="D194">
        <v>52971654</v>
      </c>
      <c r="E194">
        <v>1</v>
      </c>
      <c r="F194">
        <v>1</v>
      </c>
      <c r="G194">
        <v>25</v>
      </c>
      <c r="H194">
        <v>3</v>
      </c>
      <c r="I194" t="s">
        <v>367</v>
      </c>
      <c r="J194" t="s">
        <v>368</v>
      </c>
      <c r="K194" t="s">
        <v>369</v>
      </c>
      <c r="L194">
        <v>1339</v>
      </c>
      <c r="N194">
        <v>1007</v>
      </c>
      <c r="O194" t="s">
        <v>26</v>
      </c>
      <c r="P194" t="s">
        <v>26</v>
      </c>
      <c r="Q194">
        <v>1</v>
      </c>
      <c r="X194">
        <v>7</v>
      </c>
      <c r="Y194">
        <v>33.729999999999997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 t="s">
        <v>3</v>
      </c>
      <c r="AG194">
        <v>7</v>
      </c>
      <c r="AH194">
        <v>2</v>
      </c>
      <c r="AI194">
        <v>56442159</v>
      </c>
      <c r="AJ194">
        <v>208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f>ROW(Source!A426)</f>
        <v>426</v>
      </c>
      <c r="B195">
        <v>56442179</v>
      </c>
      <c r="C195">
        <v>56442173</v>
      </c>
      <c r="D195">
        <v>52956643</v>
      </c>
      <c r="E195">
        <v>25</v>
      </c>
      <c r="F195">
        <v>1</v>
      </c>
      <c r="G195">
        <v>25</v>
      </c>
      <c r="H195">
        <v>1</v>
      </c>
      <c r="I195" t="s">
        <v>348</v>
      </c>
      <c r="J195" t="s">
        <v>3</v>
      </c>
      <c r="K195" t="s">
        <v>349</v>
      </c>
      <c r="L195">
        <v>1191</v>
      </c>
      <c r="N195">
        <v>1013</v>
      </c>
      <c r="O195" t="s">
        <v>350</v>
      </c>
      <c r="P195" t="s">
        <v>350</v>
      </c>
      <c r="Q195">
        <v>1</v>
      </c>
      <c r="X195">
        <v>13.57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1</v>
      </c>
      <c r="AF195" t="s">
        <v>3</v>
      </c>
      <c r="AG195">
        <v>13.57</v>
      </c>
      <c r="AH195">
        <v>2</v>
      </c>
      <c r="AI195">
        <v>56442174</v>
      </c>
      <c r="AJ195">
        <v>209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f>ROW(Source!A426)</f>
        <v>426</v>
      </c>
      <c r="B196">
        <v>56442180</v>
      </c>
      <c r="C196">
        <v>56442173</v>
      </c>
      <c r="D196">
        <v>52968959</v>
      </c>
      <c r="E196">
        <v>1</v>
      </c>
      <c r="F196">
        <v>1</v>
      </c>
      <c r="G196">
        <v>25</v>
      </c>
      <c r="H196">
        <v>2</v>
      </c>
      <c r="I196" t="s">
        <v>370</v>
      </c>
      <c r="J196" t="s">
        <v>371</v>
      </c>
      <c r="K196" t="s">
        <v>372</v>
      </c>
      <c r="L196">
        <v>1368</v>
      </c>
      <c r="N196">
        <v>1011</v>
      </c>
      <c r="O196" t="s">
        <v>354</v>
      </c>
      <c r="P196" t="s">
        <v>354</v>
      </c>
      <c r="Q196">
        <v>1</v>
      </c>
      <c r="X196">
        <v>0.46</v>
      </c>
      <c r="Y196">
        <v>0</v>
      </c>
      <c r="Z196">
        <v>790.63</v>
      </c>
      <c r="AA196">
        <v>491.94</v>
      </c>
      <c r="AB196">
        <v>0</v>
      </c>
      <c r="AC196">
        <v>0</v>
      </c>
      <c r="AD196">
        <v>1</v>
      </c>
      <c r="AE196">
        <v>0</v>
      </c>
      <c r="AF196" t="s">
        <v>3</v>
      </c>
      <c r="AG196">
        <v>0.46</v>
      </c>
      <c r="AH196">
        <v>2</v>
      </c>
      <c r="AI196">
        <v>56442175</v>
      </c>
      <c r="AJ196">
        <v>210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f>ROW(Source!A426)</f>
        <v>426</v>
      </c>
      <c r="B197">
        <v>56442181</v>
      </c>
      <c r="C197">
        <v>56442173</v>
      </c>
      <c r="D197">
        <v>52968960</v>
      </c>
      <c r="E197">
        <v>1</v>
      </c>
      <c r="F197">
        <v>1</v>
      </c>
      <c r="G197">
        <v>25</v>
      </c>
      <c r="H197">
        <v>2</v>
      </c>
      <c r="I197" t="s">
        <v>373</v>
      </c>
      <c r="J197" t="s">
        <v>374</v>
      </c>
      <c r="K197" t="s">
        <v>375</v>
      </c>
      <c r="L197">
        <v>1368</v>
      </c>
      <c r="N197">
        <v>1011</v>
      </c>
      <c r="O197" t="s">
        <v>354</v>
      </c>
      <c r="P197" t="s">
        <v>354</v>
      </c>
      <c r="Q197">
        <v>1</v>
      </c>
      <c r="X197">
        <v>1.39</v>
      </c>
      <c r="Y197">
        <v>0</v>
      </c>
      <c r="Z197">
        <v>845.77</v>
      </c>
      <c r="AA197">
        <v>508.2</v>
      </c>
      <c r="AB197">
        <v>0</v>
      </c>
      <c r="AC197">
        <v>0</v>
      </c>
      <c r="AD197">
        <v>1</v>
      </c>
      <c r="AE197">
        <v>0</v>
      </c>
      <c r="AF197" t="s">
        <v>3</v>
      </c>
      <c r="AG197">
        <v>1.39</v>
      </c>
      <c r="AH197">
        <v>2</v>
      </c>
      <c r="AI197">
        <v>56442176</v>
      </c>
      <c r="AJ197">
        <v>211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f>ROW(Source!A426)</f>
        <v>426</v>
      </c>
      <c r="B198">
        <v>56442182</v>
      </c>
      <c r="C198">
        <v>56442173</v>
      </c>
      <c r="D198">
        <v>52972806</v>
      </c>
      <c r="E198">
        <v>1</v>
      </c>
      <c r="F198">
        <v>1</v>
      </c>
      <c r="G198">
        <v>25</v>
      </c>
      <c r="H198">
        <v>3</v>
      </c>
      <c r="I198" t="s">
        <v>42</v>
      </c>
      <c r="J198" t="s">
        <v>45</v>
      </c>
      <c r="K198" t="s">
        <v>43</v>
      </c>
      <c r="L198">
        <v>1348</v>
      </c>
      <c r="N198">
        <v>1009</v>
      </c>
      <c r="O198" t="s">
        <v>44</v>
      </c>
      <c r="P198" t="s">
        <v>44</v>
      </c>
      <c r="Q198">
        <v>1000</v>
      </c>
      <c r="X198">
        <v>9.58</v>
      </c>
      <c r="Y198">
        <v>2727.65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 t="s">
        <v>3</v>
      </c>
      <c r="AG198">
        <v>9.58</v>
      </c>
      <c r="AH198">
        <v>2</v>
      </c>
      <c r="AI198">
        <v>56442177</v>
      </c>
      <c r="AJ198">
        <v>212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f>ROW(Source!A464)</f>
        <v>464</v>
      </c>
      <c r="B199">
        <v>56442196</v>
      </c>
      <c r="C199">
        <v>56442185</v>
      </c>
      <c r="D199">
        <v>52956643</v>
      </c>
      <c r="E199">
        <v>25</v>
      </c>
      <c r="F199">
        <v>1</v>
      </c>
      <c r="G199">
        <v>25</v>
      </c>
      <c r="H199">
        <v>1</v>
      </c>
      <c r="I199" t="s">
        <v>348</v>
      </c>
      <c r="J199" t="s">
        <v>3</v>
      </c>
      <c r="K199" t="s">
        <v>349</v>
      </c>
      <c r="L199">
        <v>1191</v>
      </c>
      <c r="N199">
        <v>1013</v>
      </c>
      <c r="O199" t="s">
        <v>350</v>
      </c>
      <c r="P199" t="s">
        <v>350</v>
      </c>
      <c r="Q199">
        <v>1</v>
      </c>
      <c r="X199">
        <v>18.440000000000001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1</v>
      </c>
      <c r="AF199" t="s">
        <v>3</v>
      </c>
      <c r="AG199">
        <v>18.440000000000001</v>
      </c>
      <c r="AH199">
        <v>2</v>
      </c>
      <c r="AI199">
        <v>56442186</v>
      </c>
      <c r="AJ199">
        <v>214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f>ROW(Source!A464)</f>
        <v>464</v>
      </c>
      <c r="B200">
        <v>56442197</v>
      </c>
      <c r="C200">
        <v>56442185</v>
      </c>
      <c r="D200">
        <v>52969457</v>
      </c>
      <c r="E200">
        <v>1</v>
      </c>
      <c r="F200">
        <v>1</v>
      </c>
      <c r="G200">
        <v>25</v>
      </c>
      <c r="H200">
        <v>2</v>
      </c>
      <c r="I200" t="s">
        <v>412</v>
      </c>
      <c r="J200" t="s">
        <v>413</v>
      </c>
      <c r="K200" t="s">
        <v>414</v>
      </c>
      <c r="L200">
        <v>1368</v>
      </c>
      <c r="N200">
        <v>1011</v>
      </c>
      <c r="O200" t="s">
        <v>354</v>
      </c>
      <c r="P200" t="s">
        <v>354</v>
      </c>
      <c r="Q200">
        <v>1</v>
      </c>
      <c r="X200">
        <v>2.64</v>
      </c>
      <c r="Y200">
        <v>0</v>
      </c>
      <c r="Z200">
        <v>508.57</v>
      </c>
      <c r="AA200">
        <v>355.5</v>
      </c>
      <c r="AB200">
        <v>0</v>
      </c>
      <c r="AC200">
        <v>0</v>
      </c>
      <c r="AD200">
        <v>1</v>
      </c>
      <c r="AE200">
        <v>0</v>
      </c>
      <c r="AF200" t="s">
        <v>3</v>
      </c>
      <c r="AG200">
        <v>2.64</v>
      </c>
      <c r="AH200">
        <v>2</v>
      </c>
      <c r="AI200">
        <v>56442187</v>
      </c>
      <c r="AJ200">
        <v>215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f>ROW(Source!A464)</f>
        <v>464</v>
      </c>
      <c r="B201">
        <v>56442198</v>
      </c>
      <c r="C201">
        <v>56442185</v>
      </c>
      <c r="D201">
        <v>52969675</v>
      </c>
      <c r="E201">
        <v>1</v>
      </c>
      <c r="F201">
        <v>1</v>
      </c>
      <c r="G201">
        <v>25</v>
      </c>
      <c r="H201">
        <v>2</v>
      </c>
      <c r="I201" t="s">
        <v>415</v>
      </c>
      <c r="J201" t="s">
        <v>416</v>
      </c>
      <c r="K201" t="s">
        <v>417</v>
      </c>
      <c r="L201">
        <v>1368</v>
      </c>
      <c r="N201">
        <v>1011</v>
      </c>
      <c r="O201" t="s">
        <v>354</v>
      </c>
      <c r="P201" t="s">
        <v>354</v>
      </c>
      <c r="Q201">
        <v>1</v>
      </c>
      <c r="X201">
        <v>1.18</v>
      </c>
      <c r="Y201">
        <v>0</v>
      </c>
      <c r="Z201">
        <v>7.67</v>
      </c>
      <c r="AA201">
        <v>0.93</v>
      </c>
      <c r="AB201">
        <v>0</v>
      </c>
      <c r="AC201">
        <v>0</v>
      </c>
      <c r="AD201">
        <v>1</v>
      </c>
      <c r="AE201">
        <v>0</v>
      </c>
      <c r="AF201" t="s">
        <v>3</v>
      </c>
      <c r="AG201">
        <v>1.18</v>
      </c>
      <c r="AH201">
        <v>2</v>
      </c>
      <c r="AI201">
        <v>56442188</v>
      </c>
      <c r="AJ201">
        <v>216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f>ROW(Source!A464)</f>
        <v>464</v>
      </c>
      <c r="B202">
        <v>56442199</v>
      </c>
      <c r="C202">
        <v>56442185</v>
      </c>
      <c r="D202">
        <v>52968883</v>
      </c>
      <c r="E202">
        <v>1</v>
      </c>
      <c r="F202">
        <v>1</v>
      </c>
      <c r="G202">
        <v>25</v>
      </c>
      <c r="H202">
        <v>2</v>
      </c>
      <c r="I202" t="s">
        <v>418</v>
      </c>
      <c r="J202" t="s">
        <v>419</v>
      </c>
      <c r="K202" t="s">
        <v>420</v>
      </c>
      <c r="L202">
        <v>1368</v>
      </c>
      <c r="N202">
        <v>1011</v>
      </c>
      <c r="O202" t="s">
        <v>354</v>
      </c>
      <c r="P202" t="s">
        <v>354</v>
      </c>
      <c r="Q202">
        <v>1</v>
      </c>
      <c r="X202">
        <v>0.01</v>
      </c>
      <c r="Y202">
        <v>0</v>
      </c>
      <c r="Z202">
        <v>593.01</v>
      </c>
      <c r="AA202">
        <v>486.57</v>
      </c>
      <c r="AB202">
        <v>0</v>
      </c>
      <c r="AC202">
        <v>0</v>
      </c>
      <c r="AD202">
        <v>1</v>
      </c>
      <c r="AE202">
        <v>0</v>
      </c>
      <c r="AF202" t="s">
        <v>3</v>
      </c>
      <c r="AG202">
        <v>0.01</v>
      </c>
      <c r="AH202">
        <v>2</v>
      </c>
      <c r="AI202">
        <v>56442189</v>
      </c>
      <c r="AJ202">
        <v>217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f>ROW(Source!A464)</f>
        <v>464</v>
      </c>
      <c r="B203">
        <v>56442200</v>
      </c>
      <c r="C203">
        <v>56442185</v>
      </c>
      <c r="D203">
        <v>52969067</v>
      </c>
      <c r="E203">
        <v>1</v>
      </c>
      <c r="F203">
        <v>1</v>
      </c>
      <c r="G203">
        <v>25</v>
      </c>
      <c r="H203">
        <v>2</v>
      </c>
      <c r="I203" t="s">
        <v>421</v>
      </c>
      <c r="J203" t="s">
        <v>422</v>
      </c>
      <c r="K203" t="s">
        <v>423</v>
      </c>
      <c r="L203">
        <v>1368</v>
      </c>
      <c r="N203">
        <v>1011</v>
      </c>
      <c r="O203" t="s">
        <v>354</v>
      </c>
      <c r="P203" t="s">
        <v>354</v>
      </c>
      <c r="Q203">
        <v>1</v>
      </c>
      <c r="X203">
        <v>2.64</v>
      </c>
      <c r="Y203">
        <v>0</v>
      </c>
      <c r="Z203">
        <v>434.82</v>
      </c>
      <c r="AA203">
        <v>386.07</v>
      </c>
      <c r="AB203">
        <v>0</v>
      </c>
      <c r="AC203">
        <v>0</v>
      </c>
      <c r="AD203">
        <v>1</v>
      </c>
      <c r="AE203">
        <v>0</v>
      </c>
      <c r="AF203" t="s">
        <v>3</v>
      </c>
      <c r="AG203">
        <v>2.64</v>
      </c>
      <c r="AH203">
        <v>2</v>
      </c>
      <c r="AI203">
        <v>56442190</v>
      </c>
      <c r="AJ203">
        <v>218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>
        <f>ROW(Source!A464)</f>
        <v>464</v>
      </c>
      <c r="B204">
        <v>56442201</v>
      </c>
      <c r="C204">
        <v>56442185</v>
      </c>
      <c r="D204">
        <v>52971875</v>
      </c>
      <c r="E204">
        <v>1</v>
      </c>
      <c r="F204">
        <v>1</v>
      </c>
      <c r="G204">
        <v>25</v>
      </c>
      <c r="H204">
        <v>3</v>
      </c>
      <c r="I204" t="s">
        <v>424</v>
      </c>
      <c r="J204" t="s">
        <v>425</v>
      </c>
      <c r="K204" t="s">
        <v>426</v>
      </c>
      <c r="L204">
        <v>1327</v>
      </c>
      <c r="N204">
        <v>1005</v>
      </c>
      <c r="O204" t="s">
        <v>157</v>
      </c>
      <c r="P204" t="s">
        <v>157</v>
      </c>
      <c r="Q204">
        <v>1</v>
      </c>
      <c r="X204">
        <v>5.6</v>
      </c>
      <c r="Y204">
        <v>12.76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 t="s">
        <v>3</v>
      </c>
      <c r="AG204">
        <v>5.6</v>
      </c>
      <c r="AH204">
        <v>2</v>
      </c>
      <c r="AI204">
        <v>56442191</v>
      </c>
      <c r="AJ204">
        <v>219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>
        <f>ROW(Source!A464)</f>
        <v>464</v>
      </c>
      <c r="B205">
        <v>56442202</v>
      </c>
      <c r="C205">
        <v>56442185</v>
      </c>
      <c r="D205">
        <v>52971962</v>
      </c>
      <c r="E205">
        <v>1</v>
      </c>
      <c r="F205">
        <v>1</v>
      </c>
      <c r="G205">
        <v>25</v>
      </c>
      <c r="H205">
        <v>3</v>
      </c>
      <c r="I205" t="s">
        <v>427</v>
      </c>
      <c r="J205" t="s">
        <v>428</v>
      </c>
      <c r="K205" t="s">
        <v>429</v>
      </c>
      <c r="L205">
        <v>1348</v>
      </c>
      <c r="N205">
        <v>1009</v>
      </c>
      <c r="O205" t="s">
        <v>44</v>
      </c>
      <c r="P205" t="s">
        <v>44</v>
      </c>
      <c r="Q205">
        <v>1000</v>
      </c>
      <c r="X205">
        <v>3.15E-3</v>
      </c>
      <c r="Y205">
        <v>349768.5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 t="s">
        <v>3</v>
      </c>
      <c r="AG205">
        <v>3.15E-3</v>
      </c>
      <c r="AH205">
        <v>2</v>
      </c>
      <c r="AI205">
        <v>56442192</v>
      </c>
      <c r="AJ205">
        <v>220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>
        <f>ROW(Source!A464)</f>
        <v>464</v>
      </c>
      <c r="B206">
        <v>56442203</v>
      </c>
      <c r="C206">
        <v>56442185</v>
      </c>
      <c r="D206">
        <v>52972179</v>
      </c>
      <c r="E206">
        <v>1</v>
      </c>
      <c r="F206">
        <v>1</v>
      </c>
      <c r="G206">
        <v>25</v>
      </c>
      <c r="H206">
        <v>3</v>
      </c>
      <c r="I206" t="s">
        <v>430</v>
      </c>
      <c r="J206" t="s">
        <v>431</v>
      </c>
      <c r="K206" t="s">
        <v>432</v>
      </c>
      <c r="L206">
        <v>1346</v>
      </c>
      <c r="N206">
        <v>1009</v>
      </c>
      <c r="O206" t="s">
        <v>210</v>
      </c>
      <c r="P206" t="s">
        <v>210</v>
      </c>
      <c r="Q206">
        <v>1</v>
      </c>
      <c r="X206">
        <v>735</v>
      </c>
      <c r="Y206">
        <v>18.399999999999999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 t="s">
        <v>3</v>
      </c>
      <c r="AG206">
        <v>735</v>
      </c>
      <c r="AH206">
        <v>2</v>
      </c>
      <c r="AI206">
        <v>56442193</v>
      </c>
      <c r="AJ206">
        <v>221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">
      <c r="A207">
        <f>ROW(Source!A464)</f>
        <v>464</v>
      </c>
      <c r="B207">
        <v>56442204</v>
      </c>
      <c r="C207">
        <v>56442185</v>
      </c>
      <c r="D207">
        <v>52972186</v>
      </c>
      <c r="E207">
        <v>1</v>
      </c>
      <c r="F207">
        <v>1</v>
      </c>
      <c r="G207">
        <v>25</v>
      </c>
      <c r="H207">
        <v>3</v>
      </c>
      <c r="I207" t="s">
        <v>433</v>
      </c>
      <c r="J207" t="s">
        <v>434</v>
      </c>
      <c r="K207" t="s">
        <v>435</v>
      </c>
      <c r="L207">
        <v>1346</v>
      </c>
      <c r="N207">
        <v>1009</v>
      </c>
      <c r="O207" t="s">
        <v>210</v>
      </c>
      <c r="P207" t="s">
        <v>210</v>
      </c>
      <c r="Q207">
        <v>1</v>
      </c>
      <c r="X207">
        <v>241.5</v>
      </c>
      <c r="Y207">
        <v>189.61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 t="s">
        <v>3</v>
      </c>
      <c r="AG207">
        <v>241.5</v>
      </c>
      <c r="AH207">
        <v>2</v>
      </c>
      <c r="AI207">
        <v>56442194</v>
      </c>
      <c r="AJ207">
        <v>222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>
        <f>ROW(Source!A464)</f>
        <v>464</v>
      </c>
      <c r="B208">
        <v>56442205</v>
      </c>
      <c r="C208">
        <v>56442185</v>
      </c>
      <c r="D208">
        <v>52970162</v>
      </c>
      <c r="E208">
        <v>1</v>
      </c>
      <c r="F208">
        <v>1</v>
      </c>
      <c r="G208">
        <v>25</v>
      </c>
      <c r="H208">
        <v>3</v>
      </c>
      <c r="I208" t="s">
        <v>198</v>
      </c>
      <c r="J208" t="s">
        <v>200</v>
      </c>
      <c r="K208" t="s">
        <v>199</v>
      </c>
      <c r="L208">
        <v>1348</v>
      </c>
      <c r="N208">
        <v>1009</v>
      </c>
      <c r="O208" t="s">
        <v>44</v>
      </c>
      <c r="P208" t="s">
        <v>44</v>
      </c>
      <c r="Q208">
        <v>1000</v>
      </c>
      <c r="X208">
        <v>5.2499999999999998E-2</v>
      </c>
      <c r="Y208">
        <v>748288.41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 t="s">
        <v>3</v>
      </c>
      <c r="AG208">
        <v>5.2499999999999998E-2</v>
      </c>
      <c r="AH208">
        <v>2</v>
      </c>
      <c r="AI208">
        <v>56442195</v>
      </c>
      <c r="AJ208">
        <v>223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>
        <f>ROW(Source!A466)</f>
        <v>466</v>
      </c>
      <c r="B209">
        <v>56442215</v>
      </c>
      <c r="C209">
        <v>56442207</v>
      </c>
      <c r="D209">
        <v>52956643</v>
      </c>
      <c r="E209">
        <v>25</v>
      </c>
      <c r="F209">
        <v>1</v>
      </c>
      <c r="G209">
        <v>25</v>
      </c>
      <c r="H209">
        <v>1</v>
      </c>
      <c r="I209" t="s">
        <v>348</v>
      </c>
      <c r="J209" t="s">
        <v>3</v>
      </c>
      <c r="K209" t="s">
        <v>349</v>
      </c>
      <c r="L209">
        <v>1191</v>
      </c>
      <c r="N209">
        <v>1013</v>
      </c>
      <c r="O209" t="s">
        <v>350</v>
      </c>
      <c r="P209" t="s">
        <v>350</v>
      </c>
      <c r="Q209">
        <v>1</v>
      </c>
      <c r="X209">
        <v>2.65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 t="s">
        <v>205</v>
      </c>
      <c r="AG209">
        <v>13.25</v>
      </c>
      <c r="AH209">
        <v>2</v>
      </c>
      <c r="AI209">
        <v>56442208</v>
      </c>
      <c r="AJ209">
        <v>224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>
        <f>ROW(Source!A466)</f>
        <v>466</v>
      </c>
      <c r="B210">
        <v>56442216</v>
      </c>
      <c r="C210">
        <v>56442207</v>
      </c>
      <c r="D210">
        <v>52969457</v>
      </c>
      <c r="E210">
        <v>1</v>
      </c>
      <c r="F210">
        <v>1</v>
      </c>
      <c r="G210">
        <v>25</v>
      </c>
      <c r="H210">
        <v>2</v>
      </c>
      <c r="I210" t="s">
        <v>412</v>
      </c>
      <c r="J210" t="s">
        <v>413</v>
      </c>
      <c r="K210" t="s">
        <v>414</v>
      </c>
      <c r="L210">
        <v>1368</v>
      </c>
      <c r="N210">
        <v>1011</v>
      </c>
      <c r="O210" t="s">
        <v>354</v>
      </c>
      <c r="P210" t="s">
        <v>354</v>
      </c>
      <c r="Q210">
        <v>1</v>
      </c>
      <c r="X210">
        <v>0.5</v>
      </c>
      <c r="Y210">
        <v>0</v>
      </c>
      <c r="Z210">
        <v>508.57</v>
      </c>
      <c r="AA210">
        <v>355.5</v>
      </c>
      <c r="AB210">
        <v>0</v>
      </c>
      <c r="AC210">
        <v>0</v>
      </c>
      <c r="AD210">
        <v>1</v>
      </c>
      <c r="AE210">
        <v>0</v>
      </c>
      <c r="AF210" t="s">
        <v>205</v>
      </c>
      <c r="AG210">
        <v>2.5</v>
      </c>
      <c r="AH210">
        <v>2</v>
      </c>
      <c r="AI210">
        <v>56442209</v>
      </c>
      <c r="AJ210">
        <v>225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">
      <c r="A211">
        <f>ROW(Source!A466)</f>
        <v>466</v>
      </c>
      <c r="B211">
        <v>56442217</v>
      </c>
      <c r="C211">
        <v>56442207</v>
      </c>
      <c r="D211">
        <v>52969067</v>
      </c>
      <c r="E211">
        <v>1</v>
      </c>
      <c r="F211">
        <v>1</v>
      </c>
      <c r="G211">
        <v>25</v>
      </c>
      <c r="H211">
        <v>2</v>
      </c>
      <c r="I211" t="s">
        <v>421</v>
      </c>
      <c r="J211" t="s">
        <v>422</v>
      </c>
      <c r="K211" t="s">
        <v>423</v>
      </c>
      <c r="L211">
        <v>1368</v>
      </c>
      <c r="N211">
        <v>1011</v>
      </c>
      <c r="O211" t="s">
        <v>354</v>
      </c>
      <c r="P211" t="s">
        <v>354</v>
      </c>
      <c r="Q211">
        <v>1</v>
      </c>
      <c r="X211">
        <v>0.5</v>
      </c>
      <c r="Y211">
        <v>0</v>
      </c>
      <c r="Z211">
        <v>434.82</v>
      </c>
      <c r="AA211">
        <v>386.07</v>
      </c>
      <c r="AB211">
        <v>0</v>
      </c>
      <c r="AC211">
        <v>0</v>
      </c>
      <c r="AD211">
        <v>1</v>
      </c>
      <c r="AE211">
        <v>0</v>
      </c>
      <c r="AF211" t="s">
        <v>205</v>
      </c>
      <c r="AG211">
        <v>2.5</v>
      </c>
      <c r="AH211">
        <v>2</v>
      </c>
      <c r="AI211">
        <v>56442210</v>
      </c>
      <c r="AJ211">
        <v>226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>
        <f>ROW(Source!A466)</f>
        <v>466</v>
      </c>
      <c r="B212">
        <v>56442218</v>
      </c>
      <c r="C212">
        <v>56442207</v>
      </c>
      <c r="D212">
        <v>52972179</v>
      </c>
      <c r="E212">
        <v>1</v>
      </c>
      <c r="F212">
        <v>1</v>
      </c>
      <c r="G212">
        <v>25</v>
      </c>
      <c r="H212">
        <v>3</v>
      </c>
      <c r="I212" t="s">
        <v>430</v>
      </c>
      <c r="J212" t="s">
        <v>431</v>
      </c>
      <c r="K212" t="s">
        <v>432</v>
      </c>
      <c r="L212">
        <v>1346</v>
      </c>
      <c r="N212">
        <v>1009</v>
      </c>
      <c r="O212" t="s">
        <v>210</v>
      </c>
      <c r="P212" t="s">
        <v>210</v>
      </c>
      <c r="Q212">
        <v>1</v>
      </c>
      <c r="X212">
        <v>147</v>
      </c>
      <c r="Y212">
        <v>18.399999999999999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 t="s">
        <v>205</v>
      </c>
      <c r="AG212">
        <v>735</v>
      </c>
      <c r="AH212">
        <v>2</v>
      </c>
      <c r="AI212">
        <v>56442211</v>
      </c>
      <c r="AJ212">
        <v>227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>
        <f>ROW(Source!A466)</f>
        <v>466</v>
      </c>
      <c r="B213">
        <v>56442219</v>
      </c>
      <c r="C213">
        <v>56442207</v>
      </c>
      <c r="D213">
        <v>52972186</v>
      </c>
      <c r="E213">
        <v>1</v>
      </c>
      <c r="F213">
        <v>1</v>
      </c>
      <c r="G213">
        <v>25</v>
      </c>
      <c r="H213">
        <v>3</v>
      </c>
      <c r="I213" t="s">
        <v>433</v>
      </c>
      <c r="J213" t="s">
        <v>434</v>
      </c>
      <c r="K213" t="s">
        <v>435</v>
      </c>
      <c r="L213">
        <v>1346</v>
      </c>
      <c r="N213">
        <v>1009</v>
      </c>
      <c r="O213" t="s">
        <v>210</v>
      </c>
      <c r="P213" t="s">
        <v>210</v>
      </c>
      <c r="Q213">
        <v>1</v>
      </c>
      <c r="X213">
        <v>42</v>
      </c>
      <c r="Y213">
        <v>189.61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 t="s">
        <v>205</v>
      </c>
      <c r="AG213">
        <v>210</v>
      </c>
      <c r="AH213">
        <v>2</v>
      </c>
      <c r="AI213">
        <v>56442212</v>
      </c>
      <c r="AJ213">
        <v>228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>
        <f>ROW(Source!A466)</f>
        <v>466</v>
      </c>
      <c r="B214">
        <v>56442220</v>
      </c>
      <c r="C214">
        <v>56442207</v>
      </c>
      <c r="D214">
        <v>52970162</v>
      </c>
      <c r="E214">
        <v>1</v>
      </c>
      <c r="F214">
        <v>1</v>
      </c>
      <c r="G214">
        <v>25</v>
      </c>
      <c r="H214">
        <v>3</v>
      </c>
      <c r="I214" t="s">
        <v>198</v>
      </c>
      <c r="J214" t="s">
        <v>200</v>
      </c>
      <c r="K214" t="s">
        <v>199</v>
      </c>
      <c r="L214">
        <v>1348</v>
      </c>
      <c r="N214">
        <v>1009</v>
      </c>
      <c r="O214" t="s">
        <v>44</v>
      </c>
      <c r="P214" t="s">
        <v>44</v>
      </c>
      <c r="Q214">
        <v>1000</v>
      </c>
      <c r="X214">
        <v>1.0500000000000001E-2</v>
      </c>
      <c r="Y214">
        <v>748288.41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 t="s">
        <v>205</v>
      </c>
      <c r="AG214">
        <v>5.2500000000000005E-2</v>
      </c>
      <c r="AH214">
        <v>2</v>
      </c>
      <c r="AI214">
        <v>56442213</v>
      </c>
      <c r="AJ214">
        <v>229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Смета СН-2012 по гл. 1-5</vt:lpstr>
      <vt:lpstr>Дефектная ведомость</vt:lpstr>
      <vt:lpstr>RV_DATA</vt:lpstr>
      <vt:lpstr>Расчет стоимости ресурсов</vt:lpstr>
      <vt:lpstr>Локальная ресурсная ведомо</vt:lpstr>
      <vt:lpstr>Source</vt:lpstr>
      <vt:lpstr>SourceObSm</vt:lpstr>
      <vt:lpstr>SmtRes</vt:lpstr>
      <vt:lpstr>EtalonRes</vt:lpstr>
      <vt:lpstr>'Дефектная ведомость'!Заголовки_для_печати</vt:lpstr>
      <vt:lpstr>'Локальная ресурсная ведомо'!Заголовки_для_печати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'Дефектная ведомость'!Область_печати</vt:lpstr>
      <vt:lpstr>'Локальная ресурсная ведомо'!Область_печати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2021-01-28T13:25:43Z</cp:lastPrinted>
  <dcterms:created xsi:type="dcterms:W3CDTF">2021-01-27T14:16:51Z</dcterms:created>
  <dcterms:modified xsi:type="dcterms:W3CDTF">2021-01-28T14:38:01Z</dcterms:modified>
</cp:coreProperties>
</file>