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oeva-OA\Desktop\Закупки 2021год\Благоустройство\Согласовано Благоустройство\"/>
    </mc:Choice>
  </mc:AlternateContent>
  <xr:revisionPtr revIDLastSave="0" documentId="13_ncr:1_{A089E19E-DB52-453E-A346-122668825557}" xr6:coauthVersionLast="36" xr6:coauthVersionMax="36" xr10:uidLastSave="{00000000-0000-0000-0000-000000000000}"/>
  <bookViews>
    <workbookView xWindow="32760" yWindow="32760" windowWidth="32760" windowHeight="32760" xr2:uid="{00000000-000D-0000-FFFF-FFFF00000000}"/>
  </bookViews>
  <sheets>
    <sheet name="Смета СН-2012 по гл. 1-5" sheetId="5" r:id="rId1"/>
    <sheet name="Source" sheetId="1" r:id="rId2"/>
    <sheet name="SourceObSm" sheetId="2" r:id="rId3"/>
    <sheet name="SmtRes" sheetId="3" r:id="rId4"/>
    <sheet name="EtalonRes" sheetId="4" r:id="rId5"/>
  </sheets>
  <definedNames>
    <definedName name="_xlnm.Print_Titles" localSheetId="0">'Смета СН-2012 по гл. 1-5'!$29:$29</definedName>
    <definedName name="_xlnm.Print_Area" localSheetId="0">'Смета СН-2012 по гл. 1-5'!$A$3:$K$101</definedName>
  </definedNames>
  <calcPr calcId="191029"/>
</workbook>
</file>

<file path=xl/calcChain.xml><?xml version="1.0" encoding="utf-8"?>
<calcChain xmlns="http://schemas.openxmlformats.org/spreadsheetml/2006/main">
  <c r="I94" i="5" l="1"/>
  <c r="H99" i="5" l="1"/>
  <c r="H96" i="5"/>
  <c r="C99" i="5"/>
  <c r="C96" i="5"/>
  <c r="I24" i="5"/>
  <c r="I23" i="5"/>
  <c r="I22" i="5"/>
  <c r="I21" i="5"/>
  <c r="I20" i="5"/>
  <c r="I19" i="5"/>
  <c r="A87" i="5"/>
  <c r="K84" i="5"/>
  <c r="H84" i="5"/>
  <c r="G84" i="5"/>
  <c r="E84" i="5"/>
  <c r="E83" i="5"/>
  <c r="E82" i="5"/>
  <c r="J81" i="5"/>
  <c r="I81" i="5"/>
  <c r="H81" i="5"/>
  <c r="G81" i="5"/>
  <c r="F81" i="5"/>
  <c r="J80" i="5"/>
  <c r="I80" i="5"/>
  <c r="H80" i="5"/>
  <c r="G80" i="5"/>
  <c r="F80" i="5"/>
  <c r="C79" i="5"/>
  <c r="V78" i="5"/>
  <c r="T78" i="5"/>
  <c r="J83" i="5" s="1"/>
  <c r="R78" i="5"/>
  <c r="J82" i="5" s="1"/>
  <c r="U78" i="5"/>
  <c r="S78" i="5"/>
  <c r="Q78" i="5"/>
  <c r="E78" i="5"/>
  <c r="D78" i="5"/>
  <c r="C78" i="5"/>
  <c r="B78" i="5"/>
  <c r="A78" i="5"/>
  <c r="K76" i="5"/>
  <c r="H76" i="5"/>
  <c r="G76" i="5"/>
  <c r="E76" i="5"/>
  <c r="E75" i="5"/>
  <c r="E74" i="5"/>
  <c r="J73" i="5"/>
  <c r="I73" i="5"/>
  <c r="H73" i="5"/>
  <c r="G73" i="5"/>
  <c r="F73" i="5"/>
  <c r="J72" i="5"/>
  <c r="I72" i="5"/>
  <c r="H72" i="5"/>
  <c r="G72" i="5"/>
  <c r="F72" i="5"/>
  <c r="C71" i="5"/>
  <c r="V70" i="5"/>
  <c r="T70" i="5"/>
  <c r="J75" i="5" s="1"/>
  <c r="R70" i="5"/>
  <c r="J74" i="5" s="1"/>
  <c r="U70" i="5"/>
  <c r="S70" i="5"/>
  <c r="Q70" i="5"/>
  <c r="E70" i="5"/>
  <c r="D70" i="5"/>
  <c r="C70" i="5"/>
  <c r="B70" i="5"/>
  <c r="A70" i="5"/>
  <c r="K68" i="5"/>
  <c r="H68" i="5"/>
  <c r="G68" i="5"/>
  <c r="E68" i="5"/>
  <c r="E67" i="5"/>
  <c r="E66" i="5"/>
  <c r="J65" i="5"/>
  <c r="I65" i="5"/>
  <c r="H65" i="5"/>
  <c r="G65" i="5"/>
  <c r="F65" i="5"/>
  <c r="J64" i="5"/>
  <c r="I64" i="5"/>
  <c r="H64" i="5"/>
  <c r="G64" i="5"/>
  <c r="F64" i="5"/>
  <c r="C63" i="5"/>
  <c r="V62" i="5"/>
  <c r="T62" i="5"/>
  <c r="J67" i="5" s="1"/>
  <c r="R62" i="5"/>
  <c r="J66" i="5" s="1"/>
  <c r="U62" i="5"/>
  <c r="S62" i="5"/>
  <c r="Q62" i="5"/>
  <c r="E62" i="5"/>
  <c r="D62" i="5"/>
  <c r="C62" i="5"/>
  <c r="B62" i="5"/>
  <c r="A62" i="5"/>
  <c r="K60" i="5"/>
  <c r="H60" i="5"/>
  <c r="G60" i="5"/>
  <c r="E60" i="5"/>
  <c r="E59" i="5"/>
  <c r="E58" i="5"/>
  <c r="E57" i="5"/>
  <c r="J56" i="5"/>
  <c r="I56" i="5"/>
  <c r="H56" i="5"/>
  <c r="G56" i="5"/>
  <c r="F56" i="5"/>
  <c r="J55" i="5"/>
  <c r="I55" i="5"/>
  <c r="H55" i="5"/>
  <c r="G55" i="5"/>
  <c r="F55" i="5"/>
  <c r="J54" i="5"/>
  <c r="I54" i="5"/>
  <c r="H54" i="5"/>
  <c r="G54" i="5"/>
  <c r="F54" i="5"/>
  <c r="J53" i="5"/>
  <c r="I53" i="5"/>
  <c r="H53" i="5"/>
  <c r="G53" i="5"/>
  <c r="F53" i="5"/>
  <c r="C52" i="5"/>
  <c r="V51" i="5"/>
  <c r="J59" i="5" s="1"/>
  <c r="T51" i="5"/>
  <c r="J58" i="5" s="1"/>
  <c r="R51" i="5"/>
  <c r="J57" i="5" s="1"/>
  <c r="U51" i="5"/>
  <c r="S51" i="5"/>
  <c r="Q51" i="5"/>
  <c r="E51" i="5"/>
  <c r="D51" i="5"/>
  <c r="C51" i="5"/>
  <c r="B51" i="5"/>
  <c r="A51" i="5"/>
  <c r="J49" i="5"/>
  <c r="I49" i="5"/>
  <c r="H49" i="5"/>
  <c r="G49" i="5"/>
  <c r="F49" i="5"/>
  <c r="J48" i="5"/>
  <c r="I50" i="5" s="1"/>
  <c r="I48" i="5"/>
  <c r="H48" i="5"/>
  <c r="G48" i="5"/>
  <c r="F48" i="5"/>
  <c r="V47" i="5"/>
  <c r="T47" i="5"/>
  <c r="R47" i="5"/>
  <c r="U47" i="5"/>
  <c r="S47" i="5"/>
  <c r="Q47" i="5"/>
  <c r="E47" i="5"/>
  <c r="D47" i="5"/>
  <c r="C47" i="5"/>
  <c r="B47" i="5"/>
  <c r="A47" i="5"/>
  <c r="J45" i="5"/>
  <c r="I45" i="5"/>
  <c r="H45" i="5"/>
  <c r="G45" i="5"/>
  <c r="F45" i="5"/>
  <c r="J44" i="5"/>
  <c r="I46" i="5" s="1"/>
  <c r="I44" i="5"/>
  <c r="H44" i="5"/>
  <c r="G44" i="5"/>
  <c r="F44" i="5"/>
  <c r="C43" i="5"/>
  <c r="V42" i="5"/>
  <c r="T42" i="5"/>
  <c r="R42" i="5"/>
  <c r="U42" i="5"/>
  <c r="S42" i="5"/>
  <c r="Q42" i="5"/>
  <c r="E42" i="5"/>
  <c r="D42" i="5"/>
  <c r="C42" i="5"/>
  <c r="B42" i="5"/>
  <c r="A42" i="5"/>
  <c r="K40" i="5"/>
  <c r="H40" i="5"/>
  <c r="G40" i="5"/>
  <c r="E40" i="5"/>
  <c r="E39" i="5"/>
  <c r="E38" i="5"/>
  <c r="E37" i="5"/>
  <c r="J36" i="5"/>
  <c r="I36" i="5"/>
  <c r="H36" i="5"/>
  <c r="G36" i="5"/>
  <c r="F36" i="5"/>
  <c r="J35" i="5"/>
  <c r="I35" i="5"/>
  <c r="H35" i="5"/>
  <c r="G35" i="5"/>
  <c r="F35" i="5"/>
  <c r="J34" i="5"/>
  <c r="I34" i="5"/>
  <c r="H34" i="5"/>
  <c r="G34" i="5"/>
  <c r="F34" i="5"/>
  <c r="C33" i="5"/>
  <c r="V32" i="5"/>
  <c r="J39" i="5" s="1"/>
  <c r="T32" i="5"/>
  <c r="J38" i="5" s="1"/>
  <c r="R32" i="5"/>
  <c r="J37" i="5" s="1"/>
  <c r="U32" i="5"/>
  <c r="S32" i="5"/>
  <c r="Q32" i="5"/>
  <c r="E32" i="5"/>
  <c r="D32" i="5"/>
  <c r="C32" i="5"/>
  <c r="B32" i="5"/>
  <c r="A32" i="5"/>
  <c r="A31" i="5"/>
  <c r="A17" i="5"/>
  <c r="G8" i="5"/>
  <c r="A3" i="5"/>
  <c r="K50" i="5" l="1"/>
  <c r="P50" i="5"/>
  <c r="I77" i="5"/>
  <c r="K46" i="5"/>
  <c r="P46" i="5"/>
  <c r="I41" i="5"/>
  <c r="I61" i="5"/>
  <c r="I69" i="5"/>
  <c r="I85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" i="3"/>
  <c r="CY1" i="3"/>
  <c r="CZ1" i="3"/>
  <c r="DA1" i="3"/>
  <c r="DB1" i="3"/>
  <c r="DC1" i="3"/>
  <c r="A2" i="3"/>
  <c r="CY2" i="3"/>
  <c r="CZ2" i="3"/>
  <c r="DA2" i="3"/>
  <c r="DB2" i="3"/>
  <c r="DC2" i="3"/>
  <c r="A3" i="3"/>
  <c r="CY3" i="3"/>
  <c r="CZ3" i="3"/>
  <c r="DB3" i="3" s="1"/>
  <c r="DA3" i="3"/>
  <c r="DC3" i="3"/>
  <c r="A4" i="3"/>
  <c r="CY4" i="3"/>
  <c r="CZ4" i="3"/>
  <c r="DB4" i="3" s="1"/>
  <c r="DA4" i="3"/>
  <c r="DC4" i="3"/>
  <c r="A5" i="3"/>
  <c r="CY5" i="3"/>
  <c r="CZ5" i="3"/>
  <c r="DA5" i="3"/>
  <c r="DB5" i="3"/>
  <c r="DC5" i="3"/>
  <c r="A6" i="3"/>
  <c r="CY6" i="3"/>
  <c r="CZ6" i="3"/>
  <c r="DA6" i="3"/>
  <c r="DB6" i="3"/>
  <c r="DC6" i="3"/>
  <c r="A7" i="3"/>
  <c r="CY7" i="3"/>
  <c r="CZ7" i="3"/>
  <c r="DA7" i="3"/>
  <c r="DB7" i="3"/>
  <c r="DC7" i="3"/>
  <c r="A8" i="3"/>
  <c r="CY8" i="3"/>
  <c r="CZ8" i="3"/>
  <c r="DB8" i="3" s="1"/>
  <c r="DA8" i="3"/>
  <c r="DC8" i="3"/>
  <c r="A9" i="3"/>
  <c r="CY9" i="3"/>
  <c r="CZ9" i="3"/>
  <c r="DA9" i="3"/>
  <c r="DB9" i="3"/>
  <c r="DC9" i="3"/>
  <c r="A10" i="3"/>
  <c r="CY10" i="3"/>
  <c r="CZ10" i="3"/>
  <c r="DA10" i="3"/>
  <c r="DB10" i="3"/>
  <c r="DC10" i="3"/>
  <c r="A11" i="3"/>
  <c r="CY11" i="3"/>
  <c r="CZ11" i="3"/>
  <c r="DB11" i="3" s="1"/>
  <c r="DA11" i="3"/>
  <c r="DC11" i="3"/>
  <c r="A12" i="3"/>
  <c r="CY12" i="3"/>
  <c r="CZ12" i="3"/>
  <c r="DB12" i="3" s="1"/>
  <c r="DA12" i="3"/>
  <c r="DC12" i="3"/>
  <c r="A13" i="3"/>
  <c r="CY13" i="3"/>
  <c r="CZ13" i="3"/>
  <c r="DA13" i="3"/>
  <c r="DB13" i="3"/>
  <c r="DC13" i="3"/>
  <c r="A14" i="3"/>
  <c r="CY14" i="3"/>
  <c r="CZ14" i="3"/>
  <c r="DA14" i="3"/>
  <c r="DB14" i="3"/>
  <c r="DC14" i="3"/>
  <c r="A15" i="3"/>
  <c r="CY15" i="3"/>
  <c r="CZ15" i="3"/>
  <c r="DA15" i="3"/>
  <c r="DB15" i="3"/>
  <c r="DC15" i="3"/>
  <c r="A16" i="3"/>
  <c r="CY16" i="3"/>
  <c r="CZ16" i="3"/>
  <c r="DB16" i="3" s="1"/>
  <c r="DA16" i="3"/>
  <c r="DC16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C24" i="1"/>
  <c r="D24" i="1"/>
  <c r="I24" i="1"/>
  <c r="CX2" i="3" s="1"/>
  <c r="V24" i="1"/>
  <c r="AC24" i="1"/>
  <c r="AE24" i="1"/>
  <c r="AD24" i="1" s="1"/>
  <c r="AB24" i="1" s="1"/>
  <c r="AF24" i="1"/>
  <c r="CT24" i="1" s="1"/>
  <c r="S24" i="1" s="1"/>
  <c r="AG24" i="1"/>
  <c r="CU24" i="1" s="1"/>
  <c r="T24" i="1" s="1"/>
  <c r="AH24" i="1"/>
  <c r="CV24" i="1" s="1"/>
  <c r="U24" i="1" s="1"/>
  <c r="AI24" i="1"/>
  <c r="AJ24" i="1"/>
  <c r="CX24" i="1" s="1"/>
  <c r="W24" i="1" s="1"/>
  <c r="CQ24" i="1"/>
  <c r="P24" i="1" s="1"/>
  <c r="CR24" i="1"/>
  <c r="Q24" i="1" s="1"/>
  <c r="CS24" i="1"/>
  <c r="R24" i="1" s="1"/>
  <c r="CW24" i="1"/>
  <c r="FR24" i="1"/>
  <c r="GL24" i="1"/>
  <c r="GN24" i="1"/>
  <c r="GO24" i="1"/>
  <c r="GV24" i="1"/>
  <c r="HC24" i="1" s="1"/>
  <c r="GX24" i="1" s="1"/>
  <c r="C25" i="1"/>
  <c r="D25" i="1"/>
  <c r="I25" i="1"/>
  <c r="CX4" i="3" s="1"/>
  <c r="P25" i="1"/>
  <c r="AC25" i="1"/>
  <c r="AD25" i="1"/>
  <c r="AE25" i="1"/>
  <c r="AF25" i="1"/>
  <c r="AB25" i="1" s="1"/>
  <c r="AG25" i="1"/>
  <c r="AH25" i="1"/>
  <c r="CV25" i="1" s="1"/>
  <c r="U25" i="1" s="1"/>
  <c r="AI25" i="1"/>
  <c r="AJ25" i="1"/>
  <c r="CX25" i="1" s="1"/>
  <c r="W25" i="1" s="1"/>
  <c r="CQ25" i="1"/>
  <c r="CR25" i="1"/>
  <c r="CS25" i="1"/>
  <c r="R25" i="1" s="1"/>
  <c r="CU25" i="1"/>
  <c r="T25" i="1" s="1"/>
  <c r="CW25" i="1"/>
  <c r="V25" i="1" s="1"/>
  <c r="FR25" i="1"/>
  <c r="GL25" i="1"/>
  <c r="GN25" i="1"/>
  <c r="GO25" i="1"/>
  <c r="GV25" i="1"/>
  <c r="HC25" i="1"/>
  <c r="GX25" i="1" s="1"/>
  <c r="C26" i="1"/>
  <c r="D26" i="1"/>
  <c r="AC26" i="1"/>
  <c r="AB26" i="1" s="1"/>
  <c r="AE26" i="1"/>
  <c r="AD26" i="1" s="1"/>
  <c r="AF26" i="1"/>
  <c r="AG26" i="1"/>
  <c r="AH26" i="1"/>
  <c r="CV26" i="1" s="1"/>
  <c r="AI26" i="1"/>
  <c r="CW26" i="1" s="1"/>
  <c r="AJ26" i="1"/>
  <c r="CR26" i="1"/>
  <c r="CT26" i="1"/>
  <c r="CU26" i="1"/>
  <c r="CX26" i="1"/>
  <c r="FR26" i="1"/>
  <c r="GL26" i="1"/>
  <c r="GN26" i="1"/>
  <c r="GO26" i="1"/>
  <c r="GV26" i="1"/>
  <c r="HC26" i="1" s="1"/>
  <c r="C27" i="1"/>
  <c r="D27" i="1"/>
  <c r="I27" i="1"/>
  <c r="CX9" i="3" s="1"/>
  <c r="AC27" i="1"/>
  <c r="AE27" i="1"/>
  <c r="AD27" i="1" s="1"/>
  <c r="AB27" i="1" s="1"/>
  <c r="AF27" i="1"/>
  <c r="CT27" i="1" s="1"/>
  <c r="S27" i="1" s="1"/>
  <c r="AG27" i="1"/>
  <c r="AH27" i="1"/>
  <c r="CV27" i="1" s="1"/>
  <c r="U27" i="1" s="1"/>
  <c r="AI27" i="1"/>
  <c r="AJ27" i="1"/>
  <c r="CX27" i="1" s="1"/>
  <c r="W27" i="1" s="1"/>
  <c r="CQ27" i="1"/>
  <c r="P27" i="1" s="1"/>
  <c r="CR27" i="1"/>
  <c r="Q27" i="1" s="1"/>
  <c r="CU27" i="1"/>
  <c r="T27" i="1" s="1"/>
  <c r="CW27" i="1"/>
  <c r="V27" i="1" s="1"/>
  <c r="FR27" i="1"/>
  <c r="GL27" i="1"/>
  <c r="GN27" i="1"/>
  <c r="GO27" i="1"/>
  <c r="GV27" i="1"/>
  <c r="HC27" i="1" s="1"/>
  <c r="GX27" i="1" s="1"/>
  <c r="C28" i="1"/>
  <c r="D28" i="1"/>
  <c r="I28" i="1"/>
  <c r="CX10" i="3" s="1"/>
  <c r="AC28" i="1"/>
  <c r="AD28" i="1"/>
  <c r="AB28" i="1" s="1"/>
  <c r="AE28" i="1"/>
  <c r="AF28" i="1"/>
  <c r="CT28" i="1" s="1"/>
  <c r="S28" i="1" s="1"/>
  <c r="AG28" i="1"/>
  <c r="AH28" i="1"/>
  <c r="AI28" i="1"/>
  <c r="CW28" i="1" s="1"/>
  <c r="V28" i="1" s="1"/>
  <c r="AJ28" i="1"/>
  <c r="CX28" i="1" s="1"/>
  <c r="W28" i="1" s="1"/>
  <c r="CQ28" i="1"/>
  <c r="P28" i="1" s="1"/>
  <c r="CR28" i="1"/>
  <c r="CS28" i="1"/>
  <c r="R28" i="1" s="1"/>
  <c r="GK28" i="1" s="1"/>
  <c r="CU28" i="1"/>
  <c r="T28" i="1" s="1"/>
  <c r="CV28" i="1"/>
  <c r="U28" i="1" s="1"/>
  <c r="FR28" i="1"/>
  <c r="GL28" i="1"/>
  <c r="GN28" i="1"/>
  <c r="GO28" i="1"/>
  <c r="GV28" i="1"/>
  <c r="HC28" i="1" s="1"/>
  <c r="GX28" i="1" s="1"/>
  <c r="C29" i="1"/>
  <c r="D29" i="1"/>
  <c r="I29" i="1"/>
  <c r="CX13" i="3" s="1"/>
  <c r="AC29" i="1"/>
  <c r="AE29" i="1"/>
  <c r="AD29" i="1" s="1"/>
  <c r="AB29" i="1" s="1"/>
  <c r="AF29" i="1"/>
  <c r="CT29" i="1" s="1"/>
  <c r="S29" i="1" s="1"/>
  <c r="AG29" i="1"/>
  <c r="AH29" i="1"/>
  <c r="CV29" i="1" s="1"/>
  <c r="U29" i="1" s="1"/>
  <c r="AI29" i="1"/>
  <c r="AJ29" i="1"/>
  <c r="CX29" i="1" s="1"/>
  <c r="W29" i="1" s="1"/>
  <c r="CQ29" i="1"/>
  <c r="P29" i="1" s="1"/>
  <c r="CR29" i="1"/>
  <c r="Q29" i="1" s="1"/>
  <c r="CU29" i="1"/>
  <c r="T29" i="1" s="1"/>
  <c r="CW29" i="1"/>
  <c r="V29" i="1" s="1"/>
  <c r="FR29" i="1"/>
  <c r="GL29" i="1"/>
  <c r="GN29" i="1"/>
  <c r="GO29" i="1"/>
  <c r="GV29" i="1"/>
  <c r="HC29" i="1" s="1"/>
  <c r="GX29" i="1" s="1"/>
  <c r="C30" i="1"/>
  <c r="D30" i="1"/>
  <c r="I30" i="1"/>
  <c r="Q30" i="1" s="1"/>
  <c r="AC30" i="1"/>
  <c r="AD30" i="1"/>
  <c r="AB30" i="1" s="1"/>
  <c r="AE30" i="1"/>
  <c r="AF30" i="1"/>
  <c r="CT30" i="1" s="1"/>
  <c r="S30" i="1" s="1"/>
  <c r="AG30" i="1"/>
  <c r="AH30" i="1"/>
  <c r="AI30" i="1"/>
  <c r="CW30" i="1" s="1"/>
  <c r="V30" i="1" s="1"/>
  <c r="AJ30" i="1"/>
  <c r="CX30" i="1" s="1"/>
  <c r="W30" i="1" s="1"/>
  <c r="CQ30" i="1"/>
  <c r="P30" i="1" s="1"/>
  <c r="CR30" i="1"/>
  <c r="CS30" i="1"/>
  <c r="R30" i="1" s="1"/>
  <c r="GK30" i="1" s="1"/>
  <c r="CU30" i="1"/>
  <c r="T30" i="1" s="1"/>
  <c r="CV30" i="1"/>
  <c r="U30" i="1" s="1"/>
  <c r="FR30" i="1"/>
  <c r="GL30" i="1"/>
  <c r="GN30" i="1"/>
  <c r="GO30" i="1"/>
  <c r="GV30" i="1"/>
  <c r="HC30" i="1" s="1"/>
  <c r="GX30" i="1" s="1"/>
  <c r="B32" i="1"/>
  <c r="B22" i="1" s="1"/>
  <c r="C32" i="1"/>
  <c r="C22" i="1" s="1"/>
  <c r="D32" i="1"/>
  <c r="D22" i="1" s="1"/>
  <c r="F32" i="1"/>
  <c r="F22" i="1" s="1"/>
  <c r="G32" i="1"/>
  <c r="G22" i="1" s="1"/>
  <c r="BX32" i="1"/>
  <c r="BX22" i="1" s="1"/>
  <c r="BY32" i="1"/>
  <c r="BY22" i="1" s="1"/>
  <c r="BZ32" i="1"/>
  <c r="CG32" i="1" s="1"/>
  <c r="CB32" i="1"/>
  <c r="CB22" i="1" s="1"/>
  <c r="CC32" i="1"/>
  <c r="CC22" i="1" s="1"/>
  <c r="CK32" i="1"/>
  <c r="CK22" i="1" s="1"/>
  <c r="CL32" i="1"/>
  <c r="CL22" i="1" s="1"/>
  <c r="CM32" i="1"/>
  <c r="CM22" i="1" s="1"/>
  <c r="B62" i="1"/>
  <c r="B18" i="1" s="1"/>
  <c r="C62" i="1"/>
  <c r="C18" i="1" s="1"/>
  <c r="D62" i="1"/>
  <c r="D18" i="1" s="1"/>
  <c r="F62" i="1"/>
  <c r="F18" i="1" s="1"/>
  <c r="G62" i="1"/>
  <c r="G18" i="1" l="1"/>
  <c r="A90" i="5"/>
  <c r="P41" i="5"/>
  <c r="K41" i="5"/>
  <c r="K69" i="5"/>
  <c r="P69" i="5"/>
  <c r="P77" i="5"/>
  <c r="K77" i="5"/>
  <c r="K61" i="5"/>
  <c r="P61" i="5"/>
  <c r="K85" i="5"/>
  <c r="P85" i="5"/>
  <c r="GK24" i="1"/>
  <c r="GX26" i="1"/>
  <c r="CJ32" i="1" s="1"/>
  <c r="CY29" i="1"/>
  <c r="X29" i="1" s="1"/>
  <c r="CZ29" i="1"/>
  <c r="Y29" i="1" s="1"/>
  <c r="CY27" i="1"/>
  <c r="X27" i="1" s="1"/>
  <c r="CZ27" i="1"/>
  <c r="Y27" i="1" s="1"/>
  <c r="CP29" i="1"/>
  <c r="O29" i="1" s="1"/>
  <c r="CP27" i="1"/>
  <c r="O27" i="1" s="1"/>
  <c r="CY30" i="1"/>
  <c r="X30" i="1" s="1"/>
  <c r="CZ30" i="1"/>
  <c r="Y30" i="1" s="1"/>
  <c r="CY28" i="1"/>
  <c r="X28" i="1" s="1"/>
  <c r="CZ28" i="1"/>
  <c r="Y28" i="1" s="1"/>
  <c r="CY24" i="1"/>
  <c r="X24" i="1" s="1"/>
  <c r="CZ24" i="1"/>
  <c r="Y24" i="1" s="1"/>
  <c r="CG22" i="1"/>
  <c r="AX32" i="1"/>
  <c r="CP30" i="1"/>
  <c r="O30" i="1" s="1"/>
  <c r="CP28" i="1"/>
  <c r="O28" i="1" s="1"/>
  <c r="CP24" i="1"/>
  <c r="O24" i="1" s="1"/>
  <c r="AS32" i="1"/>
  <c r="CS26" i="1"/>
  <c r="I26" i="1"/>
  <c r="CX5" i="3" s="1"/>
  <c r="Q25" i="1"/>
  <c r="CP25" i="1" s="1"/>
  <c r="O25" i="1" s="1"/>
  <c r="CX11" i="3"/>
  <c r="CX3" i="3"/>
  <c r="CI32" i="1"/>
  <c r="CX12" i="3"/>
  <c r="AQ32" i="1"/>
  <c r="CQ26" i="1"/>
  <c r="CT25" i="1"/>
  <c r="S25" i="1" s="1"/>
  <c r="BZ22" i="1"/>
  <c r="AP32" i="1"/>
  <c r="CX14" i="3"/>
  <c r="CX6" i="3"/>
  <c r="AO32" i="1"/>
  <c r="CX15" i="3"/>
  <c r="CX7" i="3"/>
  <c r="BD32" i="1"/>
  <c r="CS29" i="1"/>
  <c r="R29" i="1" s="1"/>
  <c r="GK29" i="1" s="1"/>
  <c r="CS27" i="1"/>
  <c r="R27" i="1" s="1"/>
  <c r="GK27" i="1" s="1"/>
  <c r="CX16" i="3"/>
  <c r="CX8" i="3"/>
  <c r="BC32" i="1"/>
  <c r="Q28" i="1"/>
  <c r="CX1" i="3"/>
  <c r="BB32" i="1"/>
  <c r="AT32" i="1"/>
  <c r="I90" i="5" l="1"/>
  <c r="I87" i="5"/>
  <c r="CJ22" i="1"/>
  <c r="BA32" i="1"/>
  <c r="BC62" i="1"/>
  <c r="BC22" i="1"/>
  <c r="F48" i="1"/>
  <c r="GM24" i="1"/>
  <c r="GP24" i="1"/>
  <c r="AX22" i="1"/>
  <c r="AX62" i="1"/>
  <c r="F39" i="1"/>
  <c r="GP29" i="1"/>
  <c r="GM29" i="1"/>
  <c r="F41" i="1"/>
  <c r="G16" i="2" s="1"/>
  <c r="G18" i="2" s="1"/>
  <c r="AP22" i="1"/>
  <c r="AP62" i="1"/>
  <c r="GM28" i="1"/>
  <c r="GP28" i="1"/>
  <c r="U26" i="1"/>
  <c r="AH32" i="1" s="1"/>
  <c r="V26" i="1"/>
  <c r="AI32" i="1" s="1"/>
  <c r="BD62" i="1"/>
  <c r="BD22" i="1"/>
  <c r="F57" i="1"/>
  <c r="P26" i="1"/>
  <c r="R26" i="1"/>
  <c r="AE32" i="1" s="1"/>
  <c r="T26" i="1"/>
  <c r="AG32" i="1" s="1"/>
  <c r="W26" i="1"/>
  <c r="AJ32" i="1" s="1"/>
  <c r="F50" i="1"/>
  <c r="F16" i="2" s="1"/>
  <c r="F18" i="2" s="1"/>
  <c r="AT62" i="1"/>
  <c r="AT22" i="1"/>
  <c r="GM30" i="1"/>
  <c r="GP30" i="1"/>
  <c r="BB62" i="1"/>
  <c r="BB22" i="1"/>
  <c r="F45" i="1"/>
  <c r="CY25" i="1"/>
  <c r="X25" i="1" s="1"/>
  <c r="GP25" i="1" s="1"/>
  <c r="CZ25" i="1"/>
  <c r="Y25" i="1" s="1"/>
  <c r="GM25" i="1" s="1"/>
  <c r="AF32" i="1"/>
  <c r="AQ62" i="1"/>
  <c r="AQ22" i="1"/>
  <c r="F42" i="1"/>
  <c r="F49" i="1"/>
  <c r="E16" i="2" s="1"/>
  <c r="AS62" i="1"/>
  <c r="AS22" i="1"/>
  <c r="Q26" i="1"/>
  <c r="AD32" i="1" s="1"/>
  <c r="GP27" i="1"/>
  <c r="GM27" i="1"/>
  <c r="AO22" i="1"/>
  <c r="F36" i="1"/>
  <c r="AO62" i="1"/>
  <c r="CI22" i="1"/>
  <c r="AZ32" i="1"/>
  <c r="S26" i="1"/>
  <c r="I91" i="5" l="1"/>
  <c r="I92" i="5" s="1"/>
  <c r="AD22" i="1"/>
  <c r="Q32" i="1"/>
  <c r="S32" i="1"/>
  <c r="AF22" i="1"/>
  <c r="F79" i="1"/>
  <c r="AS18" i="1"/>
  <c r="AJ22" i="1"/>
  <c r="W32" i="1"/>
  <c r="E18" i="2"/>
  <c r="AI22" i="1"/>
  <c r="V32" i="1"/>
  <c r="F75" i="1"/>
  <c r="BB18" i="1"/>
  <c r="AH22" i="1"/>
  <c r="U32" i="1"/>
  <c r="CP26" i="1"/>
  <c r="O26" i="1" s="1"/>
  <c r="AC32" i="1"/>
  <c r="AL32" i="1"/>
  <c r="F78" i="1"/>
  <c r="BC18" i="1"/>
  <c r="F66" i="1"/>
  <c r="AO18" i="1"/>
  <c r="AG22" i="1"/>
  <c r="T32" i="1"/>
  <c r="R32" i="1"/>
  <c r="AE22" i="1"/>
  <c r="AQ18" i="1"/>
  <c r="F72" i="1"/>
  <c r="AX18" i="1"/>
  <c r="F69" i="1"/>
  <c r="BA62" i="1"/>
  <c r="BA22" i="1"/>
  <c r="F52" i="1"/>
  <c r="CY26" i="1"/>
  <c r="X26" i="1" s="1"/>
  <c r="AK32" i="1" s="1"/>
  <c r="CZ26" i="1"/>
  <c r="Y26" i="1" s="1"/>
  <c r="AT18" i="1"/>
  <c r="F80" i="1"/>
  <c r="AP18" i="1"/>
  <c r="F71" i="1"/>
  <c r="AZ62" i="1"/>
  <c r="AZ22" i="1"/>
  <c r="F43" i="1"/>
  <c r="BD18" i="1"/>
  <c r="F87" i="1"/>
  <c r="AK22" i="1" l="1"/>
  <c r="X32" i="1"/>
  <c r="F82" i="1"/>
  <c r="BA18" i="1"/>
  <c r="U62" i="1"/>
  <c r="U22" i="1"/>
  <c r="F54" i="1"/>
  <c r="W62" i="1"/>
  <c r="W22" i="1"/>
  <c r="F56" i="1"/>
  <c r="AL22" i="1"/>
  <c r="Y32" i="1"/>
  <c r="V62" i="1"/>
  <c r="V22" i="1"/>
  <c r="F55" i="1"/>
  <c r="F47" i="1"/>
  <c r="J16" i="2" s="1"/>
  <c r="J18" i="2" s="1"/>
  <c r="S22" i="1"/>
  <c r="S62" i="1"/>
  <c r="AZ18" i="1"/>
  <c r="F73" i="1"/>
  <c r="CE32" i="1"/>
  <c r="CF32" i="1"/>
  <c r="AC22" i="1"/>
  <c r="CH32" i="1"/>
  <c r="P32" i="1"/>
  <c r="Q22" i="1"/>
  <c r="F44" i="1"/>
  <c r="Q62" i="1"/>
  <c r="R22" i="1"/>
  <c r="R62" i="1"/>
  <c r="F46" i="1"/>
  <c r="T62" i="1"/>
  <c r="T22" i="1"/>
  <c r="F53" i="1"/>
  <c r="GM26" i="1"/>
  <c r="CA32" i="1" s="1"/>
  <c r="GP26" i="1"/>
  <c r="CD32" i="1" s="1"/>
  <c r="AB32" i="1"/>
  <c r="CH22" i="1" l="1"/>
  <c r="AY32" i="1"/>
  <c r="F86" i="1"/>
  <c r="W18" i="1"/>
  <c r="AB22" i="1"/>
  <c r="O32" i="1"/>
  <c r="CE22" i="1"/>
  <c r="AV32" i="1"/>
  <c r="F85" i="1"/>
  <c r="V18" i="1"/>
  <c r="F84" i="1"/>
  <c r="U18" i="1"/>
  <c r="F76" i="1"/>
  <c r="R18" i="1"/>
  <c r="Y22" i="1"/>
  <c r="F59" i="1"/>
  <c r="Y62" i="1"/>
  <c r="F83" i="1"/>
  <c r="T18" i="1"/>
  <c r="CF22" i="1"/>
  <c r="AW32" i="1"/>
  <c r="Q18" i="1"/>
  <c r="F74" i="1"/>
  <c r="CD22" i="1"/>
  <c r="AU32" i="1"/>
  <c r="F58" i="1"/>
  <c r="X62" i="1"/>
  <c r="X22" i="1"/>
  <c r="CA22" i="1"/>
  <c r="AR32" i="1"/>
  <c r="S18" i="1"/>
  <c r="F77" i="1"/>
  <c r="F35" i="1"/>
  <c r="P62" i="1"/>
  <c r="P22" i="1"/>
  <c r="AR62" i="1" l="1"/>
  <c r="AR22" i="1"/>
  <c r="F60" i="1"/>
  <c r="F34" i="1"/>
  <c r="O62" i="1"/>
  <c r="O22" i="1"/>
  <c r="AW22" i="1"/>
  <c r="AW62" i="1"/>
  <c r="F38" i="1"/>
  <c r="AV62" i="1"/>
  <c r="F37" i="1"/>
  <c r="AV22" i="1"/>
  <c r="X18" i="1"/>
  <c r="F88" i="1"/>
  <c r="AY22" i="1"/>
  <c r="AY62" i="1"/>
  <c r="F40" i="1"/>
  <c r="P18" i="1"/>
  <c r="F65" i="1"/>
  <c r="F51" i="1"/>
  <c r="H16" i="2" s="1"/>
  <c r="AU62" i="1"/>
  <c r="AU22" i="1"/>
  <c r="Y18" i="1"/>
  <c r="F89" i="1"/>
  <c r="AW18" i="1" l="1"/>
  <c r="F68" i="1"/>
  <c r="F64" i="1"/>
  <c r="O18" i="1"/>
  <c r="AY18" i="1"/>
  <c r="F70" i="1"/>
  <c r="H18" i="2"/>
  <c r="I16" i="2"/>
  <c r="I18" i="2" s="1"/>
  <c r="AV18" i="1"/>
  <c r="F67" i="1"/>
  <c r="F81" i="1"/>
  <c r="AU18" i="1"/>
  <c r="AR18" i="1"/>
  <c r="F90" i="1"/>
</calcChain>
</file>

<file path=xl/sharedStrings.xml><?xml version="1.0" encoding="utf-8"?>
<sst xmlns="http://schemas.openxmlformats.org/spreadsheetml/2006/main" count="951" uniqueCount="186">
  <si>
    <t>Smeta.RU  (495) 974-1589</t>
  </si>
  <si>
    <t>_PS_</t>
  </si>
  <si>
    <t>Smeta.RU</t>
  </si>
  <si>
    <t>ГКУ "Дирекция ЖКХиБ СЗАО"  Доп. раб. место  MCCS-0020207</t>
  </si>
  <si>
    <t>Новый объект_(Копия)</t>
  </si>
  <si>
    <t>Понижение газона кладбище_(2021)</t>
  </si>
  <si>
    <t/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</si>
  <si>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</si>
  <si>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</si>
  <si>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</si>
  <si>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</si>
  <si>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</si>
  <si>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</si>
  <si>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</si>
  <si>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1</t>
  </si>
  <si>
    <t>2.49-3101-3-3/1</t>
  </si>
  <si>
    <t>Разработка грунта с погрузкой на автомобили-самосвалы экскаваторами с ковшом вместимостью 0,5 м3, группа грунтов 1-3</t>
  </si>
  <si>
    <t>100 м3</t>
  </si>
  <si>
    <t>СН-2012-2021.2. База. Сб.49-3101-3-3/1</t>
  </si>
  <si>
    <t>СН-2012</t>
  </si>
  <si>
    <t>Подрядные работы, гл. 1-5,7</t>
  </si>
  <si>
    <t>работа</t>
  </si>
  <si>
    <t>2</t>
  </si>
  <si>
    <t>2.49-3401-1-1/1</t>
  </si>
  <si>
    <t>Перевозка грунта автосамосвалами грузоподъемностью до 10 т на расстояние 1 км</t>
  </si>
  <si>
    <t>м3</t>
  </si>
  <si>
    <t>СН-2012-2021.2. База. Сб.49-3401-1-1/1</t>
  </si>
  <si>
    <t>Подрядные работы, гл. 1 перевозка мусора</t>
  </si>
  <si>
    <t>3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</si>
  <si>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</si>
  <si>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</t>
  </si>
  <si>
    <t>СН-2012-2021.2. База. Сб.49-3401-1-2/1</t>
  </si>
  <si>
    <t>)*45</t>
  </si>
  <si>
    <t>4</t>
  </si>
  <si>
    <t>5.4-3203-3-3/1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</si>
  <si>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</si>
  <si>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100 м2</t>
  </si>
  <si>
    <t>СН-2012-2021.5. База. Сб.4-3203-3-3/1</t>
  </si>
  <si>
    <t>5</t>
  </si>
  <si>
    <t>5.4-3203-3-4/1</t>
  </si>
  <si>
    <t>Подготовка почвы для устройства партерного и обыкновенного газонов с внесением растительной земли слоем 15 см вручную</t>
  </si>
  <si>
    <t>СН-2012-2021.5. База. Сб.4-3203-3-4/1</t>
  </si>
  <si>
    <t>6</t>
  </si>
  <si>
    <t>5.4-3203-3-5/1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</si>
  <si>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</si>
  <si>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СН-2012-2021.5. База. Сб.4-3203-3-5/1</t>
  </si>
  <si>
    <t>)*2</t>
  </si>
  <si>
    <t>7</t>
  </si>
  <si>
    <t>5.4-3203-12-1/1</t>
  </si>
  <si>
    <t>Сплошная укладка готового газона в рулонах на горизонтальных поверхностях или откосах с уклоном на круче 1:2</t>
  </si>
  <si>
    <t>СН-2012-2021.5. База. Сб.4-3203-12-1/1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</si>
  <si>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</si>
  <si>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</si>
  <si>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</si>
  <si>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</si>
  <si>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</si>
  <si>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</si>
  <si>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</si>
  <si>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</si>
  <si>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</si>
  <si>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</si>
  <si>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</si>
  <si>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</si>
  <si>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</si>
  <si>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</si>
  <si>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</si>
  <si>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</si>
  <si>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</si>
  <si>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</si>
  <si>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</si>
  <si>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</si>
  <si>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</si>
  <si>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</si>
  <si>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</si>
  <si>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</si>
  <si>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</si>
  <si>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</si>
  <si>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</si>
  <si>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</si>
  <si>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</si>
  <si>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</si>
  <si>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</si>
  <si>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</si>
  <si>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</si>
  <si>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</si>
  <si>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</si>
  <si>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</si>
  <si>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</si>
  <si>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</si>
  <si>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</si>
  <si>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</si>
  <si>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</si>
  <si>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</si>
  <si>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</si>
  <si>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</si>
  <si>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</si>
  <si>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</si>
  <si>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</si>
  <si>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</si>
  <si>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</si>
  <si>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</si>
  <si>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</si>
  <si>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</si>
  <si>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</si>
  <si>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</si>
  <si>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Уровень цен на 01.10.2020 г</t>
  </si>
  <si>
    <t>_OBSM_</t>
  </si>
  <si>
    <t>9999990008</t>
  </si>
  <si>
    <t>Трудозатраты рабочих</t>
  </si>
  <si>
    <t>чел.-ч.</t>
  </si>
  <si>
    <t>22.1-1-4</t>
  </si>
  <si>
    <t>СН-2012-2021.22. База. п.1-1-4 (010105)</t>
  </si>
  <si>
    <t>Экскаваторы на гусеничном ходу гидравлические, объем ковша до 0,5 м3</t>
  </si>
  <si>
    <t>маш.-ч</t>
  </si>
  <si>
    <t>22.1-1-44</t>
  </si>
  <si>
    <t>СН-2012-2021.22. База. п.1-1-44 (012103)</t>
  </si>
  <si>
    <t>Бульдозеры гусеничные, мощность до 79 кВт (108 л.с.)</t>
  </si>
  <si>
    <t>22.1-18-13</t>
  </si>
  <si>
    <t>СН-2012-2021.22. База. п.1-18-13 (184002)</t>
  </si>
  <si>
    <t>Автомобили-самосвалы, грузоподъемность до 10 т</t>
  </si>
  <si>
    <t>22.1-17-39</t>
  </si>
  <si>
    <t>СН-2012-2021.22. База. п.1-17-39 (176001)</t>
  </si>
  <si>
    <t>Плуги выкопочные (без трактора)</t>
  </si>
  <si>
    <t>22.1-2-7</t>
  </si>
  <si>
    <t>СН-2012-2021.22. База. п.1-2-7 (021003)</t>
  </si>
  <si>
    <t>Тракторы на пневмоколесном ходу, мощность до 60 (81) кВт (л.с.)</t>
  </si>
  <si>
    <t>21.4-6-5</t>
  </si>
  <si>
    <t>СН-2012-2021.21. База. Р.4, о.6, поз.5</t>
  </si>
  <si>
    <t>Земля растительная</t>
  </si>
  <si>
    <t>21.1-9-39</t>
  </si>
  <si>
    <t>СН-2012-2021.21. База. Р.1, о.9, поз.39</t>
  </si>
  <si>
    <t>Доски хвойных пород, необрезные, длина 2-6,5 м, сорт III, толщина 13-16 мм</t>
  </si>
  <si>
    <t>21.4-6-3</t>
  </si>
  <si>
    <t>СН-2012-2021.21. База. Р.4, о.6, поз.3</t>
  </si>
  <si>
    <t>Газон готовый в рулоне, размер рулона: длина 2,0 м, ширина 0,4 м</t>
  </si>
  <si>
    <t>м2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</si>
  <si>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</si>
  <si>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</si>
  <si>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</si>
  <si>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</si>
  <si>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</si>
  <si>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</si>
  <si>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</si>
  <si>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</si>
  <si>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</si>
  <si>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</si>
  <si>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</si>
  <si>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</si>
  <si>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</si>
  <si>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</si>
  <si>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</si>
  <si>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</si>
  <si>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</si>
  <si>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</si>
  <si>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</si>
  <si>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</si>
  <si>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</si>
  <si>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</si>
  <si>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</si>
  <si>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</si>
  <si>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</si>
  <si>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</si>
  <si>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</si>
  <si>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</si>
  <si>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</si>
  <si>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</si>
  <si>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</si>
  <si>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</si>
  <si>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</si>
  <si>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</si>
  <si>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</si>
  <si>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</si>
  <si>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t>МР</t>
  </si>
  <si>
    <t xml:space="preserve">Составил   </t>
  </si>
  <si>
    <t>[должность,подпись(инициалы,фамилия)]</t>
  </si>
  <si>
    <t xml:space="preserve">Проверил   </t>
  </si>
  <si>
    <t>Выполнение работ по обустройству территорий, прилегающих к городским кладбищам Северо-Западного административного округа города Москвы.</t>
  </si>
  <si>
    <t>Сметная документация</t>
  </si>
  <si>
    <t>от "___"__________2021 г.</t>
  </si>
  <si>
    <t>НДС 20%</t>
  </si>
  <si>
    <t>Итого</t>
  </si>
  <si>
    <t>в т.ч. НДС 20%</t>
  </si>
  <si>
    <t>Итого с учетом коэффициента оптимизации под выделенное финансирование К=0,90989941566</t>
  </si>
  <si>
    <t>Директор ГКУ "Дирекция ЖКХиБ СЗАО"</t>
  </si>
  <si>
    <t>Э.А. Хамидулина</t>
  </si>
  <si>
    <t>Приложение №3 к Техническому заданию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</si>
</sst>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#,##0.00####;[Red]\-\ #,##0.00####"/>
    <numFmt numFmtId="166" formatCode="#,##0.00;[Red]\-\ #,##0.00"/>
  </numFmts>
  <fonts count="18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0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8" fillId="0" borderId="0" xfId="0" applyFont="1" applyAlignment="1">
      <alignment vertical="top" wrapText="1"/>
    </xf>
    <xf numFmtId="166" fontId="15" fillId="0" borderId="0" xfId="0" applyNumberFormat="1" applyFont="1" applyAlignment="1">
      <alignment horizontal="right"/>
    </xf>
    <xf numFmtId="166" fontId="0" fillId="0" borderId="0" xfId="0" applyNumberFormat="1"/>
    <xf numFmtId="0" fontId="0" fillId="0" borderId="6" xfId="0" applyBorder="1"/>
    <xf numFmtId="166" fontId="16" fillId="0" borderId="6" xfId="0" applyNumberFormat="1" applyFont="1" applyBorder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10" fillId="0" borderId="1" xfId="0" applyFont="1" applyBorder="1"/>
    <xf numFmtId="0" fontId="17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right" vertical="center"/>
    </xf>
    <xf numFmtId="166" fontId="16" fillId="0" borderId="6" xfId="0" applyNumberFormat="1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166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166" fontId="16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166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Border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right" wrapText="1"/>
    </xf>
    <xf numFmtId="0" fontId="14" fillId="0" borderId="0" xfId="0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0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65E1-9A92-4B1B-93F9-C6C871080510}">
  <sheetPr>
    <pageSetUpPr fitToPage="1"/>
  </sheetPr>
  <dimension ref="A1:V100"/>
  <sheetViews>
    <sheetView tabSelected="1" zoomScaleNormal="100" workbookViewId="0">
      <selection activeCell="M6" sqref="M6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6" width="0" hidden="1" customWidth="1"/>
  </cols>
  <sheetData>
    <row r="1" spans="1:11" x14ac:dyDescent="0.2">
      <c r="H1" s="58" t="s">
        <v>185</v>
      </c>
      <c r="I1" s="44"/>
      <c r="J1" s="44"/>
      <c r="K1" s="44"/>
    </row>
    <row r="2" spans="1:11" x14ac:dyDescent="0.2">
      <c r="H2" s="58" t="s">
        <v>178</v>
      </c>
      <c r="I2" s="44"/>
      <c r="J2" s="44"/>
      <c r="K2" s="44"/>
    </row>
    <row r="3" spans="1:11" x14ac:dyDescent="0.2">
      <c r="A3" s="8" t="str">
        <f>CONCATENATE(Source!B1, "     СН-2012 (© ОАО МЦЦС 'Мосстройцены', ", "2021", ")")</f>
        <v>Smeta.RU  (495) 974-1589     СН-2012 (© ОАО МЦЦС 'Мосстройцены', 2021)</v>
      </c>
    </row>
    <row r="4" spans="1:11" ht="14.25" x14ac:dyDescent="0.2">
      <c r="A4" s="9"/>
      <c r="B4" s="9"/>
      <c r="C4" s="9"/>
      <c r="D4" s="9"/>
      <c r="E4" s="9"/>
      <c r="F4" s="9"/>
      <c r="G4" s="9"/>
      <c r="H4" s="9"/>
      <c r="I4" s="9"/>
      <c r="J4" s="48" t="s">
        <v>138</v>
      </c>
      <c r="K4" s="48"/>
    </row>
    <row r="5" spans="1:11" ht="16.5" x14ac:dyDescent="0.25">
      <c r="A5" s="11"/>
      <c r="B5" s="57" t="s">
        <v>136</v>
      </c>
      <c r="C5" s="57"/>
      <c r="D5" s="57"/>
      <c r="E5" s="57"/>
      <c r="F5" s="10"/>
      <c r="G5" s="57" t="s">
        <v>137</v>
      </c>
      <c r="H5" s="57"/>
      <c r="I5" s="57"/>
      <c r="J5" s="57"/>
      <c r="K5" s="57"/>
    </row>
    <row r="6" spans="1:11" ht="14.25" x14ac:dyDescent="0.2">
      <c r="A6" s="10"/>
      <c r="B6" s="49" t="s">
        <v>183</v>
      </c>
      <c r="C6" s="49"/>
      <c r="D6" s="49"/>
      <c r="E6" s="49"/>
      <c r="F6" s="10"/>
      <c r="G6" s="49"/>
      <c r="H6" s="49"/>
      <c r="I6" s="49"/>
      <c r="J6" s="49"/>
      <c r="K6" s="49"/>
    </row>
    <row r="7" spans="1:11" ht="14.25" x14ac:dyDescent="0.2">
      <c r="A7" s="12"/>
      <c r="B7" s="12"/>
      <c r="C7" s="13"/>
      <c r="D7" s="13"/>
      <c r="E7" s="13"/>
      <c r="F7" s="10"/>
      <c r="G7" s="14"/>
      <c r="H7" s="13"/>
      <c r="I7" s="13"/>
      <c r="J7" s="13"/>
      <c r="K7" s="14"/>
    </row>
    <row r="8" spans="1:11" ht="14.25" x14ac:dyDescent="0.2">
      <c r="A8" s="14"/>
      <c r="B8" s="49" t="s">
        <v>184</v>
      </c>
      <c r="C8" s="49"/>
      <c r="D8" s="49"/>
      <c r="E8" s="49"/>
      <c r="F8" s="10"/>
      <c r="G8" s="49" t="str">
        <f>CONCATENATE("______________________ ", IF(Source!AH12&lt;&gt;"", Source!AH12, ""))</f>
        <v xml:space="preserve">______________________ </v>
      </c>
      <c r="H8" s="49"/>
      <c r="I8" s="49"/>
      <c r="J8" s="49"/>
      <c r="K8" s="49"/>
    </row>
    <row r="9" spans="1:11" ht="14.25" x14ac:dyDescent="0.2">
      <c r="A9" s="15"/>
      <c r="B9" s="53" t="s">
        <v>139</v>
      </c>
      <c r="C9" s="53"/>
      <c r="D9" s="53"/>
      <c r="E9" s="53"/>
      <c r="F9" s="10"/>
      <c r="G9" s="53" t="s">
        <v>139</v>
      </c>
      <c r="H9" s="53"/>
      <c r="I9" s="53"/>
      <c r="J9" s="53"/>
      <c r="K9" s="53"/>
    </row>
    <row r="11" spans="1:11" ht="15.75" x14ac:dyDescent="0.25">
      <c r="A11" s="54" t="s">
        <v>177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1" x14ac:dyDescent="0.2">
      <c r="A12" s="56" t="s">
        <v>140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</row>
    <row r="13" spans="1:11" ht="18" hidden="1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14.25" hidden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46.5" customHeight="1" x14ac:dyDescent="0.25">
      <c r="A15" s="60" t="s">
        <v>176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</row>
    <row r="16" spans="1:11" x14ac:dyDescent="0.2">
      <c r="A16" s="56" t="s">
        <v>141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</row>
    <row r="17" spans="1:22" ht="14.25" x14ac:dyDescent="0.2">
      <c r="A17" s="62" t="str">
        <f>CONCATENATE( "Основание: чертежи № ", Source!J12)</f>
        <v xml:space="preserve">Основание: чертежи № 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</row>
    <row r="18" spans="1:22" ht="14.2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22" ht="14.25" x14ac:dyDescent="0.2">
      <c r="A19" s="10"/>
      <c r="B19" s="10"/>
      <c r="C19" s="10"/>
      <c r="D19" s="10"/>
      <c r="E19" s="10"/>
      <c r="F19" s="49" t="s">
        <v>142</v>
      </c>
      <c r="G19" s="49"/>
      <c r="H19" s="49"/>
      <c r="I19" s="47">
        <f>(Source!F90/1000)</f>
        <v>888.01023999999995</v>
      </c>
      <c r="J19" s="48"/>
      <c r="K19" s="10" t="s">
        <v>143</v>
      </c>
    </row>
    <row r="20" spans="1:22" ht="14.25" hidden="1" x14ac:dyDescent="0.2">
      <c r="A20" s="10"/>
      <c r="B20" s="10"/>
      <c r="C20" s="10"/>
      <c r="D20" s="10"/>
      <c r="E20" s="10"/>
      <c r="F20" s="49" t="s">
        <v>144</v>
      </c>
      <c r="G20" s="49"/>
      <c r="H20" s="49"/>
      <c r="I20" s="47">
        <f>(Source!F79)/1000</f>
        <v>0</v>
      </c>
      <c r="J20" s="48"/>
      <c r="K20" s="10" t="s">
        <v>143</v>
      </c>
    </row>
    <row r="21" spans="1:22" ht="14.25" hidden="1" x14ac:dyDescent="0.2">
      <c r="A21" s="10"/>
      <c r="B21" s="10"/>
      <c r="C21" s="10"/>
      <c r="D21" s="10"/>
      <c r="E21" s="10"/>
      <c r="F21" s="49" t="s">
        <v>145</v>
      </c>
      <c r="G21" s="49"/>
      <c r="H21" s="49"/>
      <c r="I21" s="47">
        <f>(Source!F80)/1000</f>
        <v>0</v>
      </c>
      <c r="J21" s="48"/>
      <c r="K21" s="10" t="s">
        <v>143</v>
      </c>
    </row>
    <row r="22" spans="1:22" ht="14.25" hidden="1" x14ac:dyDescent="0.2">
      <c r="A22" s="10"/>
      <c r="B22" s="10"/>
      <c r="C22" s="10"/>
      <c r="D22" s="10"/>
      <c r="E22" s="10"/>
      <c r="F22" s="49" t="s">
        <v>146</v>
      </c>
      <c r="G22" s="49"/>
      <c r="H22" s="49"/>
      <c r="I22" s="47">
        <f>(Source!F71)/1000</f>
        <v>0</v>
      </c>
      <c r="J22" s="48"/>
      <c r="K22" s="10" t="s">
        <v>143</v>
      </c>
    </row>
    <row r="23" spans="1:22" ht="14.25" hidden="1" x14ac:dyDescent="0.2">
      <c r="A23" s="10"/>
      <c r="B23" s="10"/>
      <c r="C23" s="10"/>
      <c r="D23" s="10"/>
      <c r="E23" s="10"/>
      <c r="F23" s="49" t="s">
        <v>147</v>
      </c>
      <c r="G23" s="49"/>
      <c r="H23" s="49"/>
      <c r="I23" s="47">
        <f>(Source!F81+Source!F82)/1000</f>
        <v>888.01023999999995</v>
      </c>
      <c r="J23" s="48"/>
      <c r="K23" s="10" t="s">
        <v>143</v>
      </c>
    </row>
    <row r="24" spans="1:22" ht="14.25" x14ac:dyDescent="0.2">
      <c r="A24" s="10"/>
      <c r="B24" s="10"/>
      <c r="C24" s="10"/>
      <c r="D24" s="10"/>
      <c r="E24" s="10"/>
      <c r="F24" s="49" t="s">
        <v>148</v>
      </c>
      <c r="G24" s="49"/>
      <c r="H24" s="49"/>
      <c r="I24" s="47">
        <f>(Source!F77+ Source!F76)/1000</f>
        <v>254.77453999999997</v>
      </c>
      <c r="J24" s="48"/>
      <c r="K24" s="10" t="s">
        <v>143</v>
      </c>
    </row>
    <row r="25" spans="1:22" ht="14.25" x14ac:dyDescent="0.2">
      <c r="A25" s="10" t="s">
        <v>162</v>
      </c>
      <c r="B25" s="10"/>
      <c r="C25" s="10"/>
      <c r="D25" s="16"/>
      <c r="E25" s="17"/>
      <c r="F25" s="10"/>
      <c r="G25" s="10"/>
      <c r="H25" s="10"/>
      <c r="I25" s="10"/>
      <c r="J25" s="10"/>
      <c r="K25" s="10"/>
    </row>
    <row r="26" spans="1:22" ht="14.25" x14ac:dyDescent="0.2">
      <c r="A26" s="50" t="s">
        <v>149</v>
      </c>
      <c r="B26" s="50" t="s">
        <v>150</v>
      </c>
      <c r="C26" s="50" t="s">
        <v>151</v>
      </c>
      <c r="D26" s="50" t="s">
        <v>152</v>
      </c>
      <c r="E26" s="50" t="s">
        <v>153</v>
      </c>
      <c r="F26" s="50" t="s">
        <v>154</v>
      </c>
      <c r="G26" s="50" t="s">
        <v>155</v>
      </c>
      <c r="H26" s="50" t="s">
        <v>156</v>
      </c>
      <c r="I26" s="50" t="s">
        <v>157</v>
      </c>
      <c r="J26" s="50" t="s">
        <v>158</v>
      </c>
      <c r="K26" s="18" t="s">
        <v>159</v>
      </c>
    </row>
    <row r="27" spans="1:22" ht="28.5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19" t="s">
        <v>160</v>
      </c>
    </row>
    <row r="28" spans="1:22" ht="28.5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19" t="s">
        <v>161</v>
      </c>
    </row>
    <row r="29" spans="1:22" ht="14.25" x14ac:dyDescent="0.2">
      <c r="A29" s="19">
        <v>1</v>
      </c>
      <c r="B29" s="19">
        <v>2</v>
      </c>
      <c r="C29" s="19">
        <v>3</v>
      </c>
      <c r="D29" s="19">
        <v>4</v>
      </c>
      <c r="E29" s="19">
        <v>5</v>
      </c>
      <c r="F29" s="19">
        <v>6</v>
      </c>
      <c r="G29" s="19">
        <v>7</v>
      </c>
      <c r="H29" s="19">
        <v>8</v>
      </c>
      <c r="I29" s="19">
        <v>9</v>
      </c>
      <c r="J29" s="19">
        <v>10</v>
      </c>
      <c r="K29" s="19">
        <v>11</v>
      </c>
    </row>
    <row r="31" spans="1:22" ht="16.5" x14ac:dyDescent="0.25">
      <c r="A31" s="52" t="str">
        <f>CONCATENATE("Локальная смета: ",IF(Source!G20&lt;&gt;"Новая локальная смета", Source!G20, ""))</f>
        <v xml:space="preserve">Локальная смета: 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</row>
    <row r="32" spans="1:22" ht="57" x14ac:dyDescent="0.2">
      <c r="A32" s="20" t="str">
        <f>Source!E24</f>
        <v>1</v>
      </c>
      <c r="B32" s="21" t="str">
        <f>Source!F24</f>
        <v>2.49-3101-3-3/1</v>
      </c>
      <c r="C32" s="21" t="str">
        <f>Source!G24</f>
        <v>Разработка грунта с погрузкой на автомобили-самосвалы экскаваторами с ковшом вместимостью 0,5 м3, группа грунтов 1-3</v>
      </c>
      <c r="D32" s="22" t="str">
        <f>Source!H24</f>
        <v>100 м3</v>
      </c>
      <c r="E32" s="9">
        <f>Source!I24</f>
        <v>2.30871</v>
      </c>
      <c r="F32" s="24"/>
      <c r="G32" s="23"/>
      <c r="H32" s="9"/>
      <c r="I32" s="9"/>
      <c r="J32" s="25"/>
      <c r="K32" s="25"/>
      <c r="Q32">
        <f>ROUND((Source!BZ24/100)*ROUND((Source!AF24*Source!AV24)*Source!I24, 2), 2)</f>
        <v>464.44</v>
      </c>
      <c r="R32">
        <f>Source!X24</f>
        <v>464.44</v>
      </c>
      <c r="S32">
        <f>ROUND((Source!CA24/100)*ROUND((Source!AF24*Source!AV24)*Source!I24, 2), 2)</f>
        <v>66.349999999999994</v>
      </c>
      <c r="T32">
        <f>Source!Y24</f>
        <v>66.349999999999994</v>
      </c>
      <c r="U32">
        <f>ROUND((175/100)*ROUND((Source!AE24*Source!AV24)*Source!I24, 2), 2)</f>
        <v>13873.7</v>
      </c>
      <c r="V32">
        <f>ROUND((108/100)*ROUND(Source!CS24*Source!I24, 2), 2)</f>
        <v>8562.06</v>
      </c>
    </row>
    <row r="33" spans="1:22" x14ac:dyDescent="0.2">
      <c r="C33" s="26" t="str">
        <f>"Объем: "&amp;Source!I24&amp;"=(2308,71*"&amp;"0,1)/"&amp;"100"</f>
        <v>Объем: 2,30871=(2308,71*0,1)/100</v>
      </c>
    </row>
    <row r="34" spans="1:22" ht="14.25" x14ac:dyDescent="0.2">
      <c r="A34" s="20"/>
      <c r="B34" s="21"/>
      <c r="C34" s="21" t="s">
        <v>163</v>
      </c>
      <c r="D34" s="22"/>
      <c r="E34" s="9"/>
      <c r="F34" s="24">
        <f>Source!AO24</f>
        <v>287.38</v>
      </c>
      <c r="G34" s="23" t="str">
        <f>Source!DG24</f>
        <v/>
      </c>
      <c r="H34" s="9">
        <f>Source!AV24</f>
        <v>1</v>
      </c>
      <c r="I34" s="9">
        <f>IF(Source!BA24&lt;&gt; 0, Source!BA24, 1)</f>
        <v>1</v>
      </c>
      <c r="J34" s="25">
        <f>Source!S24</f>
        <v>663.48</v>
      </c>
      <c r="K34" s="25"/>
    </row>
    <row r="35" spans="1:22" ht="14.25" x14ac:dyDescent="0.2">
      <c r="A35" s="20"/>
      <c r="B35" s="21"/>
      <c r="C35" s="21" t="s">
        <v>164</v>
      </c>
      <c r="D35" s="22"/>
      <c r="E35" s="9"/>
      <c r="F35" s="24">
        <f>Source!AM24</f>
        <v>8779.01</v>
      </c>
      <c r="G35" s="23" t="str">
        <f>Source!DE24</f>
        <v/>
      </c>
      <c r="H35" s="9">
        <f>Source!AV24</f>
        <v>1</v>
      </c>
      <c r="I35" s="9">
        <f>IF(Source!BB24&lt;&gt; 0, Source!BB24, 1)</f>
        <v>1</v>
      </c>
      <c r="J35" s="25">
        <f>Source!Q24</f>
        <v>20268.189999999999</v>
      </c>
      <c r="K35" s="25"/>
    </row>
    <row r="36" spans="1:22" ht="14.25" x14ac:dyDescent="0.2">
      <c r="A36" s="20"/>
      <c r="B36" s="21"/>
      <c r="C36" s="21" t="s">
        <v>165</v>
      </c>
      <c r="D36" s="22"/>
      <c r="E36" s="9"/>
      <c r="F36" s="24">
        <f>Source!AN24</f>
        <v>3433.88</v>
      </c>
      <c r="G36" s="23" t="str">
        <f>Source!DF24</f>
        <v/>
      </c>
      <c r="H36" s="9">
        <f>Source!AV24</f>
        <v>1</v>
      </c>
      <c r="I36" s="9">
        <f>IF(Source!BS24&lt;&gt; 0, Source!BS24, 1)</f>
        <v>1</v>
      </c>
      <c r="J36" s="27">
        <f>Source!R24</f>
        <v>7927.83</v>
      </c>
      <c r="K36" s="25"/>
    </row>
    <row r="37" spans="1:22" ht="14.25" x14ac:dyDescent="0.2">
      <c r="A37" s="20"/>
      <c r="B37" s="21"/>
      <c r="C37" s="21" t="s">
        <v>166</v>
      </c>
      <c r="D37" s="22" t="s">
        <v>167</v>
      </c>
      <c r="E37" s="9">
        <f>Source!AT24</f>
        <v>70</v>
      </c>
      <c r="F37" s="24"/>
      <c r="G37" s="23"/>
      <c r="H37" s="9"/>
      <c r="I37" s="9"/>
      <c r="J37" s="25">
        <f>SUM(R32:R36)</f>
        <v>464.44</v>
      </c>
      <c r="K37" s="25"/>
    </row>
    <row r="38" spans="1:22" ht="14.25" x14ac:dyDescent="0.2">
      <c r="A38" s="20"/>
      <c r="B38" s="21"/>
      <c r="C38" s="21" t="s">
        <v>168</v>
      </c>
      <c r="D38" s="22" t="s">
        <v>167</v>
      </c>
      <c r="E38" s="9">
        <f>Source!AU24</f>
        <v>10</v>
      </c>
      <c r="F38" s="24"/>
      <c r="G38" s="23"/>
      <c r="H38" s="9"/>
      <c r="I38" s="9"/>
      <c r="J38" s="25">
        <f>SUM(T32:T37)</f>
        <v>66.349999999999994</v>
      </c>
      <c r="K38" s="25"/>
    </row>
    <row r="39" spans="1:22" ht="14.25" x14ac:dyDescent="0.2">
      <c r="A39" s="20"/>
      <c r="B39" s="21"/>
      <c r="C39" s="21" t="s">
        <v>169</v>
      </c>
      <c r="D39" s="22" t="s">
        <v>167</v>
      </c>
      <c r="E39" s="9">
        <f>108</f>
        <v>108</v>
      </c>
      <c r="F39" s="24"/>
      <c r="G39" s="23"/>
      <c r="H39" s="9"/>
      <c r="I39" s="9"/>
      <c r="J39" s="25">
        <f>SUM(V32:V38)</f>
        <v>8562.06</v>
      </c>
      <c r="K39" s="25"/>
    </row>
    <row r="40" spans="1:22" ht="14.25" x14ac:dyDescent="0.2">
      <c r="A40" s="20"/>
      <c r="B40" s="21"/>
      <c r="C40" s="21" t="s">
        <v>170</v>
      </c>
      <c r="D40" s="22" t="s">
        <v>171</v>
      </c>
      <c r="E40" s="9">
        <f>Source!AQ24</f>
        <v>1.59</v>
      </c>
      <c r="F40" s="24"/>
      <c r="G40" s="23" t="str">
        <f>Source!DI24</f>
        <v/>
      </c>
      <c r="H40" s="9">
        <f>Source!AV24</f>
        <v>1</v>
      </c>
      <c r="I40" s="9"/>
      <c r="J40" s="25"/>
      <c r="K40" s="25">
        <f>Source!U24</f>
        <v>3.6708489000000002</v>
      </c>
    </row>
    <row r="41" spans="1:22" ht="15" x14ac:dyDescent="0.25">
      <c r="A41" s="29"/>
      <c r="B41" s="29"/>
      <c r="C41" s="29"/>
      <c r="D41" s="29"/>
      <c r="E41" s="29"/>
      <c r="F41" s="29"/>
      <c r="G41" s="29"/>
      <c r="H41" s="29"/>
      <c r="I41" s="38">
        <f>J34+J35+J37+J38+J39</f>
        <v>30024.519999999997</v>
      </c>
      <c r="J41" s="38"/>
      <c r="K41" s="30">
        <f>IF(Source!I24&lt;&gt;0, ROUND(I41/Source!I24, 2), 0)</f>
        <v>13004.89</v>
      </c>
      <c r="P41" s="28">
        <f>I41</f>
        <v>30024.519999999997</v>
      </c>
    </row>
    <row r="42" spans="1:22" ht="42.75" x14ac:dyDescent="0.2">
      <c r="A42" s="20" t="str">
        <f>Source!E25</f>
        <v>2</v>
      </c>
      <c r="B42" s="21" t="str">
        <f>Source!F25</f>
        <v>2.49-3401-1-1/1</v>
      </c>
      <c r="C42" s="21" t="str">
        <f>Source!G25</f>
        <v>Перевозка грунта автосамосвалами грузоподъемностью до 10 т на расстояние 1 км</v>
      </c>
      <c r="D42" s="22" t="str">
        <f>Source!H25</f>
        <v>м3</v>
      </c>
      <c r="E42" s="9">
        <f>Source!I25</f>
        <v>230.87100000000001</v>
      </c>
      <c r="F42" s="24"/>
      <c r="G42" s="23"/>
      <c r="H42" s="9"/>
      <c r="I42" s="9"/>
      <c r="J42" s="25"/>
      <c r="K42" s="25"/>
      <c r="Q42">
        <f>ROUND((Source!BZ25/100)*ROUND((Source!AF25*Source!AV25)*Source!I25, 2), 2)</f>
        <v>0</v>
      </c>
      <c r="R42">
        <f>Source!X25</f>
        <v>0</v>
      </c>
      <c r="S42">
        <f>ROUND((Source!CA25/100)*ROUND((Source!AF25*Source!AV25)*Source!I25, 2), 2)</f>
        <v>0</v>
      </c>
      <c r="T42">
        <f>Source!Y25</f>
        <v>0</v>
      </c>
      <c r="U42">
        <f>ROUND((175/100)*ROUND((Source!AE25*Source!AV25)*Source!I25, 2), 2)</f>
        <v>10367.26</v>
      </c>
      <c r="V42">
        <f>ROUND((108/100)*ROUND(Source!CS25*Source!I25, 2), 2)</f>
        <v>6398.08</v>
      </c>
    </row>
    <row r="43" spans="1:22" x14ac:dyDescent="0.2">
      <c r="C43" s="26" t="str">
        <f>"Объем: "&amp;Source!I25&amp;"=2308,71*"&amp;"0,1"</f>
        <v>Объем: 230,871=2308,71*0,1</v>
      </c>
    </row>
    <row r="44" spans="1:22" ht="14.25" x14ac:dyDescent="0.2">
      <c r="A44" s="20"/>
      <c r="B44" s="21"/>
      <c r="C44" s="21" t="s">
        <v>164</v>
      </c>
      <c r="D44" s="22"/>
      <c r="E44" s="9"/>
      <c r="F44" s="24">
        <f>Source!AM25</f>
        <v>47.27</v>
      </c>
      <c r="G44" s="23" t="str">
        <f>Source!DE25</f>
        <v/>
      </c>
      <c r="H44" s="9">
        <f>Source!AV25</f>
        <v>1</v>
      </c>
      <c r="I44" s="9">
        <f>IF(Source!BB25&lt;&gt; 0, Source!BB25, 1)</f>
        <v>1</v>
      </c>
      <c r="J44" s="25">
        <f>Source!Q25</f>
        <v>10913.27</v>
      </c>
      <c r="K44" s="25"/>
    </row>
    <row r="45" spans="1:22" ht="14.25" x14ac:dyDescent="0.2">
      <c r="A45" s="20"/>
      <c r="B45" s="21"/>
      <c r="C45" s="21" t="s">
        <v>165</v>
      </c>
      <c r="D45" s="22"/>
      <c r="E45" s="9"/>
      <c r="F45" s="24">
        <f>Source!AN25</f>
        <v>25.66</v>
      </c>
      <c r="G45" s="23" t="str">
        <f>Source!DF25</f>
        <v/>
      </c>
      <c r="H45" s="9">
        <f>Source!AV25</f>
        <v>1</v>
      </c>
      <c r="I45" s="9">
        <f>IF(Source!BS25&lt;&gt; 0, Source!BS25, 1)</f>
        <v>1</v>
      </c>
      <c r="J45" s="27">
        <f>Source!R25</f>
        <v>5924.15</v>
      </c>
      <c r="K45" s="25"/>
    </row>
    <row r="46" spans="1:22" ht="15" x14ac:dyDescent="0.25">
      <c r="A46" s="29"/>
      <c r="B46" s="29"/>
      <c r="C46" s="29"/>
      <c r="D46" s="29"/>
      <c r="E46" s="29"/>
      <c r="F46" s="29"/>
      <c r="G46" s="29"/>
      <c r="H46" s="29"/>
      <c r="I46" s="38">
        <f>J44</f>
        <v>10913.27</v>
      </c>
      <c r="J46" s="38"/>
      <c r="K46" s="30">
        <f>IF(Source!I25&lt;&gt;0, ROUND(I46/Source!I25, 2), 0)</f>
        <v>47.27</v>
      </c>
      <c r="P46" s="28">
        <f>I46</f>
        <v>10913.27</v>
      </c>
    </row>
    <row r="47" spans="1:22" ht="57" x14ac:dyDescent="0.2">
      <c r="A47" s="20" t="str">
        <f>Source!E26</f>
        <v>3</v>
      </c>
      <c r="B47" s="21" t="str">
        <f>Source!F26</f>
        <v>2.49-3401-1-2/1</v>
      </c>
      <c r="C47" s="21" t="str">
        <f>Source!G26</f>
        <v>Перевозка грунта автосамосвалами грузоподъемностью до 10 т - добавляется на каждый последующий 1 км до 100 км (к поз. 49-3401-1-1)</v>
      </c>
      <c r="D47" s="22" t="str">
        <f>Source!H26</f>
        <v>м3</v>
      </c>
      <c r="E47" s="9">
        <f>Source!I26</f>
        <v>230.87100000000001</v>
      </c>
      <c r="F47" s="24"/>
      <c r="G47" s="23"/>
      <c r="H47" s="9"/>
      <c r="I47" s="9"/>
      <c r="J47" s="25"/>
      <c r="K47" s="25"/>
      <c r="Q47">
        <f>ROUND((Source!BZ26/100)*ROUND((Source!AF26*Source!AV26)*Source!I26, 2), 2)</f>
        <v>0</v>
      </c>
      <c r="R47">
        <f>Source!X26</f>
        <v>0</v>
      </c>
      <c r="S47">
        <f>ROUND((Source!CA26/100)*ROUND((Source!AF26*Source!AV26)*Source!I26, 2), 2)</f>
        <v>0</v>
      </c>
      <c r="T47">
        <f>Source!Y26</f>
        <v>0</v>
      </c>
      <c r="U47">
        <f>ROUND((175/100)*ROUND((Source!AE26*Source!AV26)*Source!I26, 2), 2)</f>
        <v>150539.43</v>
      </c>
      <c r="V47">
        <f>ROUND((108/100)*ROUND(Source!CS26*Source!I26, 2), 2)</f>
        <v>92904.33</v>
      </c>
    </row>
    <row r="48" spans="1:22" ht="14.25" x14ac:dyDescent="0.2">
      <c r="A48" s="20"/>
      <c r="B48" s="21"/>
      <c r="C48" s="21" t="s">
        <v>164</v>
      </c>
      <c r="D48" s="22"/>
      <c r="E48" s="9"/>
      <c r="F48" s="24">
        <f>Source!AM26</f>
        <v>15.25</v>
      </c>
      <c r="G48" s="23" t="str">
        <f>Source!DE26</f>
        <v>)*45</v>
      </c>
      <c r="H48" s="9">
        <f>Source!AV26</f>
        <v>1</v>
      </c>
      <c r="I48" s="9">
        <f>IF(Source!BB26&lt;&gt; 0, Source!BB26, 1)</f>
        <v>1</v>
      </c>
      <c r="J48" s="25">
        <f>Source!Q26</f>
        <v>158435.22</v>
      </c>
      <c r="K48" s="25"/>
    </row>
    <row r="49" spans="1:22" ht="14.25" x14ac:dyDescent="0.2">
      <c r="A49" s="20"/>
      <c r="B49" s="21"/>
      <c r="C49" s="21" t="s">
        <v>165</v>
      </c>
      <c r="D49" s="22"/>
      <c r="E49" s="9"/>
      <c r="F49" s="24">
        <f>Source!AN26</f>
        <v>8.2799999999999994</v>
      </c>
      <c r="G49" s="23" t="str">
        <f>Source!DF26</f>
        <v>)*45</v>
      </c>
      <c r="H49" s="9">
        <f>Source!AV26</f>
        <v>1</v>
      </c>
      <c r="I49" s="9">
        <f>IF(Source!BS26&lt;&gt; 0, Source!BS26, 1)</f>
        <v>1</v>
      </c>
      <c r="J49" s="27">
        <f>Source!R26</f>
        <v>86022.53</v>
      </c>
      <c r="K49" s="25"/>
    </row>
    <row r="50" spans="1:22" ht="15" x14ac:dyDescent="0.25">
      <c r="A50" s="29"/>
      <c r="B50" s="29"/>
      <c r="C50" s="29"/>
      <c r="D50" s="29"/>
      <c r="E50" s="29"/>
      <c r="F50" s="29"/>
      <c r="G50" s="29"/>
      <c r="H50" s="29"/>
      <c r="I50" s="38">
        <f>J48</f>
        <v>158435.22</v>
      </c>
      <c r="J50" s="38"/>
      <c r="K50" s="30">
        <f>IF(Source!I26&lt;&gt;0, ROUND(I50/Source!I26, 2), 0)</f>
        <v>686.25</v>
      </c>
      <c r="P50" s="28">
        <f>I50</f>
        <v>158435.22</v>
      </c>
    </row>
    <row r="51" spans="1:22" ht="57" x14ac:dyDescent="0.2">
      <c r="A51" s="20" t="str">
        <f>Source!E27</f>
        <v>4</v>
      </c>
      <c r="B51" s="21" t="str">
        <f>Source!F27</f>
        <v>5.4-3203-3-3/1</v>
      </c>
      <c r="C51" s="21" t="str">
        <f>Source!G27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D51" s="22" t="str">
        <f>Source!H27</f>
        <v>100 м2</v>
      </c>
      <c r="E51" s="9">
        <f>Source!I27</f>
        <v>17.315325000000001</v>
      </c>
      <c r="F51" s="24"/>
      <c r="G51" s="23"/>
      <c r="H51" s="9"/>
      <c r="I51" s="9"/>
      <c r="J51" s="25"/>
      <c r="K51" s="25"/>
      <c r="Q51">
        <f>ROUND((Source!BZ27/100)*ROUND((Source!AF27*Source!AV27)*Source!I27, 2), 2)</f>
        <v>69071.42</v>
      </c>
      <c r="R51">
        <f>Source!X27</f>
        <v>69071.42</v>
      </c>
      <c r="S51">
        <f>ROUND((Source!CA27/100)*ROUND((Source!AF27*Source!AV27)*Source!I27, 2), 2)</f>
        <v>9867.35</v>
      </c>
      <c r="T51">
        <f>Source!Y27</f>
        <v>9867.35</v>
      </c>
      <c r="U51">
        <f>ROUND((175/100)*ROUND((Source!AE27*Source!AV27)*Source!I27, 2), 2)</f>
        <v>673.61</v>
      </c>
      <c r="V51">
        <f>ROUND((108/100)*ROUND(Source!CS27*Source!I27, 2), 2)</f>
        <v>415.71</v>
      </c>
    </row>
    <row r="52" spans="1:22" x14ac:dyDescent="0.2">
      <c r="C52" s="26" t="str">
        <f>"Объем: "&amp;Source!I27&amp;"=(2308,71*"&amp;"0,75)/"&amp;"100"</f>
        <v>Объем: 17,315325=(2308,71*0,75)/100</v>
      </c>
    </row>
    <row r="53" spans="1:22" ht="14.25" x14ac:dyDescent="0.2">
      <c r="A53" s="20"/>
      <c r="B53" s="21"/>
      <c r="C53" s="21" t="s">
        <v>163</v>
      </c>
      <c r="D53" s="22"/>
      <c r="E53" s="9"/>
      <c r="F53" s="24">
        <f>Source!AO27</f>
        <v>5698.62</v>
      </c>
      <c r="G53" s="23" t="str">
        <f>Source!DG27</f>
        <v/>
      </c>
      <c r="H53" s="9">
        <f>Source!AV27</f>
        <v>1</v>
      </c>
      <c r="I53" s="9">
        <f>IF(Source!BA27&lt;&gt; 0, Source!BA27, 1)</f>
        <v>1</v>
      </c>
      <c r="J53" s="25">
        <f>Source!S27</f>
        <v>98673.46</v>
      </c>
      <c r="K53" s="25"/>
    </row>
    <row r="54" spans="1:22" ht="14.25" x14ac:dyDescent="0.2">
      <c r="A54" s="20"/>
      <c r="B54" s="21"/>
      <c r="C54" s="21" t="s">
        <v>164</v>
      </c>
      <c r="D54" s="22"/>
      <c r="E54" s="9"/>
      <c r="F54" s="24">
        <f>Source!AM27</f>
        <v>60.76</v>
      </c>
      <c r="G54" s="23" t="str">
        <f>Source!DE27</f>
        <v/>
      </c>
      <c r="H54" s="9">
        <f>Source!AV27</f>
        <v>1</v>
      </c>
      <c r="I54" s="9">
        <f>IF(Source!BB27&lt;&gt; 0, Source!BB27, 1)</f>
        <v>1</v>
      </c>
      <c r="J54" s="25">
        <f>Source!Q27</f>
        <v>1052.08</v>
      </c>
      <c r="K54" s="25"/>
    </row>
    <row r="55" spans="1:22" ht="14.25" x14ac:dyDescent="0.2">
      <c r="A55" s="20"/>
      <c r="B55" s="21"/>
      <c r="C55" s="21" t="s">
        <v>165</v>
      </c>
      <c r="D55" s="22"/>
      <c r="E55" s="9"/>
      <c r="F55" s="24">
        <f>Source!AN27</f>
        <v>22.23</v>
      </c>
      <c r="G55" s="23" t="str">
        <f>Source!DF27</f>
        <v/>
      </c>
      <c r="H55" s="9">
        <f>Source!AV27</f>
        <v>1</v>
      </c>
      <c r="I55" s="9">
        <f>IF(Source!BS27&lt;&gt; 0, Source!BS27, 1)</f>
        <v>1</v>
      </c>
      <c r="J55" s="27">
        <f>Source!R27</f>
        <v>384.92</v>
      </c>
      <c r="K55" s="25"/>
    </row>
    <row r="56" spans="1:22" ht="14.25" x14ac:dyDescent="0.2">
      <c r="A56" s="20"/>
      <c r="B56" s="21"/>
      <c r="C56" s="21" t="s">
        <v>172</v>
      </c>
      <c r="D56" s="22"/>
      <c r="E56" s="9"/>
      <c r="F56" s="24">
        <f>Source!AL27</f>
        <v>11305.05</v>
      </c>
      <c r="G56" s="23" t="str">
        <f>Source!DD27</f>
        <v/>
      </c>
      <c r="H56" s="9">
        <f>Source!AW27</f>
        <v>1</v>
      </c>
      <c r="I56" s="9">
        <f>IF(Source!BC27&lt;&gt; 0, Source!BC27, 1)</f>
        <v>1</v>
      </c>
      <c r="J56" s="25">
        <f>Source!P27</f>
        <v>195750.61</v>
      </c>
      <c r="K56" s="25"/>
    </row>
    <row r="57" spans="1:22" ht="14.25" x14ac:dyDescent="0.2">
      <c r="A57" s="20"/>
      <c r="B57" s="21"/>
      <c r="C57" s="21" t="s">
        <v>166</v>
      </c>
      <c r="D57" s="22" t="s">
        <v>167</v>
      </c>
      <c r="E57" s="9">
        <f>Source!AT27</f>
        <v>70</v>
      </c>
      <c r="F57" s="24"/>
      <c r="G57" s="23"/>
      <c r="H57" s="9"/>
      <c r="I57" s="9"/>
      <c r="J57" s="25">
        <f>SUM(R51:R56)</f>
        <v>69071.42</v>
      </c>
      <c r="K57" s="25"/>
    </row>
    <row r="58" spans="1:22" ht="14.25" x14ac:dyDescent="0.2">
      <c r="A58" s="20"/>
      <c r="B58" s="21"/>
      <c r="C58" s="21" t="s">
        <v>168</v>
      </c>
      <c r="D58" s="22" t="s">
        <v>167</v>
      </c>
      <c r="E58" s="9">
        <f>Source!AU27</f>
        <v>10</v>
      </c>
      <c r="F58" s="24"/>
      <c r="G58" s="23"/>
      <c r="H58" s="9"/>
      <c r="I58" s="9"/>
      <c r="J58" s="25">
        <f>SUM(T51:T57)</f>
        <v>9867.35</v>
      </c>
      <c r="K58" s="25"/>
    </row>
    <row r="59" spans="1:22" ht="14.25" x14ac:dyDescent="0.2">
      <c r="A59" s="20"/>
      <c r="B59" s="21"/>
      <c r="C59" s="21" t="s">
        <v>169</v>
      </c>
      <c r="D59" s="22" t="s">
        <v>167</v>
      </c>
      <c r="E59" s="9">
        <f>108</f>
        <v>108</v>
      </c>
      <c r="F59" s="24"/>
      <c r="G59" s="23"/>
      <c r="H59" s="9"/>
      <c r="I59" s="9"/>
      <c r="J59" s="25">
        <f>SUM(V51:V58)</f>
        <v>415.71</v>
      </c>
      <c r="K59" s="25"/>
    </row>
    <row r="60" spans="1:22" ht="14.25" x14ac:dyDescent="0.2">
      <c r="A60" s="20"/>
      <c r="B60" s="21"/>
      <c r="C60" s="21" t="s">
        <v>170</v>
      </c>
      <c r="D60" s="22" t="s">
        <v>171</v>
      </c>
      <c r="E60" s="9">
        <f>Source!AQ27</f>
        <v>30.8</v>
      </c>
      <c r="F60" s="24"/>
      <c r="G60" s="23" t="str">
        <f>Source!DI27</f>
        <v/>
      </c>
      <c r="H60" s="9">
        <f>Source!AV27</f>
        <v>1</v>
      </c>
      <c r="I60" s="9"/>
      <c r="J60" s="25"/>
      <c r="K60" s="25">
        <f>Source!U27</f>
        <v>533.3120100000001</v>
      </c>
    </row>
    <row r="61" spans="1:22" ht="15" x14ac:dyDescent="0.25">
      <c r="A61" s="29"/>
      <c r="B61" s="29"/>
      <c r="C61" s="29"/>
      <c r="D61" s="29"/>
      <c r="E61" s="29"/>
      <c r="F61" s="29"/>
      <c r="G61" s="29"/>
      <c r="H61" s="29"/>
      <c r="I61" s="38">
        <f>J53+J54+J56+J57+J58+J59</f>
        <v>374830.63</v>
      </c>
      <c r="J61" s="38"/>
      <c r="K61" s="30">
        <f>IF(Source!I27&lt;&gt;0, ROUND(I61/Source!I27, 2), 0)</f>
        <v>21647.33</v>
      </c>
      <c r="P61" s="28">
        <f>I61</f>
        <v>374830.63</v>
      </c>
    </row>
    <row r="62" spans="1:22" ht="57" x14ac:dyDescent="0.2">
      <c r="A62" s="20" t="str">
        <f>Source!E28</f>
        <v>5</v>
      </c>
      <c r="B62" s="21" t="str">
        <f>Source!F28</f>
        <v>5.4-3203-3-4/1</v>
      </c>
      <c r="C62" s="21" t="str">
        <f>Source!G28</f>
        <v>Подготовка почвы для устройства партерного и обыкновенного газонов с внесением растительной земли слоем 15 см вручную</v>
      </c>
      <c r="D62" s="22" t="str">
        <f>Source!H28</f>
        <v>100 м2</v>
      </c>
      <c r="E62" s="9">
        <f>Source!I28</f>
        <v>5.7717749999999999</v>
      </c>
      <c r="F62" s="24"/>
      <c r="G62" s="23"/>
      <c r="H62" s="9"/>
      <c r="I62" s="9"/>
      <c r="J62" s="25"/>
      <c r="K62" s="25"/>
      <c r="Q62">
        <f>ROUND((Source!BZ28/100)*ROUND((Source!AF28*Source!AV28)*Source!I28, 2), 2)</f>
        <v>34386.18</v>
      </c>
      <c r="R62">
        <f>Source!X28</f>
        <v>34386.18</v>
      </c>
      <c r="S62">
        <f>ROUND((Source!CA28/100)*ROUND((Source!AF28*Source!AV28)*Source!I28, 2), 2)</f>
        <v>4912.3100000000004</v>
      </c>
      <c r="T62">
        <f>Source!Y28</f>
        <v>4912.3100000000004</v>
      </c>
      <c r="U62">
        <f>ROUND((175/100)*ROUND((Source!AE28*Source!AV28)*Source!I28, 2), 2)</f>
        <v>0</v>
      </c>
      <c r="V62">
        <f>ROUND((108/100)*ROUND(Source!CS28*Source!I28, 2), 2)</f>
        <v>0</v>
      </c>
    </row>
    <row r="63" spans="1:22" x14ac:dyDescent="0.2">
      <c r="C63" s="26" t="str">
        <f>"Объем: "&amp;Source!I28&amp;"=(2308,71*"&amp;"0,25)/"&amp;"100"</f>
        <v>Объем: 5,771775=(2308,71*0,25)/100</v>
      </c>
    </row>
    <row r="64" spans="1:22" ht="14.25" x14ac:dyDescent="0.2">
      <c r="A64" s="20"/>
      <c r="B64" s="21"/>
      <c r="C64" s="21" t="s">
        <v>163</v>
      </c>
      <c r="D64" s="22"/>
      <c r="E64" s="9"/>
      <c r="F64" s="24">
        <f>Source!AO28</f>
        <v>8510.92</v>
      </c>
      <c r="G64" s="23" t="str">
        <f>Source!DG28</f>
        <v/>
      </c>
      <c r="H64" s="9">
        <f>Source!AV28</f>
        <v>1</v>
      </c>
      <c r="I64" s="9">
        <f>IF(Source!BA28&lt;&gt; 0, Source!BA28, 1)</f>
        <v>1</v>
      </c>
      <c r="J64" s="25">
        <f>Source!S28</f>
        <v>49123.12</v>
      </c>
      <c r="K64" s="25"/>
    </row>
    <row r="65" spans="1:22" ht="14.25" x14ac:dyDescent="0.2">
      <c r="A65" s="20"/>
      <c r="B65" s="21"/>
      <c r="C65" s="21" t="s">
        <v>172</v>
      </c>
      <c r="D65" s="22"/>
      <c r="E65" s="9"/>
      <c r="F65" s="24">
        <f>Source!AL28</f>
        <v>11305.05</v>
      </c>
      <c r="G65" s="23" t="str">
        <f>Source!DD28</f>
        <v/>
      </c>
      <c r="H65" s="9">
        <f>Source!AW28</f>
        <v>1</v>
      </c>
      <c r="I65" s="9">
        <f>IF(Source!BC28&lt;&gt; 0, Source!BC28, 1)</f>
        <v>1</v>
      </c>
      <c r="J65" s="25">
        <f>Source!P28</f>
        <v>65250.2</v>
      </c>
      <c r="K65" s="25"/>
    </row>
    <row r="66" spans="1:22" ht="14.25" x14ac:dyDescent="0.2">
      <c r="A66" s="20"/>
      <c r="B66" s="21"/>
      <c r="C66" s="21" t="s">
        <v>166</v>
      </c>
      <c r="D66" s="22" t="s">
        <v>167</v>
      </c>
      <c r="E66" s="9">
        <f>Source!AT28</f>
        <v>70</v>
      </c>
      <c r="F66" s="24"/>
      <c r="G66" s="23"/>
      <c r="H66" s="9"/>
      <c r="I66" s="9"/>
      <c r="J66" s="25">
        <f>SUM(R62:R65)</f>
        <v>34386.18</v>
      </c>
      <c r="K66" s="25"/>
    </row>
    <row r="67" spans="1:22" ht="14.25" x14ac:dyDescent="0.2">
      <c r="A67" s="20"/>
      <c r="B67" s="21"/>
      <c r="C67" s="21" t="s">
        <v>168</v>
      </c>
      <c r="D67" s="22" t="s">
        <v>167</v>
      </c>
      <c r="E67" s="9">
        <f>Source!AU28</f>
        <v>10</v>
      </c>
      <c r="F67" s="24"/>
      <c r="G67" s="23"/>
      <c r="H67" s="9"/>
      <c r="I67" s="9"/>
      <c r="J67" s="25">
        <f>SUM(T62:T66)</f>
        <v>4912.3100000000004</v>
      </c>
      <c r="K67" s="25"/>
    </row>
    <row r="68" spans="1:22" ht="14.25" x14ac:dyDescent="0.2">
      <c r="A68" s="20"/>
      <c r="B68" s="21"/>
      <c r="C68" s="21" t="s">
        <v>170</v>
      </c>
      <c r="D68" s="22" t="s">
        <v>171</v>
      </c>
      <c r="E68" s="9">
        <f>Source!AQ28</f>
        <v>46</v>
      </c>
      <c r="F68" s="24"/>
      <c r="G68" s="23" t="str">
        <f>Source!DI28</f>
        <v/>
      </c>
      <c r="H68" s="9">
        <f>Source!AV28</f>
        <v>1</v>
      </c>
      <c r="I68" s="9"/>
      <c r="J68" s="25"/>
      <c r="K68" s="25">
        <f>Source!U28</f>
        <v>265.50164999999998</v>
      </c>
    </row>
    <row r="69" spans="1:22" ht="15" x14ac:dyDescent="0.25">
      <c r="A69" s="29"/>
      <c r="B69" s="29"/>
      <c r="C69" s="29"/>
      <c r="D69" s="29"/>
      <c r="E69" s="29"/>
      <c r="F69" s="29"/>
      <c r="G69" s="29"/>
      <c r="H69" s="29"/>
      <c r="I69" s="38">
        <f>J64+J65+J66+J67</f>
        <v>153671.81</v>
      </c>
      <c r="J69" s="38"/>
      <c r="K69" s="30">
        <f>IF(Source!I28&lt;&gt;0, ROUND(I69/Source!I28, 2), 0)</f>
        <v>26624.71</v>
      </c>
      <c r="P69" s="28">
        <f>I69</f>
        <v>153671.81</v>
      </c>
    </row>
    <row r="70" spans="1:22" ht="57" x14ac:dyDescent="0.2">
      <c r="A70" s="20" t="str">
        <f>Source!E29</f>
        <v>6</v>
      </c>
      <c r="B70" s="21" t="str">
        <f>Source!F29</f>
        <v>5.4-3203-3-5/1</v>
      </c>
      <c r="C70" s="21" t="str">
        <f>Source!G29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D70" s="22" t="str">
        <f>Source!H29</f>
        <v>100 м2</v>
      </c>
      <c r="E70" s="9">
        <f>Source!I29</f>
        <v>-23.0871</v>
      </c>
      <c r="F70" s="24"/>
      <c r="G70" s="23"/>
      <c r="H70" s="9"/>
      <c r="I70" s="9"/>
      <c r="J70" s="25"/>
      <c r="K70" s="25"/>
      <c r="Q70">
        <f>ROUND((Source!BZ29/100)*ROUND((Source!AF29*Source!AV29)*Source!I29, 2), 2)</f>
        <v>-37615.629999999997</v>
      </c>
      <c r="R70">
        <f>Source!X29</f>
        <v>-37615.629999999997</v>
      </c>
      <c r="S70">
        <f>ROUND((Source!CA29/100)*ROUND((Source!AF29*Source!AV29)*Source!I29, 2), 2)</f>
        <v>-5373.66</v>
      </c>
      <c r="T70">
        <f>Source!Y29</f>
        <v>-5373.66</v>
      </c>
      <c r="U70">
        <f>ROUND((175/100)*ROUND((Source!AE29*Source!AV29)*Source!I29, 2), 2)</f>
        <v>0</v>
      </c>
      <c r="V70">
        <f>ROUND((108/100)*ROUND(Source!CS29*Source!I29, 2), 2)</f>
        <v>0</v>
      </c>
    </row>
    <row r="71" spans="1:22" x14ac:dyDescent="0.2">
      <c r="C71" s="26" t="str">
        <f>"Объем: "&amp;Source!I29&amp;"=-"&amp;"23,0871"</f>
        <v>Объем: -23,0871=-23,0871</v>
      </c>
    </row>
    <row r="72" spans="1:22" ht="14.25" x14ac:dyDescent="0.2">
      <c r="A72" s="20"/>
      <c r="B72" s="21"/>
      <c r="C72" s="21" t="s">
        <v>163</v>
      </c>
      <c r="D72" s="22"/>
      <c r="E72" s="9"/>
      <c r="F72" s="24">
        <f>Source!AO29</f>
        <v>1163.78</v>
      </c>
      <c r="G72" s="23" t="str">
        <f>Source!DG29</f>
        <v>)*2</v>
      </c>
      <c r="H72" s="9">
        <f>Source!AV29</f>
        <v>1</v>
      </c>
      <c r="I72" s="9">
        <f>IF(Source!BA29&lt;&gt; 0, Source!BA29, 1)</f>
        <v>1</v>
      </c>
      <c r="J72" s="25">
        <f>Source!S29</f>
        <v>-53736.61</v>
      </c>
      <c r="K72" s="25"/>
    </row>
    <row r="73" spans="1:22" ht="14.25" x14ac:dyDescent="0.2">
      <c r="A73" s="20"/>
      <c r="B73" s="21"/>
      <c r="C73" s="21" t="s">
        <v>172</v>
      </c>
      <c r="D73" s="22"/>
      <c r="E73" s="9"/>
      <c r="F73" s="24">
        <f>Source!AL29</f>
        <v>3768.35</v>
      </c>
      <c r="G73" s="23" t="str">
        <f>Source!DD29</f>
        <v>)*2</v>
      </c>
      <c r="H73" s="9">
        <f>Source!AW29</f>
        <v>1</v>
      </c>
      <c r="I73" s="9">
        <f>IF(Source!BC29&lt;&gt; 0, Source!BC29, 1)</f>
        <v>1</v>
      </c>
      <c r="J73" s="25">
        <f>Source!P29</f>
        <v>-174000.55</v>
      </c>
      <c r="K73" s="25"/>
    </row>
    <row r="74" spans="1:22" ht="14.25" x14ac:dyDescent="0.2">
      <c r="A74" s="20"/>
      <c r="B74" s="21"/>
      <c r="C74" s="21" t="s">
        <v>166</v>
      </c>
      <c r="D74" s="22" t="s">
        <v>167</v>
      </c>
      <c r="E74" s="9">
        <f>Source!AT29</f>
        <v>70</v>
      </c>
      <c r="F74" s="24"/>
      <c r="G74" s="23"/>
      <c r="H74" s="9"/>
      <c r="I74" s="9"/>
      <c r="J74" s="25">
        <f>SUM(R70:R73)</f>
        <v>-37615.629999999997</v>
      </c>
      <c r="K74" s="25"/>
    </row>
    <row r="75" spans="1:22" ht="14.25" x14ac:dyDescent="0.2">
      <c r="A75" s="20"/>
      <c r="B75" s="21"/>
      <c r="C75" s="21" t="s">
        <v>168</v>
      </c>
      <c r="D75" s="22" t="s">
        <v>167</v>
      </c>
      <c r="E75" s="9">
        <f>Source!AU29</f>
        <v>10</v>
      </c>
      <c r="F75" s="24"/>
      <c r="G75" s="23"/>
      <c r="H75" s="9"/>
      <c r="I75" s="9"/>
      <c r="J75" s="25">
        <f>SUM(T70:T74)</f>
        <v>-5373.66</v>
      </c>
      <c r="K75" s="25"/>
    </row>
    <row r="76" spans="1:22" ht="14.25" x14ac:dyDescent="0.2">
      <c r="A76" s="20"/>
      <c r="B76" s="21"/>
      <c r="C76" s="21" t="s">
        <v>170</v>
      </c>
      <c r="D76" s="22" t="s">
        <v>171</v>
      </c>
      <c r="E76" s="9">
        <f>Source!AQ29</f>
        <v>6.29</v>
      </c>
      <c r="F76" s="24"/>
      <c r="G76" s="23" t="str">
        <f>Source!DI29</f>
        <v>)*2</v>
      </c>
      <c r="H76" s="9">
        <f>Source!AV29</f>
        <v>1</v>
      </c>
      <c r="I76" s="9"/>
      <c r="J76" s="25"/>
      <c r="K76" s="25">
        <f>Source!U29</f>
        <v>-290.43571800000001</v>
      </c>
    </row>
    <row r="77" spans="1:22" ht="15" x14ac:dyDescent="0.25">
      <c r="A77" s="29"/>
      <c r="B77" s="29"/>
      <c r="C77" s="29"/>
      <c r="D77" s="29"/>
      <c r="E77" s="29"/>
      <c r="F77" s="29"/>
      <c r="G77" s="29"/>
      <c r="H77" s="29"/>
      <c r="I77" s="38">
        <f>J72+J73+J74+J75</f>
        <v>-270726.44999999995</v>
      </c>
      <c r="J77" s="38"/>
      <c r="K77" s="30">
        <f>IF(Source!I29&lt;&gt;0, ROUND(I77/Source!I29, 2), 0)</f>
        <v>11726.31</v>
      </c>
      <c r="P77" s="28">
        <f>I77</f>
        <v>-270726.44999999995</v>
      </c>
    </row>
    <row r="78" spans="1:22" ht="57" x14ac:dyDescent="0.2">
      <c r="A78" s="20" t="str">
        <f>Source!E30</f>
        <v>7</v>
      </c>
      <c r="B78" s="21" t="str">
        <f>Source!F30</f>
        <v>5.4-3203-12-1/1</v>
      </c>
      <c r="C78" s="21" t="str">
        <f>Source!G30</f>
        <v>Сплошная укладка готового газона в рулонах на горизонтальных поверхностях или откосах с уклоном на круче 1:2</v>
      </c>
      <c r="D78" s="22" t="str">
        <f>Source!H30</f>
        <v>100 м2</v>
      </c>
      <c r="E78" s="9">
        <f>Source!I30</f>
        <v>23.0871</v>
      </c>
      <c r="F78" s="24"/>
      <c r="G78" s="23"/>
      <c r="H78" s="9"/>
      <c r="I78" s="9"/>
      <c r="J78" s="25"/>
      <c r="K78" s="25"/>
      <c r="Q78">
        <f>ROUND((Source!BZ30/100)*ROUND((Source!AF30*Source!AV30)*Source!I30, 2), 2)</f>
        <v>41854.160000000003</v>
      </c>
      <c r="R78">
        <f>Source!X30</f>
        <v>41854.160000000003</v>
      </c>
      <c r="S78">
        <f>ROUND((Source!CA30/100)*ROUND((Source!AF30*Source!AV30)*Source!I30, 2), 2)</f>
        <v>5979.17</v>
      </c>
      <c r="T78">
        <f>Source!Y30</f>
        <v>5979.17</v>
      </c>
      <c r="U78">
        <f>ROUND((175/100)*ROUND((Source!AE30*Source!AV30)*Source!I30, 2), 2)</f>
        <v>0</v>
      </c>
      <c r="V78">
        <f>ROUND((108/100)*ROUND(Source!CS30*Source!I30, 2), 2)</f>
        <v>0</v>
      </c>
    </row>
    <row r="79" spans="1:22" x14ac:dyDescent="0.2">
      <c r="C79" s="26" t="str">
        <f>"Объем: "&amp;Source!I30&amp;"=(2308,71)/"&amp;"100"</f>
        <v>Объем: 23,0871=(2308,71)/100</v>
      </c>
    </row>
    <row r="80" spans="1:22" ht="14.25" x14ac:dyDescent="0.2">
      <c r="A80" s="20"/>
      <c r="B80" s="21"/>
      <c r="C80" s="21" t="s">
        <v>163</v>
      </c>
      <c r="D80" s="22"/>
      <c r="E80" s="9"/>
      <c r="F80" s="24">
        <f>Source!AO30</f>
        <v>2589.83</v>
      </c>
      <c r="G80" s="23" t="str">
        <f>Source!DG30</f>
        <v/>
      </c>
      <c r="H80" s="9">
        <f>Source!AV30</f>
        <v>1</v>
      </c>
      <c r="I80" s="9">
        <f>IF(Source!BA30&lt;&gt; 0, Source!BA30, 1)</f>
        <v>1</v>
      </c>
      <c r="J80" s="25">
        <f>Source!S30</f>
        <v>59791.66</v>
      </c>
      <c r="K80" s="25"/>
    </row>
    <row r="81" spans="1:16" ht="14.25" x14ac:dyDescent="0.2">
      <c r="A81" s="20"/>
      <c r="B81" s="21"/>
      <c r="C81" s="21" t="s">
        <v>172</v>
      </c>
      <c r="D81" s="22"/>
      <c r="E81" s="9"/>
      <c r="F81" s="24">
        <f>Source!AL30</f>
        <v>14000.73</v>
      </c>
      <c r="G81" s="23" t="str">
        <f>Source!DD30</f>
        <v/>
      </c>
      <c r="H81" s="9">
        <f>Source!AW30</f>
        <v>1</v>
      </c>
      <c r="I81" s="9">
        <f>IF(Source!BC30&lt;&gt; 0, Source!BC30, 1)</f>
        <v>1</v>
      </c>
      <c r="J81" s="25">
        <f>Source!P30</f>
        <v>323236.25</v>
      </c>
      <c r="K81" s="25"/>
    </row>
    <row r="82" spans="1:16" ht="14.25" x14ac:dyDescent="0.2">
      <c r="A82" s="20"/>
      <c r="B82" s="21"/>
      <c r="C82" s="21" t="s">
        <v>166</v>
      </c>
      <c r="D82" s="22" t="s">
        <v>167</v>
      </c>
      <c r="E82" s="9">
        <f>Source!AT30</f>
        <v>70</v>
      </c>
      <c r="F82" s="24"/>
      <c r="G82" s="23"/>
      <c r="H82" s="9"/>
      <c r="I82" s="9"/>
      <c r="J82" s="25">
        <f>SUM(R78:R81)</f>
        <v>41854.160000000003</v>
      </c>
      <c r="K82" s="25"/>
    </row>
    <row r="83" spans="1:16" ht="14.25" x14ac:dyDescent="0.2">
      <c r="A83" s="20"/>
      <c r="B83" s="21"/>
      <c r="C83" s="21" t="s">
        <v>168</v>
      </c>
      <c r="D83" s="22" t="s">
        <v>167</v>
      </c>
      <c r="E83" s="9">
        <f>Source!AU30</f>
        <v>10</v>
      </c>
      <c r="F83" s="24"/>
      <c r="G83" s="23"/>
      <c r="H83" s="9"/>
      <c r="I83" s="9"/>
      <c r="J83" s="25">
        <f>SUM(T78:T82)</f>
        <v>5979.17</v>
      </c>
      <c r="K83" s="25"/>
    </row>
    <row r="84" spans="1:16" ht="14.25" x14ac:dyDescent="0.2">
      <c r="A84" s="20"/>
      <c r="B84" s="21"/>
      <c r="C84" s="21" t="s">
        <v>170</v>
      </c>
      <c r="D84" s="22" t="s">
        <v>171</v>
      </c>
      <c r="E84" s="9">
        <f>Source!AQ30</f>
        <v>13.42</v>
      </c>
      <c r="F84" s="24"/>
      <c r="G84" s="23" t="str">
        <f>Source!DI30</f>
        <v/>
      </c>
      <c r="H84" s="9">
        <f>Source!AV30</f>
        <v>1</v>
      </c>
      <c r="I84" s="9"/>
      <c r="J84" s="25"/>
      <c r="K84" s="25">
        <f>Source!U30</f>
        <v>309.82888199999996</v>
      </c>
    </row>
    <row r="85" spans="1:16" ht="15" x14ac:dyDescent="0.25">
      <c r="A85" s="29"/>
      <c r="B85" s="29"/>
      <c r="C85" s="29"/>
      <c r="D85" s="29"/>
      <c r="E85" s="29"/>
      <c r="F85" s="29"/>
      <c r="G85" s="29"/>
      <c r="H85" s="29"/>
      <c r="I85" s="38">
        <f>J80+J81+J82+J83</f>
        <v>430861.24000000005</v>
      </c>
      <c r="J85" s="38"/>
      <c r="K85" s="30">
        <f>IF(Source!I30&lt;&gt;0, ROUND(I85/Source!I30, 2), 0)</f>
        <v>18662.419999999998</v>
      </c>
      <c r="P85" s="28">
        <f>I85</f>
        <v>430861.24000000005</v>
      </c>
    </row>
    <row r="87" spans="1:16" ht="15" x14ac:dyDescent="0.25">
      <c r="A87" s="42" t="str">
        <f>CONCATENATE("Итого по локальной смете: ",IF(Source!G32&lt;&gt;"Новая локальная смета", Source!G32, ""))</f>
        <v xml:space="preserve">Итого по локальной смете: </v>
      </c>
      <c r="B87" s="42"/>
      <c r="C87" s="42"/>
      <c r="D87" s="42"/>
      <c r="E87" s="42"/>
      <c r="F87" s="42"/>
      <c r="G87" s="42"/>
      <c r="H87" s="42"/>
      <c r="I87" s="40">
        <f>SUM(P31:P86)</f>
        <v>888010.23999999999</v>
      </c>
      <c r="J87" s="41"/>
      <c r="K87" s="31"/>
    </row>
    <row r="90" spans="1:16" ht="33" customHeight="1" x14ac:dyDescent="0.25">
      <c r="A90" s="42" t="str">
        <f>CONCATENATE("Итого по смете: ",IF(Source!G62&lt;&gt;"Новый объект", Source!G62, ""))</f>
        <v>Итого по смете: Выполнение работ по обустройству территорий, прилегающих к городским кладбищам Северо-Западного административного округа города Москвы.</v>
      </c>
      <c r="B90" s="42"/>
      <c r="C90" s="42"/>
      <c r="D90" s="42"/>
      <c r="E90" s="42"/>
      <c r="F90" s="42"/>
      <c r="G90" s="42"/>
      <c r="H90" s="42"/>
      <c r="I90" s="40">
        <f>SUM(P3:P89)</f>
        <v>888010.23999999999</v>
      </c>
      <c r="J90" s="41"/>
      <c r="K90" s="31"/>
    </row>
    <row r="91" spans="1:16" ht="15" customHeight="1" x14ac:dyDescent="0.25">
      <c r="A91" s="32"/>
      <c r="B91" s="32"/>
      <c r="C91" s="32" t="s">
        <v>179</v>
      </c>
      <c r="D91" s="32"/>
      <c r="E91" s="32"/>
      <c r="F91" s="32"/>
      <c r="G91" s="32"/>
      <c r="H91" s="32"/>
      <c r="I91" s="43">
        <f>I90*20%</f>
        <v>177602.04800000001</v>
      </c>
      <c r="J91" s="44"/>
      <c r="K91" s="31"/>
    </row>
    <row r="92" spans="1:16" ht="15" customHeight="1" x14ac:dyDescent="0.25">
      <c r="A92" s="32"/>
      <c r="B92" s="32"/>
      <c r="C92" s="32" t="s">
        <v>180</v>
      </c>
      <c r="D92" s="32"/>
      <c r="E92" s="32"/>
      <c r="F92" s="32"/>
      <c r="G92" s="32"/>
      <c r="H92" s="32"/>
      <c r="I92" s="43">
        <f>I90+I91</f>
        <v>1065612.2879999999</v>
      </c>
      <c r="J92" s="44"/>
      <c r="K92" s="31"/>
    </row>
    <row r="93" spans="1:16" ht="13.5" x14ac:dyDescent="0.25">
      <c r="C93" s="45" t="s">
        <v>182</v>
      </c>
      <c r="D93" s="46"/>
      <c r="E93" s="46"/>
      <c r="F93" s="46"/>
      <c r="G93" s="46"/>
      <c r="H93" s="46"/>
      <c r="I93" s="43">
        <v>969600</v>
      </c>
      <c r="J93" s="44"/>
    </row>
    <row r="94" spans="1:16" ht="13.5" x14ac:dyDescent="0.25">
      <c r="C94" s="36" t="s">
        <v>181</v>
      </c>
      <c r="D94" s="35"/>
      <c r="E94" s="35"/>
      <c r="F94" s="35"/>
      <c r="G94" s="35"/>
      <c r="H94" s="35"/>
      <c r="I94" s="43">
        <f>I93*20/120</f>
        <v>161600</v>
      </c>
      <c r="J94" s="44"/>
    </row>
    <row r="96" spans="1:16" ht="14.25" x14ac:dyDescent="0.2">
      <c r="A96" s="37" t="s">
        <v>173</v>
      </c>
      <c r="B96" s="37"/>
      <c r="C96" s="33" t="str">
        <f>IF(Source!AC12&lt;&gt;"", Source!AC12," ")</f>
        <v xml:space="preserve"> </v>
      </c>
      <c r="D96" s="33"/>
      <c r="E96" s="33"/>
      <c r="F96" s="33"/>
      <c r="G96" s="33"/>
      <c r="H96" s="10" t="str">
        <f>IF(Source!AB12&lt;&gt;"", Source!AB12," ")</f>
        <v xml:space="preserve"> </v>
      </c>
      <c r="I96" s="10"/>
      <c r="J96" s="10"/>
      <c r="K96" s="10"/>
    </row>
    <row r="97" spans="1:11" ht="14.25" x14ac:dyDescent="0.2">
      <c r="A97" s="10"/>
      <c r="B97" s="10"/>
      <c r="C97" s="39" t="s">
        <v>174</v>
      </c>
      <c r="D97" s="39"/>
      <c r="E97" s="39"/>
      <c r="F97" s="39"/>
      <c r="G97" s="39"/>
      <c r="H97" s="10"/>
      <c r="I97" s="10"/>
      <c r="J97" s="10"/>
      <c r="K97" s="10"/>
    </row>
    <row r="98" spans="1:11" ht="14.2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1" ht="14.25" x14ac:dyDescent="0.2">
      <c r="A99" s="37" t="s">
        <v>175</v>
      </c>
      <c r="B99" s="37"/>
      <c r="C99" s="33" t="str">
        <f>IF(Source!AE12&lt;&gt;"", Source!AE12," ")</f>
        <v xml:space="preserve"> </v>
      </c>
      <c r="D99" s="33"/>
      <c r="E99" s="33"/>
      <c r="F99" s="33"/>
      <c r="G99" s="33"/>
      <c r="H99" s="10" t="str">
        <f>IF(Source!AD12&lt;&gt;"", Source!AD12," ")</f>
        <v xml:space="preserve"> </v>
      </c>
      <c r="I99" s="10"/>
      <c r="J99" s="10"/>
      <c r="K99" s="10"/>
    </row>
    <row r="100" spans="1:11" ht="14.25" x14ac:dyDescent="0.2">
      <c r="A100" s="10"/>
      <c r="B100" s="10"/>
      <c r="C100" s="39" t="s">
        <v>174</v>
      </c>
      <c r="D100" s="39"/>
      <c r="E100" s="39"/>
      <c r="F100" s="39"/>
      <c r="G100" s="39"/>
      <c r="H100" s="10"/>
      <c r="I100" s="10"/>
      <c r="J100" s="10"/>
      <c r="K100" s="10"/>
    </row>
  </sheetData>
  <mergeCells count="60">
    <mergeCell ref="H1:K1"/>
    <mergeCell ref="H2:K2"/>
    <mergeCell ref="I91:J91"/>
    <mergeCell ref="F20:H20"/>
    <mergeCell ref="I20:J20"/>
    <mergeCell ref="A13:K13"/>
    <mergeCell ref="A15:K15"/>
    <mergeCell ref="A16:K16"/>
    <mergeCell ref="A17:K17"/>
    <mergeCell ref="F19:H19"/>
    <mergeCell ref="I19:J19"/>
    <mergeCell ref="F21:H21"/>
    <mergeCell ref="I21:J21"/>
    <mergeCell ref="F22:H22"/>
    <mergeCell ref="I22:J22"/>
    <mergeCell ref="F23:H23"/>
    <mergeCell ref="E26:E28"/>
    <mergeCell ref="B9:E9"/>
    <mergeCell ref="G9:K9"/>
    <mergeCell ref="J4:K4"/>
    <mergeCell ref="A11:K11"/>
    <mergeCell ref="A12:K12"/>
    <mergeCell ref="B5:E5"/>
    <mergeCell ref="G5:K5"/>
    <mergeCell ref="B6:E6"/>
    <mergeCell ref="G6:K6"/>
    <mergeCell ref="B8:E8"/>
    <mergeCell ref="G8:K8"/>
    <mergeCell ref="C97:G97"/>
    <mergeCell ref="I23:J23"/>
    <mergeCell ref="I50:J50"/>
    <mergeCell ref="F24:H24"/>
    <mergeCell ref="I24:J24"/>
    <mergeCell ref="F26:F28"/>
    <mergeCell ref="G26:G28"/>
    <mergeCell ref="H26:H28"/>
    <mergeCell ref="I26:I28"/>
    <mergeCell ref="J26:J28"/>
    <mergeCell ref="A31:K31"/>
    <mergeCell ref="I41:J41"/>
    <mergeCell ref="A26:A28"/>
    <mergeCell ref="B26:B28"/>
    <mergeCell ref="C26:C28"/>
    <mergeCell ref="D26:D28"/>
    <mergeCell ref="A99:B99"/>
    <mergeCell ref="I46:J46"/>
    <mergeCell ref="C100:G100"/>
    <mergeCell ref="I61:J61"/>
    <mergeCell ref="I69:J69"/>
    <mergeCell ref="I77:J77"/>
    <mergeCell ref="I85:J85"/>
    <mergeCell ref="I87:J87"/>
    <mergeCell ref="A87:H87"/>
    <mergeCell ref="I92:J92"/>
    <mergeCell ref="C93:H93"/>
    <mergeCell ref="I93:J93"/>
    <mergeCell ref="I94:J94"/>
    <mergeCell ref="I90:J90"/>
    <mergeCell ref="A90:H90"/>
    <mergeCell ref="A96:B96"/>
  </mergeCells>
  <pageMargins left="0.4" right="0.2" top="0.4" bottom="0.4" header="0.2" footer="0.2"/>
  <pageSetup paperSize="9" scale="65" fitToHeight="0" orientation="portrait" r:id="rId1"/>
  <headerFooter>
    <oddHeader>&amp;L&amp;8ГКУ "Дирекция ЖКХиБ СЗАО"  Доп. раб. место  MCCS-0020207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99"/>
  <sheetViews>
    <sheetView topLeftCell="A10" workbookViewId="0">
      <selection activeCell="L18" sqref="L18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20207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">
      <c r="A12" s="1">
        <v>1</v>
      </c>
      <c r="B12" s="1">
        <v>95</v>
      </c>
      <c r="C12" s="1">
        <v>0</v>
      </c>
      <c r="D12" s="1">
        <f>ROW(A62)</f>
        <v>62</v>
      </c>
      <c r="E12" s="1">
        <v>0</v>
      </c>
      <c r="F12" s="1" t="s">
        <v>4</v>
      </c>
      <c r="G12" s="34" t="s">
        <v>176</v>
      </c>
      <c r="H12" s="1" t="s">
        <v>6</v>
      </c>
      <c r="I12" s="1">
        <v>0</v>
      </c>
      <c r="J12" s="1" t="s">
        <v>6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6</v>
      </c>
      <c r="V12" s="1">
        <v>0</v>
      </c>
      <c r="W12" s="1" t="s">
        <v>6</v>
      </c>
      <c r="X12" s="1" t="s">
        <v>6</v>
      </c>
      <c r="Y12" s="1" t="s">
        <v>6</v>
      </c>
      <c r="Z12" s="1" t="s">
        <v>6</v>
      </c>
      <c r="AA12" s="1" t="s">
        <v>6</v>
      </c>
      <c r="AB12" s="1" t="s">
        <v>6</v>
      </c>
      <c r="AC12" s="1" t="s">
        <v>6</v>
      </c>
      <c r="AD12" s="1" t="s">
        <v>6</v>
      </c>
      <c r="AE12" s="1" t="s">
        <v>6</v>
      </c>
      <c r="AF12" s="1" t="s">
        <v>6</v>
      </c>
      <c r="AG12" s="1" t="s">
        <v>6</v>
      </c>
      <c r="AH12" s="1" t="s">
        <v>6</v>
      </c>
      <c r="AI12" s="1" t="s">
        <v>6</v>
      </c>
      <c r="AJ12" s="1" t="s">
        <v>6</v>
      </c>
      <c r="AK12" s="1"/>
      <c r="AL12" s="1" t="s">
        <v>6</v>
      </c>
      <c r="AM12" s="1" t="s">
        <v>6</v>
      </c>
      <c r="AN12" s="1" t="s">
        <v>6</v>
      </c>
      <c r="AO12" s="1"/>
      <c r="AP12" s="1" t="s">
        <v>6</v>
      </c>
      <c r="AQ12" s="1" t="s">
        <v>6</v>
      </c>
      <c r="AR12" s="1" t="s">
        <v>6</v>
      </c>
      <c r="AS12" s="1"/>
      <c r="AT12" s="1"/>
      <c r="AU12" s="1"/>
      <c r="AV12" s="1"/>
      <c r="AW12" s="1"/>
      <c r="AX12" s="1" t="s">
        <v>6</v>
      </c>
      <c r="AY12" s="1" t="s">
        <v>6</v>
      </c>
      <c r="AZ12" s="1" t="s">
        <v>6</v>
      </c>
      <c r="BA12" s="1"/>
      <c r="BB12" s="1"/>
      <c r="BC12" s="1"/>
      <c r="BD12" s="1"/>
      <c r="BE12" s="1"/>
      <c r="BF12" s="1"/>
      <c r="BG12" s="1"/>
      <c r="BH12" s="1" t="s">
        <v>7</v>
      </c>
      <c r="BI12" s="1" t="s">
        <v>8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9</v>
      </c>
      <c r="BZ12" s="1" t="s">
        <v>10</v>
      </c>
      <c r="CA12" s="1" t="s">
        <v>11</v>
      </c>
      <c r="CB12" s="1" t="s">
        <v>11</v>
      </c>
      <c r="CC12" s="1" t="s">
        <v>11</v>
      </c>
      <c r="CD12" s="1" t="s">
        <v>11</v>
      </c>
      <c r="CE12" s="1" t="s">
        <v>12</v>
      </c>
      <c r="CF12" s="1">
        <v>0</v>
      </c>
      <c r="CG12" s="1">
        <v>0</v>
      </c>
      <c r="CH12" s="1">
        <v>8</v>
      </c>
      <c r="CI12" s="1" t="s">
        <v>6</v>
      </c>
      <c r="CJ12" s="1" t="s">
        <v>6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B62</f>
        <v>95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объект_(Копия)</v>
      </c>
      <c r="G18" s="2" t="str">
        <f t="shared" si="0"/>
        <v>Выполнение работ по обустройству территорий, прилегающих к городским кладбищам Северо-Западного административного округа города Москвы.</v>
      </c>
      <c r="H18" s="2"/>
      <c r="I18" s="2"/>
      <c r="J18" s="2"/>
      <c r="K18" s="2"/>
      <c r="L18" s="2"/>
      <c r="M18" s="2"/>
      <c r="N18" s="2"/>
      <c r="O18" s="2">
        <f t="shared" ref="O18:AT18" si="1">O62</f>
        <v>755420.38</v>
      </c>
      <c r="P18" s="2">
        <f t="shared" si="1"/>
        <v>410236.51</v>
      </c>
      <c r="Q18" s="2">
        <f t="shared" si="1"/>
        <v>190668.76</v>
      </c>
      <c r="R18" s="2">
        <f t="shared" si="1"/>
        <v>100259.43</v>
      </c>
      <c r="S18" s="2">
        <f t="shared" si="1"/>
        <v>154515.10999999999</v>
      </c>
      <c r="T18" s="2">
        <f t="shared" si="1"/>
        <v>0</v>
      </c>
      <c r="U18" s="2">
        <f t="shared" si="1"/>
        <v>821.87767290000011</v>
      </c>
      <c r="V18" s="2">
        <f t="shared" si="1"/>
        <v>0</v>
      </c>
      <c r="W18" s="2">
        <f t="shared" si="1"/>
        <v>0</v>
      </c>
      <c r="X18" s="2">
        <f t="shared" si="1"/>
        <v>108160.57</v>
      </c>
      <c r="Y18" s="2">
        <f t="shared" si="1"/>
        <v>15451.52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888010.23999999999</v>
      </c>
      <c r="AS18" s="2">
        <f t="shared" si="1"/>
        <v>0</v>
      </c>
      <c r="AT18" s="2">
        <f t="shared" si="1"/>
        <v>0</v>
      </c>
      <c r="AU18" s="2">
        <f t="shared" ref="AU18:BZ18" si="2">AU62</f>
        <v>888010.23999999999</v>
      </c>
      <c r="AV18" s="2">
        <f t="shared" si="2"/>
        <v>410236.51</v>
      </c>
      <c r="AW18" s="2">
        <f t="shared" si="2"/>
        <v>410236.51</v>
      </c>
      <c r="AX18" s="2">
        <f t="shared" si="2"/>
        <v>0</v>
      </c>
      <c r="AY18" s="2">
        <f t="shared" si="2"/>
        <v>410236.51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CA62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DG62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EM62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FS62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ROW(A32)</f>
        <v>32</v>
      </c>
      <c r="E20" s="1"/>
      <c r="F20" s="1" t="s">
        <v>13</v>
      </c>
      <c r="G20" s="1" t="s">
        <v>13</v>
      </c>
      <c r="H20" s="1" t="s">
        <v>6</v>
      </c>
      <c r="I20" s="1">
        <v>0</v>
      </c>
      <c r="J20" s="1" t="s">
        <v>6</v>
      </c>
      <c r="K20" s="1">
        <v>0</v>
      </c>
      <c r="L20" s="1" t="s">
        <v>6</v>
      </c>
      <c r="M20" s="1" t="s">
        <v>6</v>
      </c>
      <c r="N20" s="1"/>
      <c r="O20" s="1"/>
      <c r="P20" s="1"/>
      <c r="Q20" s="1"/>
      <c r="R20" s="1"/>
      <c r="S20" s="1">
        <v>0</v>
      </c>
      <c r="T20" s="1"/>
      <c r="U20" s="1" t="s">
        <v>6</v>
      </c>
      <c r="V20" s="1">
        <v>0</v>
      </c>
      <c r="W20" s="1"/>
      <c r="X20" s="1"/>
      <c r="Y20" s="1"/>
      <c r="Z20" s="1"/>
      <c r="AA20" s="1"/>
      <c r="AB20" s="1" t="s">
        <v>6</v>
      </c>
      <c r="AC20" s="1" t="s">
        <v>6</v>
      </c>
      <c r="AD20" s="1" t="s">
        <v>6</v>
      </c>
      <c r="AE20" s="1" t="s">
        <v>6</v>
      </c>
      <c r="AF20" s="1" t="s">
        <v>6</v>
      </c>
      <c r="AG20" s="1" t="s">
        <v>6</v>
      </c>
      <c r="AH20" s="1"/>
      <c r="AI20" s="1"/>
      <c r="AJ20" s="1"/>
      <c r="AK20" s="1"/>
      <c r="AL20" s="1"/>
      <c r="AM20" s="1"/>
      <c r="AN20" s="1"/>
      <c r="AO20" s="1"/>
      <c r="AP20" s="1" t="s">
        <v>6</v>
      </c>
      <c r="AQ20" s="1" t="s">
        <v>6</v>
      </c>
      <c r="AR20" s="1" t="s">
        <v>6</v>
      </c>
      <c r="AS20" s="1"/>
      <c r="AT20" s="1"/>
      <c r="AU20" s="1"/>
      <c r="AV20" s="1"/>
      <c r="AW20" s="1"/>
      <c r="AX20" s="1"/>
      <c r="AY20" s="1"/>
      <c r="AZ20" s="1" t="s">
        <v>6</v>
      </c>
      <c r="BA20" s="1"/>
      <c r="BB20" s="1" t="s">
        <v>6</v>
      </c>
      <c r="BC20" s="1" t="s">
        <v>6</v>
      </c>
      <c r="BD20" s="1" t="s">
        <v>6</v>
      </c>
      <c r="BE20" s="1" t="s">
        <v>6</v>
      </c>
      <c r="BF20" s="1" t="s">
        <v>6</v>
      </c>
      <c r="BG20" s="1" t="s">
        <v>6</v>
      </c>
      <c r="BH20" s="1" t="s">
        <v>6</v>
      </c>
      <c r="BI20" s="1" t="s">
        <v>6</v>
      </c>
      <c r="BJ20" s="1" t="s">
        <v>6</v>
      </c>
      <c r="BK20" s="1" t="s">
        <v>6</v>
      </c>
      <c r="BL20" s="1" t="s">
        <v>6</v>
      </c>
      <c r="BM20" s="1" t="s">
        <v>6</v>
      </c>
      <c r="BN20" s="1" t="s">
        <v>6</v>
      </c>
      <c r="BO20" s="1" t="s">
        <v>6</v>
      </c>
      <c r="BP20" s="1" t="s">
        <v>6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6</v>
      </c>
      <c r="CJ20" s="1" t="s">
        <v>6</v>
      </c>
      <c r="CK20" t="s">
        <v>6</v>
      </c>
      <c r="CL20" t="s">
        <v>6</v>
      </c>
      <c r="CM20" t="s">
        <v>6</v>
      </c>
      <c r="CN20" t="s">
        <v>6</v>
      </c>
      <c r="CO20" t="s">
        <v>6</v>
      </c>
      <c r="CP20" t="s">
        <v>6</v>
      </c>
      <c r="CQ20" t="s">
        <v>6</v>
      </c>
    </row>
    <row r="22" spans="1:245" x14ac:dyDescent="0.2">
      <c r="A22" s="2">
        <v>52</v>
      </c>
      <c r="B22" s="2">
        <f t="shared" ref="B22:G22" si="7">B32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O32</f>
        <v>755420.38</v>
      </c>
      <c r="P22" s="2">
        <f t="shared" si="8"/>
        <v>410236.51</v>
      </c>
      <c r="Q22" s="2">
        <f t="shared" si="8"/>
        <v>190668.76</v>
      </c>
      <c r="R22" s="2">
        <f t="shared" si="8"/>
        <v>100259.43</v>
      </c>
      <c r="S22" s="2">
        <f t="shared" si="8"/>
        <v>154515.10999999999</v>
      </c>
      <c r="T22" s="2">
        <f t="shared" si="8"/>
        <v>0</v>
      </c>
      <c r="U22" s="2">
        <f t="shared" si="8"/>
        <v>821.87767290000011</v>
      </c>
      <c r="V22" s="2">
        <f t="shared" si="8"/>
        <v>0</v>
      </c>
      <c r="W22" s="2">
        <f t="shared" si="8"/>
        <v>0</v>
      </c>
      <c r="X22" s="2">
        <f t="shared" si="8"/>
        <v>108160.57</v>
      </c>
      <c r="Y22" s="2">
        <f t="shared" si="8"/>
        <v>15451.52</v>
      </c>
      <c r="Z22" s="2">
        <f t="shared" si="8"/>
        <v>0</v>
      </c>
      <c r="AA22" s="2">
        <f t="shared" si="8"/>
        <v>0</v>
      </c>
      <c r="AB22" s="2">
        <f t="shared" si="8"/>
        <v>755420.38</v>
      </c>
      <c r="AC22" s="2">
        <f t="shared" si="8"/>
        <v>410236.51</v>
      </c>
      <c r="AD22" s="2">
        <f t="shared" si="8"/>
        <v>190668.76</v>
      </c>
      <c r="AE22" s="2">
        <f t="shared" si="8"/>
        <v>100259.43</v>
      </c>
      <c r="AF22" s="2">
        <f t="shared" si="8"/>
        <v>154515.10999999999</v>
      </c>
      <c r="AG22" s="2">
        <f t="shared" si="8"/>
        <v>0</v>
      </c>
      <c r="AH22" s="2">
        <f t="shared" si="8"/>
        <v>821.87767290000011</v>
      </c>
      <c r="AI22" s="2">
        <f t="shared" si="8"/>
        <v>0</v>
      </c>
      <c r="AJ22" s="2">
        <f t="shared" si="8"/>
        <v>0</v>
      </c>
      <c r="AK22" s="2">
        <f t="shared" si="8"/>
        <v>108160.57</v>
      </c>
      <c r="AL22" s="2">
        <f t="shared" si="8"/>
        <v>15451.52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888010.23999999999</v>
      </c>
      <c r="AS22" s="2">
        <f t="shared" si="8"/>
        <v>0</v>
      </c>
      <c r="AT22" s="2">
        <f t="shared" si="8"/>
        <v>0</v>
      </c>
      <c r="AU22" s="2">
        <f t="shared" ref="AU22:BZ22" si="9">AU32</f>
        <v>888010.23999999999</v>
      </c>
      <c r="AV22" s="2">
        <f t="shared" si="9"/>
        <v>410236.51</v>
      </c>
      <c r="AW22" s="2">
        <f t="shared" si="9"/>
        <v>410236.51</v>
      </c>
      <c r="AX22" s="2">
        <f t="shared" si="9"/>
        <v>0</v>
      </c>
      <c r="AY22" s="2">
        <f t="shared" si="9"/>
        <v>410236.51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CA32</f>
        <v>888010.23999999999</v>
      </c>
      <c r="CB22" s="2">
        <f t="shared" si="10"/>
        <v>0</v>
      </c>
      <c r="CC22" s="2">
        <f t="shared" si="10"/>
        <v>0</v>
      </c>
      <c r="CD22" s="2">
        <f t="shared" si="10"/>
        <v>888010.23999999999</v>
      </c>
      <c r="CE22" s="2">
        <f t="shared" si="10"/>
        <v>410236.51</v>
      </c>
      <c r="CF22" s="2">
        <f t="shared" si="10"/>
        <v>410236.51</v>
      </c>
      <c r="CG22" s="2">
        <f t="shared" si="10"/>
        <v>0</v>
      </c>
      <c r="CH22" s="2">
        <f t="shared" si="10"/>
        <v>410236.51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DG32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EM32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FS32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>
        <v>17</v>
      </c>
      <c r="B24">
        <v>1</v>
      </c>
      <c r="C24">
        <f>ROW(SmtRes!A3)</f>
        <v>3</v>
      </c>
      <c r="D24">
        <f>ROW(EtalonRes!A3)</f>
        <v>3</v>
      </c>
      <c r="E24" t="s">
        <v>14</v>
      </c>
      <c r="F24" t="s">
        <v>15</v>
      </c>
      <c r="G24" t="s">
        <v>16</v>
      </c>
      <c r="H24" t="s">
        <v>17</v>
      </c>
      <c r="I24">
        <f>ROUND((2308.71*0.1)/100,9)</f>
        <v>2.30871</v>
      </c>
      <c r="J24">
        <v>0</v>
      </c>
      <c r="O24">
        <f t="shared" ref="O24:O30" si="14">ROUND(CP24,2)</f>
        <v>20931.669999999998</v>
      </c>
      <c r="P24">
        <f t="shared" ref="P24:P30" si="15">ROUND(CQ24*I24,2)</f>
        <v>0</v>
      </c>
      <c r="Q24">
        <f t="shared" ref="Q24:Q30" si="16">ROUND(CR24*I24,2)</f>
        <v>20268.189999999999</v>
      </c>
      <c r="R24">
        <f t="shared" ref="R24:R30" si="17">ROUND(CS24*I24,2)</f>
        <v>7927.83</v>
      </c>
      <c r="S24">
        <f t="shared" ref="S24:S30" si="18">ROUND(CT24*I24,2)</f>
        <v>663.48</v>
      </c>
      <c r="T24">
        <f t="shared" ref="T24:T30" si="19">ROUND(CU24*I24,2)</f>
        <v>0</v>
      </c>
      <c r="U24">
        <f t="shared" ref="U24:U30" si="20">CV24*I24</f>
        <v>3.6708489000000002</v>
      </c>
      <c r="V24">
        <f t="shared" ref="V24:V30" si="21">CW24*I24</f>
        <v>0</v>
      </c>
      <c r="W24">
        <f t="shared" ref="W24:W30" si="22">ROUND(CX24*I24,2)</f>
        <v>0</v>
      </c>
      <c r="X24">
        <f t="shared" ref="X24:Y30" si="23">ROUND(CY24,2)</f>
        <v>464.44</v>
      </c>
      <c r="Y24">
        <f t="shared" si="23"/>
        <v>66.349999999999994</v>
      </c>
      <c r="AA24">
        <v>39231334</v>
      </c>
      <c r="AB24">
        <f t="shared" ref="AB24:AB30" si="24">ROUND((AC24+AD24+AF24),6)</f>
        <v>9066.39</v>
      </c>
      <c r="AC24">
        <f>ROUND((ES24),6)</f>
        <v>0</v>
      </c>
      <c r="AD24">
        <f>ROUND((((ET24)-(EU24))+AE24),6)</f>
        <v>8779.01</v>
      </c>
      <c r="AE24">
        <f>ROUND((EU24),6)</f>
        <v>3433.88</v>
      </c>
      <c r="AF24">
        <f>ROUND((EV24),6)</f>
        <v>287.38</v>
      </c>
      <c r="AG24">
        <f t="shared" ref="AG24:AG30" si="25">ROUND((AP24),6)</f>
        <v>0</v>
      </c>
      <c r="AH24">
        <f>(EW24)</f>
        <v>1.59</v>
      </c>
      <c r="AI24">
        <f>(EX24)</f>
        <v>0</v>
      </c>
      <c r="AJ24">
        <f t="shared" ref="AJ24:AJ30" si="26">(AS24)</f>
        <v>0</v>
      </c>
      <c r="AK24">
        <v>9066.39</v>
      </c>
      <c r="AL24">
        <v>0</v>
      </c>
      <c r="AM24">
        <v>8779.01</v>
      </c>
      <c r="AN24">
        <v>3433.88</v>
      </c>
      <c r="AO24">
        <v>287.38</v>
      </c>
      <c r="AP24">
        <v>0</v>
      </c>
      <c r="AQ24">
        <v>1.59</v>
      </c>
      <c r="AR24">
        <v>0</v>
      </c>
      <c r="AS24">
        <v>0</v>
      </c>
      <c r="AT24">
        <v>70</v>
      </c>
      <c r="AU24">
        <v>10</v>
      </c>
      <c r="AV24">
        <v>1</v>
      </c>
      <c r="AW24">
        <v>1</v>
      </c>
      <c r="AZ24">
        <v>1</v>
      </c>
      <c r="BA24">
        <v>1</v>
      </c>
      <c r="BB24">
        <v>1</v>
      </c>
      <c r="BC24">
        <v>1</v>
      </c>
      <c r="BD24" t="s">
        <v>6</v>
      </c>
      <c r="BE24" t="s">
        <v>6</v>
      </c>
      <c r="BF24" t="s">
        <v>6</v>
      </c>
      <c r="BG24" t="s">
        <v>6</v>
      </c>
      <c r="BH24">
        <v>0</v>
      </c>
      <c r="BI24">
        <v>4</v>
      </c>
      <c r="BJ24" t="s">
        <v>18</v>
      </c>
      <c r="BM24">
        <v>0</v>
      </c>
      <c r="BN24">
        <v>0</v>
      </c>
      <c r="BO24" t="s">
        <v>6</v>
      </c>
      <c r="BP24">
        <v>0</v>
      </c>
      <c r="BQ24">
        <v>1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 t="s">
        <v>6</v>
      </c>
      <c r="BZ24">
        <v>70</v>
      </c>
      <c r="CA24">
        <v>10</v>
      </c>
      <c r="CE24">
        <v>0</v>
      </c>
      <c r="CF24">
        <v>0</v>
      </c>
      <c r="CG24">
        <v>0</v>
      </c>
      <c r="CM24">
        <v>0</v>
      </c>
      <c r="CN24" t="s">
        <v>6</v>
      </c>
      <c r="CO24">
        <v>0</v>
      </c>
      <c r="CP24">
        <f t="shared" ref="CP24:CP30" si="27">(P24+Q24+S24)</f>
        <v>20931.669999999998</v>
      </c>
      <c r="CQ24">
        <f t="shared" ref="CQ24:CQ30" si="28">(AC24*BC24*AW24)</f>
        <v>0</v>
      </c>
      <c r="CR24">
        <f>((((ET24)*BB24-(EU24)*BS24)+AE24*BS24)*AV24)</f>
        <v>8779.01</v>
      </c>
      <c r="CS24">
        <f t="shared" ref="CS24:CS30" si="29">(AE24*BS24*AV24)</f>
        <v>3433.88</v>
      </c>
      <c r="CT24">
        <f t="shared" ref="CT24:CT30" si="30">(AF24*BA24*AV24)</f>
        <v>287.38</v>
      </c>
      <c r="CU24">
        <f t="shared" ref="CU24:CU30" si="31">AG24</f>
        <v>0</v>
      </c>
      <c r="CV24">
        <f t="shared" ref="CV24:CV30" si="32">(AH24*AV24)</f>
        <v>1.59</v>
      </c>
      <c r="CW24">
        <f t="shared" ref="CW24:CX30" si="33">AI24</f>
        <v>0</v>
      </c>
      <c r="CX24">
        <f t="shared" si="33"/>
        <v>0</v>
      </c>
      <c r="CY24">
        <f t="shared" ref="CY24:CY30" si="34">((S24*BZ24)/100)</f>
        <v>464.43599999999998</v>
      </c>
      <c r="CZ24">
        <f t="shared" ref="CZ24:CZ30" si="35">((S24*CA24)/100)</f>
        <v>66.347999999999999</v>
      </c>
      <c r="DC24" t="s">
        <v>6</v>
      </c>
      <c r="DD24" t="s">
        <v>6</v>
      </c>
      <c r="DE24" t="s">
        <v>6</v>
      </c>
      <c r="DF24" t="s">
        <v>6</v>
      </c>
      <c r="DG24" t="s">
        <v>6</v>
      </c>
      <c r="DH24" t="s">
        <v>6</v>
      </c>
      <c r="DI24" t="s">
        <v>6</v>
      </c>
      <c r="DJ24" t="s">
        <v>6</v>
      </c>
      <c r="DK24" t="s">
        <v>6</v>
      </c>
      <c r="DL24" t="s">
        <v>6</v>
      </c>
      <c r="DM24" t="s">
        <v>6</v>
      </c>
      <c r="DN24">
        <v>0</v>
      </c>
      <c r="DO24">
        <v>0</v>
      </c>
      <c r="DP24">
        <v>1</v>
      </c>
      <c r="DQ24">
        <v>1</v>
      </c>
      <c r="DU24">
        <v>1007</v>
      </c>
      <c r="DV24" t="s">
        <v>17</v>
      </c>
      <c r="DW24" t="s">
        <v>17</v>
      </c>
      <c r="DX24">
        <v>100</v>
      </c>
      <c r="DZ24" t="s">
        <v>6</v>
      </c>
      <c r="EA24" t="s">
        <v>6</v>
      </c>
      <c r="EB24" t="s">
        <v>6</v>
      </c>
      <c r="EC24" t="s">
        <v>6</v>
      </c>
      <c r="EE24">
        <v>38708473</v>
      </c>
      <c r="EF24">
        <v>1</v>
      </c>
      <c r="EG24" t="s">
        <v>19</v>
      </c>
      <c r="EH24">
        <v>0</v>
      </c>
      <c r="EI24" t="s">
        <v>6</v>
      </c>
      <c r="EJ24">
        <v>4</v>
      </c>
      <c r="EK24">
        <v>0</v>
      </c>
      <c r="EL24" t="s">
        <v>20</v>
      </c>
      <c r="EM24" t="s">
        <v>21</v>
      </c>
      <c r="EO24" t="s">
        <v>6</v>
      </c>
      <c r="EQ24">
        <v>0</v>
      </c>
      <c r="ER24">
        <v>9066.39</v>
      </c>
      <c r="ES24">
        <v>0</v>
      </c>
      <c r="ET24">
        <v>8779.01</v>
      </c>
      <c r="EU24">
        <v>3433.88</v>
      </c>
      <c r="EV24">
        <v>287.38</v>
      </c>
      <c r="EW24">
        <v>1.59</v>
      </c>
      <c r="EX24">
        <v>0</v>
      </c>
      <c r="EY24">
        <v>0</v>
      </c>
      <c r="FQ24">
        <v>0</v>
      </c>
      <c r="FR24">
        <f t="shared" ref="FR24:FR30" si="36">ROUND(IF(AND(BH24=3,BI24=3),P24,0),2)</f>
        <v>0</v>
      </c>
      <c r="FS24">
        <v>0</v>
      </c>
      <c r="FX24">
        <v>70</v>
      </c>
      <c r="FY24">
        <v>10</v>
      </c>
      <c r="GA24" t="s">
        <v>6</v>
      </c>
      <c r="GD24">
        <v>0</v>
      </c>
      <c r="GF24">
        <v>786330748</v>
      </c>
      <c r="GG24">
        <v>2</v>
      </c>
      <c r="GH24">
        <v>1</v>
      </c>
      <c r="GI24">
        <v>-2</v>
      </c>
      <c r="GJ24">
        <v>0</v>
      </c>
      <c r="GK24">
        <f>ROUND(R24*(R12)/100,2)</f>
        <v>8562.06</v>
      </c>
      <c r="GL24">
        <f t="shared" ref="GL24:GL30" si="37">ROUND(IF(AND(BH24=3,BI24=3,FS24&lt;&gt;0),P24,0),2)</f>
        <v>0</v>
      </c>
      <c r="GM24">
        <f>ROUND(O24+X24+Y24+GK24,2)+GX24</f>
        <v>30024.52</v>
      </c>
      <c r="GN24">
        <f>IF(OR(BI24=0,BI24=1),ROUND(O24+X24+Y24+GK24,2),0)</f>
        <v>0</v>
      </c>
      <c r="GO24">
        <f>IF(BI24=2,ROUND(O24+X24+Y24+GK24,2),0)</f>
        <v>0</v>
      </c>
      <c r="GP24">
        <f>IF(BI24=4,ROUND(O24+X24+Y24+GK24,2)+GX24,0)</f>
        <v>30024.52</v>
      </c>
      <c r="GR24">
        <v>0</v>
      </c>
      <c r="GS24">
        <v>3</v>
      </c>
      <c r="GT24">
        <v>0</v>
      </c>
      <c r="GU24" t="s">
        <v>6</v>
      </c>
      <c r="GV24">
        <f>ROUND((GT24),6)</f>
        <v>0</v>
      </c>
      <c r="GW24">
        <v>1</v>
      </c>
      <c r="GX24">
        <f t="shared" ref="GX24:GX30" si="38">ROUND(HC24*I24,2)</f>
        <v>0</v>
      </c>
      <c r="HA24">
        <v>0</v>
      </c>
      <c r="HB24">
        <v>0</v>
      </c>
      <c r="HC24">
        <f t="shared" ref="HC24:HC30" si="39">GV24*GW24</f>
        <v>0</v>
      </c>
      <c r="HE24" t="s">
        <v>6</v>
      </c>
      <c r="HF24" t="s">
        <v>6</v>
      </c>
      <c r="IK24">
        <v>0</v>
      </c>
    </row>
    <row r="25" spans="1:245" x14ac:dyDescent="0.2">
      <c r="A25">
        <v>17</v>
      </c>
      <c r="B25">
        <v>1</v>
      </c>
      <c r="C25">
        <f>ROW(SmtRes!A4)</f>
        <v>4</v>
      </c>
      <c r="D25">
        <f>ROW(EtalonRes!A4)</f>
        <v>4</v>
      </c>
      <c r="E25" t="s">
        <v>22</v>
      </c>
      <c r="F25" t="s">
        <v>23</v>
      </c>
      <c r="G25" t="s">
        <v>24</v>
      </c>
      <c r="H25" t="s">
        <v>25</v>
      </c>
      <c r="I25">
        <f>ROUND(2308.71*0.1,9)</f>
        <v>230.87100000000001</v>
      </c>
      <c r="J25">
        <v>0</v>
      </c>
      <c r="O25">
        <f t="shared" si="14"/>
        <v>10913.27</v>
      </c>
      <c r="P25">
        <f t="shared" si="15"/>
        <v>0</v>
      </c>
      <c r="Q25">
        <f t="shared" si="16"/>
        <v>10913.27</v>
      </c>
      <c r="R25">
        <f t="shared" si="17"/>
        <v>5924.15</v>
      </c>
      <c r="S25">
        <f t="shared" si="18"/>
        <v>0</v>
      </c>
      <c r="T25">
        <f t="shared" si="19"/>
        <v>0</v>
      </c>
      <c r="U25">
        <f t="shared" si="20"/>
        <v>0</v>
      </c>
      <c r="V25">
        <f t="shared" si="21"/>
        <v>0</v>
      </c>
      <c r="W25">
        <f t="shared" si="22"/>
        <v>0</v>
      </c>
      <c r="X25">
        <f t="shared" si="23"/>
        <v>0</v>
      </c>
      <c r="Y25">
        <f t="shared" si="23"/>
        <v>0</v>
      </c>
      <c r="AA25">
        <v>39231334</v>
      </c>
      <c r="AB25">
        <f t="shared" si="24"/>
        <v>47.27</v>
      </c>
      <c r="AC25">
        <f>ROUND((ES25),6)</f>
        <v>0</v>
      </c>
      <c r="AD25">
        <f>ROUND((((ET25)-(EU25))+AE25),6)</f>
        <v>47.27</v>
      </c>
      <c r="AE25">
        <f>ROUND((EU25),6)</f>
        <v>25.66</v>
      </c>
      <c r="AF25">
        <f>ROUND((EV25),6)</f>
        <v>0</v>
      </c>
      <c r="AG25">
        <f t="shared" si="25"/>
        <v>0</v>
      </c>
      <c r="AH25">
        <f>(EW25)</f>
        <v>0</v>
      </c>
      <c r="AI25">
        <f>(EX25)</f>
        <v>0</v>
      </c>
      <c r="AJ25">
        <f t="shared" si="26"/>
        <v>0</v>
      </c>
      <c r="AK25">
        <v>47.27</v>
      </c>
      <c r="AL25">
        <v>0</v>
      </c>
      <c r="AM25">
        <v>47.27</v>
      </c>
      <c r="AN25">
        <v>25.66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Z25">
        <v>1</v>
      </c>
      <c r="BA25">
        <v>1</v>
      </c>
      <c r="BB25">
        <v>1</v>
      </c>
      <c r="BC25">
        <v>1</v>
      </c>
      <c r="BD25" t="s">
        <v>6</v>
      </c>
      <c r="BE25" t="s">
        <v>6</v>
      </c>
      <c r="BF25" t="s">
        <v>6</v>
      </c>
      <c r="BG25" t="s">
        <v>6</v>
      </c>
      <c r="BH25">
        <v>0</v>
      </c>
      <c r="BI25">
        <v>4</v>
      </c>
      <c r="BJ25" t="s">
        <v>26</v>
      </c>
      <c r="BM25">
        <v>1</v>
      </c>
      <c r="BN25">
        <v>0</v>
      </c>
      <c r="BO25" t="s">
        <v>6</v>
      </c>
      <c r="BP25">
        <v>0</v>
      </c>
      <c r="BQ25">
        <v>1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 t="s">
        <v>6</v>
      </c>
      <c r="BZ25">
        <v>0</v>
      </c>
      <c r="CA25">
        <v>0</v>
      </c>
      <c r="CE25">
        <v>0</v>
      </c>
      <c r="CF25">
        <v>0</v>
      </c>
      <c r="CG25">
        <v>0</v>
      </c>
      <c r="CM25">
        <v>0</v>
      </c>
      <c r="CN25" t="s">
        <v>6</v>
      </c>
      <c r="CO25">
        <v>0</v>
      </c>
      <c r="CP25">
        <f t="shared" si="27"/>
        <v>10913.27</v>
      </c>
      <c r="CQ25">
        <f t="shared" si="28"/>
        <v>0</v>
      </c>
      <c r="CR25">
        <f>((((ET25)*BB25-(EU25)*BS25)+AE25*BS25)*AV25)</f>
        <v>47.27</v>
      </c>
      <c r="CS25">
        <f t="shared" si="29"/>
        <v>25.66</v>
      </c>
      <c r="CT25">
        <f t="shared" si="30"/>
        <v>0</v>
      </c>
      <c r="CU25">
        <f t="shared" si="31"/>
        <v>0</v>
      </c>
      <c r="CV25">
        <f t="shared" si="32"/>
        <v>0</v>
      </c>
      <c r="CW25">
        <f t="shared" si="33"/>
        <v>0</v>
      </c>
      <c r="CX25">
        <f t="shared" si="33"/>
        <v>0</v>
      </c>
      <c r="CY25">
        <f t="shared" si="34"/>
        <v>0</v>
      </c>
      <c r="CZ25">
        <f t="shared" si="35"/>
        <v>0</v>
      </c>
      <c r="DC25" t="s">
        <v>6</v>
      </c>
      <c r="DD25" t="s">
        <v>6</v>
      </c>
      <c r="DE25" t="s">
        <v>6</v>
      </c>
      <c r="DF25" t="s">
        <v>6</v>
      </c>
      <c r="DG25" t="s">
        <v>6</v>
      </c>
      <c r="DH25" t="s">
        <v>6</v>
      </c>
      <c r="DI25" t="s">
        <v>6</v>
      </c>
      <c r="DJ25" t="s">
        <v>6</v>
      </c>
      <c r="DK25" t="s">
        <v>6</v>
      </c>
      <c r="DL25" t="s">
        <v>6</v>
      </c>
      <c r="DM25" t="s">
        <v>6</v>
      </c>
      <c r="DN25">
        <v>0</v>
      </c>
      <c r="DO25">
        <v>0</v>
      </c>
      <c r="DP25">
        <v>1</v>
      </c>
      <c r="DQ25">
        <v>1</v>
      </c>
      <c r="DU25">
        <v>1007</v>
      </c>
      <c r="DV25" t="s">
        <v>25</v>
      </c>
      <c r="DW25" t="s">
        <v>25</v>
      </c>
      <c r="DX25">
        <v>1</v>
      </c>
      <c r="DZ25" t="s">
        <v>6</v>
      </c>
      <c r="EA25" t="s">
        <v>6</v>
      </c>
      <c r="EB25" t="s">
        <v>6</v>
      </c>
      <c r="EC25" t="s">
        <v>6</v>
      </c>
      <c r="EE25">
        <v>38708475</v>
      </c>
      <c r="EF25">
        <v>1</v>
      </c>
      <c r="EG25" t="s">
        <v>19</v>
      </c>
      <c r="EH25">
        <v>0</v>
      </c>
      <c r="EI25" t="s">
        <v>6</v>
      </c>
      <c r="EJ25">
        <v>4</v>
      </c>
      <c r="EK25">
        <v>1</v>
      </c>
      <c r="EL25" t="s">
        <v>27</v>
      </c>
      <c r="EM25" t="s">
        <v>21</v>
      </c>
      <c r="EO25" t="s">
        <v>6</v>
      </c>
      <c r="EQ25">
        <v>0</v>
      </c>
      <c r="ER25">
        <v>47.27</v>
      </c>
      <c r="ES25">
        <v>0</v>
      </c>
      <c r="ET25">
        <v>47.27</v>
      </c>
      <c r="EU25">
        <v>25.66</v>
      </c>
      <c r="EV25">
        <v>0</v>
      </c>
      <c r="EW25">
        <v>0</v>
      </c>
      <c r="EX25">
        <v>0</v>
      </c>
      <c r="EY25">
        <v>0</v>
      </c>
      <c r="FQ25">
        <v>0</v>
      </c>
      <c r="FR25">
        <f t="shared" si="36"/>
        <v>0</v>
      </c>
      <c r="FS25">
        <v>0</v>
      </c>
      <c r="FX25">
        <v>0</v>
      </c>
      <c r="FY25">
        <v>0</v>
      </c>
      <c r="GA25" t="s">
        <v>6</v>
      </c>
      <c r="GD25">
        <v>1</v>
      </c>
      <c r="GF25">
        <v>-1249335408</v>
      </c>
      <c r="GG25">
        <v>2</v>
      </c>
      <c r="GH25">
        <v>1</v>
      </c>
      <c r="GI25">
        <v>-2</v>
      </c>
      <c r="GJ25">
        <v>0</v>
      </c>
      <c r="GK25">
        <v>0</v>
      </c>
      <c r="GL25">
        <f t="shared" si="37"/>
        <v>0</v>
      </c>
      <c r="GM25">
        <f>ROUND(O25+X25+Y25,2)+GX25</f>
        <v>10913.27</v>
      </c>
      <c r="GN25">
        <f>IF(OR(BI25=0,BI25=1),ROUND(O25+X25+Y25,2),0)</f>
        <v>0</v>
      </c>
      <c r="GO25">
        <f>IF(BI25=2,ROUND(O25+X25+Y25,2),0)</f>
        <v>0</v>
      </c>
      <c r="GP25">
        <f>IF(BI25=4,ROUND(O25+X25+Y25,2)+GX25,0)</f>
        <v>10913.27</v>
      </c>
      <c r="GR25">
        <v>0</v>
      </c>
      <c r="GS25">
        <v>3</v>
      </c>
      <c r="GT25">
        <v>0</v>
      </c>
      <c r="GU25" t="s">
        <v>6</v>
      </c>
      <c r="GV25">
        <f>ROUND((GT25),6)</f>
        <v>0</v>
      </c>
      <c r="GW25">
        <v>1</v>
      </c>
      <c r="GX25">
        <f t="shared" si="38"/>
        <v>0</v>
      </c>
      <c r="HA25">
        <v>0</v>
      </c>
      <c r="HB25">
        <v>0</v>
      </c>
      <c r="HC25">
        <f t="shared" si="39"/>
        <v>0</v>
      </c>
      <c r="HE25" t="s">
        <v>6</v>
      </c>
      <c r="HF25" t="s">
        <v>6</v>
      </c>
      <c r="IK25">
        <v>0</v>
      </c>
    </row>
    <row r="26" spans="1:245" x14ac:dyDescent="0.2">
      <c r="A26">
        <v>17</v>
      </c>
      <c r="B26">
        <v>1</v>
      </c>
      <c r="C26">
        <f>ROW(SmtRes!A5)</f>
        <v>5</v>
      </c>
      <c r="D26">
        <f>ROW(EtalonRes!A5)</f>
        <v>5</v>
      </c>
      <c r="E26" t="s">
        <v>28</v>
      </c>
      <c r="F26" t="s">
        <v>29</v>
      </c>
      <c r="G26" t="s">
        <v>30</v>
      </c>
      <c r="H26" t="s">
        <v>25</v>
      </c>
      <c r="I26">
        <f>ROUND(I25,9)</f>
        <v>230.87100000000001</v>
      </c>
      <c r="J26">
        <v>0</v>
      </c>
      <c r="O26">
        <f t="shared" si="14"/>
        <v>158435.22</v>
      </c>
      <c r="P26">
        <f t="shared" si="15"/>
        <v>0</v>
      </c>
      <c r="Q26">
        <f t="shared" si="16"/>
        <v>158435.22</v>
      </c>
      <c r="R26">
        <f t="shared" si="17"/>
        <v>86022.53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>
        <f t="shared" si="23"/>
        <v>0</v>
      </c>
      <c r="Y26">
        <f t="shared" si="23"/>
        <v>0</v>
      </c>
      <c r="AA26">
        <v>39231334</v>
      </c>
      <c r="AB26">
        <f t="shared" si="24"/>
        <v>686.25</v>
      </c>
      <c r="AC26">
        <f>ROUND(((ES26*45)),6)</f>
        <v>0</v>
      </c>
      <c r="AD26">
        <f>ROUND(((((ET26*45))-((EU26*45)))+AE26),6)</f>
        <v>686.25</v>
      </c>
      <c r="AE26">
        <f>ROUND(((EU26*45)),6)</f>
        <v>372.6</v>
      </c>
      <c r="AF26">
        <f>ROUND(((EV26*45)),6)</f>
        <v>0</v>
      </c>
      <c r="AG26">
        <f t="shared" si="25"/>
        <v>0</v>
      </c>
      <c r="AH26">
        <f>((EW26*45))</f>
        <v>0</v>
      </c>
      <c r="AI26">
        <f>((EX26*45))</f>
        <v>0</v>
      </c>
      <c r="AJ26">
        <f t="shared" si="26"/>
        <v>0</v>
      </c>
      <c r="AK26">
        <v>15.25</v>
      </c>
      <c r="AL26">
        <v>0</v>
      </c>
      <c r="AM26">
        <v>15.25</v>
      </c>
      <c r="AN26">
        <v>8.2799999999999994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Z26">
        <v>1</v>
      </c>
      <c r="BA26">
        <v>1</v>
      </c>
      <c r="BB26">
        <v>1</v>
      </c>
      <c r="BC26">
        <v>1</v>
      </c>
      <c r="BD26" t="s">
        <v>6</v>
      </c>
      <c r="BE26" t="s">
        <v>6</v>
      </c>
      <c r="BF26" t="s">
        <v>6</v>
      </c>
      <c r="BG26" t="s">
        <v>6</v>
      </c>
      <c r="BH26">
        <v>0</v>
      </c>
      <c r="BI26">
        <v>4</v>
      </c>
      <c r="BJ26" t="s">
        <v>31</v>
      </c>
      <c r="BM26">
        <v>1</v>
      </c>
      <c r="BN26">
        <v>0</v>
      </c>
      <c r="BO26" t="s">
        <v>6</v>
      </c>
      <c r="BP26">
        <v>0</v>
      </c>
      <c r="BQ26">
        <v>1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 t="s">
        <v>6</v>
      </c>
      <c r="BZ26">
        <v>0</v>
      </c>
      <c r="CA26">
        <v>0</v>
      </c>
      <c r="CE26">
        <v>0</v>
      </c>
      <c r="CF26">
        <v>0</v>
      </c>
      <c r="CG26">
        <v>0</v>
      </c>
      <c r="CM26">
        <v>0</v>
      </c>
      <c r="CN26" t="s">
        <v>6</v>
      </c>
      <c r="CO26">
        <v>0</v>
      </c>
      <c r="CP26">
        <f t="shared" si="27"/>
        <v>158435.22</v>
      </c>
      <c r="CQ26">
        <f t="shared" si="28"/>
        <v>0</v>
      </c>
      <c r="CR26">
        <f>(((((ET26*45))*BB26-((EU26*45))*BS26)+AE26*BS26)*AV26)</f>
        <v>686.25</v>
      </c>
      <c r="CS26">
        <f t="shared" si="29"/>
        <v>372.6</v>
      </c>
      <c r="CT26">
        <f t="shared" si="30"/>
        <v>0</v>
      </c>
      <c r="CU26">
        <f t="shared" si="31"/>
        <v>0</v>
      </c>
      <c r="CV26">
        <f t="shared" si="32"/>
        <v>0</v>
      </c>
      <c r="CW26">
        <f t="shared" si="33"/>
        <v>0</v>
      </c>
      <c r="CX26">
        <f t="shared" si="33"/>
        <v>0</v>
      </c>
      <c r="CY26">
        <f t="shared" si="34"/>
        <v>0</v>
      </c>
      <c r="CZ26">
        <f t="shared" si="35"/>
        <v>0</v>
      </c>
      <c r="DC26" t="s">
        <v>6</v>
      </c>
      <c r="DD26" t="s">
        <v>32</v>
      </c>
      <c r="DE26" t="s">
        <v>32</v>
      </c>
      <c r="DF26" t="s">
        <v>32</v>
      </c>
      <c r="DG26" t="s">
        <v>32</v>
      </c>
      <c r="DH26" t="s">
        <v>6</v>
      </c>
      <c r="DI26" t="s">
        <v>32</v>
      </c>
      <c r="DJ26" t="s">
        <v>32</v>
      </c>
      <c r="DK26" t="s">
        <v>6</v>
      </c>
      <c r="DL26" t="s">
        <v>6</v>
      </c>
      <c r="DM26" t="s">
        <v>6</v>
      </c>
      <c r="DN26">
        <v>0</v>
      </c>
      <c r="DO26">
        <v>0</v>
      </c>
      <c r="DP26">
        <v>1</v>
      </c>
      <c r="DQ26">
        <v>1</v>
      </c>
      <c r="DU26">
        <v>1007</v>
      </c>
      <c r="DV26" t="s">
        <v>25</v>
      </c>
      <c r="DW26" t="s">
        <v>25</v>
      </c>
      <c r="DX26">
        <v>1</v>
      </c>
      <c r="DZ26" t="s">
        <v>6</v>
      </c>
      <c r="EA26" t="s">
        <v>6</v>
      </c>
      <c r="EB26" t="s">
        <v>6</v>
      </c>
      <c r="EC26" t="s">
        <v>6</v>
      </c>
      <c r="EE26">
        <v>38708475</v>
      </c>
      <c r="EF26">
        <v>1</v>
      </c>
      <c r="EG26" t="s">
        <v>19</v>
      </c>
      <c r="EH26">
        <v>0</v>
      </c>
      <c r="EI26" t="s">
        <v>6</v>
      </c>
      <c r="EJ26">
        <v>4</v>
      </c>
      <c r="EK26">
        <v>1</v>
      </c>
      <c r="EL26" t="s">
        <v>27</v>
      </c>
      <c r="EM26" t="s">
        <v>21</v>
      </c>
      <c r="EO26" t="s">
        <v>6</v>
      </c>
      <c r="EQ26">
        <v>0</v>
      </c>
      <c r="ER26">
        <v>15.25</v>
      </c>
      <c r="ES26">
        <v>0</v>
      </c>
      <c r="ET26">
        <v>15.25</v>
      </c>
      <c r="EU26">
        <v>8.2799999999999994</v>
      </c>
      <c r="EV26">
        <v>0</v>
      </c>
      <c r="EW26">
        <v>0</v>
      </c>
      <c r="EX26">
        <v>0</v>
      </c>
      <c r="EY26">
        <v>0</v>
      </c>
      <c r="FQ26">
        <v>0</v>
      </c>
      <c r="FR26">
        <f t="shared" si="36"/>
        <v>0</v>
      </c>
      <c r="FS26">
        <v>0</v>
      </c>
      <c r="FX26">
        <v>0</v>
      </c>
      <c r="FY26">
        <v>0</v>
      </c>
      <c r="GA26" t="s">
        <v>6</v>
      </c>
      <c r="GD26">
        <v>1</v>
      </c>
      <c r="GF26">
        <v>1511999612</v>
      </c>
      <c r="GG26">
        <v>2</v>
      </c>
      <c r="GH26">
        <v>1</v>
      </c>
      <c r="GI26">
        <v>-2</v>
      </c>
      <c r="GJ26">
        <v>0</v>
      </c>
      <c r="GK26">
        <v>0</v>
      </c>
      <c r="GL26">
        <f t="shared" si="37"/>
        <v>0</v>
      </c>
      <c r="GM26">
        <f>ROUND(O26+X26+Y26,2)+GX26</f>
        <v>158435.22</v>
      </c>
      <c r="GN26">
        <f>IF(OR(BI26=0,BI26=1),ROUND(O26+X26+Y26,2),0)</f>
        <v>0</v>
      </c>
      <c r="GO26">
        <f>IF(BI26=2,ROUND(O26+X26+Y26,2),0)</f>
        <v>0</v>
      </c>
      <c r="GP26">
        <f>IF(BI26=4,ROUND(O26+X26+Y26,2)+GX26,0)</f>
        <v>158435.22</v>
      </c>
      <c r="GR26">
        <v>0</v>
      </c>
      <c r="GS26">
        <v>3</v>
      </c>
      <c r="GT26">
        <v>0</v>
      </c>
      <c r="GU26" t="s">
        <v>32</v>
      </c>
      <c r="GV26">
        <f>ROUND(((GT26*45)),6)</f>
        <v>0</v>
      </c>
      <c r="GW26">
        <v>1</v>
      </c>
      <c r="GX26">
        <f t="shared" si="38"/>
        <v>0</v>
      </c>
      <c r="HA26">
        <v>0</v>
      </c>
      <c r="HB26">
        <v>0</v>
      </c>
      <c r="HC26">
        <f t="shared" si="39"/>
        <v>0</v>
      </c>
      <c r="HE26" t="s">
        <v>6</v>
      </c>
      <c r="HF26" t="s">
        <v>6</v>
      </c>
      <c r="IK26">
        <v>0</v>
      </c>
    </row>
    <row r="27" spans="1:245" x14ac:dyDescent="0.2">
      <c r="A27">
        <v>17</v>
      </c>
      <c r="B27">
        <v>1</v>
      </c>
      <c r="C27">
        <f>ROW(SmtRes!A9)</f>
        <v>9</v>
      </c>
      <c r="D27">
        <f>ROW(EtalonRes!A9)</f>
        <v>9</v>
      </c>
      <c r="E27" t="s">
        <v>33</v>
      </c>
      <c r="F27" t="s">
        <v>34</v>
      </c>
      <c r="G27" t="s">
        <v>35</v>
      </c>
      <c r="H27" t="s">
        <v>36</v>
      </c>
      <c r="I27">
        <f>ROUND((2308.71*0.75)/100,9)</f>
        <v>17.315325000000001</v>
      </c>
      <c r="J27">
        <v>0</v>
      </c>
      <c r="O27">
        <f t="shared" si="14"/>
        <v>295476.15000000002</v>
      </c>
      <c r="P27">
        <f t="shared" si="15"/>
        <v>195750.61</v>
      </c>
      <c r="Q27">
        <f t="shared" si="16"/>
        <v>1052.08</v>
      </c>
      <c r="R27">
        <f t="shared" si="17"/>
        <v>384.92</v>
      </c>
      <c r="S27">
        <f t="shared" si="18"/>
        <v>98673.46</v>
      </c>
      <c r="T27">
        <f t="shared" si="19"/>
        <v>0</v>
      </c>
      <c r="U27">
        <f t="shared" si="20"/>
        <v>533.3120100000001</v>
      </c>
      <c r="V27">
        <f t="shared" si="21"/>
        <v>0</v>
      </c>
      <c r="W27">
        <f t="shared" si="22"/>
        <v>0</v>
      </c>
      <c r="X27">
        <f t="shared" si="23"/>
        <v>69071.42</v>
      </c>
      <c r="Y27">
        <f t="shared" si="23"/>
        <v>9867.35</v>
      </c>
      <c r="AA27">
        <v>39231334</v>
      </c>
      <c r="AB27">
        <f t="shared" si="24"/>
        <v>17064.43</v>
      </c>
      <c r="AC27">
        <f>ROUND((ES27),6)</f>
        <v>11305.05</v>
      </c>
      <c r="AD27">
        <f>ROUND((((ET27)-(EU27))+AE27),6)</f>
        <v>60.76</v>
      </c>
      <c r="AE27">
        <f>ROUND((EU27),6)</f>
        <v>22.23</v>
      </c>
      <c r="AF27">
        <f>ROUND((EV27),6)</f>
        <v>5698.62</v>
      </c>
      <c r="AG27">
        <f t="shared" si="25"/>
        <v>0</v>
      </c>
      <c r="AH27">
        <f>(EW27)</f>
        <v>30.8</v>
      </c>
      <c r="AI27">
        <f>(EX27)</f>
        <v>0</v>
      </c>
      <c r="AJ27">
        <f t="shared" si="26"/>
        <v>0</v>
      </c>
      <c r="AK27">
        <v>17064.43</v>
      </c>
      <c r="AL27">
        <v>11305.05</v>
      </c>
      <c r="AM27">
        <v>60.76</v>
      </c>
      <c r="AN27">
        <v>22.23</v>
      </c>
      <c r="AO27">
        <v>5698.62</v>
      </c>
      <c r="AP27">
        <v>0</v>
      </c>
      <c r="AQ27">
        <v>30.8</v>
      </c>
      <c r="AR27">
        <v>0</v>
      </c>
      <c r="AS27">
        <v>0</v>
      </c>
      <c r="AT27">
        <v>70</v>
      </c>
      <c r="AU27">
        <v>10</v>
      </c>
      <c r="AV27">
        <v>1</v>
      </c>
      <c r="AW27">
        <v>1</v>
      </c>
      <c r="AZ27">
        <v>1</v>
      </c>
      <c r="BA27">
        <v>1</v>
      </c>
      <c r="BB27">
        <v>1</v>
      </c>
      <c r="BC27">
        <v>1</v>
      </c>
      <c r="BD27" t="s">
        <v>6</v>
      </c>
      <c r="BE27" t="s">
        <v>6</v>
      </c>
      <c r="BF27" t="s">
        <v>6</v>
      </c>
      <c r="BG27" t="s">
        <v>6</v>
      </c>
      <c r="BH27">
        <v>0</v>
      </c>
      <c r="BI27">
        <v>4</v>
      </c>
      <c r="BJ27" t="s">
        <v>37</v>
      </c>
      <c r="BM27">
        <v>0</v>
      </c>
      <c r="BN27">
        <v>0</v>
      </c>
      <c r="BO27" t="s">
        <v>6</v>
      </c>
      <c r="BP27">
        <v>0</v>
      </c>
      <c r="BQ27">
        <v>1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 t="s">
        <v>6</v>
      </c>
      <c r="BZ27">
        <v>70</v>
      </c>
      <c r="CA27">
        <v>10</v>
      </c>
      <c r="CE27">
        <v>0</v>
      </c>
      <c r="CF27">
        <v>0</v>
      </c>
      <c r="CG27">
        <v>0</v>
      </c>
      <c r="CM27">
        <v>0</v>
      </c>
      <c r="CN27" t="s">
        <v>6</v>
      </c>
      <c r="CO27">
        <v>0</v>
      </c>
      <c r="CP27">
        <f t="shared" si="27"/>
        <v>295476.14999999997</v>
      </c>
      <c r="CQ27">
        <f t="shared" si="28"/>
        <v>11305.05</v>
      </c>
      <c r="CR27">
        <f>((((ET27)*BB27-(EU27)*BS27)+AE27*BS27)*AV27)</f>
        <v>60.760000000000005</v>
      </c>
      <c r="CS27">
        <f t="shared" si="29"/>
        <v>22.23</v>
      </c>
      <c r="CT27">
        <f t="shared" si="30"/>
        <v>5698.62</v>
      </c>
      <c r="CU27">
        <f t="shared" si="31"/>
        <v>0</v>
      </c>
      <c r="CV27">
        <f t="shared" si="32"/>
        <v>30.8</v>
      </c>
      <c r="CW27">
        <f t="shared" si="33"/>
        <v>0</v>
      </c>
      <c r="CX27">
        <f t="shared" si="33"/>
        <v>0</v>
      </c>
      <c r="CY27">
        <f t="shared" si="34"/>
        <v>69071.422000000006</v>
      </c>
      <c r="CZ27">
        <f t="shared" si="35"/>
        <v>9867.3460000000014</v>
      </c>
      <c r="DC27" t="s">
        <v>6</v>
      </c>
      <c r="DD27" t="s">
        <v>6</v>
      </c>
      <c r="DE27" t="s">
        <v>6</v>
      </c>
      <c r="DF27" t="s">
        <v>6</v>
      </c>
      <c r="DG27" t="s">
        <v>6</v>
      </c>
      <c r="DH27" t="s">
        <v>6</v>
      </c>
      <c r="DI27" t="s">
        <v>6</v>
      </c>
      <c r="DJ27" t="s">
        <v>6</v>
      </c>
      <c r="DK27" t="s">
        <v>6</v>
      </c>
      <c r="DL27" t="s">
        <v>6</v>
      </c>
      <c r="DM27" t="s">
        <v>6</v>
      </c>
      <c r="DN27">
        <v>0</v>
      </c>
      <c r="DO27">
        <v>0</v>
      </c>
      <c r="DP27">
        <v>1</v>
      </c>
      <c r="DQ27">
        <v>1</v>
      </c>
      <c r="DU27">
        <v>1005</v>
      </c>
      <c r="DV27" t="s">
        <v>36</v>
      </c>
      <c r="DW27" t="s">
        <v>36</v>
      </c>
      <c r="DX27">
        <v>100</v>
      </c>
      <c r="DZ27" t="s">
        <v>6</v>
      </c>
      <c r="EA27" t="s">
        <v>6</v>
      </c>
      <c r="EB27" t="s">
        <v>6</v>
      </c>
      <c r="EC27" t="s">
        <v>6</v>
      </c>
      <c r="EE27">
        <v>38708473</v>
      </c>
      <c r="EF27">
        <v>1</v>
      </c>
      <c r="EG27" t="s">
        <v>19</v>
      </c>
      <c r="EH27">
        <v>0</v>
      </c>
      <c r="EI27" t="s">
        <v>6</v>
      </c>
      <c r="EJ27">
        <v>4</v>
      </c>
      <c r="EK27">
        <v>0</v>
      </c>
      <c r="EL27" t="s">
        <v>20</v>
      </c>
      <c r="EM27" t="s">
        <v>21</v>
      </c>
      <c r="EO27" t="s">
        <v>6</v>
      </c>
      <c r="EQ27">
        <v>0</v>
      </c>
      <c r="ER27">
        <v>17064.43</v>
      </c>
      <c r="ES27">
        <v>11305.05</v>
      </c>
      <c r="ET27">
        <v>60.76</v>
      </c>
      <c r="EU27">
        <v>22.23</v>
      </c>
      <c r="EV27">
        <v>5698.62</v>
      </c>
      <c r="EW27">
        <v>30.8</v>
      </c>
      <c r="EX27">
        <v>0</v>
      </c>
      <c r="EY27">
        <v>0</v>
      </c>
      <c r="FQ27">
        <v>0</v>
      </c>
      <c r="FR27">
        <f t="shared" si="36"/>
        <v>0</v>
      </c>
      <c r="FS27">
        <v>0</v>
      </c>
      <c r="FX27">
        <v>70</v>
      </c>
      <c r="FY27">
        <v>10</v>
      </c>
      <c r="GA27" t="s">
        <v>6</v>
      </c>
      <c r="GD27">
        <v>0</v>
      </c>
      <c r="GF27">
        <v>92011487</v>
      </c>
      <c r="GG27">
        <v>2</v>
      </c>
      <c r="GH27">
        <v>1</v>
      </c>
      <c r="GI27">
        <v>-2</v>
      </c>
      <c r="GJ27">
        <v>0</v>
      </c>
      <c r="GK27">
        <f>ROUND(R27*(R12)/100,2)</f>
        <v>415.71</v>
      </c>
      <c r="GL27">
        <f t="shared" si="37"/>
        <v>0</v>
      </c>
      <c r="GM27">
        <f>ROUND(O27+X27+Y27+GK27,2)+GX27</f>
        <v>374830.63</v>
      </c>
      <c r="GN27">
        <f>IF(OR(BI27=0,BI27=1),ROUND(O27+X27+Y27+GK27,2),0)</f>
        <v>0</v>
      </c>
      <c r="GO27">
        <f>IF(BI27=2,ROUND(O27+X27+Y27+GK27,2),0)</f>
        <v>0</v>
      </c>
      <c r="GP27">
        <f>IF(BI27=4,ROUND(O27+X27+Y27+GK27,2)+GX27,0)</f>
        <v>374830.63</v>
      </c>
      <c r="GR27">
        <v>0</v>
      </c>
      <c r="GS27">
        <v>3</v>
      </c>
      <c r="GT27">
        <v>0</v>
      </c>
      <c r="GU27" t="s">
        <v>6</v>
      </c>
      <c r="GV27">
        <f>ROUND((GT27),6)</f>
        <v>0</v>
      </c>
      <c r="GW27">
        <v>1</v>
      </c>
      <c r="GX27">
        <f t="shared" si="38"/>
        <v>0</v>
      </c>
      <c r="HA27">
        <v>0</v>
      </c>
      <c r="HB27">
        <v>0</v>
      </c>
      <c r="HC27">
        <f t="shared" si="39"/>
        <v>0</v>
      </c>
      <c r="HE27" t="s">
        <v>6</v>
      </c>
      <c r="HF27" t="s">
        <v>6</v>
      </c>
      <c r="IK27">
        <v>0</v>
      </c>
    </row>
    <row r="28" spans="1:245" x14ac:dyDescent="0.2">
      <c r="A28">
        <v>17</v>
      </c>
      <c r="B28">
        <v>1</v>
      </c>
      <c r="C28">
        <f>ROW(SmtRes!A11)</f>
        <v>11</v>
      </c>
      <c r="D28">
        <f>ROW(EtalonRes!A11)</f>
        <v>11</v>
      </c>
      <c r="E28" t="s">
        <v>38</v>
      </c>
      <c r="F28" t="s">
        <v>39</v>
      </c>
      <c r="G28" t="s">
        <v>40</v>
      </c>
      <c r="H28" t="s">
        <v>36</v>
      </c>
      <c r="I28">
        <f>ROUND((2308.71*0.25)/100,9)</f>
        <v>5.7717749999999999</v>
      </c>
      <c r="J28">
        <v>0</v>
      </c>
      <c r="O28">
        <f t="shared" si="14"/>
        <v>114373.32</v>
      </c>
      <c r="P28">
        <f t="shared" si="15"/>
        <v>65250.2</v>
      </c>
      <c r="Q28">
        <f t="shared" si="16"/>
        <v>0</v>
      </c>
      <c r="R28">
        <f t="shared" si="17"/>
        <v>0</v>
      </c>
      <c r="S28">
        <f t="shared" si="18"/>
        <v>49123.12</v>
      </c>
      <c r="T28">
        <f t="shared" si="19"/>
        <v>0</v>
      </c>
      <c r="U28">
        <f t="shared" si="20"/>
        <v>265.50164999999998</v>
      </c>
      <c r="V28">
        <f t="shared" si="21"/>
        <v>0</v>
      </c>
      <c r="W28">
        <f t="shared" si="22"/>
        <v>0</v>
      </c>
      <c r="X28">
        <f t="shared" si="23"/>
        <v>34386.18</v>
      </c>
      <c r="Y28">
        <f t="shared" si="23"/>
        <v>4912.3100000000004</v>
      </c>
      <c r="AA28">
        <v>39231334</v>
      </c>
      <c r="AB28">
        <f t="shared" si="24"/>
        <v>19815.97</v>
      </c>
      <c r="AC28">
        <f>ROUND((ES28),6)</f>
        <v>11305.05</v>
      </c>
      <c r="AD28">
        <f>ROUND((((ET28)-(EU28))+AE28),6)</f>
        <v>0</v>
      </c>
      <c r="AE28">
        <f>ROUND((EU28),6)</f>
        <v>0</v>
      </c>
      <c r="AF28">
        <f>ROUND((EV28),6)</f>
        <v>8510.92</v>
      </c>
      <c r="AG28">
        <f t="shared" si="25"/>
        <v>0</v>
      </c>
      <c r="AH28">
        <f>(EW28)</f>
        <v>46</v>
      </c>
      <c r="AI28">
        <f>(EX28)</f>
        <v>0</v>
      </c>
      <c r="AJ28">
        <f t="shared" si="26"/>
        <v>0</v>
      </c>
      <c r="AK28">
        <v>19815.97</v>
      </c>
      <c r="AL28">
        <v>11305.05</v>
      </c>
      <c r="AM28">
        <v>0</v>
      </c>
      <c r="AN28">
        <v>0</v>
      </c>
      <c r="AO28">
        <v>8510.92</v>
      </c>
      <c r="AP28">
        <v>0</v>
      </c>
      <c r="AQ28">
        <v>46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6</v>
      </c>
      <c r="BE28" t="s">
        <v>6</v>
      </c>
      <c r="BF28" t="s">
        <v>6</v>
      </c>
      <c r="BG28" t="s">
        <v>6</v>
      </c>
      <c r="BH28">
        <v>0</v>
      </c>
      <c r="BI28">
        <v>4</v>
      </c>
      <c r="BJ28" t="s">
        <v>41</v>
      </c>
      <c r="BM28">
        <v>0</v>
      </c>
      <c r="BN28">
        <v>0</v>
      </c>
      <c r="BO28" t="s">
        <v>6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6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6</v>
      </c>
      <c r="CO28">
        <v>0</v>
      </c>
      <c r="CP28">
        <f t="shared" si="27"/>
        <v>114373.32</v>
      </c>
      <c r="CQ28">
        <f t="shared" si="28"/>
        <v>11305.05</v>
      </c>
      <c r="CR28">
        <f>((((ET28)*BB28-(EU28)*BS28)+AE28*BS28)*AV28)</f>
        <v>0</v>
      </c>
      <c r="CS28">
        <f t="shared" si="29"/>
        <v>0</v>
      </c>
      <c r="CT28">
        <f t="shared" si="30"/>
        <v>8510.92</v>
      </c>
      <c r="CU28">
        <f t="shared" si="31"/>
        <v>0</v>
      </c>
      <c r="CV28">
        <f t="shared" si="32"/>
        <v>46</v>
      </c>
      <c r="CW28">
        <f t="shared" si="33"/>
        <v>0</v>
      </c>
      <c r="CX28">
        <f t="shared" si="33"/>
        <v>0</v>
      </c>
      <c r="CY28">
        <f t="shared" si="34"/>
        <v>34386.184000000001</v>
      </c>
      <c r="CZ28">
        <f t="shared" si="35"/>
        <v>4912.3119999999999</v>
      </c>
      <c r="DC28" t="s">
        <v>6</v>
      </c>
      <c r="DD28" t="s">
        <v>6</v>
      </c>
      <c r="DE28" t="s">
        <v>6</v>
      </c>
      <c r="DF28" t="s">
        <v>6</v>
      </c>
      <c r="DG28" t="s">
        <v>6</v>
      </c>
      <c r="DH28" t="s">
        <v>6</v>
      </c>
      <c r="DI28" t="s">
        <v>6</v>
      </c>
      <c r="DJ28" t="s">
        <v>6</v>
      </c>
      <c r="DK28" t="s">
        <v>6</v>
      </c>
      <c r="DL28" t="s">
        <v>6</v>
      </c>
      <c r="DM28" t="s">
        <v>6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36</v>
      </c>
      <c r="DW28" t="s">
        <v>36</v>
      </c>
      <c r="DX28">
        <v>100</v>
      </c>
      <c r="DZ28" t="s">
        <v>6</v>
      </c>
      <c r="EA28" t="s">
        <v>6</v>
      </c>
      <c r="EB28" t="s">
        <v>6</v>
      </c>
      <c r="EC28" t="s">
        <v>6</v>
      </c>
      <c r="EE28">
        <v>38708473</v>
      </c>
      <c r="EF28">
        <v>1</v>
      </c>
      <c r="EG28" t="s">
        <v>19</v>
      </c>
      <c r="EH28">
        <v>0</v>
      </c>
      <c r="EI28" t="s">
        <v>6</v>
      </c>
      <c r="EJ28">
        <v>4</v>
      </c>
      <c r="EK28">
        <v>0</v>
      </c>
      <c r="EL28" t="s">
        <v>20</v>
      </c>
      <c r="EM28" t="s">
        <v>21</v>
      </c>
      <c r="EO28" t="s">
        <v>6</v>
      </c>
      <c r="EQ28">
        <v>0</v>
      </c>
      <c r="ER28">
        <v>19815.97</v>
      </c>
      <c r="ES28">
        <v>11305.05</v>
      </c>
      <c r="ET28">
        <v>0</v>
      </c>
      <c r="EU28">
        <v>0</v>
      </c>
      <c r="EV28">
        <v>8510.92</v>
      </c>
      <c r="EW28">
        <v>46</v>
      </c>
      <c r="EX28">
        <v>0</v>
      </c>
      <c r="EY28">
        <v>0</v>
      </c>
      <c r="FQ28">
        <v>0</v>
      </c>
      <c r="FR28">
        <f t="shared" si="36"/>
        <v>0</v>
      </c>
      <c r="FS28">
        <v>0</v>
      </c>
      <c r="FX28">
        <v>70</v>
      </c>
      <c r="FY28">
        <v>10</v>
      </c>
      <c r="GA28" t="s">
        <v>6</v>
      </c>
      <c r="GD28">
        <v>0</v>
      </c>
      <c r="GF28">
        <v>14238252</v>
      </c>
      <c r="GG28">
        <v>2</v>
      </c>
      <c r="GH28">
        <v>1</v>
      </c>
      <c r="GI28">
        <v>-2</v>
      </c>
      <c r="GJ28">
        <v>0</v>
      </c>
      <c r="GK28">
        <f>ROUND(R28*(R12)/100,2)</f>
        <v>0</v>
      </c>
      <c r="GL28">
        <f t="shared" si="37"/>
        <v>0</v>
      </c>
      <c r="GM28">
        <f>ROUND(O28+X28+Y28+GK28,2)+GX28</f>
        <v>153671.81</v>
      </c>
      <c r="GN28">
        <f>IF(OR(BI28=0,BI28=1),ROUND(O28+X28+Y28+GK28,2),0)</f>
        <v>0</v>
      </c>
      <c r="GO28">
        <f>IF(BI28=2,ROUND(O28+X28+Y28+GK28,2),0)</f>
        <v>0</v>
      </c>
      <c r="GP28">
        <f>IF(BI28=4,ROUND(O28+X28+Y28+GK28,2)+GX28,0)</f>
        <v>153671.81</v>
      </c>
      <c r="GR28">
        <v>0</v>
      </c>
      <c r="GS28">
        <v>3</v>
      </c>
      <c r="GT28">
        <v>0</v>
      </c>
      <c r="GU28" t="s">
        <v>6</v>
      </c>
      <c r="GV28">
        <f>ROUND((GT28),6)</f>
        <v>0</v>
      </c>
      <c r="GW28">
        <v>1</v>
      </c>
      <c r="GX28">
        <f t="shared" si="38"/>
        <v>0</v>
      </c>
      <c r="HA28">
        <v>0</v>
      </c>
      <c r="HB28">
        <v>0</v>
      </c>
      <c r="HC28">
        <f t="shared" si="39"/>
        <v>0</v>
      </c>
      <c r="HE28" t="s">
        <v>6</v>
      </c>
      <c r="HF28" t="s">
        <v>6</v>
      </c>
      <c r="IK28">
        <v>0</v>
      </c>
    </row>
    <row r="29" spans="1:245" x14ac:dyDescent="0.2">
      <c r="A29">
        <v>17</v>
      </c>
      <c r="B29">
        <v>1</v>
      </c>
      <c r="C29">
        <f>ROW(SmtRes!A13)</f>
        <v>13</v>
      </c>
      <c r="D29">
        <f>ROW(EtalonRes!A13)</f>
        <v>13</v>
      </c>
      <c r="E29" t="s">
        <v>42</v>
      </c>
      <c r="F29" t="s">
        <v>43</v>
      </c>
      <c r="G29" t="s">
        <v>44</v>
      </c>
      <c r="H29" t="s">
        <v>36</v>
      </c>
      <c r="I29">
        <f>ROUND(-23.0871,9)</f>
        <v>-23.0871</v>
      </c>
      <c r="J29">
        <v>0</v>
      </c>
      <c r="O29">
        <f t="shared" si="14"/>
        <v>-227737.16</v>
      </c>
      <c r="P29">
        <f t="shared" si="15"/>
        <v>-174000.55</v>
      </c>
      <c r="Q29">
        <f t="shared" si="16"/>
        <v>0</v>
      </c>
      <c r="R29">
        <f t="shared" si="17"/>
        <v>0</v>
      </c>
      <c r="S29">
        <f t="shared" si="18"/>
        <v>-53736.61</v>
      </c>
      <c r="T29">
        <f t="shared" si="19"/>
        <v>0</v>
      </c>
      <c r="U29">
        <f t="shared" si="20"/>
        <v>-290.43571800000001</v>
      </c>
      <c r="V29">
        <f t="shared" si="21"/>
        <v>0</v>
      </c>
      <c r="W29">
        <f t="shared" si="22"/>
        <v>0</v>
      </c>
      <c r="X29">
        <f t="shared" si="23"/>
        <v>-37615.629999999997</v>
      </c>
      <c r="Y29">
        <f t="shared" si="23"/>
        <v>-5373.66</v>
      </c>
      <c r="AA29">
        <v>39231334</v>
      </c>
      <c r="AB29">
        <f t="shared" si="24"/>
        <v>9864.26</v>
      </c>
      <c r="AC29">
        <f>ROUND(((ES29*2)),6)</f>
        <v>7536.7</v>
      </c>
      <c r="AD29">
        <f>ROUND(((((ET29*2))-((EU29*2)))+AE29),6)</f>
        <v>0</v>
      </c>
      <c r="AE29">
        <f>ROUND(((EU29*2)),6)</f>
        <v>0</v>
      </c>
      <c r="AF29">
        <f>ROUND(((EV29*2)),6)</f>
        <v>2327.56</v>
      </c>
      <c r="AG29">
        <f t="shared" si="25"/>
        <v>0</v>
      </c>
      <c r="AH29">
        <f>((EW29*2))</f>
        <v>12.58</v>
      </c>
      <c r="AI29">
        <f>((EX29*2))</f>
        <v>0</v>
      </c>
      <c r="AJ29">
        <f t="shared" si="26"/>
        <v>0</v>
      </c>
      <c r="AK29">
        <v>4932.13</v>
      </c>
      <c r="AL29">
        <v>3768.35</v>
      </c>
      <c r="AM29">
        <v>0</v>
      </c>
      <c r="AN29">
        <v>0</v>
      </c>
      <c r="AO29">
        <v>1163.78</v>
      </c>
      <c r="AP29">
        <v>0</v>
      </c>
      <c r="AQ29">
        <v>6.29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6</v>
      </c>
      <c r="BE29" t="s">
        <v>6</v>
      </c>
      <c r="BF29" t="s">
        <v>6</v>
      </c>
      <c r="BG29" t="s">
        <v>6</v>
      </c>
      <c r="BH29">
        <v>0</v>
      </c>
      <c r="BI29">
        <v>4</v>
      </c>
      <c r="BJ29" t="s">
        <v>45</v>
      </c>
      <c r="BM29">
        <v>0</v>
      </c>
      <c r="BN29">
        <v>0</v>
      </c>
      <c r="BO29" t="s">
        <v>6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6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6</v>
      </c>
      <c r="CO29">
        <v>0</v>
      </c>
      <c r="CP29">
        <f t="shared" si="27"/>
        <v>-227737.15999999997</v>
      </c>
      <c r="CQ29">
        <f t="shared" si="28"/>
        <v>7536.7</v>
      </c>
      <c r="CR29">
        <f>(((((ET29*2))*BB29-((EU29*2))*BS29)+AE29*BS29)*AV29)</f>
        <v>0</v>
      </c>
      <c r="CS29">
        <f t="shared" si="29"/>
        <v>0</v>
      </c>
      <c r="CT29">
        <f t="shared" si="30"/>
        <v>2327.56</v>
      </c>
      <c r="CU29">
        <f t="shared" si="31"/>
        <v>0</v>
      </c>
      <c r="CV29">
        <f t="shared" si="32"/>
        <v>12.58</v>
      </c>
      <c r="CW29">
        <f t="shared" si="33"/>
        <v>0</v>
      </c>
      <c r="CX29">
        <f t="shared" si="33"/>
        <v>0</v>
      </c>
      <c r="CY29">
        <f t="shared" si="34"/>
        <v>-37615.627</v>
      </c>
      <c r="CZ29">
        <f t="shared" si="35"/>
        <v>-5373.6610000000001</v>
      </c>
      <c r="DC29" t="s">
        <v>6</v>
      </c>
      <c r="DD29" t="s">
        <v>46</v>
      </c>
      <c r="DE29" t="s">
        <v>46</v>
      </c>
      <c r="DF29" t="s">
        <v>46</v>
      </c>
      <c r="DG29" t="s">
        <v>46</v>
      </c>
      <c r="DH29" t="s">
        <v>6</v>
      </c>
      <c r="DI29" t="s">
        <v>46</v>
      </c>
      <c r="DJ29" t="s">
        <v>46</v>
      </c>
      <c r="DK29" t="s">
        <v>6</v>
      </c>
      <c r="DL29" t="s">
        <v>6</v>
      </c>
      <c r="DM29" t="s">
        <v>6</v>
      </c>
      <c r="DN29">
        <v>0</v>
      </c>
      <c r="DO29">
        <v>0</v>
      </c>
      <c r="DP29">
        <v>1</v>
      </c>
      <c r="DQ29">
        <v>1</v>
      </c>
      <c r="DU29">
        <v>1005</v>
      </c>
      <c r="DV29" t="s">
        <v>36</v>
      </c>
      <c r="DW29" t="s">
        <v>36</v>
      </c>
      <c r="DX29">
        <v>100</v>
      </c>
      <c r="DZ29" t="s">
        <v>6</v>
      </c>
      <c r="EA29" t="s">
        <v>6</v>
      </c>
      <c r="EB29" t="s">
        <v>6</v>
      </c>
      <c r="EC29" t="s">
        <v>6</v>
      </c>
      <c r="EE29">
        <v>38708473</v>
      </c>
      <c r="EF29">
        <v>1</v>
      </c>
      <c r="EG29" t="s">
        <v>19</v>
      </c>
      <c r="EH29">
        <v>0</v>
      </c>
      <c r="EI29" t="s">
        <v>6</v>
      </c>
      <c r="EJ29">
        <v>4</v>
      </c>
      <c r="EK29">
        <v>0</v>
      </c>
      <c r="EL29" t="s">
        <v>20</v>
      </c>
      <c r="EM29" t="s">
        <v>21</v>
      </c>
      <c r="EO29" t="s">
        <v>6</v>
      </c>
      <c r="EQ29">
        <v>0</v>
      </c>
      <c r="ER29">
        <v>4932.13</v>
      </c>
      <c r="ES29">
        <v>3768.35</v>
      </c>
      <c r="ET29">
        <v>0</v>
      </c>
      <c r="EU29">
        <v>0</v>
      </c>
      <c r="EV29">
        <v>1163.78</v>
      </c>
      <c r="EW29">
        <v>6.29</v>
      </c>
      <c r="EX29">
        <v>0</v>
      </c>
      <c r="EY29">
        <v>0</v>
      </c>
      <c r="FQ29">
        <v>0</v>
      </c>
      <c r="FR29">
        <f t="shared" si="36"/>
        <v>0</v>
      </c>
      <c r="FS29">
        <v>0</v>
      </c>
      <c r="FX29">
        <v>70</v>
      </c>
      <c r="FY29">
        <v>10</v>
      </c>
      <c r="GA29" t="s">
        <v>6</v>
      </c>
      <c r="GD29">
        <v>0</v>
      </c>
      <c r="GF29">
        <v>-1781441154</v>
      </c>
      <c r="GG29">
        <v>2</v>
      </c>
      <c r="GH29">
        <v>1</v>
      </c>
      <c r="GI29">
        <v>-2</v>
      </c>
      <c r="GJ29">
        <v>0</v>
      </c>
      <c r="GK29">
        <f>ROUND(R29*(R12)/100,2)</f>
        <v>0</v>
      </c>
      <c r="GL29">
        <f t="shared" si="37"/>
        <v>0</v>
      </c>
      <c r="GM29">
        <f>ROUND(O29+X29+Y29+GK29,2)+GX29</f>
        <v>-270726.45</v>
      </c>
      <c r="GN29">
        <f>IF(OR(BI29=0,BI29=1),ROUND(O29+X29+Y29+GK29,2),0)</f>
        <v>0</v>
      </c>
      <c r="GO29">
        <f>IF(BI29=2,ROUND(O29+X29+Y29+GK29,2),0)</f>
        <v>0</v>
      </c>
      <c r="GP29">
        <f>IF(BI29=4,ROUND(O29+X29+Y29+GK29,2)+GX29,0)</f>
        <v>-270726.45</v>
      </c>
      <c r="GR29">
        <v>0</v>
      </c>
      <c r="GS29">
        <v>3</v>
      </c>
      <c r="GT29">
        <v>0</v>
      </c>
      <c r="GU29" t="s">
        <v>46</v>
      </c>
      <c r="GV29">
        <f>ROUND(((GT29*2)),6)</f>
        <v>0</v>
      </c>
      <c r="GW29">
        <v>1</v>
      </c>
      <c r="GX29">
        <f t="shared" si="38"/>
        <v>0</v>
      </c>
      <c r="HA29">
        <v>0</v>
      </c>
      <c r="HB29">
        <v>0</v>
      </c>
      <c r="HC29">
        <f t="shared" si="39"/>
        <v>0</v>
      </c>
      <c r="HE29" t="s">
        <v>6</v>
      </c>
      <c r="HF29" t="s">
        <v>6</v>
      </c>
      <c r="IK29">
        <v>0</v>
      </c>
    </row>
    <row r="30" spans="1:245" x14ac:dyDescent="0.2">
      <c r="A30">
        <v>17</v>
      </c>
      <c r="B30">
        <v>1</v>
      </c>
      <c r="C30">
        <f>ROW(SmtRes!A16)</f>
        <v>16</v>
      </c>
      <c r="D30">
        <f>ROW(EtalonRes!A16)</f>
        <v>16</v>
      </c>
      <c r="E30" t="s">
        <v>47</v>
      </c>
      <c r="F30" t="s">
        <v>48</v>
      </c>
      <c r="G30" t="s">
        <v>49</v>
      </c>
      <c r="H30" t="s">
        <v>36</v>
      </c>
      <c r="I30">
        <f>ROUND((2308.71)/100,9)</f>
        <v>23.0871</v>
      </c>
      <c r="J30">
        <v>0</v>
      </c>
      <c r="O30">
        <f t="shared" si="14"/>
        <v>383027.91</v>
      </c>
      <c r="P30">
        <f t="shared" si="15"/>
        <v>323236.25</v>
      </c>
      <c r="Q30">
        <f t="shared" si="16"/>
        <v>0</v>
      </c>
      <c r="R30">
        <f t="shared" si="17"/>
        <v>0</v>
      </c>
      <c r="S30">
        <f t="shared" si="18"/>
        <v>59791.66</v>
      </c>
      <c r="T30">
        <f t="shared" si="19"/>
        <v>0</v>
      </c>
      <c r="U30">
        <f t="shared" si="20"/>
        <v>309.82888199999996</v>
      </c>
      <c r="V30">
        <f t="shared" si="21"/>
        <v>0</v>
      </c>
      <c r="W30">
        <f t="shared" si="22"/>
        <v>0</v>
      </c>
      <c r="X30">
        <f t="shared" si="23"/>
        <v>41854.160000000003</v>
      </c>
      <c r="Y30">
        <f t="shared" si="23"/>
        <v>5979.17</v>
      </c>
      <c r="AA30">
        <v>39231334</v>
      </c>
      <c r="AB30">
        <f t="shared" si="24"/>
        <v>16590.560000000001</v>
      </c>
      <c r="AC30">
        <f>ROUND((ES30),6)</f>
        <v>14000.73</v>
      </c>
      <c r="AD30">
        <f>ROUND((((ET30)-(EU30))+AE30),6)</f>
        <v>0</v>
      </c>
      <c r="AE30">
        <f>ROUND((EU30),6)</f>
        <v>0</v>
      </c>
      <c r="AF30">
        <f>ROUND((EV30),6)</f>
        <v>2589.83</v>
      </c>
      <c r="AG30">
        <f t="shared" si="25"/>
        <v>0</v>
      </c>
      <c r="AH30">
        <f>(EW30)</f>
        <v>13.42</v>
      </c>
      <c r="AI30">
        <f>(EX30)</f>
        <v>0</v>
      </c>
      <c r="AJ30">
        <f t="shared" si="26"/>
        <v>0</v>
      </c>
      <c r="AK30">
        <v>16590.560000000001</v>
      </c>
      <c r="AL30">
        <v>14000.73</v>
      </c>
      <c r="AM30">
        <v>0</v>
      </c>
      <c r="AN30">
        <v>0</v>
      </c>
      <c r="AO30">
        <v>2589.83</v>
      </c>
      <c r="AP30">
        <v>0</v>
      </c>
      <c r="AQ30">
        <v>13.42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6</v>
      </c>
      <c r="BE30" t="s">
        <v>6</v>
      </c>
      <c r="BF30" t="s">
        <v>6</v>
      </c>
      <c r="BG30" t="s">
        <v>6</v>
      </c>
      <c r="BH30">
        <v>0</v>
      </c>
      <c r="BI30">
        <v>4</v>
      </c>
      <c r="BJ30" t="s">
        <v>50</v>
      </c>
      <c r="BM30">
        <v>0</v>
      </c>
      <c r="BN30">
        <v>0</v>
      </c>
      <c r="BO30" t="s">
        <v>6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6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6</v>
      </c>
      <c r="CO30">
        <v>0</v>
      </c>
      <c r="CP30">
        <f t="shared" si="27"/>
        <v>383027.91000000003</v>
      </c>
      <c r="CQ30">
        <f t="shared" si="28"/>
        <v>14000.73</v>
      </c>
      <c r="CR30">
        <f>((((ET30)*BB30-(EU30)*BS30)+AE30*BS30)*AV30)</f>
        <v>0</v>
      </c>
      <c r="CS30">
        <f t="shared" si="29"/>
        <v>0</v>
      </c>
      <c r="CT30">
        <f t="shared" si="30"/>
        <v>2589.83</v>
      </c>
      <c r="CU30">
        <f t="shared" si="31"/>
        <v>0</v>
      </c>
      <c r="CV30">
        <f t="shared" si="32"/>
        <v>13.42</v>
      </c>
      <c r="CW30">
        <f t="shared" si="33"/>
        <v>0</v>
      </c>
      <c r="CX30">
        <f t="shared" si="33"/>
        <v>0</v>
      </c>
      <c r="CY30">
        <f t="shared" si="34"/>
        <v>41854.162000000004</v>
      </c>
      <c r="CZ30">
        <f t="shared" si="35"/>
        <v>5979.1660000000011</v>
      </c>
      <c r="DC30" t="s">
        <v>6</v>
      </c>
      <c r="DD30" t="s">
        <v>6</v>
      </c>
      <c r="DE30" t="s">
        <v>6</v>
      </c>
      <c r="DF30" t="s">
        <v>6</v>
      </c>
      <c r="DG30" t="s">
        <v>6</v>
      </c>
      <c r="DH30" t="s">
        <v>6</v>
      </c>
      <c r="DI30" t="s">
        <v>6</v>
      </c>
      <c r="DJ30" t="s">
        <v>6</v>
      </c>
      <c r="DK30" t="s">
        <v>6</v>
      </c>
      <c r="DL30" t="s">
        <v>6</v>
      </c>
      <c r="DM30" t="s">
        <v>6</v>
      </c>
      <c r="DN30">
        <v>0</v>
      </c>
      <c r="DO30">
        <v>0</v>
      </c>
      <c r="DP30">
        <v>1</v>
      </c>
      <c r="DQ30">
        <v>1</v>
      </c>
      <c r="DU30">
        <v>1005</v>
      </c>
      <c r="DV30" t="s">
        <v>36</v>
      </c>
      <c r="DW30" t="s">
        <v>36</v>
      </c>
      <c r="DX30">
        <v>100</v>
      </c>
      <c r="DZ30" t="s">
        <v>6</v>
      </c>
      <c r="EA30" t="s">
        <v>6</v>
      </c>
      <c r="EB30" t="s">
        <v>6</v>
      </c>
      <c r="EC30" t="s">
        <v>6</v>
      </c>
      <c r="EE30">
        <v>38708473</v>
      </c>
      <c r="EF30">
        <v>1</v>
      </c>
      <c r="EG30" t="s">
        <v>19</v>
      </c>
      <c r="EH30">
        <v>0</v>
      </c>
      <c r="EI30" t="s">
        <v>6</v>
      </c>
      <c r="EJ30">
        <v>4</v>
      </c>
      <c r="EK30">
        <v>0</v>
      </c>
      <c r="EL30" t="s">
        <v>20</v>
      </c>
      <c r="EM30" t="s">
        <v>21</v>
      </c>
      <c r="EO30" t="s">
        <v>6</v>
      </c>
      <c r="EQ30">
        <v>0</v>
      </c>
      <c r="ER30">
        <v>16590.560000000001</v>
      </c>
      <c r="ES30">
        <v>14000.73</v>
      </c>
      <c r="ET30">
        <v>0</v>
      </c>
      <c r="EU30">
        <v>0</v>
      </c>
      <c r="EV30">
        <v>2589.83</v>
      </c>
      <c r="EW30">
        <v>13.42</v>
      </c>
      <c r="EX30">
        <v>0</v>
      </c>
      <c r="EY30">
        <v>0</v>
      </c>
      <c r="FQ30">
        <v>0</v>
      </c>
      <c r="FR30">
        <f t="shared" si="36"/>
        <v>0</v>
      </c>
      <c r="FS30">
        <v>0</v>
      </c>
      <c r="FX30">
        <v>70</v>
      </c>
      <c r="FY30">
        <v>10</v>
      </c>
      <c r="GA30" t="s">
        <v>6</v>
      </c>
      <c r="GD30">
        <v>0</v>
      </c>
      <c r="GF30">
        <v>562742749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37"/>
        <v>0</v>
      </c>
      <c r="GM30">
        <f>ROUND(O30+X30+Y30+GK30,2)+GX30</f>
        <v>430861.24</v>
      </c>
      <c r="GN30">
        <f>IF(OR(BI30=0,BI30=1),ROUND(O30+X30+Y30+GK30,2),0)</f>
        <v>0</v>
      </c>
      <c r="GO30">
        <f>IF(BI30=2,ROUND(O30+X30+Y30+GK30,2),0)</f>
        <v>0</v>
      </c>
      <c r="GP30">
        <f>IF(BI30=4,ROUND(O30+X30+Y30+GK30,2)+GX30,0)</f>
        <v>430861.24</v>
      </c>
      <c r="GR30">
        <v>0</v>
      </c>
      <c r="GS30">
        <v>3</v>
      </c>
      <c r="GT30">
        <v>0</v>
      </c>
      <c r="GU30" t="s">
        <v>6</v>
      </c>
      <c r="GV30">
        <f>ROUND((GT30),6)</f>
        <v>0</v>
      </c>
      <c r="GW30">
        <v>1</v>
      </c>
      <c r="GX30">
        <f t="shared" si="38"/>
        <v>0</v>
      </c>
      <c r="HA30">
        <v>0</v>
      </c>
      <c r="HB30">
        <v>0</v>
      </c>
      <c r="HC30">
        <f t="shared" si="39"/>
        <v>0</v>
      </c>
      <c r="HE30" t="s">
        <v>6</v>
      </c>
      <c r="HF30" t="s">
        <v>6</v>
      </c>
      <c r="IK30">
        <v>0</v>
      </c>
    </row>
    <row r="32" spans="1:245" x14ac:dyDescent="0.2">
      <c r="A32" s="2">
        <v>51</v>
      </c>
      <c r="B32" s="2">
        <f>B20</f>
        <v>1</v>
      </c>
      <c r="C32" s="2">
        <f>A20</f>
        <v>3</v>
      </c>
      <c r="D32" s="2">
        <f>ROW(A20)</f>
        <v>20</v>
      </c>
      <c r="E32" s="2"/>
      <c r="F32" s="2" t="str">
        <f>IF(F20&lt;&gt;"",F20,"")</f>
        <v>Новая локальная смета</v>
      </c>
      <c r="G32" s="2" t="str">
        <f>IF(G20&lt;&gt;"",G20,"")</f>
        <v>Новая локальная смета</v>
      </c>
      <c r="H32" s="2">
        <v>0</v>
      </c>
      <c r="I32" s="2"/>
      <c r="J32" s="2"/>
      <c r="K32" s="2"/>
      <c r="L32" s="2"/>
      <c r="M32" s="2"/>
      <c r="N32" s="2"/>
      <c r="O32" s="2">
        <f t="shared" ref="O32:T32" si="40">ROUND(AB32,2)</f>
        <v>755420.38</v>
      </c>
      <c r="P32" s="2">
        <f t="shared" si="40"/>
        <v>410236.51</v>
      </c>
      <c r="Q32" s="2">
        <f t="shared" si="40"/>
        <v>190668.76</v>
      </c>
      <c r="R32" s="2">
        <f t="shared" si="40"/>
        <v>100259.43</v>
      </c>
      <c r="S32" s="2">
        <f t="shared" si="40"/>
        <v>154515.10999999999</v>
      </c>
      <c r="T32" s="2">
        <f t="shared" si="40"/>
        <v>0</v>
      </c>
      <c r="U32" s="2">
        <f>AH32</f>
        <v>821.87767290000011</v>
      </c>
      <c r="V32" s="2">
        <f>AI32</f>
        <v>0</v>
      </c>
      <c r="W32" s="2">
        <f>ROUND(AJ32,2)</f>
        <v>0</v>
      </c>
      <c r="X32" s="2">
        <f>ROUND(AK32,2)</f>
        <v>108160.57</v>
      </c>
      <c r="Y32" s="2">
        <f>ROUND(AL32,2)</f>
        <v>15451.52</v>
      </c>
      <c r="Z32" s="2"/>
      <c r="AA32" s="2"/>
      <c r="AB32" s="2">
        <f>ROUND(SUMIF(AA24:AA30,"=39231334",O24:O30),2)</f>
        <v>755420.38</v>
      </c>
      <c r="AC32" s="2">
        <f>ROUND(SUMIF(AA24:AA30,"=39231334",P24:P30),2)</f>
        <v>410236.51</v>
      </c>
      <c r="AD32" s="2">
        <f>ROUND(SUMIF(AA24:AA30,"=39231334",Q24:Q30),2)</f>
        <v>190668.76</v>
      </c>
      <c r="AE32" s="2">
        <f>ROUND(SUMIF(AA24:AA30,"=39231334",R24:R30),2)</f>
        <v>100259.43</v>
      </c>
      <c r="AF32" s="2">
        <f>ROUND(SUMIF(AA24:AA30,"=39231334",S24:S30),2)</f>
        <v>154515.10999999999</v>
      </c>
      <c r="AG32" s="2">
        <f>ROUND(SUMIF(AA24:AA30,"=39231334",T24:T30),2)</f>
        <v>0</v>
      </c>
      <c r="AH32" s="2">
        <f>SUMIF(AA24:AA30,"=39231334",U24:U30)</f>
        <v>821.87767290000011</v>
      </c>
      <c r="AI32" s="2">
        <f>SUMIF(AA24:AA30,"=39231334",V24:V30)</f>
        <v>0</v>
      </c>
      <c r="AJ32" s="2">
        <f>ROUND(SUMIF(AA24:AA30,"=39231334",W24:W30),2)</f>
        <v>0</v>
      </c>
      <c r="AK32" s="2">
        <f>ROUND(SUMIF(AA24:AA30,"=39231334",X24:X30),2)</f>
        <v>108160.57</v>
      </c>
      <c r="AL32" s="2">
        <f>ROUND(SUMIF(AA24:AA30,"=39231334",Y24:Y30),2)</f>
        <v>15451.52</v>
      </c>
      <c r="AM32" s="2"/>
      <c r="AN32" s="2"/>
      <c r="AO32" s="2">
        <f t="shared" ref="AO32:BD32" si="41">ROUND(BX32,2)</f>
        <v>0</v>
      </c>
      <c r="AP32" s="2">
        <f t="shared" si="41"/>
        <v>0</v>
      </c>
      <c r="AQ32" s="2">
        <f t="shared" si="41"/>
        <v>0</v>
      </c>
      <c r="AR32" s="2">
        <f t="shared" si="41"/>
        <v>888010.23999999999</v>
      </c>
      <c r="AS32" s="2">
        <f t="shared" si="41"/>
        <v>0</v>
      </c>
      <c r="AT32" s="2">
        <f t="shared" si="41"/>
        <v>0</v>
      </c>
      <c r="AU32" s="2">
        <f t="shared" si="41"/>
        <v>888010.23999999999</v>
      </c>
      <c r="AV32" s="2">
        <f t="shared" si="41"/>
        <v>410236.51</v>
      </c>
      <c r="AW32" s="2">
        <f t="shared" si="41"/>
        <v>410236.51</v>
      </c>
      <c r="AX32" s="2">
        <f t="shared" si="41"/>
        <v>0</v>
      </c>
      <c r="AY32" s="2">
        <f t="shared" si="41"/>
        <v>410236.51</v>
      </c>
      <c r="AZ32" s="2">
        <f t="shared" si="41"/>
        <v>0</v>
      </c>
      <c r="BA32" s="2">
        <f t="shared" si="41"/>
        <v>0</v>
      </c>
      <c r="BB32" s="2">
        <f t="shared" si="41"/>
        <v>0</v>
      </c>
      <c r="BC32" s="2">
        <f t="shared" si="41"/>
        <v>0</v>
      </c>
      <c r="BD32" s="2">
        <f t="shared" si="41"/>
        <v>0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>
        <f>ROUND(SUMIF(AA24:AA30,"=39231334",FQ24:FQ30),2)</f>
        <v>0</v>
      </c>
      <c r="BY32" s="2">
        <f>ROUND(SUMIF(AA24:AA30,"=39231334",FR24:FR30),2)</f>
        <v>0</v>
      </c>
      <c r="BZ32" s="2">
        <f>ROUND(SUMIF(AA24:AA30,"=39231334",GL24:GL30),2)</f>
        <v>0</v>
      </c>
      <c r="CA32" s="2">
        <f>ROUND(SUMIF(AA24:AA30,"=39231334",GM24:GM30),2)</f>
        <v>888010.23999999999</v>
      </c>
      <c r="CB32" s="2">
        <f>ROUND(SUMIF(AA24:AA30,"=39231334",GN24:GN30),2)</f>
        <v>0</v>
      </c>
      <c r="CC32" s="2">
        <f>ROUND(SUMIF(AA24:AA30,"=39231334",GO24:GO30),2)</f>
        <v>0</v>
      </c>
      <c r="CD32" s="2">
        <f>ROUND(SUMIF(AA24:AA30,"=39231334",GP24:GP30),2)</f>
        <v>888010.23999999999</v>
      </c>
      <c r="CE32" s="2">
        <f>AC32-BX32</f>
        <v>410236.51</v>
      </c>
      <c r="CF32" s="2">
        <f>AC32-BY32</f>
        <v>410236.51</v>
      </c>
      <c r="CG32" s="2">
        <f>BX32-BZ32</f>
        <v>0</v>
      </c>
      <c r="CH32" s="2">
        <f>AC32-BX32-BY32+BZ32</f>
        <v>410236.51</v>
      </c>
      <c r="CI32" s="2">
        <f>BY32-BZ32</f>
        <v>0</v>
      </c>
      <c r="CJ32" s="2">
        <f>ROUND(SUMIF(AA24:AA30,"=39231334",GX24:GX30),2)</f>
        <v>0</v>
      </c>
      <c r="CK32" s="2">
        <f>ROUND(SUMIF(AA24:AA30,"=39231334",GY24:GY30),2)</f>
        <v>0</v>
      </c>
      <c r="CL32" s="2">
        <f>ROUND(SUMIF(AA24:AA30,"=39231334",GZ24:GZ30),2)</f>
        <v>0</v>
      </c>
      <c r="CM32" s="2">
        <f>ROUND(SUMIF(AA24:AA30,"=39231334",HD24:HD30),2)</f>
        <v>0</v>
      </c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>
        <v>0</v>
      </c>
    </row>
    <row r="34" spans="1:23" x14ac:dyDescent="0.2">
      <c r="A34" s="4">
        <v>50</v>
      </c>
      <c r="B34" s="4">
        <v>0</v>
      </c>
      <c r="C34" s="4">
        <v>0</v>
      </c>
      <c r="D34" s="4">
        <v>1</v>
      </c>
      <c r="E34" s="4">
        <v>201</v>
      </c>
      <c r="F34" s="4">
        <f>ROUND(Source!O32,O34)</f>
        <v>755420.38</v>
      </c>
      <c r="G34" s="4" t="s">
        <v>51</v>
      </c>
      <c r="H34" s="4" t="s">
        <v>52</v>
      </c>
      <c r="I34" s="4"/>
      <c r="J34" s="4"/>
      <c r="K34" s="4">
        <v>201</v>
      </c>
      <c r="L34" s="4">
        <v>1</v>
      </c>
      <c r="M34" s="4">
        <v>3</v>
      </c>
      <c r="N34" s="4" t="s">
        <v>6</v>
      </c>
      <c r="O34" s="4">
        <v>2</v>
      </c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>
        <v>50</v>
      </c>
      <c r="B35" s="4">
        <v>0</v>
      </c>
      <c r="C35" s="4">
        <v>0</v>
      </c>
      <c r="D35" s="4">
        <v>1</v>
      </c>
      <c r="E35" s="4">
        <v>202</v>
      </c>
      <c r="F35" s="4">
        <f>ROUND(Source!P32,O35)</f>
        <v>410236.51</v>
      </c>
      <c r="G35" s="4" t="s">
        <v>53</v>
      </c>
      <c r="H35" s="4" t="s">
        <v>54</v>
      </c>
      <c r="I35" s="4"/>
      <c r="J35" s="4"/>
      <c r="K35" s="4">
        <v>202</v>
      </c>
      <c r="L35" s="4">
        <v>2</v>
      </c>
      <c r="M35" s="4">
        <v>3</v>
      </c>
      <c r="N35" s="4" t="s">
        <v>6</v>
      </c>
      <c r="O35" s="4">
        <v>2</v>
      </c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>
        <v>50</v>
      </c>
      <c r="B36" s="4">
        <v>0</v>
      </c>
      <c r="C36" s="4">
        <v>0</v>
      </c>
      <c r="D36" s="4">
        <v>1</v>
      </c>
      <c r="E36" s="4">
        <v>222</v>
      </c>
      <c r="F36" s="4">
        <f>ROUND(Source!AO32,O36)</f>
        <v>0</v>
      </c>
      <c r="G36" s="4" t="s">
        <v>55</v>
      </c>
      <c r="H36" s="4" t="s">
        <v>56</v>
      </c>
      <c r="I36" s="4"/>
      <c r="J36" s="4"/>
      <c r="K36" s="4">
        <v>222</v>
      </c>
      <c r="L36" s="4">
        <v>3</v>
      </c>
      <c r="M36" s="4">
        <v>3</v>
      </c>
      <c r="N36" s="4" t="s">
        <v>6</v>
      </c>
      <c r="O36" s="4">
        <v>2</v>
      </c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>
        <v>50</v>
      </c>
      <c r="B37" s="4">
        <v>0</v>
      </c>
      <c r="C37" s="4">
        <v>0</v>
      </c>
      <c r="D37" s="4">
        <v>1</v>
      </c>
      <c r="E37" s="4">
        <v>225</v>
      </c>
      <c r="F37" s="4">
        <f>ROUND(Source!AV32,O37)</f>
        <v>410236.51</v>
      </c>
      <c r="G37" s="4" t="s">
        <v>57</v>
      </c>
      <c r="H37" s="4" t="s">
        <v>58</v>
      </c>
      <c r="I37" s="4"/>
      <c r="J37" s="4"/>
      <c r="K37" s="4">
        <v>225</v>
      </c>
      <c r="L37" s="4">
        <v>4</v>
      </c>
      <c r="M37" s="4">
        <v>3</v>
      </c>
      <c r="N37" s="4" t="s">
        <v>6</v>
      </c>
      <c r="O37" s="4">
        <v>2</v>
      </c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>
        <v>50</v>
      </c>
      <c r="B38" s="4">
        <v>0</v>
      </c>
      <c r="C38" s="4">
        <v>0</v>
      </c>
      <c r="D38" s="4">
        <v>1</v>
      </c>
      <c r="E38" s="4">
        <v>226</v>
      </c>
      <c r="F38" s="4">
        <f>ROUND(Source!AW32,O38)</f>
        <v>410236.51</v>
      </c>
      <c r="G38" s="4" t="s">
        <v>59</v>
      </c>
      <c r="H38" s="4" t="s">
        <v>60</v>
      </c>
      <c r="I38" s="4"/>
      <c r="J38" s="4"/>
      <c r="K38" s="4">
        <v>226</v>
      </c>
      <c r="L38" s="4">
        <v>5</v>
      </c>
      <c r="M38" s="4">
        <v>3</v>
      </c>
      <c r="N38" s="4" t="s">
        <v>6</v>
      </c>
      <c r="O38" s="4">
        <v>2</v>
      </c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>
        <v>50</v>
      </c>
      <c r="B39" s="4">
        <v>0</v>
      </c>
      <c r="C39" s="4">
        <v>0</v>
      </c>
      <c r="D39" s="4">
        <v>1</v>
      </c>
      <c r="E39" s="4">
        <v>227</v>
      </c>
      <c r="F39" s="4">
        <f>ROUND(Source!AX32,O39)</f>
        <v>0</v>
      </c>
      <c r="G39" s="4" t="s">
        <v>61</v>
      </c>
      <c r="H39" s="4" t="s">
        <v>62</v>
      </c>
      <c r="I39" s="4"/>
      <c r="J39" s="4"/>
      <c r="K39" s="4">
        <v>227</v>
      </c>
      <c r="L39" s="4">
        <v>6</v>
      </c>
      <c r="M39" s="4">
        <v>3</v>
      </c>
      <c r="N39" s="4" t="s">
        <v>6</v>
      </c>
      <c r="O39" s="4">
        <v>2</v>
      </c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>
        <v>50</v>
      </c>
      <c r="B40" s="4">
        <v>0</v>
      </c>
      <c r="C40" s="4">
        <v>0</v>
      </c>
      <c r="D40" s="4">
        <v>1</v>
      </c>
      <c r="E40" s="4">
        <v>228</v>
      </c>
      <c r="F40" s="4">
        <f>ROUND(Source!AY32,O40)</f>
        <v>410236.51</v>
      </c>
      <c r="G40" s="4" t="s">
        <v>63</v>
      </c>
      <c r="H40" s="4" t="s">
        <v>64</v>
      </c>
      <c r="I40" s="4"/>
      <c r="J40" s="4"/>
      <c r="K40" s="4">
        <v>228</v>
      </c>
      <c r="L40" s="4">
        <v>7</v>
      </c>
      <c r="M40" s="4">
        <v>3</v>
      </c>
      <c r="N40" s="4" t="s">
        <v>6</v>
      </c>
      <c r="O40" s="4">
        <v>2</v>
      </c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>
        <v>50</v>
      </c>
      <c r="B41" s="4">
        <v>0</v>
      </c>
      <c r="C41" s="4">
        <v>0</v>
      </c>
      <c r="D41" s="4">
        <v>1</v>
      </c>
      <c r="E41" s="4">
        <v>216</v>
      </c>
      <c r="F41" s="4">
        <f>ROUND(Source!AP32,O41)</f>
        <v>0</v>
      </c>
      <c r="G41" s="4" t="s">
        <v>65</v>
      </c>
      <c r="H41" s="4" t="s">
        <v>66</v>
      </c>
      <c r="I41" s="4"/>
      <c r="J41" s="4"/>
      <c r="K41" s="4">
        <v>216</v>
      </c>
      <c r="L41" s="4">
        <v>8</v>
      </c>
      <c r="M41" s="4">
        <v>3</v>
      </c>
      <c r="N41" s="4" t="s">
        <v>6</v>
      </c>
      <c r="O41" s="4">
        <v>2</v>
      </c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>
        <v>50</v>
      </c>
      <c r="B42" s="4">
        <v>0</v>
      </c>
      <c r="C42" s="4">
        <v>0</v>
      </c>
      <c r="D42" s="4">
        <v>1</v>
      </c>
      <c r="E42" s="4">
        <v>223</v>
      </c>
      <c r="F42" s="4">
        <f>ROUND(Source!AQ32,O42)</f>
        <v>0</v>
      </c>
      <c r="G42" s="4" t="s">
        <v>67</v>
      </c>
      <c r="H42" s="4" t="s">
        <v>68</v>
      </c>
      <c r="I42" s="4"/>
      <c r="J42" s="4"/>
      <c r="K42" s="4">
        <v>223</v>
      </c>
      <c r="L42" s="4">
        <v>9</v>
      </c>
      <c r="M42" s="4">
        <v>3</v>
      </c>
      <c r="N42" s="4" t="s">
        <v>6</v>
      </c>
      <c r="O42" s="4">
        <v>2</v>
      </c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>
        <v>50</v>
      </c>
      <c r="B43" s="4">
        <v>0</v>
      </c>
      <c r="C43" s="4">
        <v>0</v>
      </c>
      <c r="D43" s="4">
        <v>1</v>
      </c>
      <c r="E43" s="4">
        <v>229</v>
      </c>
      <c r="F43" s="4">
        <f>ROUND(Source!AZ32,O43)</f>
        <v>0</v>
      </c>
      <c r="G43" s="4" t="s">
        <v>69</v>
      </c>
      <c r="H43" s="4" t="s">
        <v>70</v>
      </c>
      <c r="I43" s="4"/>
      <c r="J43" s="4"/>
      <c r="K43" s="4">
        <v>229</v>
      </c>
      <c r="L43" s="4">
        <v>10</v>
      </c>
      <c r="M43" s="4">
        <v>3</v>
      </c>
      <c r="N43" s="4" t="s">
        <v>6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>
        <v>50</v>
      </c>
      <c r="B44" s="4">
        <v>0</v>
      </c>
      <c r="C44" s="4">
        <v>0</v>
      </c>
      <c r="D44" s="4">
        <v>1</v>
      </c>
      <c r="E44" s="4">
        <v>203</v>
      </c>
      <c r="F44" s="4">
        <f>ROUND(Source!Q32,O44)</f>
        <v>190668.76</v>
      </c>
      <c r="G44" s="4" t="s">
        <v>71</v>
      </c>
      <c r="H44" s="4" t="s">
        <v>72</v>
      </c>
      <c r="I44" s="4"/>
      <c r="J44" s="4"/>
      <c r="K44" s="4">
        <v>203</v>
      </c>
      <c r="L44" s="4">
        <v>11</v>
      </c>
      <c r="M44" s="4">
        <v>3</v>
      </c>
      <c r="N44" s="4" t="s">
        <v>6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>
        <v>50</v>
      </c>
      <c r="B45" s="4">
        <v>0</v>
      </c>
      <c r="C45" s="4">
        <v>0</v>
      </c>
      <c r="D45" s="4">
        <v>1</v>
      </c>
      <c r="E45" s="4">
        <v>231</v>
      </c>
      <c r="F45" s="4">
        <f>ROUND(Source!BB32,O45)</f>
        <v>0</v>
      </c>
      <c r="G45" s="4" t="s">
        <v>73</v>
      </c>
      <c r="H45" s="4" t="s">
        <v>74</v>
      </c>
      <c r="I45" s="4"/>
      <c r="J45" s="4"/>
      <c r="K45" s="4">
        <v>231</v>
      </c>
      <c r="L45" s="4">
        <v>12</v>
      </c>
      <c r="M45" s="4">
        <v>3</v>
      </c>
      <c r="N45" s="4" t="s">
        <v>6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>
        <v>50</v>
      </c>
      <c r="B46" s="4">
        <v>0</v>
      </c>
      <c r="C46" s="4">
        <v>0</v>
      </c>
      <c r="D46" s="4">
        <v>1</v>
      </c>
      <c r="E46" s="4">
        <v>204</v>
      </c>
      <c r="F46" s="4">
        <f>ROUND(Source!R32,O46)</f>
        <v>100259.43</v>
      </c>
      <c r="G46" s="4" t="s">
        <v>75</v>
      </c>
      <c r="H46" s="4" t="s">
        <v>76</v>
      </c>
      <c r="I46" s="4"/>
      <c r="J46" s="4"/>
      <c r="K46" s="4">
        <v>204</v>
      </c>
      <c r="L46" s="4">
        <v>13</v>
      </c>
      <c r="M46" s="4">
        <v>3</v>
      </c>
      <c r="N46" s="4" t="s">
        <v>6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>
        <v>50</v>
      </c>
      <c r="B47" s="4">
        <v>0</v>
      </c>
      <c r="C47" s="4">
        <v>0</v>
      </c>
      <c r="D47" s="4">
        <v>1</v>
      </c>
      <c r="E47" s="4">
        <v>205</v>
      </c>
      <c r="F47" s="4">
        <f>ROUND(Source!S32,O47)</f>
        <v>154515.10999999999</v>
      </c>
      <c r="G47" s="4" t="s">
        <v>77</v>
      </c>
      <c r="H47" s="4" t="s">
        <v>78</v>
      </c>
      <c r="I47" s="4"/>
      <c r="J47" s="4"/>
      <c r="K47" s="4">
        <v>205</v>
      </c>
      <c r="L47" s="4">
        <v>14</v>
      </c>
      <c r="M47" s="4">
        <v>3</v>
      </c>
      <c r="N47" s="4" t="s">
        <v>6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>
        <v>50</v>
      </c>
      <c r="B48" s="4">
        <v>0</v>
      </c>
      <c r="C48" s="4">
        <v>0</v>
      </c>
      <c r="D48" s="4">
        <v>1</v>
      </c>
      <c r="E48" s="4">
        <v>232</v>
      </c>
      <c r="F48" s="4">
        <f>ROUND(Source!BC32,O48)</f>
        <v>0</v>
      </c>
      <c r="G48" s="4" t="s">
        <v>79</v>
      </c>
      <c r="H48" s="4" t="s">
        <v>80</v>
      </c>
      <c r="I48" s="4"/>
      <c r="J48" s="4"/>
      <c r="K48" s="4">
        <v>232</v>
      </c>
      <c r="L48" s="4">
        <v>15</v>
      </c>
      <c r="M48" s="4">
        <v>3</v>
      </c>
      <c r="N48" s="4" t="s">
        <v>6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06" x14ac:dyDescent="0.2">
      <c r="A49" s="4">
        <v>50</v>
      </c>
      <c r="B49" s="4">
        <v>0</v>
      </c>
      <c r="C49" s="4">
        <v>0</v>
      </c>
      <c r="D49" s="4">
        <v>1</v>
      </c>
      <c r="E49" s="4">
        <v>214</v>
      </c>
      <c r="F49" s="4">
        <f>ROUND(Source!AS32,O49)</f>
        <v>0</v>
      </c>
      <c r="G49" s="4" t="s">
        <v>81</v>
      </c>
      <c r="H49" s="4" t="s">
        <v>82</v>
      </c>
      <c r="I49" s="4"/>
      <c r="J49" s="4"/>
      <c r="K49" s="4">
        <v>214</v>
      </c>
      <c r="L49" s="4">
        <v>16</v>
      </c>
      <c r="M49" s="4">
        <v>3</v>
      </c>
      <c r="N49" s="4" t="s">
        <v>6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06" x14ac:dyDescent="0.2">
      <c r="A50" s="4">
        <v>50</v>
      </c>
      <c r="B50" s="4">
        <v>0</v>
      </c>
      <c r="C50" s="4">
        <v>0</v>
      </c>
      <c r="D50" s="4">
        <v>1</v>
      </c>
      <c r="E50" s="4">
        <v>215</v>
      </c>
      <c r="F50" s="4">
        <f>ROUND(Source!AT32,O50)</f>
        <v>0</v>
      </c>
      <c r="G50" s="4" t="s">
        <v>83</v>
      </c>
      <c r="H50" s="4" t="s">
        <v>84</v>
      </c>
      <c r="I50" s="4"/>
      <c r="J50" s="4"/>
      <c r="K50" s="4">
        <v>215</v>
      </c>
      <c r="L50" s="4">
        <v>17</v>
      </c>
      <c r="M50" s="4">
        <v>3</v>
      </c>
      <c r="N50" s="4" t="s">
        <v>6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06" x14ac:dyDescent="0.2">
      <c r="A51" s="4">
        <v>50</v>
      </c>
      <c r="B51" s="4">
        <v>0</v>
      </c>
      <c r="C51" s="4">
        <v>0</v>
      </c>
      <c r="D51" s="4">
        <v>1</v>
      </c>
      <c r="E51" s="4">
        <v>217</v>
      </c>
      <c r="F51" s="4">
        <f>ROUND(Source!AU32,O51)</f>
        <v>888010.23999999999</v>
      </c>
      <c r="G51" s="4" t="s">
        <v>85</v>
      </c>
      <c r="H51" s="4" t="s">
        <v>86</v>
      </c>
      <c r="I51" s="4"/>
      <c r="J51" s="4"/>
      <c r="K51" s="4">
        <v>217</v>
      </c>
      <c r="L51" s="4">
        <v>18</v>
      </c>
      <c r="M51" s="4">
        <v>3</v>
      </c>
      <c r="N51" s="4" t="s">
        <v>6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06" x14ac:dyDescent="0.2">
      <c r="A52" s="4">
        <v>50</v>
      </c>
      <c r="B52" s="4">
        <v>0</v>
      </c>
      <c r="C52" s="4">
        <v>0</v>
      </c>
      <c r="D52" s="4">
        <v>1</v>
      </c>
      <c r="E52" s="4">
        <v>230</v>
      </c>
      <c r="F52" s="4">
        <f>ROUND(Source!BA32,O52)</f>
        <v>0</v>
      </c>
      <c r="G52" s="4" t="s">
        <v>87</v>
      </c>
      <c r="H52" s="4" t="s">
        <v>88</v>
      </c>
      <c r="I52" s="4"/>
      <c r="J52" s="4"/>
      <c r="K52" s="4">
        <v>230</v>
      </c>
      <c r="L52" s="4">
        <v>19</v>
      </c>
      <c r="M52" s="4">
        <v>3</v>
      </c>
      <c r="N52" s="4" t="s">
        <v>6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06" x14ac:dyDescent="0.2">
      <c r="A53" s="4">
        <v>50</v>
      </c>
      <c r="B53" s="4">
        <v>0</v>
      </c>
      <c r="C53" s="4">
        <v>0</v>
      </c>
      <c r="D53" s="4">
        <v>1</v>
      </c>
      <c r="E53" s="4">
        <v>206</v>
      </c>
      <c r="F53" s="4">
        <f>ROUND(Source!T32,O53)</f>
        <v>0</v>
      </c>
      <c r="G53" s="4" t="s">
        <v>89</v>
      </c>
      <c r="H53" s="4" t="s">
        <v>90</v>
      </c>
      <c r="I53" s="4"/>
      <c r="J53" s="4"/>
      <c r="K53" s="4">
        <v>206</v>
      </c>
      <c r="L53" s="4">
        <v>20</v>
      </c>
      <c r="M53" s="4">
        <v>3</v>
      </c>
      <c r="N53" s="4" t="s">
        <v>6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06" x14ac:dyDescent="0.2">
      <c r="A54" s="4">
        <v>50</v>
      </c>
      <c r="B54" s="4">
        <v>0</v>
      </c>
      <c r="C54" s="4">
        <v>0</v>
      </c>
      <c r="D54" s="4">
        <v>1</v>
      </c>
      <c r="E54" s="4">
        <v>207</v>
      </c>
      <c r="F54" s="4">
        <f>Source!U32</f>
        <v>821.87767290000011</v>
      </c>
      <c r="G54" s="4" t="s">
        <v>91</v>
      </c>
      <c r="H54" s="4" t="s">
        <v>92</v>
      </c>
      <c r="I54" s="4"/>
      <c r="J54" s="4"/>
      <c r="K54" s="4">
        <v>207</v>
      </c>
      <c r="L54" s="4">
        <v>21</v>
      </c>
      <c r="M54" s="4">
        <v>3</v>
      </c>
      <c r="N54" s="4" t="s">
        <v>6</v>
      </c>
      <c r="O54" s="4">
        <v>-1</v>
      </c>
      <c r="P54" s="4"/>
      <c r="Q54" s="4"/>
      <c r="R54" s="4"/>
      <c r="S54" s="4"/>
      <c r="T54" s="4"/>
      <c r="U54" s="4"/>
      <c r="V54" s="4"/>
      <c r="W54" s="4"/>
    </row>
    <row r="55" spans="1:206" x14ac:dyDescent="0.2">
      <c r="A55" s="4">
        <v>50</v>
      </c>
      <c r="B55" s="4">
        <v>0</v>
      </c>
      <c r="C55" s="4">
        <v>0</v>
      </c>
      <c r="D55" s="4">
        <v>1</v>
      </c>
      <c r="E55" s="4">
        <v>208</v>
      </c>
      <c r="F55" s="4">
        <f>Source!V32</f>
        <v>0</v>
      </c>
      <c r="G55" s="4" t="s">
        <v>93</v>
      </c>
      <c r="H55" s="4" t="s">
        <v>94</v>
      </c>
      <c r="I55" s="4"/>
      <c r="J55" s="4"/>
      <c r="K55" s="4">
        <v>208</v>
      </c>
      <c r="L55" s="4">
        <v>22</v>
      </c>
      <c r="M55" s="4">
        <v>3</v>
      </c>
      <c r="N55" s="4" t="s">
        <v>6</v>
      </c>
      <c r="O55" s="4">
        <v>-1</v>
      </c>
      <c r="P55" s="4"/>
      <c r="Q55" s="4"/>
      <c r="R55" s="4"/>
      <c r="S55" s="4"/>
      <c r="T55" s="4"/>
      <c r="U55" s="4"/>
      <c r="V55" s="4"/>
      <c r="W55" s="4"/>
    </row>
    <row r="56" spans="1:206" x14ac:dyDescent="0.2">
      <c r="A56" s="4">
        <v>50</v>
      </c>
      <c r="B56" s="4">
        <v>0</v>
      </c>
      <c r="C56" s="4">
        <v>0</v>
      </c>
      <c r="D56" s="4">
        <v>1</v>
      </c>
      <c r="E56" s="4">
        <v>209</v>
      </c>
      <c r="F56" s="4">
        <f>ROUND(Source!W32,O56)</f>
        <v>0</v>
      </c>
      <c r="G56" s="4" t="s">
        <v>95</v>
      </c>
      <c r="H56" s="4" t="s">
        <v>96</v>
      </c>
      <c r="I56" s="4"/>
      <c r="J56" s="4"/>
      <c r="K56" s="4">
        <v>209</v>
      </c>
      <c r="L56" s="4">
        <v>23</v>
      </c>
      <c r="M56" s="4">
        <v>3</v>
      </c>
      <c r="N56" s="4" t="s">
        <v>6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06" x14ac:dyDescent="0.2">
      <c r="A57" s="4">
        <v>50</v>
      </c>
      <c r="B57" s="4">
        <v>0</v>
      </c>
      <c r="C57" s="4">
        <v>0</v>
      </c>
      <c r="D57" s="4">
        <v>1</v>
      </c>
      <c r="E57" s="4">
        <v>233</v>
      </c>
      <c r="F57" s="4">
        <f>ROUND(Source!BD32,O57)</f>
        <v>0</v>
      </c>
      <c r="G57" s="4" t="s">
        <v>97</v>
      </c>
      <c r="H57" s="4" t="s">
        <v>98</v>
      </c>
      <c r="I57" s="4"/>
      <c r="J57" s="4"/>
      <c r="K57" s="4">
        <v>233</v>
      </c>
      <c r="L57" s="4">
        <v>24</v>
      </c>
      <c r="M57" s="4">
        <v>3</v>
      </c>
      <c r="N57" s="4" t="s">
        <v>6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06" x14ac:dyDescent="0.2">
      <c r="A58" s="4">
        <v>50</v>
      </c>
      <c r="B58" s="4">
        <v>0</v>
      </c>
      <c r="C58" s="4">
        <v>0</v>
      </c>
      <c r="D58" s="4">
        <v>1</v>
      </c>
      <c r="E58" s="4">
        <v>210</v>
      </c>
      <c r="F58" s="4">
        <f>ROUND(Source!X32,O58)</f>
        <v>108160.57</v>
      </c>
      <c r="G58" s="4" t="s">
        <v>99</v>
      </c>
      <c r="H58" s="4" t="s">
        <v>100</v>
      </c>
      <c r="I58" s="4"/>
      <c r="J58" s="4"/>
      <c r="K58" s="4">
        <v>210</v>
      </c>
      <c r="L58" s="4">
        <v>25</v>
      </c>
      <c r="M58" s="4">
        <v>3</v>
      </c>
      <c r="N58" s="4" t="s">
        <v>6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06" x14ac:dyDescent="0.2">
      <c r="A59" s="4">
        <v>50</v>
      </c>
      <c r="B59" s="4">
        <v>0</v>
      </c>
      <c r="C59" s="4">
        <v>0</v>
      </c>
      <c r="D59" s="4">
        <v>1</v>
      </c>
      <c r="E59" s="4">
        <v>211</v>
      </c>
      <c r="F59" s="4">
        <f>ROUND(Source!Y32,O59)</f>
        <v>15451.52</v>
      </c>
      <c r="G59" s="4" t="s">
        <v>101</v>
      </c>
      <c r="H59" s="4" t="s">
        <v>102</v>
      </c>
      <c r="I59" s="4"/>
      <c r="J59" s="4"/>
      <c r="K59" s="4">
        <v>211</v>
      </c>
      <c r="L59" s="4">
        <v>26</v>
      </c>
      <c r="M59" s="4">
        <v>3</v>
      </c>
      <c r="N59" s="4" t="s">
        <v>6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06" x14ac:dyDescent="0.2">
      <c r="A60" s="4">
        <v>50</v>
      </c>
      <c r="B60" s="4">
        <v>0</v>
      </c>
      <c r="C60" s="4">
        <v>0</v>
      </c>
      <c r="D60" s="4">
        <v>1</v>
      </c>
      <c r="E60" s="4">
        <v>224</v>
      </c>
      <c r="F60" s="4">
        <f>ROUND(Source!AR32,O60)</f>
        <v>888010.23999999999</v>
      </c>
      <c r="G60" s="4" t="s">
        <v>103</v>
      </c>
      <c r="H60" s="4" t="s">
        <v>104</v>
      </c>
      <c r="I60" s="4"/>
      <c r="J60" s="4"/>
      <c r="K60" s="4">
        <v>224</v>
      </c>
      <c r="L60" s="4">
        <v>27</v>
      </c>
      <c r="M60" s="4">
        <v>3</v>
      </c>
      <c r="N60" s="4" t="s">
        <v>6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2" spans="1:206" x14ac:dyDescent="0.2">
      <c r="A62" s="2">
        <v>51</v>
      </c>
      <c r="B62" s="2">
        <f>B12</f>
        <v>95</v>
      </c>
      <c r="C62" s="2">
        <f>A12</f>
        <v>1</v>
      </c>
      <c r="D62" s="2">
        <f>ROW(A12)</f>
        <v>12</v>
      </c>
      <c r="E62" s="2"/>
      <c r="F62" s="2" t="str">
        <f>IF(F12&lt;&gt;"",F12,"")</f>
        <v>Новый объект_(Копия)</v>
      </c>
      <c r="G62" s="2" t="str">
        <f>IF(G12&lt;&gt;"",G12,"")</f>
        <v>Выполнение работ по обустройству территорий, прилегающих к городским кладбищам Северо-Западного административного округа города Москвы.</v>
      </c>
      <c r="H62" s="2">
        <v>0</v>
      </c>
      <c r="I62" s="2"/>
      <c r="J62" s="2"/>
      <c r="K62" s="2"/>
      <c r="L62" s="2"/>
      <c r="M62" s="2"/>
      <c r="N62" s="2"/>
      <c r="O62" s="2">
        <f t="shared" ref="O62:T62" si="42">ROUND(O32,2)</f>
        <v>755420.38</v>
      </c>
      <c r="P62" s="2">
        <f t="shared" si="42"/>
        <v>410236.51</v>
      </c>
      <c r="Q62" s="2">
        <f t="shared" si="42"/>
        <v>190668.76</v>
      </c>
      <c r="R62" s="2">
        <f t="shared" si="42"/>
        <v>100259.43</v>
      </c>
      <c r="S62" s="2">
        <f t="shared" si="42"/>
        <v>154515.10999999999</v>
      </c>
      <c r="T62" s="2">
        <f t="shared" si="42"/>
        <v>0</v>
      </c>
      <c r="U62" s="2">
        <f>U32</f>
        <v>821.87767290000011</v>
      </c>
      <c r="V62" s="2">
        <f>V32</f>
        <v>0</v>
      </c>
      <c r="W62" s="2">
        <f>ROUND(W32,2)</f>
        <v>0</v>
      </c>
      <c r="X62" s="2">
        <f>ROUND(X32,2)</f>
        <v>108160.57</v>
      </c>
      <c r="Y62" s="2">
        <f>ROUND(Y32,2)</f>
        <v>15451.52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>
        <f t="shared" ref="AO62:BD62" si="43">ROUND(AO32,2)</f>
        <v>0</v>
      </c>
      <c r="AP62" s="2">
        <f t="shared" si="43"/>
        <v>0</v>
      </c>
      <c r="AQ62" s="2">
        <f t="shared" si="43"/>
        <v>0</v>
      </c>
      <c r="AR62" s="2">
        <f t="shared" si="43"/>
        <v>888010.23999999999</v>
      </c>
      <c r="AS62" s="2">
        <f t="shared" si="43"/>
        <v>0</v>
      </c>
      <c r="AT62" s="2">
        <f t="shared" si="43"/>
        <v>0</v>
      </c>
      <c r="AU62" s="2">
        <f t="shared" si="43"/>
        <v>888010.23999999999</v>
      </c>
      <c r="AV62" s="2">
        <f t="shared" si="43"/>
        <v>410236.51</v>
      </c>
      <c r="AW62" s="2">
        <f t="shared" si="43"/>
        <v>410236.51</v>
      </c>
      <c r="AX62" s="2">
        <f t="shared" si="43"/>
        <v>0</v>
      </c>
      <c r="AY62" s="2">
        <f t="shared" si="43"/>
        <v>410236.51</v>
      </c>
      <c r="AZ62" s="2">
        <f t="shared" si="43"/>
        <v>0</v>
      </c>
      <c r="BA62" s="2">
        <f t="shared" si="43"/>
        <v>0</v>
      </c>
      <c r="BB62" s="2">
        <f t="shared" si="43"/>
        <v>0</v>
      </c>
      <c r="BC62" s="2">
        <f t="shared" si="43"/>
        <v>0</v>
      </c>
      <c r="BD62" s="2">
        <f t="shared" si="43"/>
        <v>0</v>
      </c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>
        <v>0</v>
      </c>
    </row>
    <row r="64" spans="1:206" x14ac:dyDescent="0.2">
      <c r="A64" s="4">
        <v>50</v>
      </c>
      <c r="B64" s="4">
        <v>0</v>
      </c>
      <c r="C64" s="4">
        <v>0</v>
      </c>
      <c r="D64" s="4">
        <v>1</v>
      </c>
      <c r="E64" s="4">
        <v>201</v>
      </c>
      <c r="F64" s="4">
        <f>ROUND(Source!O62,O64)</f>
        <v>755420.38</v>
      </c>
      <c r="G64" s="4" t="s">
        <v>51</v>
      </c>
      <c r="H64" s="4" t="s">
        <v>52</v>
      </c>
      <c r="I64" s="4"/>
      <c r="J64" s="4"/>
      <c r="K64" s="4">
        <v>201</v>
      </c>
      <c r="L64" s="4">
        <v>1</v>
      </c>
      <c r="M64" s="4">
        <v>3</v>
      </c>
      <c r="N64" s="4" t="s">
        <v>6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4">
        <v>50</v>
      </c>
      <c r="B65" s="4">
        <v>0</v>
      </c>
      <c r="C65" s="4">
        <v>0</v>
      </c>
      <c r="D65" s="4">
        <v>1</v>
      </c>
      <c r="E65" s="4">
        <v>202</v>
      </c>
      <c r="F65" s="4">
        <f>ROUND(Source!P62,O65)</f>
        <v>410236.51</v>
      </c>
      <c r="G65" s="4" t="s">
        <v>53</v>
      </c>
      <c r="H65" s="4" t="s">
        <v>54</v>
      </c>
      <c r="I65" s="4"/>
      <c r="J65" s="4"/>
      <c r="K65" s="4">
        <v>202</v>
      </c>
      <c r="L65" s="4">
        <v>2</v>
      </c>
      <c r="M65" s="4">
        <v>3</v>
      </c>
      <c r="N65" s="4" t="s">
        <v>6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3" x14ac:dyDescent="0.2">
      <c r="A66" s="4">
        <v>50</v>
      </c>
      <c r="B66" s="4">
        <v>0</v>
      </c>
      <c r="C66" s="4">
        <v>0</v>
      </c>
      <c r="D66" s="4">
        <v>1</v>
      </c>
      <c r="E66" s="4">
        <v>222</v>
      </c>
      <c r="F66" s="4">
        <f>ROUND(Source!AO62,O66)</f>
        <v>0</v>
      </c>
      <c r="G66" s="4" t="s">
        <v>55</v>
      </c>
      <c r="H66" s="4" t="s">
        <v>56</v>
      </c>
      <c r="I66" s="4"/>
      <c r="J66" s="4"/>
      <c r="K66" s="4">
        <v>222</v>
      </c>
      <c r="L66" s="4">
        <v>3</v>
      </c>
      <c r="M66" s="4">
        <v>3</v>
      </c>
      <c r="N66" s="4" t="s">
        <v>6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4">
        <v>50</v>
      </c>
      <c r="B67" s="4">
        <v>0</v>
      </c>
      <c r="C67" s="4">
        <v>0</v>
      </c>
      <c r="D67" s="4">
        <v>1</v>
      </c>
      <c r="E67" s="4">
        <v>225</v>
      </c>
      <c r="F67" s="4">
        <f>ROUND(Source!AV62,O67)</f>
        <v>410236.51</v>
      </c>
      <c r="G67" s="4" t="s">
        <v>57</v>
      </c>
      <c r="H67" s="4" t="s">
        <v>58</v>
      </c>
      <c r="I67" s="4"/>
      <c r="J67" s="4"/>
      <c r="K67" s="4">
        <v>225</v>
      </c>
      <c r="L67" s="4">
        <v>4</v>
      </c>
      <c r="M67" s="4">
        <v>3</v>
      </c>
      <c r="N67" s="4" t="s">
        <v>6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4">
        <v>50</v>
      </c>
      <c r="B68" s="4">
        <v>0</v>
      </c>
      <c r="C68" s="4">
        <v>0</v>
      </c>
      <c r="D68" s="4">
        <v>1</v>
      </c>
      <c r="E68" s="4">
        <v>226</v>
      </c>
      <c r="F68" s="4">
        <f>ROUND(Source!AW62,O68)</f>
        <v>410236.51</v>
      </c>
      <c r="G68" s="4" t="s">
        <v>59</v>
      </c>
      <c r="H68" s="4" t="s">
        <v>60</v>
      </c>
      <c r="I68" s="4"/>
      <c r="J68" s="4"/>
      <c r="K68" s="4">
        <v>226</v>
      </c>
      <c r="L68" s="4">
        <v>5</v>
      </c>
      <c r="M68" s="4">
        <v>3</v>
      </c>
      <c r="N68" s="4" t="s">
        <v>6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4">
        <v>50</v>
      </c>
      <c r="B69" s="4">
        <v>0</v>
      </c>
      <c r="C69" s="4">
        <v>0</v>
      </c>
      <c r="D69" s="4">
        <v>1</v>
      </c>
      <c r="E69" s="4">
        <v>227</v>
      </c>
      <c r="F69" s="4">
        <f>ROUND(Source!AX62,O69)</f>
        <v>0</v>
      </c>
      <c r="G69" s="4" t="s">
        <v>61</v>
      </c>
      <c r="H69" s="4" t="s">
        <v>62</v>
      </c>
      <c r="I69" s="4"/>
      <c r="J69" s="4"/>
      <c r="K69" s="4">
        <v>227</v>
      </c>
      <c r="L69" s="4">
        <v>6</v>
      </c>
      <c r="M69" s="4">
        <v>3</v>
      </c>
      <c r="N69" s="4" t="s">
        <v>6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4">
        <v>50</v>
      </c>
      <c r="B70" s="4">
        <v>0</v>
      </c>
      <c r="C70" s="4">
        <v>0</v>
      </c>
      <c r="D70" s="4">
        <v>1</v>
      </c>
      <c r="E70" s="4">
        <v>228</v>
      </c>
      <c r="F70" s="4">
        <f>ROUND(Source!AY62,O70)</f>
        <v>410236.51</v>
      </c>
      <c r="G70" s="4" t="s">
        <v>63</v>
      </c>
      <c r="H70" s="4" t="s">
        <v>64</v>
      </c>
      <c r="I70" s="4"/>
      <c r="J70" s="4"/>
      <c r="K70" s="4">
        <v>228</v>
      </c>
      <c r="L70" s="4">
        <v>7</v>
      </c>
      <c r="M70" s="4">
        <v>3</v>
      </c>
      <c r="N70" s="4" t="s">
        <v>6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4">
        <v>50</v>
      </c>
      <c r="B71" s="4">
        <v>0</v>
      </c>
      <c r="C71" s="4">
        <v>0</v>
      </c>
      <c r="D71" s="4">
        <v>1</v>
      </c>
      <c r="E71" s="4">
        <v>216</v>
      </c>
      <c r="F71" s="4">
        <f>ROUND(Source!AP62,O71)</f>
        <v>0</v>
      </c>
      <c r="G71" s="4" t="s">
        <v>65</v>
      </c>
      <c r="H71" s="4" t="s">
        <v>66</v>
      </c>
      <c r="I71" s="4"/>
      <c r="J71" s="4"/>
      <c r="K71" s="4">
        <v>216</v>
      </c>
      <c r="L71" s="4">
        <v>8</v>
      </c>
      <c r="M71" s="4">
        <v>3</v>
      </c>
      <c r="N71" s="4" t="s">
        <v>6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4">
        <v>50</v>
      </c>
      <c r="B72" s="4">
        <v>0</v>
      </c>
      <c r="C72" s="4">
        <v>0</v>
      </c>
      <c r="D72" s="4">
        <v>1</v>
      </c>
      <c r="E72" s="4">
        <v>223</v>
      </c>
      <c r="F72" s="4">
        <f>ROUND(Source!AQ62,O72)</f>
        <v>0</v>
      </c>
      <c r="G72" s="4" t="s">
        <v>67</v>
      </c>
      <c r="H72" s="4" t="s">
        <v>68</v>
      </c>
      <c r="I72" s="4"/>
      <c r="J72" s="4"/>
      <c r="K72" s="4">
        <v>223</v>
      </c>
      <c r="L72" s="4">
        <v>9</v>
      </c>
      <c r="M72" s="4">
        <v>3</v>
      </c>
      <c r="N72" s="4" t="s">
        <v>6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4">
        <v>50</v>
      </c>
      <c r="B73" s="4">
        <v>0</v>
      </c>
      <c r="C73" s="4">
        <v>0</v>
      </c>
      <c r="D73" s="4">
        <v>1</v>
      </c>
      <c r="E73" s="4">
        <v>229</v>
      </c>
      <c r="F73" s="4">
        <f>ROUND(Source!AZ62,O73)</f>
        <v>0</v>
      </c>
      <c r="G73" s="4" t="s">
        <v>69</v>
      </c>
      <c r="H73" s="4" t="s">
        <v>70</v>
      </c>
      <c r="I73" s="4"/>
      <c r="J73" s="4"/>
      <c r="K73" s="4">
        <v>229</v>
      </c>
      <c r="L73" s="4">
        <v>10</v>
      </c>
      <c r="M73" s="4">
        <v>3</v>
      </c>
      <c r="N73" s="4" t="s">
        <v>6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4">
        <v>50</v>
      </c>
      <c r="B74" s="4">
        <v>0</v>
      </c>
      <c r="C74" s="4">
        <v>0</v>
      </c>
      <c r="D74" s="4">
        <v>1</v>
      </c>
      <c r="E74" s="4">
        <v>203</v>
      </c>
      <c r="F74" s="4">
        <f>ROUND(Source!Q62,O74)</f>
        <v>190668.76</v>
      </c>
      <c r="G74" s="4" t="s">
        <v>71</v>
      </c>
      <c r="H74" s="4" t="s">
        <v>72</v>
      </c>
      <c r="I74" s="4"/>
      <c r="J74" s="4"/>
      <c r="K74" s="4">
        <v>203</v>
      </c>
      <c r="L74" s="4">
        <v>11</v>
      </c>
      <c r="M74" s="4">
        <v>3</v>
      </c>
      <c r="N74" s="4" t="s">
        <v>6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4">
        <v>50</v>
      </c>
      <c r="B75" s="4">
        <v>0</v>
      </c>
      <c r="C75" s="4">
        <v>0</v>
      </c>
      <c r="D75" s="4">
        <v>1</v>
      </c>
      <c r="E75" s="4">
        <v>231</v>
      </c>
      <c r="F75" s="4">
        <f>ROUND(Source!BB62,O75)</f>
        <v>0</v>
      </c>
      <c r="G75" s="4" t="s">
        <v>73</v>
      </c>
      <c r="H75" s="4" t="s">
        <v>74</v>
      </c>
      <c r="I75" s="4"/>
      <c r="J75" s="4"/>
      <c r="K75" s="4">
        <v>231</v>
      </c>
      <c r="L75" s="4">
        <v>12</v>
      </c>
      <c r="M75" s="4">
        <v>3</v>
      </c>
      <c r="N75" s="4" t="s">
        <v>6</v>
      </c>
      <c r="O75" s="4">
        <v>2</v>
      </c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4">
        <v>50</v>
      </c>
      <c r="B76" s="4">
        <v>0</v>
      </c>
      <c r="C76" s="4">
        <v>0</v>
      </c>
      <c r="D76" s="4">
        <v>1</v>
      </c>
      <c r="E76" s="4">
        <v>204</v>
      </c>
      <c r="F76" s="4">
        <f>ROUND(Source!R62,O76)</f>
        <v>100259.43</v>
      </c>
      <c r="G76" s="4" t="s">
        <v>75</v>
      </c>
      <c r="H76" s="4" t="s">
        <v>76</v>
      </c>
      <c r="I76" s="4"/>
      <c r="J76" s="4"/>
      <c r="K76" s="4">
        <v>204</v>
      </c>
      <c r="L76" s="4">
        <v>13</v>
      </c>
      <c r="M76" s="4">
        <v>3</v>
      </c>
      <c r="N76" s="4" t="s">
        <v>6</v>
      </c>
      <c r="O76" s="4">
        <v>2</v>
      </c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4">
        <v>50</v>
      </c>
      <c r="B77" s="4">
        <v>0</v>
      </c>
      <c r="C77" s="4">
        <v>0</v>
      </c>
      <c r="D77" s="4">
        <v>1</v>
      </c>
      <c r="E77" s="4">
        <v>205</v>
      </c>
      <c r="F77" s="4">
        <f>ROUND(Source!S62,O77)</f>
        <v>154515.10999999999</v>
      </c>
      <c r="G77" s="4" t="s">
        <v>77</v>
      </c>
      <c r="H77" s="4" t="s">
        <v>78</v>
      </c>
      <c r="I77" s="4"/>
      <c r="J77" s="4"/>
      <c r="K77" s="4">
        <v>205</v>
      </c>
      <c r="L77" s="4">
        <v>14</v>
      </c>
      <c r="M77" s="4">
        <v>3</v>
      </c>
      <c r="N77" s="4" t="s">
        <v>6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4">
        <v>50</v>
      </c>
      <c r="B78" s="4">
        <v>0</v>
      </c>
      <c r="C78" s="4">
        <v>0</v>
      </c>
      <c r="D78" s="4">
        <v>1</v>
      </c>
      <c r="E78" s="4">
        <v>232</v>
      </c>
      <c r="F78" s="4">
        <f>ROUND(Source!BC62,O78)</f>
        <v>0</v>
      </c>
      <c r="G78" s="4" t="s">
        <v>79</v>
      </c>
      <c r="H78" s="4" t="s">
        <v>80</v>
      </c>
      <c r="I78" s="4"/>
      <c r="J78" s="4"/>
      <c r="K78" s="4">
        <v>232</v>
      </c>
      <c r="L78" s="4">
        <v>15</v>
      </c>
      <c r="M78" s="4">
        <v>3</v>
      </c>
      <c r="N78" s="4" t="s">
        <v>6</v>
      </c>
      <c r="O78" s="4">
        <v>2</v>
      </c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4">
        <v>50</v>
      </c>
      <c r="B79" s="4">
        <v>0</v>
      </c>
      <c r="C79" s="4">
        <v>0</v>
      </c>
      <c r="D79" s="4">
        <v>1</v>
      </c>
      <c r="E79" s="4">
        <v>214</v>
      </c>
      <c r="F79" s="4">
        <f>ROUND(Source!AS62,O79)</f>
        <v>0</v>
      </c>
      <c r="G79" s="4" t="s">
        <v>81</v>
      </c>
      <c r="H79" s="4" t="s">
        <v>82</v>
      </c>
      <c r="I79" s="4"/>
      <c r="J79" s="4"/>
      <c r="K79" s="4">
        <v>214</v>
      </c>
      <c r="L79" s="4">
        <v>16</v>
      </c>
      <c r="M79" s="4">
        <v>3</v>
      </c>
      <c r="N79" s="4" t="s">
        <v>6</v>
      </c>
      <c r="O79" s="4">
        <v>2</v>
      </c>
      <c r="P79" s="4"/>
      <c r="Q79" s="4"/>
      <c r="R79" s="4"/>
      <c r="S79" s="4"/>
      <c r="T79" s="4"/>
      <c r="U79" s="4"/>
      <c r="V79" s="4"/>
      <c r="W79" s="4"/>
    </row>
    <row r="80" spans="1:23" x14ac:dyDescent="0.2">
      <c r="A80" s="4">
        <v>50</v>
      </c>
      <c r="B80" s="4">
        <v>0</v>
      </c>
      <c r="C80" s="4">
        <v>0</v>
      </c>
      <c r="D80" s="4">
        <v>1</v>
      </c>
      <c r="E80" s="4">
        <v>215</v>
      </c>
      <c r="F80" s="4">
        <f>ROUND(Source!AT62,O80)</f>
        <v>0</v>
      </c>
      <c r="G80" s="4" t="s">
        <v>83</v>
      </c>
      <c r="H80" s="4" t="s">
        <v>84</v>
      </c>
      <c r="I80" s="4"/>
      <c r="J80" s="4"/>
      <c r="K80" s="4">
        <v>215</v>
      </c>
      <c r="L80" s="4">
        <v>17</v>
      </c>
      <c r="M80" s="4">
        <v>3</v>
      </c>
      <c r="N80" s="4" t="s">
        <v>6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4">
        <v>50</v>
      </c>
      <c r="B81" s="4">
        <v>0</v>
      </c>
      <c r="C81" s="4">
        <v>0</v>
      </c>
      <c r="D81" s="4">
        <v>1</v>
      </c>
      <c r="E81" s="4">
        <v>217</v>
      </c>
      <c r="F81" s="4">
        <f>ROUND(Source!AU62,O81)</f>
        <v>888010.23999999999</v>
      </c>
      <c r="G81" s="4" t="s">
        <v>85</v>
      </c>
      <c r="H81" s="4" t="s">
        <v>86</v>
      </c>
      <c r="I81" s="4"/>
      <c r="J81" s="4"/>
      <c r="K81" s="4">
        <v>217</v>
      </c>
      <c r="L81" s="4">
        <v>18</v>
      </c>
      <c r="M81" s="4">
        <v>3</v>
      </c>
      <c r="N81" s="4" t="s">
        <v>6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4">
        <v>50</v>
      </c>
      <c r="B82" s="4">
        <v>0</v>
      </c>
      <c r="C82" s="4">
        <v>0</v>
      </c>
      <c r="D82" s="4">
        <v>1</v>
      </c>
      <c r="E82" s="4">
        <v>230</v>
      </c>
      <c r="F82" s="4">
        <f>ROUND(Source!BA62,O82)</f>
        <v>0</v>
      </c>
      <c r="G82" s="4" t="s">
        <v>87</v>
      </c>
      <c r="H82" s="4" t="s">
        <v>88</v>
      </c>
      <c r="I82" s="4"/>
      <c r="J82" s="4"/>
      <c r="K82" s="4">
        <v>230</v>
      </c>
      <c r="L82" s="4">
        <v>19</v>
      </c>
      <c r="M82" s="4">
        <v>3</v>
      </c>
      <c r="N82" s="4" t="s">
        <v>6</v>
      </c>
      <c r="O82" s="4">
        <v>2</v>
      </c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4">
        <v>50</v>
      </c>
      <c r="B83" s="4">
        <v>0</v>
      </c>
      <c r="C83" s="4">
        <v>0</v>
      </c>
      <c r="D83" s="4">
        <v>1</v>
      </c>
      <c r="E83" s="4">
        <v>206</v>
      </c>
      <c r="F83" s="4">
        <f>ROUND(Source!T62,O83)</f>
        <v>0</v>
      </c>
      <c r="G83" s="4" t="s">
        <v>89</v>
      </c>
      <c r="H83" s="4" t="s">
        <v>90</v>
      </c>
      <c r="I83" s="4"/>
      <c r="J83" s="4"/>
      <c r="K83" s="4">
        <v>206</v>
      </c>
      <c r="L83" s="4">
        <v>20</v>
      </c>
      <c r="M83" s="4">
        <v>3</v>
      </c>
      <c r="N83" s="4" t="s">
        <v>6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4">
        <v>50</v>
      </c>
      <c r="B84" s="4">
        <v>0</v>
      </c>
      <c r="C84" s="4">
        <v>0</v>
      </c>
      <c r="D84" s="4">
        <v>1</v>
      </c>
      <c r="E84" s="4">
        <v>207</v>
      </c>
      <c r="F84" s="4">
        <f>Source!U62</f>
        <v>821.87767290000011</v>
      </c>
      <c r="G84" s="4" t="s">
        <v>91</v>
      </c>
      <c r="H84" s="4" t="s">
        <v>92</v>
      </c>
      <c r="I84" s="4"/>
      <c r="J84" s="4"/>
      <c r="K84" s="4">
        <v>207</v>
      </c>
      <c r="L84" s="4">
        <v>21</v>
      </c>
      <c r="M84" s="4">
        <v>3</v>
      </c>
      <c r="N84" s="4" t="s">
        <v>6</v>
      </c>
      <c r="O84" s="4">
        <v>-1</v>
      </c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4">
        <v>50</v>
      </c>
      <c r="B85" s="4">
        <v>0</v>
      </c>
      <c r="C85" s="4">
        <v>0</v>
      </c>
      <c r="D85" s="4">
        <v>1</v>
      </c>
      <c r="E85" s="4">
        <v>208</v>
      </c>
      <c r="F85" s="4">
        <f>Source!V62</f>
        <v>0</v>
      </c>
      <c r="G85" s="4" t="s">
        <v>93</v>
      </c>
      <c r="H85" s="4" t="s">
        <v>94</v>
      </c>
      <c r="I85" s="4"/>
      <c r="J85" s="4"/>
      <c r="K85" s="4">
        <v>208</v>
      </c>
      <c r="L85" s="4">
        <v>22</v>
      </c>
      <c r="M85" s="4">
        <v>3</v>
      </c>
      <c r="N85" s="4" t="s">
        <v>6</v>
      </c>
      <c r="O85" s="4">
        <v>-1</v>
      </c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4">
        <v>50</v>
      </c>
      <c r="B86" s="4">
        <v>0</v>
      </c>
      <c r="C86" s="4">
        <v>0</v>
      </c>
      <c r="D86" s="4">
        <v>1</v>
      </c>
      <c r="E86" s="4">
        <v>209</v>
      </c>
      <c r="F86" s="4">
        <f>ROUND(Source!W62,O86)</f>
        <v>0</v>
      </c>
      <c r="G86" s="4" t="s">
        <v>95</v>
      </c>
      <c r="H86" s="4" t="s">
        <v>96</v>
      </c>
      <c r="I86" s="4"/>
      <c r="J86" s="4"/>
      <c r="K86" s="4">
        <v>209</v>
      </c>
      <c r="L86" s="4">
        <v>23</v>
      </c>
      <c r="M86" s="4">
        <v>3</v>
      </c>
      <c r="N86" s="4" t="s">
        <v>6</v>
      </c>
      <c r="O86" s="4">
        <v>2</v>
      </c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4">
        <v>50</v>
      </c>
      <c r="B87" s="4">
        <v>0</v>
      </c>
      <c r="C87" s="4">
        <v>0</v>
      </c>
      <c r="D87" s="4">
        <v>1</v>
      </c>
      <c r="E87" s="4">
        <v>233</v>
      </c>
      <c r="F87" s="4">
        <f>ROUND(Source!BD62,O87)</f>
        <v>0</v>
      </c>
      <c r="G87" s="4" t="s">
        <v>97</v>
      </c>
      <c r="H87" s="4" t="s">
        <v>98</v>
      </c>
      <c r="I87" s="4"/>
      <c r="J87" s="4"/>
      <c r="K87" s="4">
        <v>233</v>
      </c>
      <c r="L87" s="4">
        <v>24</v>
      </c>
      <c r="M87" s="4">
        <v>3</v>
      </c>
      <c r="N87" s="4" t="s">
        <v>6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4">
        <v>50</v>
      </c>
      <c r="B88" s="4">
        <v>0</v>
      </c>
      <c r="C88" s="4">
        <v>0</v>
      </c>
      <c r="D88" s="4">
        <v>1</v>
      </c>
      <c r="E88" s="4">
        <v>210</v>
      </c>
      <c r="F88" s="4">
        <f>ROUND(Source!X62,O88)</f>
        <v>108160.57</v>
      </c>
      <c r="G88" s="4" t="s">
        <v>99</v>
      </c>
      <c r="H88" s="4" t="s">
        <v>100</v>
      </c>
      <c r="I88" s="4"/>
      <c r="J88" s="4"/>
      <c r="K88" s="4">
        <v>210</v>
      </c>
      <c r="L88" s="4">
        <v>25</v>
      </c>
      <c r="M88" s="4">
        <v>3</v>
      </c>
      <c r="N88" s="4" t="s">
        <v>6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4">
        <v>50</v>
      </c>
      <c r="B89" s="4">
        <v>0</v>
      </c>
      <c r="C89" s="4">
        <v>0</v>
      </c>
      <c r="D89" s="4">
        <v>1</v>
      </c>
      <c r="E89" s="4">
        <v>211</v>
      </c>
      <c r="F89" s="4">
        <f>ROUND(Source!Y62,O89)</f>
        <v>15451.52</v>
      </c>
      <c r="G89" s="4" t="s">
        <v>101</v>
      </c>
      <c r="H89" s="4" t="s">
        <v>102</v>
      </c>
      <c r="I89" s="4"/>
      <c r="J89" s="4"/>
      <c r="K89" s="4">
        <v>211</v>
      </c>
      <c r="L89" s="4">
        <v>26</v>
      </c>
      <c r="M89" s="4">
        <v>3</v>
      </c>
      <c r="N89" s="4" t="s">
        <v>6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4">
        <v>50</v>
      </c>
      <c r="B90" s="4">
        <v>0</v>
      </c>
      <c r="C90" s="4">
        <v>0</v>
      </c>
      <c r="D90" s="4">
        <v>1</v>
      </c>
      <c r="E90" s="4">
        <v>224</v>
      </c>
      <c r="F90" s="4">
        <f>ROUND(Source!AR62,O90)</f>
        <v>888010.23999999999</v>
      </c>
      <c r="G90" s="4" t="s">
        <v>103</v>
      </c>
      <c r="H90" s="4" t="s">
        <v>104</v>
      </c>
      <c r="I90" s="4"/>
      <c r="J90" s="4"/>
      <c r="K90" s="4">
        <v>224</v>
      </c>
      <c r="L90" s="4">
        <v>27</v>
      </c>
      <c r="M90" s="4">
        <v>3</v>
      </c>
      <c r="N90" s="4" t="s">
        <v>6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3" spans="1:23" x14ac:dyDescent="0.2">
      <c r="A93">
        <v>-1</v>
      </c>
    </row>
    <row r="95" spans="1:23" x14ac:dyDescent="0.2">
      <c r="A95" s="3">
        <v>75</v>
      </c>
      <c r="B95" s="3" t="s">
        <v>105</v>
      </c>
      <c r="C95" s="3">
        <v>2020</v>
      </c>
      <c r="D95" s="3">
        <v>0</v>
      </c>
      <c r="E95" s="3">
        <v>10</v>
      </c>
      <c r="F95" s="3">
        <v>0</v>
      </c>
      <c r="G95" s="3">
        <v>0</v>
      </c>
      <c r="H95" s="3">
        <v>1</v>
      </c>
      <c r="I95" s="3">
        <v>0</v>
      </c>
      <c r="J95" s="3">
        <v>1</v>
      </c>
      <c r="K95" s="3">
        <v>78</v>
      </c>
      <c r="L95" s="3">
        <v>30</v>
      </c>
      <c r="M95" s="3">
        <v>0</v>
      </c>
      <c r="N95" s="3">
        <v>39231334</v>
      </c>
      <c r="O95" s="3">
        <v>1</v>
      </c>
    </row>
    <row r="99" spans="1:5" x14ac:dyDescent="0.2">
      <c r="A99">
        <v>65</v>
      </c>
      <c r="C99">
        <v>1</v>
      </c>
      <c r="D99">
        <v>0</v>
      </c>
      <c r="E99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51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106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20207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">
      <c r="A12" s="1">
        <v>1</v>
      </c>
      <c r="B12" s="1">
        <v>51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6</v>
      </c>
      <c r="I12" s="1">
        <v>0</v>
      </c>
      <c r="J12" s="1" t="s">
        <v>6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6</v>
      </c>
      <c r="V12" s="1">
        <v>0</v>
      </c>
      <c r="W12" s="1" t="s">
        <v>6</v>
      </c>
      <c r="X12" s="1" t="s">
        <v>6</v>
      </c>
      <c r="Y12" s="1" t="s">
        <v>6</v>
      </c>
      <c r="Z12" s="1" t="s">
        <v>6</v>
      </c>
      <c r="AA12" s="1" t="s">
        <v>6</v>
      </c>
      <c r="AB12" s="1" t="s">
        <v>6</v>
      </c>
      <c r="AC12" s="1" t="s">
        <v>6</v>
      </c>
      <c r="AD12" s="1" t="s">
        <v>6</v>
      </c>
      <c r="AE12" s="1" t="s">
        <v>6</v>
      </c>
      <c r="AF12" s="1" t="s">
        <v>6</v>
      </c>
      <c r="AG12" s="1" t="s">
        <v>6</v>
      </c>
      <c r="AH12" s="1" t="s">
        <v>6</v>
      </c>
      <c r="AI12" s="1" t="s">
        <v>6</v>
      </c>
      <c r="AJ12" s="1" t="s">
        <v>6</v>
      </c>
      <c r="AK12" s="1"/>
      <c r="AL12" s="1" t="s">
        <v>6</v>
      </c>
      <c r="AM12" s="1" t="s">
        <v>6</v>
      </c>
      <c r="AN12" s="1" t="s">
        <v>6</v>
      </c>
      <c r="AO12" s="1"/>
      <c r="AP12" s="1" t="s">
        <v>6</v>
      </c>
      <c r="AQ12" s="1" t="s">
        <v>6</v>
      </c>
      <c r="AR12" s="1" t="s">
        <v>6</v>
      </c>
      <c r="AS12" s="1"/>
      <c r="AT12" s="1"/>
      <c r="AU12" s="1"/>
      <c r="AV12" s="1"/>
      <c r="AW12" s="1"/>
      <c r="AX12" s="1" t="s">
        <v>6</v>
      </c>
      <c r="AY12" s="1" t="s">
        <v>6</v>
      </c>
      <c r="AZ12" s="1" t="s">
        <v>6</v>
      </c>
      <c r="BA12" s="1"/>
      <c r="BB12" s="1"/>
      <c r="BC12" s="1"/>
      <c r="BD12" s="1"/>
      <c r="BE12" s="1"/>
      <c r="BF12" s="1"/>
      <c r="BG12" s="1"/>
      <c r="BH12" s="1" t="s">
        <v>7</v>
      </c>
      <c r="BI12" s="1" t="s">
        <v>8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9</v>
      </c>
      <c r="BZ12" s="1" t="s">
        <v>10</v>
      </c>
      <c r="CA12" s="1" t="s">
        <v>11</v>
      </c>
      <c r="CB12" s="1" t="s">
        <v>11</v>
      </c>
      <c r="CC12" s="1" t="s">
        <v>11</v>
      </c>
      <c r="CD12" s="1" t="s">
        <v>11</v>
      </c>
      <c r="CE12" s="1" t="s">
        <v>12</v>
      </c>
      <c r="CF12" s="1">
        <v>0</v>
      </c>
      <c r="CG12" s="1">
        <v>0</v>
      </c>
      <c r="CH12" s="1">
        <v>8</v>
      </c>
      <c r="CI12" s="1" t="s">
        <v>6</v>
      </c>
      <c r="CJ12" s="1" t="s">
        <v>6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39231334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13</v>
      </c>
      <c r="D16" s="5" t="s">
        <v>13</v>
      </c>
      <c r="E16" s="6">
        <f>(Source!F49)/1000</f>
        <v>0</v>
      </c>
      <c r="F16" s="6">
        <f>(Source!F50)/1000</f>
        <v>0</v>
      </c>
      <c r="G16" s="6">
        <f>(Source!F41)/1000</f>
        <v>0</v>
      </c>
      <c r="H16" s="6">
        <f>(Source!F51)/1000+(Source!F52)/1000</f>
        <v>888.01023999999995</v>
      </c>
      <c r="I16" s="6">
        <f>E16+F16+G16+H16</f>
        <v>888.01023999999995</v>
      </c>
      <c r="J16" s="6">
        <f>(Source!F47)/1000</f>
        <v>154.51510999999999</v>
      </c>
      <c r="AI16" s="5">
        <v>0</v>
      </c>
      <c r="AJ16" s="5">
        <v>0</v>
      </c>
      <c r="AK16" s="5" t="s">
        <v>6</v>
      </c>
      <c r="AL16" s="5" t="s">
        <v>6</v>
      </c>
      <c r="AM16" s="5" t="s">
        <v>6</v>
      </c>
      <c r="AN16" s="5">
        <v>0</v>
      </c>
      <c r="AO16" s="5" t="s">
        <v>6</v>
      </c>
      <c r="AP16" s="5" t="s">
        <v>6</v>
      </c>
      <c r="AT16" s="6">
        <v>755420.38</v>
      </c>
      <c r="AU16" s="6">
        <v>410236.51</v>
      </c>
      <c r="AV16" s="6">
        <v>0</v>
      </c>
      <c r="AW16" s="6">
        <v>0</v>
      </c>
      <c r="AX16" s="6">
        <v>0</v>
      </c>
      <c r="AY16" s="6">
        <v>190668.76</v>
      </c>
      <c r="AZ16" s="6">
        <v>100259.43</v>
      </c>
      <c r="BA16" s="6">
        <v>154515.10999999999</v>
      </c>
      <c r="BB16" s="6">
        <v>0</v>
      </c>
      <c r="BC16" s="6">
        <v>0</v>
      </c>
      <c r="BD16" s="6">
        <v>888010.23999999999</v>
      </c>
      <c r="BE16" s="6">
        <v>0</v>
      </c>
      <c r="BF16" s="6">
        <v>821.87767290000011</v>
      </c>
      <c r="BG16" s="6">
        <v>0</v>
      </c>
      <c r="BH16" s="6">
        <v>0</v>
      </c>
      <c r="BI16" s="6">
        <v>108160.57</v>
      </c>
      <c r="BJ16" s="6">
        <v>15451.52</v>
      </c>
      <c r="BK16" s="6">
        <v>888010.23999999999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888.01023999999995</v>
      </c>
      <c r="I18" s="7">
        <f>SUMIF(A16:A17,3,I16:I17)</f>
        <v>888.01023999999995</v>
      </c>
      <c r="J18" s="7">
        <f>SUMIF(A16:A17,3,J16:J17)</f>
        <v>154.51510999999999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755420.38</v>
      </c>
      <c r="G20" s="4" t="s">
        <v>51</v>
      </c>
      <c r="H20" s="4" t="s">
        <v>52</v>
      </c>
      <c r="I20" s="4"/>
      <c r="J20" s="4"/>
      <c r="K20" s="4">
        <v>201</v>
      </c>
      <c r="L20" s="4">
        <v>1</v>
      </c>
      <c r="M20" s="4">
        <v>3</v>
      </c>
      <c r="N20" s="4" t="s">
        <v>6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410236.51</v>
      </c>
      <c r="G21" s="4" t="s">
        <v>53</v>
      </c>
      <c r="H21" s="4" t="s">
        <v>54</v>
      </c>
      <c r="I21" s="4"/>
      <c r="J21" s="4"/>
      <c r="K21" s="4">
        <v>202</v>
      </c>
      <c r="L21" s="4">
        <v>2</v>
      </c>
      <c r="M21" s="4">
        <v>3</v>
      </c>
      <c r="N21" s="4" t="s">
        <v>6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55</v>
      </c>
      <c r="H22" s="4" t="s">
        <v>56</v>
      </c>
      <c r="I22" s="4"/>
      <c r="J22" s="4"/>
      <c r="K22" s="4">
        <v>222</v>
      </c>
      <c r="L22" s="4">
        <v>3</v>
      </c>
      <c r="M22" s="4">
        <v>3</v>
      </c>
      <c r="N22" s="4" t="s">
        <v>6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410236.51</v>
      </c>
      <c r="G23" s="4" t="s">
        <v>57</v>
      </c>
      <c r="H23" s="4" t="s">
        <v>58</v>
      </c>
      <c r="I23" s="4"/>
      <c r="J23" s="4"/>
      <c r="K23" s="4">
        <v>225</v>
      </c>
      <c r="L23" s="4">
        <v>4</v>
      </c>
      <c r="M23" s="4">
        <v>3</v>
      </c>
      <c r="N23" s="4" t="s">
        <v>6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410236.51</v>
      </c>
      <c r="G24" s="4" t="s">
        <v>59</v>
      </c>
      <c r="H24" s="4" t="s">
        <v>60</v>
      </c>
      <c r="I24" s="4"/>
      <c r="J24" s="4"/>
      <c r="K24" s="4">
        <v>226</v>
      </c>
      <c r="L24" s="4">
        <v>5</v>
      </c>
      <c r="M24" s="4">
        <v>3</v>
      </c>
      <c r="N24" s="4" t="s">
        <v>6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61</v>
      </c>
      <c r="H25" s="4" t="s">
        <v>62</v>
      </c>
      <c r="I25" s="4"/>
      <c r="J25" s="4"/>
      <c r="K25" s="4">
        <v>227</v>
      </c>
      <c r="L25" s="4">
        <v>6</v>
      </c>
      <c r="M25" s="4">
        <v>3</v>
      </c>
      <c r="N25" s="4" t="s">
        <v>6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410236.51</v>
      </c>
      <c r="G26" s="4" t="s">
        <v>63</v>
      </c>
      <c r="H26" s="4" t="s">
        <v>64</v>
      </c>
      <c r="I26" s="4"/>
      <c r="J26" s="4"/>
      <c r="K26" s="4">
        <v>228</v>
      </c>
      <c r="L26" s="4">
        <v>7</v>
      </c>
      <c r="M26" s="4">
        <v>3</v>
      </c>
      <c r="N26" s="4" t="s">
        <v>6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65</v>
      </c>
      <c r="H27" s="4" t="s">
        <v>66</v>
      </c>
      <c r="I27" s="4"/>
      <c r="J27" s="4"/>
      <c r="K27" s="4">
        <v>216</v>
      </c>
      <c r="L27" s="4">
        <v>8</v>
      </c>
      <c r="M27" s="4">
        <v>3</v>
      </c>
      <c r="N27" s="4" t="s">
        <v>6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67</v>
      </c>
      <c r="H28" s="4" t="s">
        <v>68</v>
      </c>
      <c r="I28" s="4"/>
      <c r="J28" s="4"/>
      <c r="K28" s="4">
        <v>223</v>
      </c>
      <c r="L28" s="4">
        <v>9</v>
      </c>
      <c r="M28" s="4">
        <v>3</v>
      </c>
      <c r="N28" s="4" t="s">
        <v>6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69</v>
      </c>
      <c r="H29" s="4" t="s">
        <v>70</v>
      </c>
      <c r="I29" s="4"/>
      <c r="J29" s="4"/>
      <c r="K29" s="4">
        <v>229</v>
      </c>
      <c r="L29" s="4">
        <v>10</v>
      </c>
      <c r="M29" s="4">
        <v>3</v>
      </c>
      <c r="N29" s="4" t="s">
        <v>6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190668.76</v>
      </c>
      <c r="G30" s="4" t="s">
        <v>71</v>
      </c>
      <c r="H30" s="4" t="s">
        <v>72</v>
      </c>
      <c r="I30" s="4"/>
      <c r="J30" s="4"/>
      <c r="K30" s="4">
        <v>203</v>
      </c>
      <c r="L30" s="4">
        <v>11</v>
      </c>
      <c r="M30" s="4">
        <v>3</v>
      </c>
      <c r="N30" s="4" t="s">
        <v>6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73</v>
      </c>
      <c r="H31" s="4" t="s">
        <v>74</v>
      </c>
      <c r="I31" s="4"/>
      <c r="J31" s="4"/>
      <c r="K31" s="4">
        <v>231</v>
      </c>
      <c r="L31" s="4">
        <v>12</v>
      </c>
      <c r="M31" s="4">
        <v>3</v>
      </c>
      <c r="N31" s="4" t="s">
        <v>6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100259.43</v>
      </c>
      <c r="G32" s="4" t="s">
        <v>75</v>
      </c>
      <c r="H32" s="4" t="s">
        <v>76</v>
      </c>
      <c r="I32" s="4"/>
      <c r="J32" s="4"/>
      <c r="K32" s="4">
        <v>204</v>
      </c>
      <c r="L32" s="4">
        <v>13</v>
      </c>
      <c r="M32" s="4">
        <v>3</v>
      </c>
      <c r="N32" s="4" t="s">
        <v>6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154515.10999999999</v>
      </c>
      <c r="G33" s="4" t="s">
        <v>77</v>
      </c>
      <c r="H33" s="4" t="s">
        <v>78</v>
      </c>
      <c r="I33" s="4"/>
      <c r="J33" s="4"/>
      <c r="K33" s="4">
        <v>205</v>
      </c>
      <c r="L33" s="4">
        <v>14</v>
      </c>
      <c r="M33" s="4">
        <v>3</v>
      </c>
      <c r="N33" s="4" t="s">
        <v>6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79</v>
      </c>
      <c r="H34" s="4" t="s">
        <v>80</v>
      </c>
      <c r="I34" s="4"/>
      <c r="J34" s="4"/>
      <c r="K34" s="4">
        <v>232</v>
      </c>
      <c r="L34" s="4">
        <v>15</v>
      </c>
      <c r="M34" s="4">
        <v>3</v>
      </c>
      <c r="N34" s="4" t="s">
        <v>6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81</v>
      </c>
      <c r="H35" s="4" t="s">
        <v>82</v>
      </c>
      <c r="I35" s="4"/>
      <c r="J35" s="4"/>
      <c r="K35" s="4">
        <v>214</v>
      </c>
      <c r="L35" s="4">
        <v>16</v>
      </c>
      <c r="M35" s="4">
        <v>3</v>
      </c>
      <c r="N35" s="4" t="s">
        <v>6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83</v>
      </c>
      <c r="H36" s="4" t="s">
        <v>84</v>
      </c>
      <c r="I36" s="4"/>
      <c r="J36" s="4"/>
      <c r="K36" s="4">
        <v>215</v>
      </c>
      <c r="L36" s="4">
        <v>17</v>
      </c>
      <c r="M36" s="4">
        <v>3</v>
      </c>
      <c r="N36" s="4" t="s">
        <v>6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888010.23999999999</v>
      </c>
      <c r="G37" s="4" t="s">
        <v>85</v>
      </c>
      <c r="H37" s="4" t="s">
        <v>86</v>
      </c>
      <c r="I37" s="4"/>
      <c r="J37" s="4"/>
      <c r="K37" s="4">
        <v>217</v>
      </c>
      <c r="L37" s="4">
        <v>18</v>
      </c>
      <c r="M37" s="4">
        <v>3</v>
      </c>
      <c r="N37" s="4" t="s">
        <v>6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87</v>
      </c>
      <c r="H38" s="4" t="s">
        <v>88</v>
      </c>
      <c r="I38" s="4"/>
      <c r="J38" s="4"/>
      <c r="K38" s="4">
        <v>230</v>
      </c>
      <c r="L38" s="4">
        <v>19</v>
      </c>
      <c r="M38" s="4">
        <v>3</v>
      </c>
      <c r="N38" s="4" t="s">
        <v>6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89</v>
      </c>
      <c r="H39" s="4" t="s">
        <v>90</v>
      </c>
      <c r="I39" s="4"/>
      <c r="J39" s="4"/>
      <c r="K39" s="4">
        <v>206</v>
      </c>
      <c r="L39" s="4">
        <v>20</v>
      </c>
      <c r="M39" s="4">
        <v>3</v>
      </c>
      <c r="N39" s="4" t="s">
        <v>6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821.87767290000011</v>
      </c>
      <c r="G40" s="4" t="s">
        <v>91</v>
      </c>
      <c r="H40" s="4" t="s">
        <v>92</v>
      </c>
      <c r="I40" s="4"/>
      <c r="J40" s="4"/>
      <c r="K40" s="4">
        <v>207</v>
      </c>
      <c r="L40" s="4">
        <v>21</v>
      </c>
      <c r="M40" s="4">
        <v>3</v>
      </c>
      <c r="N40" s="4" t="s">
        <v>6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93</v>
      </c>
      <c r="H41" s="4" t="s">
        <v>94</v>
      </c>
      <c r="I41" s="4"/>
      <c r="J41" s="4"/>
      <c r="K41" s="4">
        <v>208</v>
      </c>
      <c r="L41" s="4">
        <v>22</v>
      </c>
      <c r="M41" s="4">
        <v>3</v>
      </c>
      <c r="N41" s="4" t="s">
        <v>6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95</v>
      </c>
      <c r="H42" s="4" t="s">
        <v>96</v>
      </c>
      <c r="I42" s="4"/>
      <c r="J42" s="4"/>
      <c r="K42" s="4">
        <v>209</v>
      </c>
      <c r="L42" s="4">
        <v>23</v>
      </c>
      <c r="M42" s="4">
        <v>3</v>
      </c>
      <c r="N42" s="4" t="s">
        <v>6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97</v>
      </c>
      <c r="H43" s="4" t="s">
        <v>98</v>
      </c>
      <c r="I43" s="4"/>
      <c r="J43" s="4"/>
      <c r="K43" s="4">
        <v>233</v>
      </c>
      <c r="L43" s="4">
        <v>24</v>
      </c>
      <c r="M43" s="4">
        <v>3</v>
      </c>
      <c r="N43" s="4" t="s">
        <v>6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108160.57</v>
      </c>
      <c r="G44" s="4" t="s">
        <v>99</v>
      </c>
      <c r="H44" s="4" t="s">
        <v>100</v>
      </c>
      <c r="I44" s="4"/>
      <c r="J44" s="4"/>
      <c r="K44" s="4">
        <v>210</v>
      </c>
      <c r="L44" s="4">
        <v>25</v>
      </c>
      <c r="M44" s="4">
        <v>3</v>
      </c>
      <c r="N44" s="4" t="s">
        <v>6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15451.52</v>
      </c>
      <c r="G45" s="4" t="s">
        <v>101</v>
      </c>
      <c r="H45" s="4" t="s">
        <v>102</v>
      </c>
      <c r="I45" s="4"/>
      <c r="J45" s="4"/>
      <c r="K45" s="4">
        <v>211</v>
      </c>
      <c r="L45" s="4">
        <v>26</v>
      </c>
      <c r="M45" s="4">
        <v>3</v>
      </c>
      <c r="N45" s="4" t="s">
        <v>6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888010.23999999999</v>
      </c>
      <c r="G46" s="4" t="s">
        <v>103</v>
      </c>
      <c r="H46" s="4" t="s">
        <v>104</v>
      </c>
      <c r="I46" s="4"/>
      <c r="J46" s="4"/>
      <c r="K46" s="4">
        <v>224</v>
      </c>
      <c r="L46" s="4">
        <v>27</v>
      </c>
      <c r="M46" s="4">
        <v>3</v>
      </c>
      <c r="N46" s="4" t="s">
        <v>6</v>
      </c>
      <c r="O46" s="4">
        <v>2</v>
      </c>
      <c r="P46" s="4"/>
    </row>
    <row r="48" spans="1:16" x14ac:dyDescent="0.2">
      <c r="A48">
        <v>-1</v>
      </c>
    </row>
    <row r="51" spans="1:15" x14ac:dyDescent="0.2">
      <c r="A51" s="3">
        <v>75</v>
      </c>
      <c r="B51" s="3" t="s">
        <v>105</v>
      </c>
      <c r="C51" s="3">
        <v>2020</v>
      </c>
      <c r="D51" s="3">
        <v>0</v>
      </c>
      <c r="E51" s="3">
        <v>10</v>
      </c>
      <c r="F51" s="3">
        <v>0</v>
      </c>
      <c r="G51" s="3">
        <v>0</v>
      </c>
      <c r="H51" s="3">
        <v>1</v>
      </c>
      <c r="I51" s="3">
        <v>0</v>
      </c>
      <c r="J51" s="3">
        <v>1</v>
      </c>
      <c r="K51" s="3">
        <v>78</v>
      </c>
      <c r="L51" s="3">
        <v>30</v>
      </c>
      <c r="M51" s="3">
        <v>0</v>
      </c>
      <c r="N51" s="3">
        <v>39231334</v>
      </c>
      <c r="O51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6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ROW(Source!A24)</f>
        <v>24</v>
      </c>
      <c r="B1">
        <v>39231334</v>
      </c>
      <c r="C1">
        <v>39231190</v>
      </c>
      <c r="D1">
        <v>38712595</v>
      </c>
      <c r="E1">
        <v>27</v>
      </c>
      <c r="F1">
        <v>1</v>
      </c>
      <c r="G1">
        <v>27</v>
      </c>
      <c r="H1">
        <v>1</v>
      </c>
      <c r="I1" t="s">
        <v>107</v>
      </c>
      <c r="J1" t="s">
        <v>6</v>
      </c>
      <c r="K1" t="s">
        <v>108</v>
      </c>
      <c r="L1">
        <v>1191</v>
      </c>
      <c r="N1">
        <v>1013</v>
      </c>
      <c r="O1" t="s">
        <v>109</v>
      </c>
      <c r="P1" t="s">
        <v>109</v>
      </c>
      <c r="Q1">
        <v>1</v>
      </c>
      <c r="W1">
        <v>0</v>
      </c>
      <c r="X1">
        <v>476480486</v>
      </c>
      <c r="Y1">
        <v>1.59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6</v>
      </c>
      <c r="AT1">
        <v>1.59</v>
      </c>
      <c r="AU1" t="s">
        <v>6</v>
      </c>
      <c r="AV1">
        <v>1</v>
      </c>
      <c r="AW1">
        <v>2</v>
      </c>
      <c r="AX1">
        <v>39231373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Y1*Source!I24</f>
        <v>3.6708489000000002</v>
      </c>
      <c r="CY1">
        <f>AD1</f>
        <v>0</v>
      </c>
      <c r="CZ1">
        <f>AH1</f>
        <v>0</v>
      </c>
      <c r="DA1">
        <f>AL1</f>
        <v>1</v>
      </c>
      <c r="DB1">
        <f>ROUND(ROUND(AT1*CZ1,2),6)</f>
        <v>0</v>
      </c>
      <c r="DC1">
        <f>ROUND(ROUND(AT1*AG1,2),6)</f>
        <v>0</v>
      </c>
    </row>
    <row r="2" spans="1:107" x14ac:dyDescent="0.2">
      <c r="A2">
        <f>ROW(Source!A24)</f>
        <v>24</v>
      </c>
      <c r="B2">
        <v>39231334</v>
      </c>
      <c r="C2">
        <v>39231190</v>
      </c>
      <c r="D2">
        <v>38724790</v>
      </c>
      <c r="E2">
        <v>1</v>
      </c>
      <c r="F2">
        <v>1</v>
      </c>
      <c r="G2">
        <v>27</v>
      </c>
      <c r="H2">
        <v>2</v>
      </c>
      <c r="I2" t="s">
        <v>110</v>
      </c>
      <c r="J2" t="s">
        <v>111</v>
      </c>
      <c r="K2" t="s">
        <v>112</v>
      </c>
      <c r="L2">
        <v>1368</v>
      </c>
      <c r="N2">
        <v>1011</v>
      </c>
      <c r="O2" t="s">
        <v>113</v>
      </c>
      <c r="P2" t="s">
        <v>113</v>
      </c>
      <c r="Q2">
        <v>1</v>
      </c>
      <c r="W2">
        <v>0</v>
      </c>
      <c r="X2">
        <v>-903558812</v>
      </c>
      <c r="Y2">
        <v>4.9800000000000004</v>
      </c>
      <c r="AA2">
        <v>0</v>
      </c>
      <c r="AB2">
        <v>1493.72</v>
      </c>
      <c r="AC2">
        <v>566.86</v>
      </c>
      <c r="AD2">
        <v>0</v>
      </c>
      <c r="AE2">
        <v>0</v>
      </c>
      <c r="AF2">
        <v>1493.72</v>
      </c>
      <c r="AG2">
        <v>566.86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6</v>
      </c>
      <c r="AT2">
        <v>4.9800000000000004</v>
      </c>
      <c r="AU2" t="s">
        <v>6</v>
      </c>
      <c r="AV2">
        <v>0</v>
      </c>
      <c r="AW2">
        <v>2</v>
      </c>
      <c r="AX2">
        <v>39231374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Y2*Source!I24</f>
        <v>11.4973758</v>
      </c>
      <c r="CY2">
        <f>AB2</f>
        <v>1493.72</v>
      </c>
      <c r="CZ2">
        <f>AF2</f>
        <v>1493.72</v>
      </c>
      <c r="DA2">
        <f>AJ2</f>
        <v>1</v>
      </c>
      <c r="DB2">
        <f>ROUND(ROUND(AT2*CZ2,2),6)</f>
        <v>7438.73</v>
      </c>
      <c r="DC2">
        <f>ROUND(ROUND(AT2*AG2,2),6)</f>
        <v>2822.96</v>
      </c>
    </row>
    <row r="3" spans="1:107" x14ac:dyDescent="0.2">
      <c r="A3">
        <f>ROW(Source!A24)</f>
        <v>24</v>
      </c>
      <c r="B3">
        <v>39231334</v>
      </c>
      <c r="C3">
        <v>39231190</v>
      </c>
      <c r="D3">
        <v>38724813</v>
      </c>
      <c r="E3">
        <v>1</v>
      </c>
      <c r="F3">
        <v>1</v>
      </c>
      <c r="G3">
        <v>27</v>
      </c>
      <c r="H3">
        <v>2</v>
      </c>
      <c r="I3" t="s">
        <v>114</v>
      </c>
      <c r="J3" t="s">
        <v>115</v>
      </c>
      <c r="K3" t="s">
        <v>116</v>
      </c>
      <c r="L3">
        <v>1368</v>
      </c>
      <c r="N3">
        <v>1011</v>
      </c>
      <c r="O3" t="s">
        <v>113</v>
      </c>
      <c r="P3" t="s">
        <v>113</v>
      </c>
      <c r="Q3">
        <v>1</v>
      </c>
      <c r="W3">
        <v>0</v>
      </c>
      <c r="X3">
        <v>-888973741</v>
      </c>
      <c r="Y3">
        <v>1.25</v>
      </c>
      <c r="AA3">
        <v>0</v>
      </c>
      <c r="AB3">
        <v>1072.23</v>
      </c>
      <c r="AC3">
        <v>488.73</v>
      </c>
      <c r="AD3">
        <v>0</v>
      </c>
      <c r="AE3">
        <v>0</v>
      </c>
      <c r="AF3">
        <v>1072.23</v>
      </c>
      <c r="AG3">
        <v>488.73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6</v>
      </c>
      <c r="AT3">
        <v>1.25</v>
      </c>
      <c r="AU3" t="s">
        <v>6</v>
      </c>
      <c r="AV3">
        <v>0</v>
      </c>
      <c r="AW3">
        <v>2</v>
      </c>
      <c r="AX3">
        <v>39231375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Y3*Source!I24</f>
        <v>2.8858874999999999</v>
      </c>
      <c r="CY3">
        <f>AB3</f>
        <v>1072.23</v>
      </c>
      <c r="CZ3">
        <f>AF3</f>
        <v>1072.23</v>
      </c>
      <c r="DA3">
        <f>AJ3</f>
        <v>1</v>
      </c>
      <c r="DB3">
        <f>ROUND(ROUND(AT3*CZ3,2),6)</f>
        <v>1340.29</v>
      </c>
      <c r="DC3">
        <f>ROUND(ROUND(AT3*AG3,2),6)</f>
        <v>610.91</v>
      </c>
    </row>
    <row r="4" spans="1:107" x14ac:dyDescent="0.2">
      <c r="A4">
        <f>ROW(Source!A25)</f>
        <v>25</v>
      </c>
      <c r="B4">
        <v>39231334</v>
      </c>
      <c r="C4">
        <v>39231197</v>
      </c>
      <c r="D4">
        <v>38725590</v>
      </c>
      <c r="E4">
        <v>1</v>
      </c>
      <c r="F4">
        <v>1</v>
      </c>
      <c r="G4">
        <v>27</v>
      </c>
      <c r="H4">
        <v>2</v>
      </c>
      <c r="I4" t="s">
        <v>117</v>
      </c>
      <c r="J4" t="s">
        <v>118</v>
      </c>
      <c r="K4" t="s">
        <v>119</v>
      </c>
      <c r="L4">
        <v>1368</v>
      </c>
      <c r="N4">
        <v>1011</v>
      </c>
      <c r="O4" t="s">
        <v>113</v>
      </c>
      <c r="P4" t="s">
        <v>113</v>
      </c>
      <c r="Q4">
        <v>1</v>
      </c>
      <c r="W4">
        <v>0</v>
      </c>
      <c r="X4">
        <v>-1786200580</v>
      </c>
      <c r="Y4">
        <v>3.1E-2</v>
      </c>
      <c r="AA4">
        <v>0</v>
      </c>
      <c r="AB4">
        <v>1014.12</v>
      </c>
      <c r="AC4">
        <v>317.13</v>
      </c>
      <c r="AD4">
        <v>0</v>
      </c>
      <c r="AE4">
        <v>0</v>
      </c>
      <c r="AF4">
        <v>1014.12</v>
      </c>
      <c r="AG4">
        <v>317.13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6</v>
      </c>
      <c r="AT4">
        <v>3.1E-2</v>
      </c>
      <c r="AU4" t="s">
        <v>6</v>
      </c>
      <c r="AV4">
        <v>0</v>
      </c>
      <c r="AW4">
        <v>2</v>
      </c>
      <c r="AX4">
        <v>39231376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Y4*Source!I25</f>
        <v>7.1570010000000002</v>
      </c>
      <c r="CY4">
        <f>AB4</f>
        <v>1014.12</v>
      </c>
      <c r="CZ4">
        <f>AF4</f>
        <v>1014.12</v>
      </c>
      <c r="DA4">
        <f>AJ4</f>
        <v>1</v>
      </c>
      <c r="DB4">
        <f>ROUND(ROUND(AT4*CZ4,2),6)</f>
        <v>31.44</v>
      </c>
      <c r="DC4">
        <f>ROUND(ROUND(AT4*AG4,2),6)</f>
        <v>9.83</v>
      </c>
    </row>
    <row r="5" spans="1:107" x14ac:dyDescent="0.2">
      <c r="A5">
        <f>ROW(Source!A26)</f>
        <v>26</v>
      </c>
      <c r="B5">
        <v>39231334</v>
      </c>
      <c r="C5">
        <v>39231200</v>
      </c>
      <c r="D5">
        <v>38725590</v>
      </c>
      <c r="E5">
        <v>1</v>
      </c>
      <c r="F5">
        <v>1</v>
      </c>
      <c r="G5">
        <v>27</v>
      </c>
      <c r="H5">
        <v>2</v>
      </c>
      <c r="I5" t="s">
        <v>117</v>
      </c>
      <c r="J5" t="s">
        <v>118</v>
      </c>
      <c r="K5" t="s">
        <v>119</v>
      </c>
      <c r="L5">
        <v>1368</v>
      </c>
      <c r="N5">
        <v>1011</v>
      </c>
      <c r="O5" t="s">
        <v>113</v>
      </c>
      <c r="P5" t="s">
        <v>113</v>
      </c>
      <c r="Q5">
        <v>1</v>
      </c>
      <c r="W5">
        <v>0</v>
      </c>
      <c r="X5">
        <v>-1786200580</v>
      </c>
      <c r="Y5">
        <v>0.45</v>
      </c>
      <c r="AA5">
        <v>0</v>
      </c>
      <c r="AB5">
        <v>1014.12</v>
      </c>
      <c r="AC5">
        <v>317.13</v>
      </c>
      <c r="AD5">
        <v>0</v>
      </c>
      <c r="AE5">
        <v>0</v>
      </c>
      <c r="AF5">
        <v>1014.12</v>
      </c>
      <c r="AG5">
        <v>317.13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1</v>
      </c>
      <c r="AQ5">
        <v>0</v>
      </c>
      <c r="AR5">
        <v>0</v>
      </c>
      <c r="AS5" t="s">
        <v>6</v>
      </c>
      <c r="AT5">
        <v>0.01</v>
      </c>
      <c r="AU5" t="s">
        <v>32</v>
      </c>
      <c r="AV5">
        <v>0</v>
      </c>
      <c r="AW5">
        <v>2</v>
      </c>
      <c r="AX5">
        <v>39231377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Y5*Source!I26</f>
        <v>103.89195000000001</v>
      </c>
      <c r="CY5">
        <f>AB5</f>
        <v>1014.12</v>
      </c>
      <c r="CZ5">
        <f>AF5</f>
        <v>1014.12</v>
      </c>
      <c r="DA5">
        <f>AJ5</f>
        <v>1</v>
      </c>
      <c r="DB5">
        <f>ROUND((ROUND(AT5*CZ5,2)*45),6)</f>
        <v>456.3</v>
      </c>
      <c r="DC5">
        <f>ROUND((ROUND(AT5*AG5,2)*45),6)</f>
        <v>142.65</v>
      </c>
    </row>
    <row r="6" spans="1:107" x14ac:dyDescent="0.2">
      <c r="A6">
        <f>ROW(Source!A27)</f>
        <v>27</v>
      </c>
      <c r="B6">
        <v>39231334</v>
      </c>
      <c r="C6">
        <v>39231204</v>
      </c>
      <c r="D6">
        <v>38712595</v>
      </c>
      <c r="E6">
        <v>27</v>
      </c>
      <c r="F6">
        <v>1</v>
      </c>
      <c r="G6">
        <v>27</v>
      </c>
      <c r="H6">
        <v>1</v>
      </c>
      <c r="I6" t="s">
        <v>107</v>
      </c>
      <c r="J6" t="s">
        <v>6</v>
      </c>
      <c r="K6" t="s">
        <v>108</v>
      </c>
      <c r="L6">
        <v>1191</v>
      </c>
      <c r="N6">
        <v>1013</v>
      </c>
      <c r="O6" t="s">
        <v>109</v>
      </c>
      <c r="P6" t="s">
        <v>109</v>
      </c>
      <c r="Q6">
        <v>1</v>
      </c>
      <c r="W6">
        <v>0</v>
      </c>
      <c r="X6">
        <v>476480486</v>
      </c>
      <c r="Y6">
        <v>30.8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6</v>
      </c>
      <c r="AT6">
        <v>30.8</v>
      </c>
      <c r="AU6" t="s">
        <v>6</v>
      </c>
      <c r="AV6">
        <v>1</v>
      </c>
      <c r="AW6">
        <v>2</v>
      </c>
      <c r="AX6">
        <v>39231378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Y6*Source!I27</f>
        <v>533.3120100000001</v>
      </c>
      <c r="CY6">
        <f>AD6</f>
        <v>0</v>
      </c>
      <c r="CZ6">
        <f>AH6</f>
        <v>0</v>
      </c>
      <c r="DA6">
        <f>AL6</f>
        <v>1</v>
      </c>
      <c r="DB6">
        <f t="shared" ref="DB6:DB11" si="0">ROUND(ROUND(AT6*CZ6,2),6)</f>
        <v>0</v>
      </c>
      <c r="DC6">
        <f t="shared" ref="DC6:DC11" si="1">ROUND(ROUND(AT6*AG6,2),6)</f>
        <v>0</v>
      </c>
    </row>
    <row r="7" spans="1:107" x14ac:dyDescent="0.2">
      <c r="A7">
        <f>ROW(Source!A27)</f>
        <v>27</v>
      </c>
      <c r="B7">
        <v>39231334</v>
      </c>
      <c r="C7">
        <v>39231204</v>
      </c>
      <c r="D7">
        <v>38725391</v>
      </c>
      <c r="E7">
        <v>1</v>
      </c>
      <c r="F7">
        <v>1</v>
      </c>
      <c r="G7">
        <v>27</v>
      </c>
      <c r="H7">
        <v>2</v>
      </c>
      <c r="I7" t="s">
        <v>120</v>
      </c>
      <c r="J7" t="s">
        <v>121</v>
      </c>
      <c r="K7" t="s">
        <v>122</v>
      </c>
      <c r="L7">
        <v>1368</v>
      </c>
      <c r="N7">
        <v>1011</v>
      </c>
      <c r="O7" t="s">
        <v>113</v>
      </c>
      <c r="P7" t="s">
        <v>113</v>
      </c>
      <c r="Q7">
        <v>1</v>
      </c>
      <c r="W7">
        <v>0</v>
      </c>
      <c r="X7">
        <v>526885268</v>
      </c>
      <c r="Y7">
        <v>0.06</v>
      </c>
      <c r="AA7">
        <v>0</v>
      </c>
      <c r="AB7">
        <v>20.7</v>
      </c>
      <c r="AC7">
        <v>9.74</v>
      </c>
      <c r="AD7">
        <v>0</v>
      </c>
      <c r="AE7">
        <v>0</v>
      </c>
      <c r="AF7">
        <v>20.7</v>
      </c>
      <c r="AG7">
        <v>9.74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6</v>
      </c>
      <c r="AT7">
        <v>0.06</v>
      </c>
      <c r="AU7" t="s">
        <v>6</v>
      </c>
      <c r="AV7">
        <v>0</v>
      </c>
      <c r="AW7">
        <v>2</v>
      </c>
      <c r="AX7">
        <v>39231379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Y7*Source!I27</f>
        <v>1.0389195</v>
      </c>
      <c r="CY7">
        <f>AB7</f>
        <v>20.7</v>
      </c>
      <c r="CZ7">
        <f>AF7</f>
        <v>20.7</v>
      </c>
      <c r="DA7">
        <f>AJ7</f>
        <v>1</v>
      </c>
      <c r="DB7">
        <f t="shared" si="0"/>
        <v>1.24</v>
      </c>
      <c r="DC7">
        <f t="shared" si="1"/>
        <v>0.57999999999999996</v>
      </c>
    </row>
    <row r="8" spans="1:107" x14ac:dyDescent="0.2">
      <c r="A8">
        <f>ROW(Source!A27)</f>
        <v>27</v>
      </c>
      <c r="B8">
        <v>39231334</v>
      </c>
      <c r="C8">
        <v>39231204</v>
      </c>
      <c r="D8">
        <v>38724841</v>
      </c>
      <c r="E8">
        <v>1</v>
      </c>
      <c r="F8">
        <v>1</v>
      </c>
      <c r="G8">
        <v>27</v>
      </c>
      <c r="H8">
        <v>2</v>
      </c>
      <c r="I8" t="s">
        <v>123</v>
      </c>
      <c r="J8" t="s">
        <v>124</v>
      </c>
      <c r="K8" t="s">
        <v>125</v>
      </c>
      <c r="L8">
        <v>1368</v>
      </c>
      <c r="N8">
        <v>1011</v>
      </c>
      <c r="O8" t="s">
        <v>113</v>
      </c>
      <c r="P8" t="s">
        <v>113</v>
      </c>
      <c r="Q8">
        <v>1</v>
      </c>
      <c r="W8">
        <v>0</v>
      </c>
      <c r="X8">
        <v>277467460</v>
      </c>
      <c r="Y8">
        <v>0.06</v>
      </c>
      <c r="AA8">
        <v>0</v>
      </c>
      <c r="AB8">
        <v>991.89</v>
      </c>
      <c r="AC8">
        <v>360.79</v>
      </c>
      <c r="AD8">
        <v>0</v>
      </c>
      <c r="AE8">
        <v>0</v>
      </c>
      <c r="AF8">
        <v>991.89</v>
      </c>
      <c r="AG8">
        <v>360.79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6</v>
      </c>
      <c r="AT8">
        <v>0.06</v>
      </c>
      <c r="AU8" t="s">
        <v>6</v>
      </c>
      <c r="AV8">
        <v>0</v>
      </c>
      <c r="AW8">
        <v>2</v>
      </c>
      <c r="AX8">
        <v>39231380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Y8*Source!I27</f>
        <v>1.0389195</v>
      </c>
      <c r="CY8">
        <f>AB8</f>
        <v>991.89</v>
      </c>
      <c r="CZ8">
        <f>AF8</f>
        <v>991.89</v>
      </c>
      <c r="DA8">
        <f>AJ8</f>
        <v>1</v>
      </c>
      <c r="DB8">
        <f t="shared" si="0"/>
        <v>59.51</v>
      </c>
      <c r="DC8">
        <f t="shared" si="1"/>
        <v>21.65</v>
      </c>
    </row>
    <row r="9" spans="1:107" x14ac:dyDescent="0.2">
      <c r="A9">
        <f>ROW(Source!A27)</f>
        <v>27</v>
      </c>
      <c r="B9">
        <v>39231334</v>
      </c>
      <c r="C9">
        <v>39231204</v>
      </c>
      <c r="D9">
        <v>38729420</v>
      </c>
      <c r="E9">
        <v>1</v>
      </c>
      <c r="F9">
        <v>1</v>
      </c>
      <c r="G9">
        <v>27</v>
      </c>
      <c r="H9">
        <v>3</v>
      </c>
      <c r="I9" t="s">
        <v>126</v>
      </c>
      <c r="J9" t="s">
        <v>127</v>
      </c>
      <c r="K9" t="s">
        <v>128</v>
      </c>
      <c r="L9">
        <v>1339</v>
      </c>
      <c r="N9">
        <v>1007</v>
      </c>
      <c r="O9" t="s">
        <v>25</v>
      </c>
      <c r="P9" t="s">
        <v>25</v>
      </c>
      <c r="Q9">
        <v>1</v>
      </c>
      <c r="W9">
        <v>0</v>
      </c>
      <c r="X9">
        <v>-1277312656</v>
      </c>
      <c r="Y9">
        <v>15</v>
      </c>
      <c r="AA9">
        <v>753.67</v>
      </c>
      <c r="AB9">
        <v>0</v>
      </c>
      <c r="AC9">
        <v>0</v>
      </c>
      <c r="AD9">
        <v>0</v>
      </c>
      <c r="AE9">
        <v>753.67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6</v>
      </c>
      <c r="AT9">
        <v>15</v>
      </c>
      <c r="AU9" t="s">
        <v>6</v>
      </c>
      <c r="AV9">
        <v>0</v>
      </c>
      <c r="AW9">
        <v>2</v>
      </c>
      <c r="AX9">
        <v>39231381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Y9*Source!I27</f>
        <v>259.72987499999999</v>
      </c>
      <c r="CY9">
        <f>AA9</f>
        <v>753.67</v>
      </c>
      <c r="CZ9">
        <f>AE9</f>
        <v>753.67</v>
      </c>
      <c r="DA9">
        <f>AI9</f>
        <v>1</v>
      </c>
      <c r="DB9">
        <f t="shared" si="0"/>
        <v>11305.05</v>
      </c>
      <c r="DC9">
        <f t="shared" si="1"/>
        <v>0</v>
      </c>
    </row>
    <row r="10" spans="1:107" x14ac:dyDescent="0.2">
      <c r="A10">
        <f>ROW(Source!A28)</f>
        <v>28</v>
      </c>
      <c r="B10">
        <v>39231334</v>
      </c>
      <c r="C10">
        <v>39231213</v>
      </c>
      <c r="D10">
        <v>38712595</v>
      </c>
      <c r="E10">
        <v>27</v>
      </c>
      <c r="F10">
        <v>1</v>
      </c>
      <c r="G10">
        <v>27</v>
      </c>
      <c r="H10">
        <v>1</v>
      </c>
      <c r="I10" t="s">
        <v>107</v>
      </c>
      <c r="J10" t="s">
        <v>6</v>
      </c>
      <c r="K10" t="s">
        <v>108</v>
      </c>
      <c r="L10">
        <v>1191</v>
      </c>
      <c r="N10">
        <v>1013</v>
      </c>
      <c r="O10" t="s">
        <v>109</v>
      </c>
      <c r="P10" t="s">
        <v>109</v>
      </c>
      <c r="Q10">
        <v>1</v>
      </c>
      <c r="W10">
        <v>0</v>
      </c>
      <c r="X10">
        <v>476480486</v>
      </c>
      <c r="Y10">
        <v>46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6</v>
      </c>
      <c r="AT10">
        <v>46</v>
      </c>
      <c r="AU10" t="s">
        <v>6</v>
      </c>
      <c r="AV10">
        <v>1</v>
      </c>
      <c r="AW10">
        <v>2</v>
      </c>
      <c r="AX10">
        <v>39231387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Y10*Source!I28</f>
        <v>265.50164999999998</v>
      </c>
      <c r="CY10">
        <f>AD10</f>
        <v>0</v>
      </c>
      <c r="CZ10">
        <f>AH10</f>
        <v>0</v>
      </c>
      <c r="DA10">
        <f>AL10</f>
        <v>1</v>
      </c>
      <c r="DB10">
        <f t="shared" si="0"/>
        <v>0</v>
      </c>
      <c r="DC10">
        <f t="shared" si="1"/>
        <v>0</v>
      </c>
    </row>
    <row r="11" spans="1:107" x14ac:dyDescent="0.2">
      <c r="A11">
        <f>ROW(Source!A28)</f>
        <v>28</v>
      </c>
      <c r="B11">
        <v>39231334</v>
      </c>
      <c r="C11">
        <v>39231213</v>
      </c>
      <c r="D11">
        <v>38729420</v>
      </c>
      <c r="E11">
        <v>1</v>
      </c>
      <c r="F11">
        <v>1</v>
      </c>
      <c r="G11">
        <v>27</v>
      </c>
      <c r="H11">
        <v>3</v>
      </c>
      <c r="I11" t="s">
        <v>126</v>
      </c>
      <c r="J11" t="s">
        <v>127</v>
      </c>
      <c r="K11" t="s">
        <v>128</v>
      </c>
      <c r="L11">
        <v>1339</v>
      </c>
      <c r="N11">
        <v>1007</v>
      </c>
      <c r="O11" t="s">
        <v>25</v>
      </c>
      <c r="P11" t="s">
        <v>25</v>
      </c>
      <c r="Q11">
        <v>1</v>
      </c>
      <c r="W11">
        <v>0</v>
      </c>
      <c r="X11">
        <v>-1277312656</v>
      </c>
      <c r="Y11">
        <v>15</v>
      </c>
      <c r="AA11">
        <v>753.67</v>
      </c>
      <c r="AB11">
        <v>0</v>
      </c>
      <c r="AC11">
        <v>0</v>
      </c>
      <c r="AD11">
        <v>0</v>
      </c>
      <c r="AE11">
        <v>753.67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6</v>
      </c>
      <c r="AT11">
        <v>15</v>
      </c>
      <c r="AU11" t="s">
        <v>6</v>
      </c>
      <c r="AV11">
        <v>0</v>
      </c>
      <c r="AW11">
        <v>2</v>
      </c>
      <c r="AX11">
        <v>39231388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Y11*Source!I28</f>
        <v>86.576624999999993</v>
      </c>
      <c r="CY11">
        <f>AA11</f>
        <v>753.67</v>
      </c>
      <c r="CZ11">
        <f>AE11</f>
        <v>753.67</v>
      </c>
      <c r="DA11">
        <f>AI11</f>
        <v>1</v>
      </c>
      <c r="DB11">
        <f t="shared" si="0"/>
        <v>11305.05</v>
      </c>
      <c r="DC11">
        <f t="shared" si="1"/>
        <v>0</v>
      </c>
    </row>
    <row r="12" spans="1:107" x14ac:dyDescent="0.2">
      <c r="A12">
        <f>ROW(Source!A29)</f>
        <v>29</v>
      </c>
      <c r="B12">
        <v>39231334</v>
      </c>
      <c r="C12">
        <v>39231218</v>
      </c>
      <c r="D12">
        <v>38712595</v>
      </c>
      <c r="E12">
        <v>27</v>
      </c>
      <c r="F12">
        <v>1</v>
      </c>
      <c r="G12">
        <v>27</v>
      </c>
      <c r="H12">
        <v>1</v>
      </c>
      <c r="I12" t="s">
        <v>107</v>
      </c>
      <c r="J12" t="s">
        <v>6</v>
      </c>
      <c r="K12" t="s">
        <v>108</v>
      </c>
      <c r="L12">
        <v>1191</v>
      </c>
      <c r="N12">
        <v>1013</v>
      </c>
      <c r="O12" t="s">
        <v>109</v>
      </c>
      <c r="P12" t="s">
        <v>109</v>
      </c>
      <c r="Q12">
        <v>1</v>
      </c>
      <c r="W12">
        <v>0</v>
      </c>
      <c r="X12">
        <v>476480486</v>
      </c>
      <c r="Y12">
        <v>12.58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1</v>
      </c>
      <c r="AQ12">
        <v>0</v>
      </c>
      <c r="AR12">
        <v>0</v>
      </c>
      <c r="AS12" t="s">
        <v>6</v>
      </c>
      <c r="AT12">
        <v>6.29</v>
      </c>
      <c r="AU12" t="s">
        <v>46</v>
      </c>
      <c r="AV12">
        <v>1</v>
      </c>
      <c r="AW12">
        <v>2</v>
      </c>
      <c r="AX12">
        <v>39231385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Y12*Source!I29</f>
        <v>-290.43571800000001</v>
      </c>
      <c r="CY12">
        <f>AD12</f>
        <v>0</v>
      </c>
      <c r="CZ12">
        <f>AH12</f>
        <v>0</v>
      </c>
      <c r="DA12">
        <f>AL12</f>
        <v>1</v>
      </c>
      <c r="DB12">
        <f>ROUND((ROUND(AT12*CZ12,2)*2),6)</f>
        <v>0</v>
      </c>
      <c r="DC12">
        <f>ROUND((ROUND(AT12*AG12,2)*2),6)</f>
        <v>0</v>
      </c>
    </row>
    <row r="13" spans="1:107" x14ac:dyDescent="0.2">
      <c r="A13">
        <f>ROW(Source!A29)</f>
        <v>29</v>
      </c>
      <c r="B13">
        <v>39231334</v>
      </c>
      <c r="C13">
        <v>39231218</v>
      </c>
      <c r="D13">
        <v>38729420</v>
      </c>
      <c r="E13">
        <v>1</v>
      </c>
      <c r="F13">
        <v>1</v>
      </c>
      <c r="G13">
        <v>27</v>
      </c>
      <c r="H13">
        <v>3</v>
      </c>
      <c r="I13" t="s">
        <v>126</v>
      </c>
      <c r="J13" t="s">
        <v>127</v>
      </c>
      <c r="K13" t="s">
        <v>128</v>
      </c>
      <c r="L13">
        <v>1339</v>
      </c>
      <c r="N13">
        <v>1007</v>
      </c>
      <c r="O13" t="s">
        <v>25</v>
      </c>
      <c r="P13" t="s">
        <v>25</v>
      </c>
      <c r="Q13">
        <v>1</v>
      </c>
      <c r="W13">
        <v>0</v>
      </c>
      <c r="X13">
        <v>-1277312656</v>
      </c>
      <c r="Y13">
        <v>10</v>
      </c>
      <c r="AA13">
        <v>753.67</v>
      </c>
      <c r="AB13">
        <v>0</v>
      </c>
      <c r="AC13">
        <v>0</v>
      </c>
      <c r="AD13">
        <v>0</v>
      </c>
      <c r="AE13">
        <v>753.67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 t="s">
        <v>6</v>
      </c>
      <c r="AT13">
        <v>5</v>
      </c>
      <c r="AU13" t="s">
        <v>46</v>
      </c>
      <c r="AV13">
        <v>0</v>
      </c>
      <c r="AW13">
        <v>2</v>
      </c>
      <c r="AX13">
        <v>39231386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Y13*Source!I29</f>
        <v>-230.87099999999998</v>
      </c>
      <c r="CY13">
        <f>AA13</f>
        <v>753.67</v>
      </c>
      <c r="CZ13">
        <f>AE13</f>
        <v>753.67</v>
      </c>
      <c r="DA13">
        <f>AI13</f>
        <v>1</v>
      </c>
      <c r="DB13">
        <f>ROUND((ROUND(AT13*CZ13,2)*2),6)</f>
        <v>7536.7</v>
      </c>
      <c r="DC13">
        <f>ROUND((ROUND(AT13*AG13,2)*2),6)</f>
        <v>0</v>
      </c>
    </row>
    <row r="14" spans="1:107" x14ac:dyDescent="0.2">
      <c r="A14">
        <f>ROW(Source!A30)</f>
        <v>30</v>
      </c>
      <c r="B14">
        <v>39231334</v>
      </c>
      <c r="C14">
        <v>39231223</v>
      </c>
      <c r="D14">
        <v>38712595</v>
      </c>
      <c r="E14">
        <v>27</v>
      </c>
      <c r="F14">
        <v>1</v>
      </c>
      <c r="G14">
        <v>27</v>
      </c>
      <c r="H14">
        <v>1</v>
      </c>
      <c r="I14" t="s">
        <v>107</v>
      </c>
      <c r="J14" t="s">
        <v>6</v>
      </c>
      <c r="K14" t="s">
        <v>108</v>
      </c>
      <c r="L14">
        <v>1191</v>
      </c>
      <c r="N14">
        <v>1013</v>
      </c>
      <c r="O14" t="s">
        <v>109</v>
      </c>
      <c r="P14" t="s">
        <v>109</v>
      </c>
      <c r="Q14">
        <v>1</v>
      </c>
      <c r="W14">
        <v>0</v>
      </c>
      <c r="X14">
        <v>476480486</v>
      </c>
      <c r="Y14">
        <v>13.42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6</v>
      </c>
      <c r="AT14">
        <v>13.42</v>
      </c>
      <c r="AU14" t="s">
        <v>6</v>
      </c>
      <c r="AV14">
        <v>1</v>
      </c>
      <c r="AW14">
        <v>2</v>
      </c>
      <c r="AX14">
        <v>39231389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Y14*Source!I30</f>
        <v>309.82888199999996</v>
      </c>
      <c r="CY14">
        <f>AD14</f>
        <v>0</v>
      </c>
      <c r="CZ14">
        <f>AH14</f>
        <v>0</v>
      </c>
      <c r="DA14">
        <f>AL14</f>
        <v>1</v>
      </c>
      <c r="DB14">
        <f>ROUND(ROUND(AT14*CZ14,2),6)</f>
        <v>0</v>
      </c>
      <c r="DC14">
        <f>ROUND(ROUND(AT14*AG14,2),6)</f>
        <v>0</v>
      </c>
    </row>
    <row r="15" spans="1:107" x14ac:dyDescent="0.2">
      <c r="A15">
        <f>ROW(Source!A30)</f>
        <v>30</v>
      </c>
      <c r="B15">
        <v>39231334</v>
      </c>
      <c r="C15">
        <v>39231223</v>
      </c>
      <c r="D15">
        <v>38726375</v>
      </c>
      <c r="E15">
        <v>1</v>
      </c>
      <c r="F15">
        <v>1</v>
      </c>
      <c r="G15">
        <v>27</v>
      </c>
      <c r="H15">
        <v>3</v>
      </c>
      <c r="I15" t="s">
        <v>129</v>
      </c>
      <c r="J15" t="s">
        <v>130</v>
      </c>
      <c r="K15" t="s">
        <v>131</v>
      </c>
      <c r="L15">
        <v>1339</v>
      </c>
      <c r="N15">
        <v>1007</v>
      </c>
      <c r="O15" t="s">
        <v>25</v>
      </c>
      <c r="P15" t="s">
        <v>25</v>
      </c>
      <c r="Q15">
        <v>1</v>
      </c>
      <c r="W15">
        <v>0</v>
      </c>
      <c r="X15">
        <v>-2124859241</v>
      </c>
      <c r="Y15">
        <v>1.4E-2</v>
      </c>
      <c r="AA15">
        <v>6863.19</v>
      </c>
      <c r="AB15">
        <v>0</v>
      </c>
      <c r="AC15">
        <v>0</v>
      </c>
      <c r="AD15">
        <v>0</v>
      </c>
      <c r="AE15">
        <v>6863.19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6</v>
      </c>
      <c r="AT15">
        <v>1.4E-2</v>
      </c>
      <c r="AU15" t="s">
        <v>6</v>
      </c>
      <c r="AV15">
        <v>0</v>
      </c>
      <c r="AW15">
        <v>2</v>
      </c>
      <c r="AX15">
        <v>39231390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Y15*Source!I30</f>
        <v>0.32321939999999999</v>
      </c>
      <c r="CY15">
        <f>AA15</f>
        <v>6863.19</v>
      </c>
      <c r="CZ15">
        <f>AE15</f>
        <v>6863.19</v>
      </c>
      <c r="DA15">
        <f>AI15</f>
        <v>1</v>
      </c>
      <c r="DB15">
        <f>ROUND(ROUND(AT15*CZ15,2),6)</f>
        <v>96.08</v>
      </c>
      <c r="DC15">
        <f>ROUND(ROUND(AT15*AG15,2),6)</f>
        <v>0</v>
      </c>
    </row>
    <row r="16" spans="1:107" x14ac:dyDescent="0.2">
      <c r="A16">
        <f>ROW(Source!A30)</f>
        <v>30</v>
      </c>
      <c r="B16">
        <v>39231334</v>
      </c>
      <c r="C16">
        <v>39231223</v>
      </c>
      <c r="D16">
        <v>38729418</v>
      </c>
      <c r="E16">
        <v>1</v>
      </c>
      <c r="F16">
        <v>1</v>
      </c>
      <c r="G16">
        <v>27</v>
      </c>
      <c r="H16">
        <v>3</v>
      </c>
      <c r="I16" t="s">
        <v>132</v>
      </c>
      <c r="J16" t="s">
        <v>133</v>
      </c>
      <c r="K16" t="s">
        <v>134</v>
      </c>
      <c r="L16">
        <v>1327</v>
      </c>
      <c r="N16">
        <v>1005</v>
      </c>
      <c r="O16" t="s">
        <v>135</v>
      </c>
      <c r="P16" t="s">
        <v>135</v>
      </c>
      <c r="Q16">
        <v>1</v>
      </c>
      <c r="W16">
        <v>0</v>
      </c>
      <c r="X16">
        <v>-454640616</v>
      </c>
      <c r="Y16">
        <v>107</v>
      </c>
      <c r="AA16">
        <v>129.94999999999999</v>
      </c>
      <c r="AB16">
        <v>0</v>
      </c>
      <c r="AC16">
        <v>0</v>
      </c>
      <c r="AD16">
        <v>0</v>
      </c>
      <c r="AE16">
        <v>129.94999999999999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6</v>
      </c>
      <c r="AT16">
        <v>107</v>
      </c>
      <c r="AU16" t="s">
        <v>6</v>
      </c>
      <c r="AV16">
        <v>0</v>
      </c>
      <c r="AW16">
        <v>2</v>
      </c>
      <c r="AX16">
        <v>39231391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Y16*Source!I30</f>
        <v>2470.3197</v>
      </c>
      <c r="CY16">
        <f>AA16</f>
        <v>129.94999999999999</v>
      </c>
      <c r="CZ16">
        <f>AE16</f>
        <v>129.94999999999999</v>
      </c>
      <c r="DA16">
        <f>AI16</f>
        <v>1</v>
      </c>
      <c r="DB16">
        <f>ROUND(ROUND(AT16*CZ16,2),6)</f>
        <v>13904.65</v>
      </c>
      <c r="DC16">
        <f>ROUND(ROUND(AT16*AG16,2),6)</f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6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ROW(Source!A24)</f>
        <v>24</v>
      </c>
      <c r="B1">
        <v>39231373</v>
      </c>
      <c r="C1">
        <v>39231190</v>
      </c>
      <c r="D1">
        <v>38712595</v>
      </c>
      <c r="E1">
        <v>27</v>
      </c>
      <c r="F1">
        <v>1</v>
      </c>
      <c r="G1">
        <v>27</v>
      </c>
      <c r="H1">
        <v>1</v>
      </c>
      <c r="I1" t="s">
        <v>107</v>
      </c>
      <c r="J1" t="s">
        <v>6</v>
      </c>
      <c r="K1" t="s">
        <v>108</v>
      </c>
      <c r="L1">
        <v>1191</v>
      </c>
      <c r="N1">
        <v>1013</v>
      </c>
      <c r="O1" t="s">
        <v>109</v>
      </c>
      <c r="P1" t="s">
        <v>109</v>
      </c>
      <c r="Q1">
        <v>1</v>
      </c>
      <c r="X1">
        <v>1.59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6</v>
      </c>
      <c r="AG1">
        <v>1.59</v>
      </c>
      <c r="AH1">
        <v>2</v>
      </c>
      <c r="AI1">
        <v>39231373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ROW(Source!A24)</f>
        <v>24</v>
      </c>
      <c r="B2">
        <v>39231374</v>
      </c>
      <c r="C2">
        <v>39231190</v>
      </c>
      <c r="D2">
        <v>38724790</v>
      </c>
      <c r="E2">
        <v>1</v>
      </c>
      <c r="F2">
        <v>1</v>
      </c>
      <c r="G2">
        <v>27</v>
      </c>
      <c r="H2">
        <v>2</v>
      </c>
      <c r="I2" t="s">
        <v>110</v>
      </c>
      <c r="J2" t="s">
        <v>111</v>
      </c>
      <c r="K2" t="s">
        <v>112</v>
      </c>
      <c r="L2">
        <v>1368</v>
      </c>
      <c r="N2">
        <v>1011</v>
      </c>
      <c r="O2" t="s">
        <v>113</v>
      </c>
      <c r="P2" t="s">
        <v>113</v>
      </c>
      <c r="Q2">
        <v>1</v>
      </c>
      <c r="X2">
        <v>4.9800000000000004</v>
      </c>
      <c r="Y2">
        <v>0</v>
      </c>
      <c r="Z2">
        <v>1493.72</v>
      </c>
      <c r="AA2">
        <v>566.86</v>
      </c>
      <c r="AB2">
        <v>0</v>
      </c>
      <c r="AC2">
        <v>0</v>
      </c>
      <c r="AD2">
        <v>1</v>
      </c>
      <c r="AE2">
        <v>0</v>
      </c>
      <c r="AF2" t="s">
        <v>6</v>
      </c>
      <c r="AG2">
        <v>4.9800000000000004</v>
      </c>
      <c r="AH2">
        <v>2</v>
      </c>
      <c r="AI2">
        <v>39231374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ROW(Source!A24)</f>
        <v>24</v>
      </c>
      <c r="B3">
        <v>39231375</v>
      </c>
      <c r="C3">
        <v>39231190</v>
      </c>
      <c r="D3">
        <v>38724813</v>
      </c>
      <c r="E3">
        <v>1</v>
      </c>
      <c r="F3">
        <v>1</v>
      </c>
      <c r="G3">
        <v>27</v>
      </c>
      <c r="H3">
        <v>2</v>
      </c>
      <c r="I3" t="s">
        <v>114</v>
      </c>
      <c r="J3" t="s">
        <v>115</v>
      </c>
      <c r="K3" t="s">
        <v>116</v>
      </c>
      <c r="L3">
        <v>1368</v>
      </c>
      <c r="N3">
        <v>1011</v>
      </c>
      <c r="O3" t="s">
        <v>113</v>
      </c>
      <c r="P3" t="s">
        <v>113</v>
      </c>
      <c r="Q3">
        <v>1</v>
      </c>
      <c r="X3">
        <v>1.25</v>
      </c>
      <c r="Y3">
        <v>0</v>
      </c>
      <c r="Z3">
        <v>1072.23</v>
      </c>
      <c r="AA3">
        <v>488.73</v>
      </c>
      <c r="AB3">
        <v>0</v>
      </c>
      <c r="AC3">
        <v>0</v>
      </c>
      <c r="AD3">
        <v>1</v>
      </c>
      <c r="AE3">
        <v>0</v>
      </c>
      <c r="AF3" t="s">
        <v>6</v>
      </c>
      <c r="AG3">
        <v>1.25</v>
      </c>
      <c r="AH3">
        <v>2</v>
      </c>
      <c r="AI3">
        <v>39231375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ROW(Source!A25)</f>
        <v>25</v>
      </c>
      <c r="B4">
        <v>39231376</v>
      </c>
      <c r="C4">
        <v>39231197</v>
      </c>
      <c r="D4">
        <v>38725590</v>
      </c>
      <c r="E4">
        <v>1</v>
      </c>
      <c r="F4">
        <v>1</v>
      </c>
      <c r="G4">
        <v>27</v>
      </c>
      <c r="H4">
        <v>2</v>
      </c>
      <c r="I4" t="s">
        <v>117</v>
      </c>
      <c r="J4" t="s">
        <v>118</v>
      </c>
      <c r="K4" t="s">
        <v>119</v>
      </c>
      <c r="L4">
        <v>1368</v>
      </c>
      <c r="N4">
        <v>1011</v>
      </c>
      <c r="O4" t="s">
        <v>113</v>
      </c>
      <c r="P4" t="s">
        <v>113</v>
      </c>
      <c r="Q4">
        <v>1</v>
      </c>
      <c r="X4">
        <v>3.1E-2</v>
      </c>
      <c r="Y4">
        <v>0</v>
      </c>
      <c r="Z4">
        <v>1014.12</v>
      </c>
      <c r="AA4">
        <v>317.13</v>
      </c>
      <c r="AB4">
        <v>0</v>
      </c>
      <c r="AC4">
        <v>0</v>
      </c>
      <c r="AD4">
        <v>1</v>
      </c>
      <c r="AE4">
        <v>0</v>
      </c>
      <c r="AF4" t="s">
        <v>6</v>
      </c>
      <c r="AG4">
        <v>3.1E-2</v>
      </c>
      <c r="AH4">
        <v>2</v>
      </c>
      <c r="AI4">
        <v>39231376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ROW(Source!A26)</f>
        <v>26</v>
      </c>
      <c r="B5">
        <v>39231377</v>
      </c>
      <c r="C5">
        <v>39231200</v>
      </c>
      <c r="D5">
        <v>38725590</v>
      </c>
      <c r="E5">
        <v>1</v>
      </c>
      <c r="F5">
        <v>1</v>
      </c>
      <c r="G5">
        <v>27</v>
      </c>
      <c r="H5">
        <v>2</v>
      </c>
      <c r="I5" t="s">
        <v>117</v>
      </c>
      <c r="J5" t="s">
        <v>118</v>
      </c>
      <c r="K5" t="s">
        <v>119</v>
      </c>
      <c r="L5">
        <v>1368</v>
      </c>
      <c r="N5">
        <v>1011</v>
      </c>
      <c r="O5" t="s">
        <v>113</v>
      </c>
      <c r="P5" t="s">
        <v>113</v>
      </c>
      <c r="Q5">
        <v>1</v>
      </c>
      <c r="X5">
        <v>0.01</v>
      </c>
      <c r="Y5">
        <v>0</v>
      </c>
      <c r="Z5">
        <v>1014.12</v>
      </c>
      <c r="AA5">
        <v>317.13</v>
      </c>
      <c r="AB5">
        <v>0</v>
      </c>
      <c r="AC5">
        <v>0</v>
      </c>
      <c r="AD5">
        <v>1</v>
      </c>
      <c r="AE5">
        <v>0</v>
      </c>
      <c r="AF5" t="s">
        <v>32</v>
      </c>
      <c r="AG5">
        <v>0.45</v>
      </c>
      <c r="AH5">
        <v>2</v>
      </c>
      <c r="AI5">
        <v>39231377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ROW(Source!A27)</f>
        <v>27</v>
      </c>
      <c r="B6">
        <v>39231378</v>
      </c>
      <c r="C6">
        <v>39231204</v>
      </c>
      <c r="D6">
        <v>38712595</v>
      </c>
      <c r="E6">
        <v>27</v>
      </c>
      <c r="F6">
        <v>1</v>
      </c>
      <c r="G6">
        <v>27</v>
      </c>
      <c r="H6">
        <v>1</v>
      </c>
      <c r="I6" t="s">
        <v>107</v>
      </c>
      <c r="J6" t="s">
        <v>6</v>
      </c>
      <c r="K6" t="s">
        <v>108</v>
      </c>
      <c r="L6">
        <v>1191</v>
      </c>
      <c r="N6">
        <v>1013</v>
      </c>
      <c r="O6" t="s">
        <v>109</v>
      </c>
      <c r="P6" t="s">
        <v>109</v>
      </c>
      <c r="Q6">
        <v>1</v>
      </c>
      <c r="X6">
        <v>30.8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 t="s">
        <v>6</v>
      </c>
      <c r="AG6">
        <v>30.8</v>
      </c>
      <c r="AH6">
        <v>2</v>
      </c>
      <c r="AI6">
        <v>39231378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ROW(Source!A27)</f>
        <v>27</v>
      </c>
      <c r="B7">
        <v>39231379</v>
      </c>
      <c r="C7">
        <v>39231204</v>
      </c>
      <c r="D7">
        <v>38725391</v>
      </c>
      <c r="E7">
        <v>1</v>
      </c>
      <c r="F7">
        <v>1</v>
      </c>
      <c r="G7">
        <v>27</v>
      </c>
      <c r="H7">
        <v>2</v>
      </c>
      <c r="I7" t="s">
        <v>120</v>
      </c>
      <c r="J7" t="s">
        <v>121</v>
      </c>
      <c r="K7" t="s">
        <v>122</v>
      </c>
      <c r="L7">
        <v>1368</v>
      </c>
      <c r="N7">
        <v>1011</v>
      </c>
      <c r="O7" t="s">
        <v>113</v>
      </c>
      <c r="P7" t="s">
        <v>113</v>
      </c>
      <c r="Q7">
        <v>1</v>
      </c>
      <c r="X7">
        <v>0.06</v>
      </c>
      <c r="Y7">
        <v>0</v>
      </c>
      <c r="Z7">
        <v>20.7</v>
      </c>
      <c r="AA7">
        <v>9.74</v>
      </c>
      <c r="AB7">
        <v>0</v>
      </c>
      <c r="AC7">
        <v>0</v>
      </c>
      <c r="AD7">
        <v>1</v>
      </c>
      <c r="AE7">
        <v>0</v>
      </c>
      <c r="AF7" t="s">
        <v>6</v>
      </c>
      <c r="AG7">
        <v>0.06</v>
      </c>
      <c r="AH7">
        <v>2</v>
      </c>
      <c r="AI7">
        <v>39231379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ROW(Source!A27)</f>
        <v>27</v>
      </c>
      <c r="B8">
        <v>39231380</v>
      </c>
      <c r="C8">
        <v>39231204</v>
      </c>
      <c r="D8">
        <v>38724841</v>
      </c>
      <c r="E8">
        <v>1</v>
      </c>
      <c r="F8">
        <v>1</v>
      </c>
      <c r="G8">
        <v>27</v>
      </c>
      <c r="H8">
        <v>2</v>
      </c>
      <c r="I8" t="s">
        <v>123</v>
      </c>
      <c r="J8" t="s">
        <v>124</v>
      </c>
      <c r="K8" t="s">
        <v>125</v>
      </c>
      <c r="L8">
        <v>1368</v>
      </c>
      <c r="N8">
        <v>1011</v>
      </c>
      <c r="O8" t="s">
        <v>113</v>
      </c>
      <c r="P8" t="s">
        <v>113</v>
      </c>
      <c r="Q8">
        <v>1</v>
      </c>
      <c r="X8">
        <v>0.06</v>
      </c>
      <c r="Y8">
        <v>0</v>
      </c>
      <c r="Z8">
        <v>991.89</v>
      </c>
      <c r="AA8">
        <v>360.79</v>
      </c>
      <c r="AB8">
        <v>0</v>
      </c>
      <c r="AC8">
        <v>0</v>
      </c>
      <c r="AD8">
        <v>1</v>
      </c>
      <c r="AE8">
        <v>0</v>
      </c>
      <c r="AF8" t="s">
        <v>6</v>
      </c>
      <c r="AG8">
        <v>0.06</v>
      </c>
      <c r="AH8">
        <v>2</v>
      </c>
      <c r="AI8">
        <v>39231380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ROW(Source!A27)</f>
        <v>27</v>
      </c>
      <c r="B9">
        <v>39231381</v>
      </c>
      <c r="C9">
        <v>39231204</v>
      </c>
      <c r="D9">
        <v>38729420</v>
      </c>
      <c r="E9">
        <v>1</v>
      </c>
      <c r="F9">
        <v>1</v>
      </c>
      <c r="G9">
        <v>27</v>
      </c>
      <c r="H9">
        <v>3</v>
      </c>
      <c r="I9" t="s">
        <v>126</v>
      </c>
      <c r="J9" t="s">
        <v>127</v>
      </c>
      <c r="K9" t="s">
        <v>128</v>
      </c>
      <c r="L9">
        <v>1339</v>
      </c>
      <c r="N9">
        <v>1007</v>
      </c>
      <c r="O9" t="s">
        <v>25</v>
      </c>
      <c r="P9" t="s">
        <v>25</v>
      </c>
      <c r="Q9">
        <v>1</v>
      </c>
      <c r="X9">
        <v>15</v>
      </c>
      <c r="Y9">
        <v>753.67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 t="s">
        <v>6</v>
      </c>
      <c r="AG9">
        <v>15</v>
      </c>
      <c r="AH9">
        <v>2</v>
      </c>
      <c r="AI9">
        <v>39231381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ROW(Source!A28)</f>
        <v>28</v>
      </c>
      <c r="B10">
        <v>39231387</v>
      </c>
      <c r="C10">
        <v>39231213</v>
      </c>
      <c r="D10">
        <v>38712595</v>
      </c>
      <c r="E10">
        <v>27</v>
      </c>
      <c r="F10">
        <v>1</v>
      </c>
      <c r="G10">
        <v>27</v>
      </c>
      <c r="H10">
        <v>1</v>
      </c>
      <c r="I10" t="s">
        <v>107</v>
      </c>
      <c r="J10" t="s">
        <v>6</v>
      </c>
      <c r="K10" t="s">
        <v>108</v>
      </c>
      <c r="L10">
        <v>1191</v>
      </c>
      <c r="N10">
        <v>1013</v>
      </c>
      <c r="O10" t="s">
        <v>109</v>
      </c>
      <c r="P10" t="s">
        <v>109</v>
      </c>
      <c r="Q10">
        <v>1</v>
      </c>
      <c r="X10">
        <v>46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 t="s">
        <v>6</v>
      </c>
      <c r="AG10">
        <v>46</v>
      </c>
      <c r="AH10">
        <v>2</v>
      </c>
      <c r="AI10">
        <v>39231387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ROW(Source!A28)</f>
        <v>28</v>
      </c>
      <c r="B11">
        <v>39231388</v>
      </c>
      <c r="C11">
        <v>39231213</v>
      </c>
      <c r="D11">
        <v>38729420</v>
      </c>
      <c r="E11">
        <v>1</v>
      </c>
      <c r="F11">
        <v>1</v>
      </c>
      <c r="G11">
        <v>27</v>
      </c>
      <c r="H11">
        <v>3</v>
      </c>
      <c r="I11" t="s">
        <v>126</v>
      </c>
      <c r="J11" t="s">
        <v>127</v>
      </c>
      <c r="K11" t="s">
        <v>128</v>
      </c>
      <c r="L11">
        <v>1339</v>
      </c>
      <c r="N11">
        <v>1007</v>
      </c>
      <c r="O11" t="s">
        <v>25</v>
      </c>
      <c r="P11" t="s">
        <v>25</v>
      </c>
      <c r="Q11">
        <v>1</v>
      </c>
      <c r="X11">
        <v>15</v>
      </c>
      <c r="Y11">
        <v>753.67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6</v>
      </c>
      <c r="AG11">
        <v>15</v>
      </c>
      <c r="AH11">
        <v>2</v>
      </c>
      <c r="AI11">
        <v>39231388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ROW(Source!A29)</f>
        <v>29</v>
      </c>
      <c r="B12">
        <v>39231385</v>
      </c>
      <c r="C12">
        <v>39231218</v>
      </c>
      <c r="D12">
        <v>38712595</v>
      </c>
      <c r="E12">
        <v>27</v>
      </c>
      <c r="F12">
        <v>1</v>
      </c>
      <c r="G12">
        <v>27</v>
      </c>
      <c r="H12">
        <v>1</v>
      </c>
      <c r="I12" t="s">
        <v>107</v>
      </c>
      <c r="J12" t="s">
        <v>6</v>
      </c>
      <c r="K12" t="s">
        <v>108</v>
      </c>
      <c r="L12">
        <v>1191</v>
      </c>
      <c r="N12">
        <v>1013</v>
      </c>
      <c r="O12" t="s">
        <v>109</v>
      </c>
      <c r="P12" t="s">
        <v>109</v>
      </c>
      <c r="Q12">
        <v>1</v>
      </c>
      <c r="X12">
        <v>6.29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 t="s">
        <v>46</v>
      </c>
      <c r="AG12">
        <v>12.58</v>
      </c>
      <c r="AH12">
        <v>2</v>
      </c>
      <c r="AI12">
        <v>39231385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ROW(Source!A29)</f>
        <v>29</v>
      </c>
      <c r="B13">
        <v>39231386</v>
      </c>
      <c r="C13">
        <v>39231218</v>
      </c>
      <c r="D13">
        <v>38729420</v>
      </c>
      <c r="E13">
        <v>1</v>
      </c>
      <c r="F13">
        <v>1</v>
      </c>
      <c r="G13">
        <v>27</v>
      </c>
      <c r="H13">
        <v>3</v>
      </c>
      <c r="I13" t="s">
        <v>126</v>
      </c>
      <c r="J13" t="s">
        <v>127</v>
      </c>
      <c r="K13" t="s">
        <v>128</v>
      </c>
      <c r="L13">
        <v>1339</v>
      </c>
      <c r="N13">
        <v>1007</v>
      </c>
      <c r="O13" t="s">
        <v>25</v>
      </c>
      <c r="P13" t="s">
        <v>25</v>
      </c>
      <c r="Q13">
        <v>1</v>
      </c>
      <c r="X13">
        <v>5</v>
      </c>
      <c r="Y13">
        <v>753.67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46</v>
      </c>
      <c r="AG13">
        <v>10</v>
      </c>
      <c r="AH13">
        <v>2</v>
      </c>
      <c r="AI13">
        <v>39231386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ROW(Source!A30)</f>
        <v>30</v>
      </c>
      <c r="B14">
        <v>39231389</v>
      </c>
      <c r="C14">
        <v>39231223</v>
      </c>
      <c r="D14">
        <v>38712595</v>
      </c>
      <c r="E14">
        <v>27</v>
      </c>
      <c r="F14">
        <v>1</v>
      </c>
      <c r="G14">
        <v>27</v>
      </c>
      <c r="H14">
        <v>1</v>
      </c>
      <c r="I14" t="s">
        <v>107</v>
      </c>
      <c r="J14" t="s">
        <v>6</v>
      </c>
      <c r="K14" t="s">
        <v>108</v>
      </c>
      <c r="L14">
        <v>1191</v>
      </c>
      <c r="N14">
        <v>1013</v>
      </c>
      <c r="O14" t="s">
        <v>109</v>
      </c>
      <c r="P14" t="s">
        <v>109</v>
      </c>
      <c r="Q14">
        <v>1</v>
      </c>
      <c r="X14">
        <v>13.42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 t="s">
        <v>6</v>
      </c>
      <c r="AG14">
        <v>13.42</v>
      </c>
      <c r="AH14">
        <v>2</v>
      </c>
      <c r="AI14">
        <v>39231389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ROW(Source!A30)</f>
        <v>30</v>
      </c>
      <c r="B15">
        <v>39231390</v>
      </c>
      <c r="C15">
        <v>39231223</v>
      </c>
      <c r="D15">
        <v>38726375</v>
      </c>
      <c r="E15">
        <v>1</v>
      </c>
      <c r="F15">
        <v>1</v>
      </c>
      <c r="G15">
        <v>27</v>
      </c>
      <c r="H15">
        <v>3</v>
      </c>
      <c r="I15" t="s">
        <v>129</v>
      </c>
      <c r="J15" t="s">
        <v>130</v>
      </c>
      <c r="K15" t="s">
        <v>131</v>
      </c>
      <c r="L15">
        <v>1339</v>
      </c>
      <c r="N15">
        <v>1007</v>
      </c>
      <c r="O15" t="s">
        <v>25</v>
      </c>
      <c r="P15" t="s">
        <v>25</v>
      </c>
      <c r="Q15">
        <v>1</v>
      </c>
      <c r="X15">
        <v>1.4E-2</v>
      </c>
      <c r="Y15">
        <v>6863.19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6</v>
      </c>
      <c r="AG15">
        <v>1.4E-2</v>
      </c>
      <c r="AH15">
        <v>2</v>
      </c>
      <c r="AI15">
        <v>39231390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ROW(Source!A30)</f>
        <v>30</v>
      </c>
      <c r="B16">
        <v>39231391</v>
      </c>
      <c r="C16">
        <v>39231223</v>
      </c>
      <c r="D16">
        <v>38729418</v>
      </c>
      <c r="E16">
        <v>1</v>
      </c>
      <c r="F16">
        <v>1</v>
      </c>
      <c r="G16">
        <v>27</v>
      </c>
      <c r="H16">
        <v>3</v>
      </c>
      <c r="I16" t="s">
        <v>132</v>
      </c>
      <c r="J16" t="s">
        <v>133</v>
      </c>
      <c r="K16" t="s">
        <v>134</v>
      </c>
      <c r="L16">
        <v>1327</v>
      </c>
      <c r="N16">
        <v>1005</v>
      </c>
      <c r="O16" t="s">
        <v>135</v>
      </c>
      <c r="P16" t="s">
        <v>135</v>
      </c>
      <c r="Q16">
        <v>1</v>
      </c>
      <c r="X16">
        <v>107</v>
      </c>
      <c r="Y16">
        <v>129.94999999999999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 t="s">
        <v>6</v>
      </c>
      <c r="AG16">
        <v>107</v>
      </c>
      <c r="AH16">
        <v>2</v>
      </c>
      <c r="AI16">
        <v>39231391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Смета СН-2012 по гл. 1-5</vt:lpstr>
      <vt:lpstr>Source</vt:lpstr>
      <vt:lpstr>SourceObSm</vt:lpstr>
      <vt:lpstr>SmtRes</vt:lpstr>
      <vt:lpstr>EtalonRes</vt:lpstr>
      <vt:lpstr>'Смета СН-2012 по гл. 1-5'!Заголовки_для_печати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Stroeva-OA</cp:lastModifiedBy>
  <cp:lastPrinted>2021-03-11T08:09:03Z</cp:lastPrinted>
  <dcterms:created xsi:type="dcterms:W3CDTF">2021-03-03T10:45:05Z</dcterms:created>
  <dcterms:modified xsi:type="dcterms:W3CDTF">2021-03-12T07:01:02Z</dcterms:modified>
</cp:coreProperties>
</file>